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INAS FILES\Cases\Kentucky\2026 Columbia Gas\"/>
    </mc:Choice>
  </mc:AlternateContent>
  <xr:revisionPtr revIDLastSave="0" documentId="13_ncr:1_{BD4B3C7C-B7DA-4793-A91F-CF8984832E41}" xr6:coauthVersionLast="47" xr6:coauthVersionMax="47" xr10:uidLastSave="{00000000-0000-0000-0000-000000000000}"/>
  <bookViews>
    <workbookView xWindow="-120" yWindow="-120" windowWidth="29040" windowHeight="15720" tabRatio="930" firstSheet="4" activeTab="27" xr2:uid="{52816F19-6833-4828-98AA-37046E1313F0}"/>
  </bookViews>
  <sheets>
    <sheet name="TOC" sheetId="1" r:id="rId1"/>
    <sheet name="A" sheetId="2" r:id="rId2"/>
    <sheet name="A-1" sheetId="3" r:id="rId3"/>
    <sheet name="B" sheetId="4" r:id="rId4"/>
    <sheet name="B-1" sheetId="5" r:id="rId5"/>
    <sheet name="B-2" sheetId="6" r:id="rId6"/>
    <sheet name="C" sheetId="8" r:id="rId7"/>
    <sheet name="Cp2" sheetId="12" r:id="rId8"/>
    <sheet name="Rate Case Exp" sheetId="13" r:id="rId9"/>
    <sheet name="Aircraft" sheetId="14" r:id="rId10"/>
    <sheet name="D&amp;O" sheetId="17" r:id="rId11"/>
    <sheet name="Investor Rel" sheetId="15" r:id="rId12"/>
    <sheet name="Severance" sheetId="31" r:id="rId13"/>
    <sheet name="Incentive Comp" sheetId="18" r:id="rId14"/>
    <sheet name="Payroll" sheetId="19" r:id="rId15"/>
    <sheet name="Lobby" sheetId="34" r:id="rId16"/>
    <sheet name="Profit Sharing" sheetId="26" r:id="rId17"/>
    <sheet name="SERP" sheetId="25" r:id="rId18"/>
    <sheet name="ESPP" sheetId="32" r:id="rId19"/>
    <sheet name="Dues" sheetId="29" r:id="rId20"/>
    <sheet name="401(k)" sheetId="16" r:id="rId21"/>
    <sheet name="Payroll Tax" sheetId="21" r:id="rId22"/>
    <sheet name="Benefits" sheetId="20" r:id="rId23"/>
    <sheet name="Cus dep int" sheetId="35" r:id="rId24"/>
    <sheet name="Inc Tax" sheetId="22" r:id="rId25"/>
    <sheet name="Int Sync" sheetId="30" r:id="rId26"/>
    <sheet name="D" sheetId="24" r:id="rId27"/>
    <sheet name="SummaryWP" sheetId="28" r:id="rId28"/>
  </sheets>
  <definedNames>
    <definedName name="_xlnm.Print_Area" localSheetId="4">'B-1'!$A$1:$M$53</definedName>
    <definedName name="_xlnm.Print_Area" localSheetId="7">'Cp2'!$A$1:$E$32</definedName>
    <definedName name="_xlnm.Print_Area" localSheetId="27">SummaryWP!$A$1:$F$32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5" l="1"/>
  <c r="G21" i="5"/>
  <c r="D26" i="18"/>
  <c r="D25" i="18"/>
  <c r="D27" i="18"/>
  <c r="G15" i="5"/>
  <c r="G17" i="5"/>
  <c r="G23" i="5"/>
  <c r="G28" i="5"/>
  <c r="D15" i="15"/>
  <c r="D15" i="17"/>
  <c r="E8" i="28"/>
  <c r="F11" i="2"/>
  <c r="F4" i="28"/>
  <c r="C27" i="28"/>
  <c r="E27" i="28"/>
  <c r="E9" i="30"/>
  <c r="I34" i="24"/>
  <c r="I32" i="24"/>
  <c r="I30" i="24"/>
  <c r="I36" i="24" s="1"/>
  <c r="I28" i="24"/>
  <c r="D16" i="8"/>
  <c r="E16" i="8" s="1"/>
  <c r="B27" i="28"/>
  <c r="D29" i="12"/>
  <c r="E29" i="12"/>
  <c r="A36" i="1"/>
  <c r="A27" i="28"/>
  <c r="C36" i="1"/>
  <c r="B29" i="12"/>
  <c r="B30" i="12"/>
  <c r="D13" i="35"/>
  <c r="D15" i="35" s="1"/>
  <c r="D21" i="35"/>
  <c r="D19" i="35"/>
  <c r="E4" i="35"/>
  <c r="E2" i="35"/>
  <c r="A2" i="35"/>
  <c r="E1" i="35"/>
  <c r="A1" i="35"/>
  <c r="D21" i="2"/>
  <c r="C36" i="4"/>
  <c r="D26" i="12"/>
  <c r="E28" i="12"/>
  <c r="E26" i="12"/>
  <c r="B26" i="12"/>
  <c r="I44" i="5"/>
  <c r="H44" i="5"/>
  <c r="F46" i="5"/>
  <c r="F45" i="5"/>
  <c r="F44" i="5"/>
  <c r="F39" i="5"/>
  <c r="H39" i="5" s="1"/>
  <c r="I39" i="5" s="1"/>
  <c r="K34" i="5"/>
  <c r="F34" i="5"/>
  <c r="F29" i="5"/>
  <c r="H29" i="5" s="1"/>
  <c r="I29" i="5" s="1"/>
  <c r="F22" i="5"/>
  <c r="H22" i="5" s="1"/>
  <c r="I22" i="5" s="1"/>
  <c r="F21" i="5"/>
  <c r="F19" i="5"/>
  <c r="H19" i="5" s="1"/>
  <c r="I19" i="5" s="1"/>
  <c r="F16" i="5"/>
  <c r="F15" i="5"/>
  <c r="F14" i="5"/>
  <c r="H14" i="5" s="1"/>
  <c r="I14" i="5" s="1"/>
  <c r="J13" i="5"/>
  <c r="F13" i="5"/>
  <c r="H13" i="5" s="1"/>
  <c r="I13" i="5" s="1"/>
  <c r="L12" i="5"/>
  <c r="F12" i="5"/>
  <c r="H12" i="5" s="1"/>
  <c r="I12" i="5" s="1"/>
  <c r="A12" i="5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5" i="5" s="1"/>
  <c r="A27" i="5" s="1"/>
  <c r="A28" i="5" s="1"/>
  <c r="A29" i="5" s="1"/>
  <c r="A30" i="5" s="1"/>
  <c r="A32" i="5" s="1"/>
  <c r="A33" i="5" s="1"/>
  <c r="A34" i="5" s="1"/>
  <c r="A35" i="5" s="1"/>
  <c r="A37" i="5" s="1"/>
  <c r="A38" i="5" s="1"/>
  <c r="A39" i="5" s="1"/>
  <c r="A40" i="5" s="1"/>
  <c r="A42" i="5" s="1"/>
  <c r="A44" i="5" s="1"/>
  <c r="A45" i="5" s="1"/>
  <c r="A46" i="5" s="1"/>
  <c r="A48" i="5" s="1"/>
  <c r="E27" i="12"/>
  <c r="E25" i="12"/>
  <c r="E24" i="12"/>
  <c r="E18" i="12"/>
  <c r="D25" i="12"/>
  <c r="D24" i="12"/>
  <c r="D23" i="12"/>
  <c r="D11" i="16"/>
  <c r="B24" i="28"/>
  <c r="B23" i="28"/>
  <c r="B22" i="28"/>
  <c r="B21" i="28"/>
  <c r="B20" i="28"/>
  <c r="B19" i="28"/>
  <c r="A24" i="28"/>
  <c r="A23" i="28"/>
  <c r="A22" i="28"/>
  <c r="A21" i="28"/>
  <c r="A20" i="28"/>
  <c r="A19" i="28"/>
  <c r="C33" i="1"/>
  <c r="A33" i="1"/>
  <c r="C31" i="1"/>
  <c r="A31" i="1"/>
  <c r="C28" i="1"/>
  <c r="C27" i="1"/>
  <c r="A28" i="1"/>
  <c r="A27" i="1"/>
  <c r="C25" i="1"/>
  <c r="A25" i="1"/>
  <c r="E23" i="12"/>
  <c r="E22" i="12"/>
  <c r="B24" i="12"/>
  <c r="B23" i="12"/>
  <c r="D22" i="12"/>
  <c r="D21" i="12"/>
  <c r="D15" i="19"/>
  <c r="D15" i="26"/>
  <c r="E21" i="12"/>
  <c r="B21" i="12"/>
  <c r="B20" i="12"/>
  <c r="E20" i="12"/>
  <c r="E19" i="12"/>
  <c r="D15" i="34"/>
  <c r="E4" i="34"/>
  <c r="E2" i="34"/>
  <c r="A2" i="34"/>
  <c r="E1" i="34"/>
  <c r="A1" i="34"/>
  <c r="A18" i="28"/>
  <c r="B17" i="28"/>
  <c r="A16" i="28"/>
  <c r="D15" i="18"/>
  <c r="D19" i="12"/>
  <c r="D18" i="12"/>
  <c r="B18" i="12"/>
  <c r="D11" i="18"/>
  <c r="D22" i="18"/>
  <c r="B16" i="28"/>
  <c r="C16" i="28" s="1"/>
  <c r="D11" i="31"/>
  <c r="D15" i="31" s="1"/>
  <c r="B38" i="28"/>
  <c r="B13" i="28"/>
  <c r="C13" i="28" s="1"/>
  <c r="D15" i="12"/>
  <c r="D11" i="13"/>
  <c r="E35" i="13"/>
  <c r="E12" i="6"/>
  <c r="E30" i="6"/>
  <c r="D15" i="32"/>
  <c r="E4" i="32"/>
  <c r="E2" i="32"/>
  <c r="A2" i="32"/>
  <c r="E1" i="32"/>
  <c r="A1" i="32"/>
  <c r="E4" i="31"/>
  <c r="E2" i="31"/>
  <c r="A2" i="31"/>
  <c r="E1" i="31"/>
  <c r="A1" i="31"/>
  <c r="D20" i="4"/>
  <c r="E18" i="4"/>
  <c r="E16" i="4"/>
  <c r="E14" i="4"/>
  <c r="C34" i="4"/>
  <c r="D20" i="24"/>
  <c r="C39" i="8"/>
  <c r="C41" i="8" s="1"/>
  <c r="C37" i="8"/>
  <c r="C30" i="8"/>
  <c r="C32" i="8" s="1"/>
  <c r="E29" i="8"/>
  <c r="E27" i="8"/>
  <c r="E26" i="8"/>
  <c r="E25" i="8"/>
  <c r="E24" i="8"/>
  <c r="E23" i="8"/>
  <c r="E21" i="8"/>
  <c r="E20" i="8"/>
  <c r="E19" i="8"/>
  <c r="E18" i="8"/>
  <c r="E17" i="8"/>
  <c r="E15" i="8"/>
  <c r="E14" i="8"/>
  <c r="C20" i="4"/>
  <c r="B18" i="28" l="1"/>
  <c r="C18" i="28" s="1"/>
  <c r="D9" i="21"/>
  <c r="D20" i="12"/>
  <c r="H15" i="5" s="1"/>
  <c r="I15" i="5" s="1"/>
  <c r="C22" i="28"/>
  <c r="E22" i="28" s="1"/>
  <c r="C21" i="28"/>
  <c r="E21" i="28" s="1"/>
  <c r="C20" i="28"/>
  <c r="E20" i="28" s="1"/>
  <c r="C23" i="28"/>
  <c r="E23" i="28" s="1"/>
  <c r="C24" i="28"/>
  <c r="E24" i="28" s="1"/>
  <c r="C19" i="28"/>
  <c r="E19" i="28" s="1"/>
  <c r="C17" i="28"/>
  <c r="H16" i="5"/>
  <c r="I16" i="5" s="1"/>
  <c r="F38" i="5"/>
  <c r="H38" i="5" s="1"/>
  <c r="I38" i="5" s="1"/>
  <c r="F33" i="5"/>
  <c r="F30" i="5"/>
  <c r="H30" i="5" s="1"/>
  <c r="I30" i="5" s="1"/>
  <c r="F28" i="5"/>
  <c r="F18" i="5"/>
  <c r="H18" i="5" s="1"/>
  <c r="I18" i="5" s="1"/>
  <c r="J14" i="5"/>
  <c r="L13" i="5"/>
  <c r="M13" i="5" s="1"/>
  <c r="M12" i="5"/>
  <c r="F17" i="5" l="1"/>
  <c r="L14" i="5"/>
  <c r="M14" i="5" s="1"/>
  <c r="J15" i="5"/>
  <c r="C38" i="1"/>
  <c r="A38" i="1"/>
  <c r="D28" i="30"/>
  <c r="D30" i="30" s="1"/>
  <c r="C32" i="1"/>
  <c r="A32" i="1"/>
  <c r="B25" i="12"/>
  <c r="D42" i="5" l="1"/>
  <c r="F42" i="5" s="1"/>
  <c r="H42" i="5" s="1"/>
  <c r="I42" i="5" s="1"/>
  <c r="F23" i="5"/>
  <c r="H23" i="5" s="1"/>
  <c r="I23" i="5" s="1"/>
  <c r="L15" i="5"/>
  <c r="M15" i="5" s="1"/>
  <c r="J16" i="5"/>
  <c r="D15" i="29"/>
  <c r="E4" i="29"/>
  <c r="E2" i="29"/>
  <c r="A2" i="29"/>
  <c r="E1" i="29"/>
  <c r="A1" i="29"/>
  <c r="E18" i="28"/>
  <c r="E17" i="28"/>
  <c r="E16" i="28"/>
  <c r="E13" i="28"/>
  <c r="L16" i="5" l="1"/>
  <c r="M16" i="5" s="1"/>
  <c r="J17" i="5"/>
  <c r="D23" i="20"/>
  <c r="J18" i="5" l="1"/>
  <c r="L17" i="5"/>
  <c r="J19" i="5" l="1"/>
  <c r="K18" i="5"/>
  <c r="L18" i="5" s="1"/>
  <c r="M18" i="5" s="1"/>
  <c r="C40" i="1"/>
  <c r="A40" i="1"/>
  <c r="L19" i="5" l="1"/>
  <c r="M19" i="5" s="1"/>
  <c r="B22" i="12"/>
  <c r="C29" i="1"/>
  <c r="A29" i="1"/>
  <c r="E4" i="26"/>
  <c r="E2" i="26"/>
  <c r="A2" i="26"/>
  <c r="E1" i="26"/>
  <c r="A1" i="26"/>
  <c r="D15" i="25"/>
  <c r="E17" i="12"/>
  <c r="E16" i="12"/>
  <c r="E15" i="12"/>
  <c r="E14" i="12"/>
  <c r="D20" i="21"/>
  <c r="D11" i="2" l="1"/>
  <c r="L21" i="5" l="1"/>
  <c r="B28" i="12"/>
  <c r="B27" i="12"/>
  <c r="B19" i="12"/>
  <c r="B17" i="12"/>
  <c r="B16" i="12"/>
  <c r="B15" i="12"/>
  <c r="B14" i="12"/>
  <c r="K22" i="5" l="1"/>
  <c r="L22" i="5" s="1"/>
  <c r="M22" i="5" s="1"/>
  <c r="C30" i="1"/>
  <c r="A30" i="1"/>
  <c r="E4" i="25"/>
  <c r="E2" i="25"/>
  <c r="A2" i="25"/>
  <c r="E1" i="25"/>
  <c r="A1" i="25"/>
  <c r="E36" i="24"/>
  <c r="I2" i="24"/>
  <c r="A2" i="24"/>
  <c r="I1" i="24"/>
  <c r="A1" i="24"/>
  <c r="D24" i="20"/>
  <c r="D11" i="20" s="1"/>
  <c r="D11" i="21"/>
  <c r="L23" i="5" l="1"/>
  <c r="M23" i="5" s="1"/>
  <c r="D9" i="20"/>
  <c r="B15" i="28" l="1"/>
  <c r="C15" i="28" s="1"/>
  <c r="E15" i="28" s="1"/>
  <c r="D17" i="12"/>
  <c r="B14" i="28"/>
  <c r="C14" i="28" s="1"/>
  <c r="E14" i="28" s="1"/>
  <c r="D16" i="12"/>
  <c r="H21" i="5" s="1"/>
  <c r="I21" i="5" s="1"/>
  <c r="M21" i="5" s="1"/>
  <c r="L28" i="5"/>
  <c r="C37" i="1"/>
  <c r="C35" i="1"/>
  <c r="C34" i="1"/>
  <c r="C26" i="1"/>
  <c r="C24" i="1"/>
  <c r="C23" i="1"/>
  <c r="C22" i="1"/>
  <c r="C21" i="1"/>
  <c r="A37" i="1"/>
  <c r="A35" i="1"/>
  <c r="A34" i="1"/>
  <c r="A26" i="1"/>
  <c r="A24" i="1"/>
  <c r="A23" i="1"/>
  <c r="A22" i="1"/>
  <c r="A21" i="1"/>
  <c r="E4" i="22"/>
  <c r="F4" i="30" s="1"/>
  <c r="E2" i="22"/>
  <c r="F2" i="30" s="1"/>
  <c r="A2" i="22"/>
  <c r="A2" i="30" s="1"/>
  <c r="E1" i="22"/>
  <c r="F1" i="30" s="1"/>
  <c r="A1" i="22"/>
  <c r="A1" i="30" s="1"/>
  <c r="D13" i="20"/>
  <c r="E4" i="20"/>
  <c r="E2" i="20"/>
  <c r="A2" i="20"/>
  <c r="E1" i="20"/>
  <c r="A1" i="20"/>
  <c r="D13" i="21"/>
  <c r="E4" i="21"/>
  <c r="E2" i="21"/>
  <c r="A2" i="21"/>
  <c r="E1" i="21"/>
  <c r="A1" i="21"/>
  <c r="E4" i="18"/>
  <c r="E2" i="18"/>
  <c r="A2" i="18"/>
  <c r="E1" i="18"/>
  <c r="A1" i="18"/>
  <c r="E4" i="19"/>
  <c r="E2" i="19"/>
  <c r="A2" i="19"/>
  <c r="E1" i="19"/>
  <c r="A1" i="19"/>
  <c r="E4" i="16"/>
  <c r="E2" i="16"/>
  <c r="A2" i="16"/>
  <c r="E1" i="16"/>
  <c r="A1" i="16"/>
  <c r="E4" i="15"/>
  <c r="E2" i="15"/>
  <c r="A2" i="15"/>
  <c r="E1" i="15"/>
  <c r="A1" i="15"/>
  <c r="E4" i="17"/>
  <c r="E2" i="17"/>
  <c r="A2" i="17"/>
  <c r="E1" i="17"/>
  <c r="A1" i="17"/>
  <c r="E4" i="14"/>
  <c r="E2" i="14"/>
  <c r="E1" i="14"/>
  <c r="A2" i="14"/>
  <c r="A1" i="14"/>
  <c r="E2" i="13"/>
  <c r="E1" i="13"/>
  <c r="A2" i="13"/>
  <c r="A1" i="13"/>
  <c r="D13" i="14"/>
  <c r="D15" i="14" s="1"/>
  <c r="D22" i="13"/>
  <c r="D13" i="13" s="1"/>
  <c r="D15" i="13" s="1"/>
  <c r="B26" i="28" l="1"/>
  <c r="C26" i="28" s="1"/>
  <c r="E26" i="28" s="1"/>
  <c r="D28" i="12"/>
  <c r="H17" i="5" s="1"/>
  <c r="I17" i="5" s="1"/>
  <c r="M17" i="5" s="1"/>
  <c r="B25" i="28"/>
  <c r="C25" i="28" s="1"/>
  <c r="E25" i="28" s="1"/>
  <c r="D27" i="12"/>
  <c r="H28" i="5" s="1"/>
  <c r="I28" i="5" s="1"/>
  <c r="M28" i="5" s="1"/>
  <c r="D28" i="8"/>
  <c r="E28" i="8" s="1"/>
  <c r="B12" i="28"/>
  <c r="C12" i="28" s="1"/>
  <c r="E12" i="28" s="1"/>
  <c r="D14" i="12"/>
  <c r="L29" i="5"/>
  <c r="M29" i="5" s="1"/>
  <c r="E14" i="6"/>
  <c r="D32" i="4" s="1"/>
  <c r="E3" i="12"/>
  <c r="E2" i="12"/>
  <c r="E1" i="12"/>
  <c r="A4" i="12"/>
  <c r="A2" i="12"/>
  <c r="A1" i="12"/>
  <c r="A11" i="12"/>
  <c r="A12" i="12" s="1"/>
  <c r="A14" i="12" s="1"/>
  <c r="A15" i="12" s="1"/>
  <c r="A16" i="12" s="1"/>
  <c r="A17" i="12" s="1"/>
  <c r="A18" i="12" s="1"/>
  <c r="E10" i="22" l="1"/>
  <c r="E20" i="22" s="1"/>
  <c r="E24" i="22" s="1"/>
  <c r="D22" i="8"/>
  <c r="L30" i="5"/>
  <c r="M30" i="5" s="1"/>
  <c r="E32" i="4"/>
  <c r="C20" i="1"/>
  <c r="A20" i="1"/>
  <c r="A17" i="1"/>
  <c r="A18" i="1"/>
  <c r="C18" i="1"/>
  <c r="C17" i="1"/>
  <c r="F4" i="6"/>
  <c r="F2" i="6"/>
  <c r="F1" i="6"/>
  <c r="A2" i="6"/>
  <c r="A1" i="6"/>
  <c r="E22" i="8" l="1"/>
  <c r="E30" i="8" s="1"/>
  <c r="E32" i="8" s="1"/>
  <c r="D30" i="8"/>
  <c r="D32" i="8" s="1"/>
  <c r="L33" i="5"/>
  <c r="E12" i="22"/>
  <c r="E13" i="22" s="1"/>
  <c r="L34" i="5" l="1"/>
  <c r="E17" i="22"/>
  <c r="M2" i="5"/>
  <c r="M1" i="5"/>
  <c r="A2" i="5"/>
  <c r="A1" i="5"/>
  <c r="C16" i="1"/>
  <c r="C14" i="1"/>
  <c r="A14" i="1"/>
  <c r="A16" i="1"/>
  <c r="A13" i="1"/>
  <c r="C13" i="1"/>
  <c r="E26" i="22" l="1"/>
  <c r="K38" i="5" l="1"/>
  <c r="L38" i="5" s="1"/>
  <c r="M38" i="5" s="1"/>
  <c r="L39" i="5" l="1"/>
  <c r="M39" i="5" s="1"/>
  <c r="L44" i="5" l="1"/>
  <c r="M44" i="5" s="1"/>
  <c r="L45" i="5" l="1"/>
  <c r="L46" i="5"/>
  <c r="E11" i="8" l="1"/>
  <c r="A2" i="8"/>
  <c r="A1" i="8"/>
  <c r="E2" i="8"/>
  <c r="E1" i="8"/>
  <c r="D15" i="2" l="1"/>
  <c r="D10" i="12"/>
  <c r="E12" i="4"/>
  <c r="E20" i="4" s="1"/>
  <c r="E4" i="4"/>
  <c r="E2" i="4"/>
  <c r="E1" i="4"/>
  <c r="A2" i="4"/>
  <c r="A1" i="4"/>
  <c r="A2" i="3"/>
  <c r="A1" i="3"/>
  <c r="D4" i="3"/>
  <c r="D2" i="3"/>
  <c r="D1" i="3"/>
  <c r="E11" i="2" l="1"/>
  <c r="D9" i="2"/>
  <c r="D13" i="2" s="1"/>
  <c r="D17" i="2" s="1"/>
  <c r="F1" i="28" s="1"/>
  <c r="D14" i="3" l="1"/>
  <c r="D18" i="3" s="1"/>
  <c r="D22" i="3" s="1"/>
  <c r="D24" i="3" s="1"/>
  <c r="F19" i="2" l="1"/>
  <c r="E19" i="2" l="1"/>
  <c r="H46" i="5" l="1"/>
  <c r="I46" i="5" s="1"/>
  <c r="M46" i="5" s="1"/>
  <c r="H45" i="5"/>
  <c r="I45" i="5" s="1"/>
  <c r="M45" i="5" s="1"/>
  <c r="E9" i="2"/>
  <c r="F9" i="2"/>
  <c r="E13" i="2"/>
  <c r="F13" i="2"/>
  <c r="E15" i="2"/>
  <c r="F15" i="2"/>
  <c r="E17" i="2"/>
  <c r="F17" i="2"/>
  <c r="E21" i="2"/>
  <c r="F21" i="2"/>
  <c r="D22" i="4"/>
  <c r="E22" i="4"/>
  <c r="D24" i="4"/>
  <c r="E24" i="4"/>
  <c r="D26" i="4"/>
  <c r="E26" i="4"/>
  <c r="D28" i="4"/>
  <c r="E28" i="4"/>
  <c r="D29" i="4"/>
  <c r="E29" i="4"/>
  <c r="D30" i="4"/>
  <c r="E30" i="4"/>
  <c r="D34" i="4"/>
  <c r="E34" i="4"/>
  <c r="D36" i="4"/>
  <c r="E36" i="4"/>
  <c r="G33" i="5"/>
  <c r="H33" i="5"/>
  <c r="I33" i="5"/>
  <c r="M33" i="5"/>
  <c r="G34" i="5"/>
  <c r="H34" i="5"/>
  <c r="I34" i="5"/>
  <c r="M34" i="5"/>
  <c r="M42" i="5"/>
  <c r="M48" i="5"/>
  <c r="D35" i="8"/>
  <c r="E35" i="8"/>
  <c r="D36" i="8"/>
  <c r="E36" i="8"/>
  <c r="D37" i="8"/>
  <c r="E37" i="8"/>
  <c r="D39" i="8"/>
  <c r="E39" i="8"/>
  <c r="D41" i="8"/>
  <c r="E41" i="8"/>
  <c r="D30" i="12"/>
  <c r="D31" i="12"/>
  <c r="E7" i="30"/>
  <c r="E11" i="30"/>
  <c r="E15" i="30"/>
  <c r="E19" i="30"/>
  <c r="E21" i="30"/>
  <c r="E22" i="30"/>
  <c r="E23" i="30"/>
  <c r="E7" i="28"/>
  <c r="F9" i="28"/>
  <c r="B28" i="28"/>
  <c r="E28" i="28"/>
  <c r="F29" i="28"/>
  <c r="F32" i="28"/>
  <c r="F38" i="28"/>
  <c r="F39" i="28"/>
</calcChain>
</file>

<file path=xl/sharedStrings.xml><?xml version="1.0" encoding="utf-8"?>
<sst xmlns="http://schemas.openxmlformats.org/spreadsheetml/2006/main" count="609" uniqueCount="339">
  <si>
    <t>Schedule</t>
  </si>
  <si>
    <t>Title</t>
  </si>
  <si>
    <t>Columbia Gas of Kentucky, Inc.</t>
  </si>
  <si>
    <t>Table of Contents</t>
  </si>
  <si>
    <t>Accompanying the Direct Testimony of John Defever, CPA</t>
  </si>
  <si>
    <t>Schedule D</t>
  </si>
  <si>
    <t xml:space="preserve">Rate of Return </t>
  </si>
  <si>
    <t>Page 1 of 1</t>
  </si>
  <si>
    <t>Line</t>
  </si>
  <si>
    <t>Capital</t>
  </si>
  <si>
    <t>Cost</t>
  </si>
  <si>
    <t>Weighted</t>
  </si>
  <si>
    <t>No.</t>
  </si>
  <si>
    <t>Description</t>
  </si>
  <si>
    <t>Structure</t>
  </si>
  <si>
    <t>Rate</t>
  </si>
  <si>
    <t>Long Term Debt</t>
  </si>
  <si>
    <t>Short Term Debt</t>
  </si>
  <si>
    <t>Preferred Stock</t>
  </si>
  <si>
    <t>Source:</t>
  </si>
  <si>
    <t>Total</t>
  </si>
  <si>
    <t>Operating Revenue</t>
  </si>
  <si>
    <t>Less: Uncollectible Accounts Expense</t>
  </si>
  <si>
    <t>Less PSC Fees</t>
  </si>
  <si>
    <t>Net Revenues</t>
  </si>
  <si>
    <t>Income Before Federal Income Tax</t>
  </si>
  <si>
    <t>Federal Income Tax</t>
  </si>
  <si>
    <t>Operating Income Percentage</t>
  </si>
  <si>
    <t>Gross Revenue Conversion Factor</t>
  </si>
  <si>
    <t>Line No.</t>
  </si>
  <si>
    <t>Amount</t>
  </si>
  <si>
    <t>Reference</t>
  </si>
  <si>
    <t>(A)</t>
  </si>
  <si>
    <t>(B)</t>
  </si>
  <si>
    <t>(C)</t>
  </si>
  <si>
    <t>Schedule C</t>
  </si>
  <si>
    <t>Required Operating Income</t>
  </si>
  <si>
    <t xml:space="preserve">Source: </t>
  </si>
  <si>
    <t>Per Company</t>
  </si>
  <si>
    <t>Difference</t>
  </si>
  <si>
    <t>Rate Base</t>
  </si>
  <si>
    <t>Income Deficiency / (Sufficiency)</t>
  </si>
  <si>
    <t>Revenue Increase Requested</t>
  </si>
  <si>
    <t>Property Held For Future Use</t>
  </si>
  <si>
    <t>Plant in Service</t>
  </si>
  <si>
    <t>Plant Acquisition Adjustments</t>
  </si>
  <si>
    <t>Accumulated Depreciation &amp; Amortization</t>
  </si>
  <si>
    <t xml:space="preserve">Overall Financial Summary </t>
  </si>
  <si>
    <t>Schedule A-1</t>
  </si>
  <si>
    <t>Test Period</t>
  </si>
  <si>
    <t>13 Month Average</t>
  </si>
  <si>
    <t xml:space="preserve"> Forecasted</t>
  </si>
  <si>
    <t>Forecasted Test Period</t>
  </si>
  <si>
    <t>(D)</t>
  </si>
  <si>
    <t>Schedule A</t>
  </si>
  <si>
    <t>Schedule B</t>
  </si>
  <si>
    <t>Net Plant in Service</t>
  </si>
  <si>
    <t>Other Working Capital Allowances</t>
  </si>
  <si>
    <t xml:space="preserve">  Lead Lag</t>
  </si>
  <si>
    <t xml:space="preserve">  Normalization  </t>
  </si>
  <si>
    <t xml:space="preserve">  Requested Lead Lag Adjustment</t>
  </si>
  <si>
    <t>Adjustments</t>
  </si>
  <si>
    <t>Cash Working Capital Allowance</t>
  </si>
  <si>
    <t>Total Rate Base</t>
  </si>
  <si>
    <t>Subtotal</t>
  </si>
  <si>
    <t xml:space="preserve">Common Equity </t>
  </si>
  <si>
    <t>Requested Rate of Return</t>
  </si>
  <si>
    <t xml:space="preserve">  Federal Income Taxes</t>
  </si>
  <si>
    <t xml:space="preserve">  State Income Taxes</t>
  </si>
  <si>
    <t>Operating Income Before Income Taxes</t>
  </si>
  <si>
    <t>Operating Income</t>
  </si>
  <si>
    <t>Operating Expenses</t>
  </si>
  <si>
    <t xml:space="preserve">  Depreciation &amp; Amortization Expense</t>
  </si>
  <si>
    <t>Operating Revenues</t>
  </si>
  <si>
    <t>Line 1 x Line 2</t>
  </si>
  <si>
    <t>Line 3 - Line 4</t>
  </si>
  <si>
    <t>Line 5 x Line 6</t>
  </si>
  <si>
    <t>13 MONTH AVERAGE FOR PERIOD</t>
  </si>
  <si>
    <t>(1)</t>
  </si>
  <si>
    <t>(2)</t>
  </si>
  <si>
    <t>(3 = 1 x 2)</t>
  </si>
  <si>
    <t>$</t>
  </si>
  <si>
    <t>100.00%</t>
  </si>
  <si>
    <t>SUBTOTAL</t>
  </si>
  <si>
    <t>Other Taxes</t>
  </si>
  <si>
    <t xml:space="preserve"> </t>
  </si>
  <si>
    <t>Page 1 of 2</t>
  </si>
  <si>
    <t>Page 2 of 2</t>
  </si>
  <si>
    <t>Cash Working Capital</t>
  </si>
  <si>
    <t>Schedule B-1</t>
  </si>
  <si>
    <t>Income Taxes</t>
  </si>
  <si>
    <t>Company Amount</t>
  </si>
  <si>
    <t>Customer Deposits</t>
  </si>
  <si>
    <t>Schedule B-2</t>
  </si>
  <si>
    <t xml:space="preserve">Line </t>
  </si>
  <si>
    <t>FTP</t>
  </si>
  <si>
    <t>Rate Case Expense</t>
  </si>
  <si>
    <t>Line 4</t>
  </si>
  <si>
    <t>Line 6</t>
  </si>
  <si>
    <t>Line 2 - Line 1</t>
  </si>
  <si>
    <t>Company projected rate case expense</t>
  </si>
  <si>
    <t>Case No.</t>
  </si>
  <si>
    <t>Filing date</t>
  </si>
  <si>
    <t>Years between filings</t>
  </si>
  <si>
    <t>2009-00141</t>
  </si>
  <si>
    <t>2013-00167</t>
  </si>
  <si>
    <t>2016-00162</t>
  </si>
  <si>
    <t>2021-00183</t>
  </si>
  <si>
    <t>2024-00092</t>
  </si>
  <si>
    <t>Average</t>
  </si>
  <si>
    <t>Schedule C-1</t>
  </si>
  <si>
    <t>Schedule C-2</t>
  </si>
  <si>
    <t>D&amp;O</t>
  </si>
  <si>
    <t>Schedule C-3</t>
  </si>
  <si>
    <t>Investor Relations Expense</t>
  </si>
  <si>
    <t>401(k) Expense</t>
  </si>
  <si>
    <t>Schedule C-4</t>
  </si>
  <si>
    <t>Schedule C-5</t>
  </si>
  <si>
    <t>Payroll Expense</t>
  </si>
  <si>
    <t>Schedule C-6</t>
  </si>
  <si>
    <t xml:space="preserve">Incentive Compensation </t>
  </si>
  <si>
    <t>Payroll Tax</t>
  </si>
  <si>
    <t>Schedule C-7</t>
  </si>
  <si>
    <t>Schedule C-8</t>
  </si>
  <si>
    <t>Line 1 X Line 2</t>
  </si>
  <si>
    <t>Benefits</t>
  </si>
  <si>
    <t>Schedule C-9</t>
  </si>
  <si>
    <t>Schedule C-10</t>
  </si>
  <si>
    <t>Benefits Expense</t>
  </si>
  <si>
    <t>Benefit Expense Ratio</t>
  </si>
  <si>
    <t>Less State Income Tax</t>
  </si>
  <si>
    <t xml:space="preserve">Total </t>
  </si>
  <si>
    <t xml:space="preserve">Federal Income Tax Rate </t>
  </si>
  <si>
    <t>State Income Tax Rate</t>
  </si>
  <si>
    <t>Source</t>
  </si>
  <si>
    <t>Income Tax Expense</t>
  </si>
  <si>
    <t>Schedule C-11</t>
  </si>
  <si>
    <t>Corporate Aircraft Expense</t>
  </si>
  <si>
    <t>Percent Allocated to Shareholders</t>
  </si>
  <si>
    <t>Testimony</t>
  </si>
  <si>
    <t>Payroll Tax Ratio</t>
  </si>
  <si>
    <t xml:space="preserve">Columbia Kentucky </t>
  </si>
  <si>
    <t>Schedule C-12</t>
  </si>
  <si>
    <t>Operating Income Per Columbia Kentucky</t>
  </si>
  <si>
    <t xml:space="preserve"> Operating Income Adjustments</t>
  </si>
  <si>
    <t>Payroll Taxes</t>
  </si>
  <si>
    <t>Line 4/Line 5</t>
  </si>
  <si>
    <t>Less: Adjusted Operating Income</t>
  </si>
  <si>
    <t>State Income Tax (5%)</t>
  </si>
  <si>
    <t>Federal Income Tax (21%)</t>
  </si>
  <si>
    <t>Total Operating Expenses</t>
  </si>
  <si>
    <t>Company FTP Amount</t>
  </si>
  <si>
    <t>FR 807 KAR 5:001 Section 16(8)(e) Page 1 of 6 Schedule E-1.1</t>
  </si>
  <si>
    <t>Profit Sharing</t>
  </si>
  <si>
    <t>(100% Divided By Income After Income  Tax)</t>
  </si>
  <si>
    <t>Line 13 (rounded)</t>
  </si>
  <si>
    <t>* The listed filing date reflects the date that Columbia Kentucky filed the application for a rate increase,</t>
  </si>
  <si>
    <t>not the date that the Commission accepted the application as filed.</t>
  </si>
  <si>
    <t>Columbia Kentucky Requested Rate Increase</t>
  </si>
  <si>
    <t>Rate of Return Impact</t>
  </si>
  <si>
    <t>Rate Base Adjustments</t>
  </si>
  <si>
    <t>O&amp;M Adjustments</t>
  </si>
  <si>
    <t>Rev Req Impact</t>
  </si>
  <si>
    <t>Pre Tax Adj</t>
  </si>
  <si>
    <t>NOI After Tax</t>
  </si>
  <si>
    <t>GRCF</t>
  </si>
  <si>
    <t>Per OAG</t>
  </si>
  <si>
    <t>OAG</t>
  </si>
  <si>
    <t>OAG Recommended Amount</t>
  </si>
  <si>
    <t>OAG Adjustment</t>
  </si>
  <si>
    <t>OAG Adjustments:</t>
  </si>
  <si>
    <t>OAG Net Operating Income</t>
  </si>
  <si>
    <t>OAG recommended annual expense</t>
  </si>
  <si>
    <t>OAG recommended amortization period</t>
  </si>
  <si>
    <t>OAG FTP Amount</t>
  </si>
  <si>
    <t xml:space="preserve">OAG FTP  Amount </t>
  </si>
  <si>
    <t xml:space="preserve">OAG Adjustment to Payroll </t>
  </si>
  <si>
    <t xml:space="preserve">OAG FTP Amount </t>
  </si>
  <si>
    <t>OAG Adjustment to Federal Income Expense</t>
  </si>
  <si>
    <t>OAG Adjustment to State Income Tax</t>
  </si>
  <si>
    <t>OAG Total Adjustments to Income Tax</t>
  </si>
  <si>
    <t>OAG Proposed Rate Increase</t>
  </si>
  <si>
    <t>AGA Dues</t>
  </si>
  <si>
    <t>Schedule C-13</t>
  </si>
  <si>
    <t>OAG Operating Income Adjustments (Schedule C)</t>
  </si>
  <si>
    <t>Rate base, as adjusted</t>
  </si>
  <si>
    <t>Weighted Cost of Debt</t>
  </si>
  <si>
    <t xml:space="preserve">Interest Deduction, per Company </t>
  </si>
  <si>
    <t xml:space="preserve"> Interest Deduction for Tax Purposes</t>
  </si>
  <si>
    <t>Increase/(Decrease) in Deductible Interest</t>
  </si>
  <si>
    <t>Consolidated Income Tax Rate</t>
  </si>
  <si>
    <t>State Income Tax Increase</t>
  </si>
  <si>
    <t>Federal Income Tax Increase</t>
  </si>
  <si>
    <t xml:space="preserve">Federal Tax Rate </t>
  </si>
  <si>
    <t xml:space="preserve">State Tax Rate </t>
  </si>
  <si>
    <t>Interest Synchronization</t>
  </si>
  <si>
    <t>Schedule C-14</t>
  </si>
  <si>
    <t>Line No</t>
  </si>
  <si>
    <t>Line 15</t>
  </si>
  <si>
    <t>Line 5 X Line 6</t>
  </si>
  <si>
    <t xml:space="preserve">Exhibit JD-1 </t>
  </si>
  <si>
    <t>Forecasted Test Period Twelve Months Ended December 31, 2027</t>
  </si>
  <si>
    <t>Accumulated Deferred Income Tax</t>
  </si>
  <si>
    <t xml:space="preserve">  Gas Supply Expenses-Gas Cost</t>
  </si>
  <si>
    <t>Liquified Petroleum Gas Production Expenses</t>
  </si>
  <si>
    <t>Other Operating Expenses</t>
  </si>
  <si>
    <t>Transmission Expenses</t>
  </si>
  <si>
    <t>Distribution Expenses</t>
  </si>
  <si>
    <t>Customer Accounts &amp; Collecting Expenses</t>
  </si>
  <si>
    <t>Sales Expenses</t>
  </si>
  <si>
    <t>Administrative &amp; General Expenses</t>
  </si>
  <si>
    <t>Property</t>
  </si>
  <si>
    <t>Payroll</t>
  </si>
  <si>
    <t xml:space="preserve">Other </t>
  </si>
  <si>
    <t>Net Operating Income</t>
  </si>
  <si>
    <t xml:space="preserve"> 807 KAR 5:001 Section 16-(8)(a) page  of 247, Schedule B-1, Page 2 of 2</t>
  </si>
  <si>
    <t>Column A : 807 KAR 5:001 Section 16-(8)(a) page 2 of 247 Schedule A-1</t>
  </si>
  <si>
    <t>807 KAR 5:001 Section 16-(8)(a) page 231 of 247 Schedule H-1</t>
  </si>
  <si>
    <t>807 KAR 5:001 Section 16-(8)(a) page 141 of 247 Schedule C-1</t>
  </si>
  <si>
    <t>Schedule C page 1 line 24</t>
  </si>
  <si>
    <t>Schedule C-15</t>
  </si>
  <si>
    <t>Schedule C-16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</si>
  <si>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</si>
  <si>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</si>
  <si>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</si>
  <si>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</si>
  <si>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</si>
  <si>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</si>
  <si>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</si>
  <si>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</si>
  <si>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2025</t>
  </si>
  <si>
    <t>February 2025</t>
  </si>
  <si>
    <t>March 2025</t>
  </si>
  <si>
    <t>April 2025</t>
  </si>
  <si>
    <t>13-Month Average</t>
  </si>
  <si>
    <t>Response to Attorney General's First Request No. 57</t>
  </si>
  <si>
    <t xml:space="preserve">OAG Recommended Amount </t>
  </si>
  <si>
    <t>Line 17</t>
  </si>
  <si>
    <t>2026-00099</t>
  </si>
  <si>
    <t>Attorney General’s Second Request, Item 3</t>
  </si>
  <si>
    <t>Attorney General’s First Request, Item 59.</t>
  </si>
  <si>
    <t>Attorney General’s First Request, Item 97</t>
  </si>
  <si>
    <t>Consolidated tax rate</t>
  </si>
  <si>
    <t>Schedule C-17</t>
  </si>
  <si>
    <t>Attorney General’s First Request, Item 133</t>
  </si>
  <si>
    <t>Severance Expense</t>
  </si>
  <si>
    <t>STI</t>
  </si>
  <si>
    <t>LTI</t>
  </si>
  <si>
    <t>Incentive Compensatioon Related to Financial Goals</t>
  </si>
  <si>
    <t>Attorney General's First Request Item 90</t>
  </si>
  <si>
    <t>Line 4 + Line 5</t>
  </si>
  <si>
    <t xml:space="preserve">Lobbying </t>
  </si>
  <si>
    <t>Attorney General's First Request Item 110</t>
  </si>
  <si>
    <t>Attorney General’s First Request, Item 136</t>
  </si>
  <si>
    <t>Attorney General’s First Request, Item 65.</t>
  </si>
  <si>
    <t>807 KAR 5:001 Section 16-(8)(a)</t>
  </si>
  <si>
    <t>Attorney General’s First Request, Item 67</t>
  </si>
  <si>
    <t>OAG Reduction</t>
  </si>
  <si>
    <t>807 KAR 5:001 Section 16-(8)(a) WPD-2.7B(2)</t>
  </si>
  <si>
    <t>OAG Adjustments to Payroll, Incentive Compensation, Severance</t>
  </si>
  <si>
    <t>Schedule C-5, C-6,  C-7</t>
  </si>
  <si>
    <t xml:space="preserve"> 807 KAR 5:001 Section 16-(8)(a) Schedule G-1</t>
  </si>
  <si>
    <t>Increase/(Decrease) to Income Tax Expense</t>
  </si>
  <si>
    <t>Total Increase/(Decrease) to Income Tax Expense</t>
  </si>
  <si>
    <t>LINE</t>
  </si>
  <si>
    <t xml:space="preserve">TOTAL </t>
  </si>
  <si>
    <t>JURISDICTIONAL</t>
  </si>
  <si>
    <t xml:space="preserve">DAILY </t>
  </si>
  <si>
    <t>REVENUE</t>
  </si>
  <si>
    <t>EXPENSE</t>
  </si>
  <si>
    <t>NET LAG</t>
  </si>
  <si>
    <t>WORKING</t>
  </si>
  <si>
    <t>NO.</t>
  </si>
  <si>
    <t>COST CATEGORGY</t>
  </si>
  <si>
    <t>COMPANY</t>
  </si>
  <si>
    <t>PERCENT</t>
  </si>
  <si>
    <t>AMOUNT</t>
  </si>
  <si>
    <t>LAG DAYS</t>
  </si>
  <si>
    <t>LEAD DAYS</t>
  </si>
  <si>
    <t>DAYS</t>
  </si>
  <si>
    <t>CAPITAL REQ.</t>
  </si>
  <si>
    <t>OPERATING EXPENSES:</t>
  </si>
  <si>
    <t>PURCHASED GAS EXPENSE</t>
  </si>
  <si>
    <t>GAS WITHDRAWN FROM STORAGE</t>
  </si>
  <si>
    <t>PREPAID INSURANCE EXPENSE</t>
  </si>
  <si>
    <t>EMPLOYEE PAYROLL</t>
  </si>
  <si>
    <t>INCENTIVE COMPENSATION</t>
  </si>
  <si>
    <t>EMPLOYEE BENEFITS EXPENSE</t>
  </si>
  <si>
    <t>PENSION EXPENSE</t>
  </si>
  <si>
    <t>OPEB EXPENSE</t>
  </si>
  <si>
    <t>UNCOLLECTIBLE EXPENSE</t>
  </si>
  <si>
    <t>CORPORATE SERVICES</t>
  </si>
  <si>
    <t>EXPENSE TRACKERS ADJUSTMENT</t>
  </si>
  <si>
    <t>OTHER O&amp;M COSTS</t>
  </si>
  <si>
    <t>DEPRECIATION AND AMORTIZATION</t>
  </si>
  <si>
    <t>TAXES OTHER THAN INCOME:</t>
  </si>
  <si>
    <t>PAYROLL TAX EXPENSE</t>
  </si>
  <si>
    <t>PROPERTY TAX EXPENSE</t>
  </si>
  <si>
    <t>OTHER TAXES</t>
  </si>
  <si>
    <t>INCOME TAXES:</t>
  </si>
  <si>
    <t>CURRENT: FEDERAL</t>
  </si>
  <si>
    <t>CURRENT: STATE</t>
  </si>
  <si>
    <t>DEFERRED: FEDERAL &amp; STATE (INCLUDING ITC)</t>
  </si>
  <si>
    <t>OTHER EXPENSES:</t>
  </si>
  <si>
    <t>OTHER EXPENSE/(INCOME)</t>
  </si>
  <si>
    <t>INTEREST ON DEBT</t>
  </si>
  <si>
    <t>INCOME AVAILABLE FOR COMMON EQUITY</t>
  </si>
  <si>
    <t>GROSS RECEIPTS TAX</t>
  </si>
  <si>
    <t>FRANCHISE TAX</t>
  </si>
  <si>
    <t>SALES AND USE TAX</t>
  </si>
  <si>
    <t>OAG CASH WORKING CAPITAL (LEAD LAG)</t>
  </si>
  <si>
    <t>ADJUSTMENTS</t>
  </si>
  <si>
    <t>(4)</t>
  </si>
  <si>
    <t>(5 = 3 + 4)</t>
  </si>
  <si>
    <t>(7)</t>
  </si>
  <si>
    <t>Source: Schedule B-5.2A Sheet 2 of 2</t>
  </si>
  <si>
    <t>Customer Service &amp; Information Expenses</t>
  </si>
  <si>
    <t xml:space="preserve">Line 6-10: OAG Witness Aaron Rothschild </t>
  </si>
  <si>
    <t>Lines 1-5: 807 KAR 5:001 Section 16-(8)(a) Page 239 of 247  Schedule  J-1.1 / J-1.2</t>
  </si>
  <si>
    <t>check figure</t>
  </si>
  <si>
    <t>Schedule E.1.2 Line 14</t>
  </si>
  <si>
    <t>Customer Deposit Interest</t>
  </si>
  <si>
    <t>Attorney General’s First Request, Item 57</t>
  </si>
  <si>
    <t>Line 4 X Line 5</t>
  </si>
  <si>
    <t>Schedule C-18</t>
  </si>
  <si>
    <t>Schedules C-17 and C-18</t>
  </si>
  <si>
    <t>(6 = 3 / 365 Days)</t>
  </si>
  <si>
    <t>(8)</t>
  </si>
  <si>
    <t>(9 = 6 - 7)</t>
  </si>
  <si>
    <t>(10)</t>
  </si>
  <si>
    <t>Case No. 2026-00099</t>
  </si>
  <si>
    <t>Forecasted Test Period: Twelve Months Ended December 31, 2027</t>
  </si>
  <si>
    <t>Supplemental Executive Retirment Plan Expense</t>
  </si>
  <si>
    <t xml:space="preserve">Employee Stock Purchase Plan </t>
  </si>
  <si>
    <t xml:space="preserve">Directors and Officers Insurance </t>
  </si>
  <si>
    <t>807 KAR 5:001 Section 16-(8) page 223 of 247  Schedule F-9</t>
  </si>
  <si>
    <t>Attorney General’s Second Request, Item 20</t>
  </si>
  <si>
    <t>Columbia</t>
  </si>
  <si>
    <t>NCSC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</si>
</sst>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0%"/>
    <numFmt numFmtId="165" formatCode="0.000000"/>
    <numFmt numFmtId="166" formatCode="_(* #,##0_);_(* \(#,##0\);_(* &quot;-&quot;??_);_(@_)"/>
    <numFmt numFmtId="167" formatCode="_(\$* #,##0_);_(\$* \(#,##0\);_(\$* \-_);_(@_)"/>
    <numFmt numFmtId="168" formatCode="_-&quot;$&quot;* #,##0_-;\-&quot;$&quot;* #,##0_-;_-&quot;$&quot;* &quot;-&quot;_-;_-@_-"/>
    <numFmt numFmtId="169" formatCode="0.000%"/>
    <numFmt numFmtId="170" formatCode="_(&quot;$&quot;* #,##0_);_(&quot;$&quot;* \(#,##0\);_(&quot;$&quot;* &quot;-&quot;??_);_(@_)"/>
    <numFmt numFmtId="171" formatCode="#,##0.0_);\(#,##0.0\)"/>
    <numFmt numFmtId="172" formatCode="0.000000_)"/>
    <numFmt numFmtId="173" formatCode="_([$€-2]* #,##0.00_);_([$€-2]* \(#,##0.00\);_([$€-2]* &quot;-&quot;??_)"/>
    <numFmt numFmtId="174" formatCode="&quot;$&quot;#,##0.00"/>
    <numFmt numFmtId="175" formatCode="0.00_);\(0.00\)"/>
  </numFmts>
  <fonts count="55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0"/>
      <color theme="1"/>
      <name val="Arial"/>
      <family val="2"/>
    </font>
    <font>
      <sz val="8"/>
      <name val="Helv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indexed="8"/>
      <name val="Arial"/>
      <family val="2"/>
    </font>
    <font>
      <u/>
      <sz val="12"/>
      <color indexed="8"/>
      <name val="Arial"/>
      <family val="2"/>
    </font>
    <font>
      <sz val="8"/>
      <name val="Tms Rmn"/>
    </font>
    <font>
      <u/>
      <sz val="12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sz val="12"/>
      <name val="Calibri"/>
      <family val="2"/>
      <scheme val="minor"/>
    </font>
    <font>
      <sz val="7"/>
      <name val="Helv"/>
    </font>
    <font>
      <sz val="10"/>
      <name val="Helv"/>
    </font>
    <font>
      <sz val="8"/>
      <name val="Arial"/>
      <family val="2"/>
    </font>
    <font>
      <sz val="10"/>
      <color indexed="8"/>
      <name val="MS Sans Serif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b/>
      <i/>
      <sz val="16"/>
      <color indexed="8"/>
      <name val="Arial"/>
      <family val="2"/>
    </font>
    <font>
      <b/>
      <sz val="12"/>
      <color indexed="8"/>
      <name val="Arial"/>
      <family val="2"/>
    </font>
    <font>
      <i/>
      <sz val="11"/>
      <name val="Arial"/>
      <family val="2"/>
    </font>
    <font>
      <sz val="11"/>
      <color indexed="8"/>
      <name val="Calibri"/>
      <family val="2"/>
    </font>
    <font>
      <sz val="10"/>
      <color indexed="8"/>
      <name val="Tahoma"/>
      <family val="2"/>
    </font>
    <font>
      <sz val="10"/>
      <name val="Arial Unicode MS"/>
      <family val="2"/>
    </font>
    <font>
      <b/>
      <sz val="10"/>
      <name val="Arial Unicode MS"/>
      <family val="2"/>
    </font>
    <font>
      <sz val="10"/>
      <color theme="1"/>
      <name val="Tahoma"/>
      <family val="2"/>
    </font>
    <font>
      <sz val="10"/>
      <name val="Tms Rmn"/>
    </font>
    <font>
      <sz val="9"/>
      <color theme="1"/>
      <name val="Times New Roman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Tahoma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02">
    <xf numFmtId="0" fontId="0" fillId="0" borderId="0"/>
    <xf numFmtId="41" fontId="2" fillId="0" borderId="0"/>
    <xf numFmtId="0" fontId="5" fillId="0" borderId="0"/>
    <xf numFmtId="0" fontId="5" fillId="0" borderId="0" applyFill="0" applyBorder="0"/>
    <xf numFmtId="0" fontId="7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4" fillId="0" borderId="0"/>
    <xf numFmtId="37" fontId="5" fillId="0" borderId="0" applyFill="0" applyBorder="0"/>
    <xf numFmtId="0" fontId="5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0" borderId="0"/>
    <xf numFmtId="174" fontId="23" fillId="0" borderId="0" applyFill="0"/>
    <xf numFmtId="174" fontId="23" fillId="0" borderId="0">
      <alignment horizontal="center"/>
    </xf>
    <xf numFmtId="0" fontId="23" fillId="0" borderId="0" applyFill="0">
      <alignment horizontal="center"/>
    </xf>
    <xf numFmtId="174" fontId="25" fillId="0" borderId="8" applyFill="0"/>
    <xf numFmtId="0" fontId="7" fillId="0" borderId="0" applyFont="0" applyAlignment="0"/>
    <xf numFmtId="0" fontId="26" fillId="0" borderId="0" applyFill="0">
      <alignment vertical="top"/>
    </xf>
    <xf numFmtId="0" fontId="25" fillId="0" borderId="0" applyFill="0">
      <alignment horizontal="left" vertical="top"/>
    </xf>
    <xf numFmtId="174" fontId="16" fillId="0" borderId="9" applyFill="0"/>
    <xf numFmtId="0" fontId="7" fillId="0" borderId="0" applyNumberFormat="0" applyFont="0" applyAlignment="0"/>
    <xf numFmtId="0" fontId="26" fillId="0" borderId="0" applyFill="0">
      <alignment wrapText="1"/>
    </xf>
    <xf numFmtId="0" fontId="25" fillId="0" borderId="0" applyFill="0">
      <alignment horizontal="left" vertical="top" wrapText="1"/>
    </xf>
    <xf numFmtId="174" fontId="27" fillId="0" borderId="0" applyFill="0"/>
    <xf numFmtId="0" fontId="28" fillId="0" borderId="0" applyNumberFormat="0" applyFont="0" applyAlignment="0">
      <alignment horizontal="center"/>
    </xf>
    <xf numFmtId="0" fontId="29" fillId="0" borderId="0" applyFill="0">
      <alignment vertical="top" wrapText="1"/>
    </xf>
    <xf numFmtId="0" fontId="16" fillId="0" borderId="0" applyFill="0">
      <alignment horizontal="left" vertical="top" wrapText="1"/>
    </xf>
    <xf numFmtId="174" fontId="7" fillId="0" borderId="0" applyFill="0"/>
    <xf numFmtId="0" fontId="28" fillId="0" borderId="0" applyNumberFormat="0" applyFont="0" applyAlignment="0">
      <alignment horizontal="center"/>
    </xf>
    <xf numFmtId="0" fontId="30" fillId="0" borderId="0" applyFill="0">
      <alignment vertical="center" wrapText="1"/>
    </xf>
    <xf numFmtId="0" fontId="3" fillId="0" borderId="0">
      <alignment horizontal="left" vertical="center" wrapText="1"/>
    </xf>
    <xf numFmtId="174" fontId="31" fillId="0" borderId="0" applyFill="0"/>
    <xf numFmtId="0" fontId="28" fillId="0" borderId="0" applyNumberFormat="0" applyFont="0" applyAlignment="0">
      <alignment horizontal="center"/>
    </xf>
    <xf numFmtId="0" fontId="32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33" fillId="0" borderId="0" applyFill="0"/>
    <xf numFmtId="0" fontId="28" fillId="0" borderId="0" applyNumberFormat="0" applyFont="0" applyAlignment="0">
      <alignment horizontal="center"/>
    </xf>
    <xf numFmtId="0" fontId="34" fillId="0" borderId="0" applyFill="0">
      <alignment horizontal="center" vertical="center" wrapText="1"/>
    </xf>
    <xf numFmtId="0" fontId="35" fillId="0" borderId="0" applyFill="0">
      <alignment horizontal="center" vertical="center" wrapText="1"/>
    </xf>
    <xf numFmtId="174" fontId="36" fillId="0" borderId="0" applyFill="0"/>
    <xf numFmtId="0" fontId="28" fillId="0" borderId="0" applyNumberFormat="0" applyFont="0" applyAlignment="0">
      <alignment horizontal="center"/>
    </xf>
    <xf numFmtId="0" fontId="37" fillId="0" borderId="0">
      <alignment horizontal="center" wrapText="1"/>
    </xf>
    <xf numFmtId="0" fontId="33" fillId="0" borderId="0" applyFill="0">
      <alignment horizontal="center" wrapText="1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7" fillId="0" borderId="0"/>
    <xf numFmtId="37" fontId="5" fillId="0" borderId="0"/>
    <xf numFmtId="0" fontId="22" fillId="0" borderId="0"/>
    <xf numFmtId="0" fontId="21" fillId="0" borderId="0"/>
    <xf numFmtId="0" fontId="47" fillId="0" borderId="0"/>
    <xf numFmtId="0" fontId="7" fillId="0" borderId="0"/>
    <xf numFmtId="0" fontId="2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8" fillId="0" borderId="0" applyNumberFormat="0" applyFont="0" applyFill="0" applyBorder="0" applyAlignment="0" applyProtection="0">
      <alignment horizontal="left"/>
    </xf>
    <xf numFmtId="15" fontId="38" fillId="0" borderId="0" applyFont="0" applyFill="0" applyBorder="0" applyAlignment="0" applyProtection="0"/>
    <xf numFmtId="4" fontId="38" fillId="0" borderId="0" applyFont="0" applyFill="0" applyBorder="0" applyAlignment="0" applyProtection="0"/>
    <xf numFmtId="0" fontId="39" fillId="0" borderId="10">
      <alignment horizontal="center"/>
    </xf>
    <xf numFmtId="3" fontId="38" fillId="0" borderId="0" applyFont="0" applyFill="0" applyBorder="0" applyAlignment="0" applyProtection="0"/>
    <xf numFmtId="0" fontId="38" fillId="2" borderId="0" applyNumberFormat="0" applyFont="0" applyBorder="0" applyAlignment="0" applyProtection="0"/>
    <xf numFmtId="39" fontId="23" fillId="3" borderId="0" applyFill="0"/>
    <xf numFmtId="0" fontId="40" fillId="0" borderId="0">
      <alignment horizontal="left" indent="7"/>
    </xf>
    <xf numFmtId="0" fontId="23" fillId="0" borderId="0" applyFill="0">
      <alignment horizontal="left" indent="7"/>
    </xf>
    <xf numFmtId="7" fontId="41" fillId="0" borderId="2" applyFill="0">
      <alignment horizontal="right"/>
    </xf>
    <xf numFmtId="0" fontId="16" fillId="0" borderId="0" applyNumberFormat="0">
      <alignment horizontal="right"/>
    </xf>
    <xf numFmtId="0" fontId="42" fillId="0" borderId="2" applyFont="0" applyFill="0"/>
    <xf numFmtId="0" fontId="16" fillId="0" borderId="2" applyFill="0"/>
    <xf numFmtId="39" fontId="41" fillId="0" borderId="0" applyFill="0"/>
    <xf numFmtId="0" fontId="7" fillId="0" borderId="0" applyNumberFormat="0" applyFont="0" applyBorder="0" applyAlignment="0"/>
    <xf numFmtId="0" fontId="29" fillId="0" borderId="0" applyFill="0">
      <alignment horizontal="left" indent="1"/>
    </xf>
    <xf numFmtId="0" fontId="16" fillId="0" borderId="0" applyFill="0">
      <alignment horizontal="left" indent="1"/>
    </xf>
    <xf numFmtId="39" fontId="31" fillId="0" borderId="0" applyFill="0"/>
    <xf numFmtId="0" fontId="7" fillId="0" borderId="0" applyNumberFormat="0" applyFont="0" applyFill="0" applyBorder="0" applyAlignment="0"/>
    <xf numFmtId="0" fontId="29" fillId="0" borderId="0" applyFill="0">
      <alignment horizontal="left" indent="2"/>
    </xf>
    <xf numFmtId="0" fontId="43" fillId="0" borderId="0" applyFill="0">
      <alignment horizontal="left" indent="2"/>
    </xf>
    <xf numFmtId="39" fontId="31" fillId="0" borderId="0" applyFill="0"/>
    <xf numFmtId="0" fontId="7" fillId="0" borderId="0" applyNumberFormat="0" applyFont="0" applyBorder="0" applyAlignment="0"/>
    <xf numFmtId="0" fontId="44" fillId="0" borderId="0">
      <alignment horizontal="left" indent="3"/>
    </xf>
    <xf numFmtId="0" fontId="19" fillId="0" borderId="0" applyFill="0">
      <alignment horizontal="left" indent="3"/>
    </xf>
    <xf numFmtId="39" fontId="31" fillId="0" borderId="0" applyFill="0"/>
    <xf numFmtId="0" fontId="7" fillId="0" borderId="0" applyNumberFormat="0" applyFont="0" applyBorder="0" applyAlignment="0"/>
    <xf numFmtId="0" fontId="32" fillId="0" borderId="0">
      <alignment horizontal="left" indent="4"/>
    </xf>
    <xf numFmtId="0" fontId="7" fillId="0" borderId="0" applyFill="0">
      <alignment horizontal="left" indent="4"/>
    </xf>
    <xf numFmtId="39" fontId="31" fillId="0" borderId="0" applyFill="0"/>
    <xf numFmtId="0" fontId="7" fillId="0" borderId="0" applyNumberFormat="0" applyFont="0" applyBorder="0" applyAlignment="0"/>
    <xf numFmtId="0" fontId="34" fillId="0" borderId="0">
      <alignment horizontal="left" indent="5"/>
    </xf>
    <xf numFmtId="0" fontId="35" fillId="0" borderId="0" applyFill="0">
      <alignment horizontal="left" indent="5"/>
    </xf>
    <xf numFmtId="39" fontId="36" fillId="0" borderId="0" applyFill="0"/>
    <xf numFmtId="0" fontId="7" fillId="0" borderId="0" applyNumberFormat="0" applyFont="0" applyFill="0" applyBorder="0" applyAlignment="0"/>
    <xf numFmtId="0" fontId="37" fillId="0" borderId="0" applyFill="0">
      <alignment horizontal="left" indent="6"/>
    </xf>
    <xf numFmtId="0" fontId="33" fillId="0" borderId="0" applyFill="0">
      <alignment horizontal="left" indent="6"/>
    </xf>
    <xf numFmtId="0" fontId="2" fillId="0" borderId="0"/>
    <xf numFmtId="9" fontId="7" fillId="0" borderId="0" applyFont="0" applyFill="0" applyBorder="0" applyAlignment="0" applyProtection="0"/>
    <xf numFmtId="0" fontId="49" fillId="0" borderId="0"/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9" fillId="0" borderId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6" fillId="0" borderId="0"/>
    <xf numFmtId="43" fontId="6" fillId="0" borderId="0" applyFont="0" applyFill="0" applyBorder="0" applyAlignment="0" applyProtection="0"/>
    <xf numFmtId="0" fontId="50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0" fillId="0" borderId="0"/>
    <xf numFmtId="174" fontId="16" fillId="0" borderId="9" applyFill="0"/>
    <xf numFmtId="0" fontId="7" fillId="0" borderId="0" applyFill="0">
      <alignment horizontal="center" vertical="center" wrapText="1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 applyFill="0">
      <alignment horizontal="left" indent="4"/>
    </xf>
    <xf numFmtId="174" fontId="16" fillId="0" borderId="9" applyFill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0" fontId="6" fillId="0" borderId="0"/>
    <xf numFmtId="43" fontId="6" fillId="0" borderId="0" applyFont="0" applyFill="0" applyBorder="0" applyAlignment="0" applyProtection="0"/>
    <xf numFmtId="0" fontId="4" fillId="0" borderId="0"/>
    <xf numFmtId="0" fontId="4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6" fillId="0" borderId="0"/>
    <xf numFmtId="0" fontId="6" fillId="0" borderId="0"/>
    <xf numFmtId="37" fontId="5" fillId="0" borderId="0"/>
    <xf numFmtId="0" fontId="50" fillId="0" borderId="0"/>
    <xf numFmtId="0" fontId="6" fillId="0" borderId="0"/>
    <xf numFmtId="0" fontId="6" fillId="0" borderId="0"/>
    <xf numFmtId="0" fontId="50" fillId="0" borderId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49" fillId="0" borderId="0"/>
    <xf numFmtId="0" fontId="7" fillId="0" borderId="0"/>
    <xf numFmtId="43" fontId="6" fillId="0" borderId="0" applyFont="0" applyFill="0" applyBorder="0" applyAlignment="0" applyProtection="0"/>
    <xf numFmtId="37" fontId="5" fillId="0" borderId="0"/>
    <xf numFmtId="0" fontId="7" fillId="0" borderId="0"/>
    <xf numFmtId="0" fontId="53" fillId="0" borderId="0" applyNumberFormat="0" applyFill="0" applyBorder="0" applyAlignment="0" applyProtection="0"/>
    <xf numFmtId="0" fontId="7" fillId="0" borderId="0"/>
    <xf numFmtId="0" fontId="50" fillId="0" borderId="0"/>
    <xf numFmtId="0" fontId="14" fillId="0" borderId="0"/>
    <xf numFmtId="0" fontId="21" fillId="0" borderId="0"/>
    <xf numFmtId="0" fontId="14" fillId="0" borderId="0"/>
    <xf numFmtId="0" fontId="7" fillId="0" borderId="0"/>
    <xf numFmtId="43" fontId="6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88">
    <xf numFmtId="0" fontId="0" fillId="0" borderId="0" xfId="0"/>
    <xf numFmtId="0" fontId="1" fillId="0" borderId="0" xfId="0" applyFont="1"/>
    <xf numFmtId="41" fontId="3" fillId="0" borderId="0" xfId="1" applyFont="1"/>
    <xf numFmtId="0" fontId="3" fillId="0" borderId="0" xfId="1" applyNumberFormat="1" applyFont="1"/>
    <xf numFmtId="0" fontId="3" fillId="0" borderId="0" xfId="1" applyNumberFormat="1" applyFont="1" applyAlignment="1">
      <alignment horizontal="center"/>
    </xf>
    <xf numFmtId="41" fontId="3" fillId="0" borderId="0" xfId="1" applyFont="1" applyAlignment="1">
      <alignment horizontal="center"/>
    </xf>
    <xf numFmtId="0" fontId="3" fillId="0" borderId="4" xfId="1" applyNumberFormat="1" applyFont="1" applyBorder="1"/>
    <xf numFmtId="0" fontId="3" fillId="0" borderId="4" xfId="1" applyNumberFormat="1" applyFont="1" applyBorder="1" applyAlignment="1">
      <alignment horizontal="center"/>
    </xf>
    <xf numFmtId="41" fontId="3" fillId="0" borderId="4" xfId="1" applyFont="1" applyBorder="1" applyAlignment="1">
      <alignment horizontal="center"/>
    </xf>
    <xf numFmtId="10" fontId="3" fillId="0" borderId="0" xfId="1" applyNumberFormat="1" applyFont="1"/>
    <xf numFmtId="10" fontId="3" fillId="0" borderId="4" xfId="1" applyNumberFormat="1" applyFont="1" applyBorder="1"/>
    <xf numFmtId="41" fontId="3" fillId="0" borderId="4" xfId="1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quotePrefix="1" applyFont="1"/>
    <xf numFmtId="0" fontId="1" fillId="0" borderId="4" xfId="1" applyNumberFormat="1" applyFont="1" applyBorder="1"/>
    <xf numFmtId="41" fontId="1" fillId="0" borderId="0" xfId="1" applyFont="1"/>
    <xf numFmtId="0" fontId="4" fillId="0" borderId="0" xfId="0" applyFont="1"/>
    <xf numFmtId="0" fontId="1" fillId="0" borderId="4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" fillId="0" borderId="0" xfId="0" quotePrefix="1" applyFont="1" applyAlignment="1">
      <alignment horizontal="left"/>
    </xf>
    <xf numFmtId="0" fontId="1" fillId="0" borderId="4" xfId="0" applyFont="1" applyBorder="1" applyAlignment="1">
      <alignment horizontal="center"/>
    </xf>
    <xf numFmtId="42" fontId="1" fillId="0" borderId="0" xfId="0" applyNumberFormat="1" applyFont="1"/>
    <xf numFmtId="42" fontId="1" fillId="0" borderId="4" xfId="0" applyNumberFormat="1" applyFont="1" applyBorder="1"/>
    <xf numFmtId="42" fontId="1" fillId="0" borderId="7" xfId="0" applyNumberFormat="1" applyFont="1" applyBorder="1"/>
    <xf numFmtId="0" fontId="3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42" fontId="1" fillId="0" borderId="5" xfId="0" applyNumberFormat="1" applyFont="1" applyBorder="1"/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10" fontId="1" fillId="0" borderId="4" xfId="0" applyNumberFormat="1" applyFont="1" applyBorder="1"/>
    <xf numFmtId="41" fontId="3" fillId="0" borderId="0" xfId="1" applyFont="1" applyAlignment="1">
      <alignment horizontal="right"/>
    </xf>
    <xf numFmtId="0" fontId="10" fillId="0" borderId="0" xfId="0" applyFont="1"/>
    <xf numFmtId="0" fontId="3" fillId="0" borderId="0" xfId="0" applyFont="1"/>
    <xf numFmtId="0" fontId="9" fillId="0" borderId="4" xfId="0" applyFont="1" applyBorder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9" fontId="1" fillId="0" borderId="4" xfId="0" applyNumberFormat="1" applyFont="1" applyBorder="1"/>
    <xf numFmtId="0" fontId="12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0" fontId="3" fillId="0" borderId="0" xfId="7" applyAlignment="1">
      <alignment horizontal="center"/>
    </xf>
    <xf numFmtId="167" fontId="12" fillId="0" borderId="0" xfId="0" applyNumberFormat="1" applyFont="1"/>
    <xf numFmtId="42" fontId="12" fillId="0" borderId="0" xfId="0" applyNumberFormat="1" applyFont="1"/>
    <xf numFmtId="0" fontId="12" fillId="0" borderId="0" xfId="0" applyFont="1"/>
    <xf numFmtId="0" fontId="3" fillId="0" borderId="0" xfId="10" applyFont="1"/>
    <xf numFmtId="0" fontId="1" fillId="0" borderId="0" xfId="0" applyFont="1" applyAlignment="1">
      <alignment wrapText="1"/>
    </xf>
    <xf numFmtId="0" fontId="3" fillId="0" borderId="0" xfId="10" applyFont="1" applyAlignment="1">
      <alignment horizontal="center"/>
    </xf>
    <xf numFmtId="168" fontId="3" fillId="0" borderId="0" xfId="10" applyNumberFormat="1" applyFont="1"/>
    <xf numFmtId="10" fontId="3" fillId="0" borderId="0" xfId="10" applyNumberFormat="1" applyFont="1"/>
    <xf numFmtId="0" fontId="12" fillId="0" borderId="6" xfId="0" applyFont="1" applyBorder="1"/>
    <xf numFmtId="0" fontId="13" fillId="0" borderId="0" xfId="0" applyFont="1"/>
    <xf numFmtId="167" fontId="12" fillId="0" borderId="0" xfId="0" applyNumberFormat="1" applyFont="1" applyAlignment="1">
      <alignment horizontal="right" vertical="top"/>
    </xf>
    <xf numFmtId="169" fontId="12" fillId="0" borderId="6" xfId="0" applyNumberFormat="1" applyFont="1" applyBorder="1" applyAlignment="1">
      <alignment horizontal="right"/>
    </xf>
    <xf numFmtId="167" fontId="12" fillId="0" borderId="6" xfId="0" applyNumberFormat="1" applyFont="1" applyBorder="1"/>
    <xf numFmtId="0" fontId="1" fillId="0" borderId="0" xfId="0" applyFont="1" applyAlignment="1">
      <alignment vertical="center"/>
    </xf>
    <xf numFmtId="0" fontId="11" fillId="0" borderId="0" xfId="0" applyFont="1"/>
    <xf numFmtId="37" fontId="3" fillId="0" borderId="0" xfId="12" applyFont="1" applyFill="1" applyAlignment="1">
      <alignment horizontal="left" vertical="center"/>
    </xf>
    <xf numFmtId="169" fontId="12" fillId="0" borderId="0" xfId="0" applyNumberFormat="1" applyFont="1"/>
    <xf numFmtId="170" fontId="3" fillId="0" borderId="0" xfId="8" applyNumberFormat="1" applyFont="1" applyFill="1" applyAlignment="1">
      <alignment vertical="center"/>
    </xf>
    <xf numFmtId="10" fontId="1" fillId="0" borderId="0" xfId="0" applyNumberFormat="1" applyFont="1"/>
    <xf numFmtId="167" fontId="12" fillId="0" borderId="4" xfId="0" applyNumberFormat="1" applyFont="1" applyBorder="1" applyAlignment="1">
      <alignment horizontal="right" vertical="top"/>
    </xf>
    <xf numFmtId="0" fontId="15" fillId="0" borderId="0" xfId="2" applyFont="1" applyAlignment="1" applyProtection="1">
      <alignment vertical="center"/>
      <protection locked="0"/>
    </xf>
    <xf numFmtId="0" fontId="3" fillId="0" borderId="0" xfId="2" applyFont="1" applyAlignment="1" applyProtection="1">
      <alignment horizontal="left" vertical="center"/>
      <protection locked="0"/>
    </xf>
    <xf numFmtId="42" fontId="12" fillId="0" borderId="0" xfId="8" applyNumberFormat="1" applyFont="1" applyFill="1" applyBorder="1" applyAlignment="1" applyProtection="1"/>
    <xf numFmtId="42" fontId="3" fillId="0" borderId="0" xfId="7" applyNumberFormat="1"/>
    <xf numFmtId="42" fontId="12" fillId="0" borderId="0" xfId="9" applyNumberFormat="1" applyFont="1" applyFill="1" applyBorder="1" applyAlignment="1" applyProtection="1"/>
    <xf numFmtId="0" fontId="3" fillId="0" borderId="0" xfId="7"/>
    <xf numFmtId="0" fontId="3" fillId="0" borderId="0" xfId="4" applyFont="1" applyAlignment="1">
      <alignment horizontal="left" vertical="center"/>
    </xf>
    <xf numFmtId="170" fontId="3" fillId="0" borderId="4" xfId="8" applyNumberFormat="1" applyFont="1" applyFill="1" applyBorder="1" applyAlignment="1">
      <alignment vertical="center"/>
    </xf>
    <xf numFmtId="42" fontId="1" fillId="0" borderId="0" xfId="0" applyNumberFormat="1" applyFont="1" applyAlignment="1">
      <alignment wrapText="1"/>
    </xf>
    <xf numFmtId="167" fontId="12" fillId="0" borderId="5" xfId="0" applyNumberFormat="1" applyFont="1" applyBorder="1"/>
    <xf numFmtId="0" fontId="10" fillId="0" borderId="0" xfId="0" applyFont="1" applyAlignment="1">
      <alignment horizontal="center"/>
    </xf>
    <xf numFmtId="41" fontId="3" fillId="0" borderId="4" xfId="1" applyFont="1" applyBorder="1" applyAlignment="1">
      <alignment horizontal="left"/>
    </xf>
    <xf numFmtId="41" fontId="1" fillId="0" borderId="4" xfId="1" applyFont="1" applyBorder="1"/>
    <xf numFmtId="0" fontId="12" fillId="0" borderId="4" xfId="0" applyFont="1" applyBorder="1" applyAlignment="1">
      <alignment horizontal="center"/>
    </xf>
    <xf numFmtId="171" fontId="9" fillId="0" borderId="7" xfId="0" applyNumberFormat="1" applyFont="1" applyBorder="1"/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42" fontId="0" fillId="0" borderId="0" xfId="0" applyNumberFormat="1"/>
    <xf numFmtId="16" fontId="1" fillId="0" borderId="0" xfId="0" applyNumberFormat="1" applyFont="1"/>
    <xf numFmtId="41" fontId="0" fillId="0" borderId="0" xfId="0" applyNumberFormat="1"/>
    <xf numFmtId="41" fontId="1" fillId="0" borderId="0" xfId="0" applyNumberFormat="1" applyFont="1"/>
    <xf numFmtId="0" fontId="3" fillId="0" borderId="0" xfId="2" applyFont="1" applyAlignment="1">
      <alignment horizontal="right" vertical="center"/>
    </xf>
    <xf numFmtId="0" fontId="3" fillId="0" borderId="4" xfId="2" applyFont="1" applyBorder="1" applyAlignment="1">
      <alignment horizontal="left" vertical="center"/>
    </xf>
    <xf numFmtId="165" fontId="1" fillId="0" borderId="0" xfId="0" applyNumberFormat="1" applyFont="1"/>
    <xf numFmtId="42" fontId="3" fillId="0" borderId="0" xfId="2" applyNumberFormat="1" applyFont="1" applyAlignment="1">
      <alignment horizontal="left" vertical="center"/>
    </xf>
    <xf numFmtId="42" fontId="3" fillId="0" borderId="0" xfId="2" applyNumberFormat="1" applyFont="1" applyAlignment="1" applyProtection="1">
      <alignment horizontal="left" vertical="center"/>
      <protection locked="0"/>
    </xf>
    <xf numFmtId="0" fontId="3" fillId="0" borderId="4" xfId="2" applyFont="1" applyBorder="1" applyAlignment="1">
      <alignment horizontal="center" vertical="center"/>
    </xf>
    <xf numFmtId="42" fontId="3" fillId="0" borderId="4" xfId="7" applyNumberFormat="1" applyBorder="1" applyAlignment="1">
      <alignment horizontal="center"/>
    </xf>
    <xf numFmtId="0" fontId="17" fillId="0" borderId="0" xfId="0" applyFont="1"/>
    <xf numFmtId="42" fontId="3" fillId="0" borderId="0" xfId="0" applyNumberFormat="1" applyFont="1"/>
    <xf numFmtId="0" fontId="18" fillId="0" borderId="0" xfId="0" applyFont="1"/>
    <xf numFmtId="0" fontId="3" fillId="0" borderId="0" xfId="2" applyFont="1" applyAlignment="1" applyProtection="1">
      <alignment horizontal="right" vertical="center"/>
      <protection locked="0"/>
    </xf>
    <xf numFmtId="42" fontId="3" fillId="0" borderId="4" xfId="0" applyNumberFormat="1" applyFont="1" applyBorder="1"/>
    <xf numFmtId="42" fontId="3" fillId="0" borderId="7" xfId="0" applyNumberFormat="1" applyFont="1" applyBorder="1"/>
    <xf numFmtId="0" fontId="3" fillId="0" borderId="0" xfId="0" applyFont="1" applyAlignment="1">
      <alignment horizontal="right"/>
    </xf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0" fontId="3" fillId="0" borderId="6" xfId="0" applyNumberFormat="1" applyFont="1" applyBorder="1"/>
    <xf numFmtId="0" fontId="3" fillId="0" borderId="0" xfId="0" quotePrefix="1" applyFont="1" applyAlignment="1">
      <alignment horizontal="left"/>
    </xf>
    <xf numFmtId="167" fontId="3" fillId="0" borderId="0" xfId="0" applyNumberFormat="1" applyFont="1" applyAlignment="1">
      <alignment horizontal="right" vertical="top"/>
    </xf>
    <xf numFmtId="169" fontId="3" fillId="0" borderId="0" xfId="0" applyNumberFormat="1" applyFont="1" applyAlignment="1">
      <alignment horizontal="right"/>
    </xf>
    <xf numFmtId="167" fontId="3" fillId="0" borderId="5" xfId="0" applyNumberFormat="1" applyFont="1" applyBorder="1"/>
    <xf numFmtId="167" fontId="3" fillId="0" borderId="0" xfId="0" applyNumberFormat="1" applyFont="1"/>
    <xf numFmtId="167" fontId="3" fillId="0" borderId="4" xfId="0" applyNumberFormat="1" applyFont="1" applyBorder="1"/>
    <xf numFmtId="167" fontId="3" fillId="0" borderId="7" xfId="0" applyNumberFormat="1" applyFont="1" applyBorder="1"/>
    <xf numFmtId="169" fontId="3" fillId="0" borderId="0" xfId="0" applyNumberFormat="1" applyFont="1"/>
    <xf numFmtId="0" fontId="19" fillId="0" borderId="0" xfId="0" applyFont="1"/>
    <xf numFmtId="0" fontId="20" fillId="0" borderId="0" xfId="0" applyFont="1"/>
    <xf numFmtId="0" fontId="4" fillId="0" borderId="0" xfId="0" applyFont="1" applyAlignment="1">
      <alignment horizontal="right"/>
    </xf>
    <xf numFmtId="0" fontId="7" fillId="0" borderId="0" xfId="0" quotePrefix="1" applyFont="1" applyAlignment="1">
      <alignment horizontal="center" vertical="center"/>
    </xf>
    <xf numFmtId="166" fontId="7" fillId="0" borderId="0" xfId="5" applyNumberFormat="1" applyFont="1" applyFill="1" applyAlignment="1" applyProtection="1">
      <alignment vertical="center"/>
    </xf>
    <xf numFmtId="2" fontId="7" fillId="0" borderId="0" xfId="0" applyNumberFormat="1" applyFont="1" applyAlignment="1">
      <alignment vertical="center"/>
    </xf>
    <xf numFmtId="39" fontId="7" fillId="0" borderId="0" xfId="0" applyNumberFormat="1" applyFont="1" applyAlignment="1">
      <alignment vertical="center"/>
    </xf>
    <xf numFmtId="37" fontId="7" fillId="0" borderId="0" xfId="0" applyNumberFormat="1" applyFont="1" applyAlignment="1">
      <alignment vertical="center"/>
    </xf>
    <xf numFmtId="37" fontId="7" fillId="0" borderId="4" xfId="0" applyNumberFormat="1" applyFont="1" applyBorder="1" applyAlignment="1">
      <alignment vertical="center"/>
    </xf>
    <xf numFmtId="166" fontId="7" fillId="0" borderId="4" xfId="5" applyNumberFormat="1" applyFont="1" applyFill="1" applyBorder="1" applyAlignment="1" applyProtection="1">
      <alignment vertical="center"/>
    </xf>
    <xf numFmtId="172" fontId="3" fillId="0" borderId="0" xfId="154" applyNumberFormat="1" applyFont="1" applyAlignment="1">
      <alignment vertical="center"/>
    </xf>
    <xf numFmtId="0" fontId="3" fillId="0" borderId="0" xfId="2" applyFont="1" applyAlignment="1">
      <alignment horizontal="center" vertical="center"/>
    </xf>
    <xf numFmtId="172" fontId="3" fillId="0" borderId="5" xfId="154" applyNumberFormat="1" applyFont="1" applyBorder="1" applyAlignment="1">
      <alignment vertical="center"/>
    </xf>
    <xf numFmtId="0" fontId="0" fillId="0" borderId="0" xfId="0" applyAlignment="1">
      <alignment horizontal="center"/>
    </xf>
    <xf numFmtId="42" fontId="3" fillId="0" borderId="5" xfId="0" applyNumberFormat="1" applyFont="1" applyBorder="1"/>
    <xf numFmtId="164" fontId="1" fillId="0" borderId="0" xfId="0" applyNumberFormat="1" applyFont="1"/>
    <xf numFmtId="164" fontId="1" fillId="0" borderId="4" xfId="0" applyNumberFormat="1" applyFont="1" applyBorder="1"/>
    <xf numFmtId="165" fontId="1" fillId="0" borderId="5" xfId="0" applyNumberFormat="1" applyFont="1" applyBorder="1"/>
    <xf numFmtId="43" fontId="0" fillId="0" borderId="0" xfId="0" applyNumberFormat="1"/>
    <xf numFmtId="17" fontId="1" fillId="0" borderId="0" xfId="0" quotePrefix="1" applyNumberFormat="1" applyFont="1"/>
    <xf numFmtId="16" fontId="1" fillId="0" borderId="0" xfId="0" quotePrefix="1" applyNumberFormat="1" applyFont="1"/>
    <xf numFmtId="16" fontId="1" fillId="0" borderId="4" xfId="0" applyNumberFormat="1" applyFont="1" applyBorder="1"/>
    <xf numFmtId="0" fontId="3" fillId="0" borderId="0" xfId="2" applyFont="1" applyAlignment="1">
      <alignment horizontal="left" vertical="center" wrapText="1"/>
    </xf>
    <xf numFmtId="9" fontId="1" fillId="0" borderId="0" xfId="0" applyNumberFormat="1" applyFont="1"/>
    <xf numFmtId="42" fontId="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2" fontId="1" fillId="0" borderId="0" xfId="0" applyNumberFormat="1" applyFont="1" applyAlignment="1">
      <alignment horizontal="right" wrapText="1"/>
    </xf>
    <xf numFmtId="42" fontId="4" fillId="0" borderId="0" xfId="0" applyNumberFormat="1" applyFont="1"/>
    <xf numFmtId="9" fontId="4" fillId="0" borderId="0" xfId="0" applyNumberFormat="1" applyFont="1"/>
    <xf numFmtId="0" fontId="7" fillId="0" borderId="9" xfId="0" applyFont="1" applyBorder="1" applyAlignment="1">
      <alignment vertical="center"/>
    </xf>
    <xf numFmtId="0" fontId="7" fillId="0" borderId="0" xfId="148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6" xfId="148" applyBorder="1" applyAlignment="1">
      <alignment horizontal="center" vertical="center"/>
    </xf>
    <xf numFmtId="0" fontId="7" fillId="0" borderId="0" xfId="148" applyAlignment="1">
      <alignment vertical="center"/>
    </xf>
    <xf numFmtId="41" fontId="7" fillId="0" borderId="0" xfId="0" applyNumberFormat="1" applyFont="1" applyAlignment="1" applyProtection="1">
      <alignment vertical="center"/>
      <protection locked="0"/>
    </xf>
    <xf numFmtId="41" fontId="7" fillId="0" borderId="0" xfId="5" applyNumberFormat="1" applyFont="1" applyFill="1" applyAlignment="1" applyProtection="1">
      <alignment vertical="center"/>
    </xf>
    <xf numFmtId="175" fontId="7" fillId="0" borderId="0" xfId="0" applyNumberFormat="1" applyFont="1" applyAlignment="1">
      <alignment vertical="center"/>
    </xf>
    <xf numFmtId="41" fontId="7" fillId="0" borderId="0" xfId="0" applyNumberFormat="1" applyFont="1" applyAlignment="1">
      <alignment vertical="center"/>
    </xf>
    <xf numFmtId="175" fontId="7" fillId="0" borderId="0" xfId="51" applyNumberFormat="1" applyFont="1" applyFill="1" applyAlignment="1">
      <alignment vertical="center"/>
    </xf>
    <xf numFmtId="41" fontId="7" fillId="0" borderId="0" xfId="51" applyNumberFormat="1" applyFont="1" applyFill="1" applyAlignment="1" applyProtection="1">
      <alignment vertical="center"/>
      <protection locked="0"/>
    </xf>
    <xf numFmtId="41" fontId="7" fillId="0" borderId="0" xfId="51" applyNumberFormat="1" applyFont="1" applyFill="1" applyAlignment="1" applyProtection="1">
      <alignment vertical="center"/>
    </xf>
    <xf numFmtId="41" fontId="7" fillId="0" borderId="4" xfId="6" applyNumberFormat="1" applyFont="1" applyFill="1" applyBorder="1" applyAlignment="1">
      <alignment vertical="center"/>
    </xf>
    <xf numFmtId="41" fontId="7" fillId="0" borderId="4" xfId="5" applyNumberFormat="1" applyFont="1" applyFill="1" applyBorder="1" applyAlignment="1" applyProtection="1">
      <alignment vertical="center"/>
    </xf>
    <xf numFmtId="41" fontId="7" fillId="0" borderId="7" xfId="5" applyNumberFormat="1" applyFont="1" applyFill="1" applyBorder="1" applyAlignment="1" applyProtection="1">
      <alignment vertical="center"/>
    </xf>
    <xf numFmtId="0" fontId="3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2" fontId="7" fillId="0" borderId="4" xfId="0" applyNumberFormat="1" applyFont="1" applyBorder="1" applyAlignment="1">
      <alignment vertical="center"/>
    </xf>
    <xf numFmtId="39" fontId="7" fillId="0" borderId="4" xfId="0" applyNumberFormat="1" applyFont="1" applyBorder="1" applyAlignment="1">
      <alignment vertical="center"/>
    </xf>
    <xf numFmtId="41" fontId="7" fillId="0" borderId="4" xfId="0" applyNumberFormat="1" applyFont="1" applyBorder="1" applyAlignment="1">
      <alignment vertical="center"/>
    </xf>
    <xf numFmtId="0" fontId="15" fillId="0" borderId="0" xfId="2" applyFont="1" applyAlignment="1">
      <alignment horizontal="left" vertical="center"/>
    </xf>
    <xf numFmtId="0" fontId="3" fillId="0" borderId="0" xfId="3" applyFont="1" applyFill="1" applyAlignment="1">
      <alignment horizontal="left" vertical="center"/>
    </xf>
    <xf numFmtId="10" fontId="3" fillId="0" borderId="5" xfId="1" applyNumberFormat="1" applyFont="1" applyBorder="1"/>
    <xf numFmtId="42" fontId="3" fillId="0" borderId="6" xfId="0" applyNumberFormat="1" applyFont="1" applyBorder="1"/>
    <xf numFmtId="0" fontId="1" fillId="0" borderId="0" xfId="0" applyFont="1" applyAlignment="1">
      <alignment horizontal="center" wrapText="1"/>
    </xf>
    <xf numFmtId="42" fontId="12" fillId="0" borderId="0" xfId="8" applyNumberFormat="1" applyFont="1" applyFill="1" applyBorder="1" applyAlignment="1" applyProtection="1">
      <alignment horizontal="center" wrapText="1"/>
    </xf>
    <xf numFmtId="42" fontId="3" fillId="0" borderId="0" xfId="7" applyNumberFormat="1" applyAlignment="1">
      <alignment horizontal="center" wrapText="1"/>
    </xf>
    <xf numFmtId="42" fontId="12" fillId="0" borderId="0" xfId="9" applyNumberFormat="1" applyFont="1" applyFill="1" applyBorder="1" applyAlignment="1" applyProtection="1">
      <alignment horizontal="center" wrapText="1"/>
    </xf>
    <xf numFmtId="42" fontId="3" fillId="0" borderId="4" xfId="7" applyNumberFormat="1" applyBorder="1"/>
    <xf numFmtId="10" fontId="0" fillId="0" borderId="0" xfId="0" applyNumberFormat="1"/>
    <xf numFmtId="1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167" fontId="12" fillId="0" borderId="0" xfId="0" applyNumberFormat="1" applyFont="1" applyAlignment="1">
      <alignment horizontal="center"/>
    </xf>
    <xf numFmtId="42" fontId="1" fillId="0" borderId="0" xfId="0" applyNumberFormat="1" applyFont="1" applyAlignment="1">
      <alignment horizontal="center" wrapText="1"/>
    </xf>
    <xf numFmtId="42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9" xfId="0" applyFont="1" applyBorder="1" applyAlignment="1">
      <alignment horizontal="center" vertical="center"/>
    </xf>
    <xf numFmtId="41" fontId="1" fillId="0" borderId="1" xfId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402">
    <cellStyle name="%" xfId="14" xr:uid="{695043C4-14F6-442E-8AC0-30D83A7E0635}"/>
    <cellStyle name="_Ebill Paper Bill ARC Recovery" xfId="15" xr:uid="{AFC36873-E8E3-4F1B-9AC9-3B5C5B6D63CA}"/>
    <cellStyle name="_MTC Resource Unit Baseline by state 050920 v2" xfId="16" xr:uid="{E52EEF58-9B5E-4DE3-B046-85D76E0605A8}"/>
    <cellStyle name="_Term for Change of Control" xfId="17" xr:uid="{F6A9E4CC-BF2D-47A9-9B43-58C4DB7C8753}"/>
    <cellStyle name="_Term for Convenience" xfId="18" xr:uid="{30EBA166-747A-4E84-B8D7-34A47968CB77}"/>
    <cellStyle name="_Transformation Projects Cap vs Exp Master" xfId="19" xr:uid="{D29F02A5-69CD-4DA0-8B6A-CCE6705E4FDE}"/>
    <cellStyle name="C00A" xfId="20" xr:uid="{930398CE-C8DE-4DE7-97E7-C7D91BCB7D12}"/>
    <cellStyle name="C00B" xfId="21" xr:uid="{C8E7C0AE-AAF0-4EEB-8451-4DE437D62458}"/>
    <cellStyle name="C00L" xfId="22" xr:uid="{C86147F2-1C6A-48CE-8DB7-3EE28CDCE676}"/>
    <cellStyle name="C01A" xfId="23" xr:uid="{A6765235-47AC-43CC-AC52-1DEFEE73CEE9}"/>
    <cellStyle name="C01B" xfId="24" xr:uid="{5654D36B-64E8-46A2-8D4E-25FEC95584D4}"/>
    <cellStyle name="C01H" xfId="25" xr:uid="{6E8284BB-4526-4A5A-BF28-8FE791840218}"/>
    <cellStyle name="C01L" xfId="26" xr:uid="{1660CDD6-5FA0-4CD5-AFCF-94B664B177B4}"/>
    <cellStyle name="C02A" xfId="27" xr:uid="{8CDFBB1E-7755-4EC3-9329-98B64A6A8D32}"/>
    <cellStyle name="C02A 2" xfId="222" xr:uid="{6BB874FC-F4EE-4322-AC51-0700E26CC9D4}"/>
    <cellStyle name="C02A 3" xfId="318" xr:uid="{D2D36B56-1C30-42F1-8DAC-75CDC81EC23D}"/>
    <cellStyle name="C02B" xfId="28" xr:uid="{41954CC4-1E04-4316-880A-E62C73D44663}"/>
    <cellStyle name="C02H" xfId="29" xr:uid="{D6A7DA01-E906-40C5-9505-9E0F7A3D80BB}"/>
    <cellStyle name="C02L" xfId="30" xr:uid="{BCCD0E7B-FFF0-46E0-B0F4-6BEDC182E1B9}"/>
    <cellStyle name="C03A" xfId="31" xr:uid="{7394216F-B803-4829-908F-916F03C25A64}"/>
    <cellStyle name="C03B" xfId="32" xr:uid="{EF3163CF-29A6-4EE0-BD5C-5877D7296FBA}"/>
    <cellStyle name="C03H" xfId="33" xr:uid="{DFA5E1F5-1C86-4097-977A-FDCFD9A7BD39}"/>
    <cellStyle name="C03L" xfId="34" xr:uid="{85480E64-13AE-4334-94AF-9AB2501883CF}"/>
    <cellStyle name="C04A" xfId="35" xr:uid="{6630EAE7-90AC-4906-A7B2-40FC48CE29B1}"/>
    <cellStyle name="C04B" xfId="36" xr:uid="{221C699D-AA67-450B-863D-A9D85F1ADC89}"/>
    <cellStyle name="C04H" xfId="37" xr:uid="{D45D2DC5-600C-458C-B7E1-A39092236D0B}"/>
    <cellStyle name="C04L" xfId="38" xr:uid="{0F923694-286F-4C86-B0DE-1EF2FC72B59C}"/>
    <cellStyle name="C05A" xfId="39" xr:uid="{182E74B5-DCC0-40AE-A4D4-16D612E7B21E}"/>
    <cellStyle name="C05B" xfId="40" xr:uid="{494916AF-7F45-4900-BEBC-690050C141E3}"/>
    <cellStyle name="C05H" xfId="41" xr:uid="{A272B5EC-1CFF-425D-BBF6-223862B40C84}"/>
    <cellStyle name="C05L" xfId="42" xr:uid="{70EA3FB6-5777-4779-A4D3-BBBC773C68A4}"/>
    <cellStyle name="C05L 2" xfId="223" xr:uid="{8D78B482-35EC-4D2F-AD66-5BDEA221228E}"/>
    <cellStyle name="C06A" xfId="43" xr:uid="{9FDB53EC-6687-4BA5-8ACD-B66410EAF74E}"/>
    <cellStyle name="C06B" xfId="44" xr:uid="{C5871144-35D6-4587-A370-4018FC26E535}"/>
    <cellStyle name="C06H" xfId="45" xr:uid="{8B0E2C33-E45B-4694-8E83-908203F5AFE1}"/>
    <cellStyle name="C06L" xfId="46" xr:uid="{64031849-CA3E-4BC2-B149-FBF068235EA0}"/>
    <cellStyle name="C07A" xfId="47" xr:uid="{9BC5EC28-F725-4C87-99B8-090AC72B9646}"/>
    <cellStyle name="C07B" xfId="48" xr:uid="{93EFD3FE-C311-45E3-B16B-9E01706F38B8}"/>
    <cellStyle name="C07H" xfId="49" xr:uid="{6D488F2D-7E79-4CCF-A19D-4718960AED11}"/>
    <cellStyle name="C07L" xfId="50" xr:uid="{9AFD1691-42D9-4A66-A399-3F92507B53BC}"/>
    <cellStyle name="Comma 10" xfId="51" xr:uid="{BC477599-6285-4D48-8F4E-37196E73BC4A}"/>
    <cellStyle name="Comma 10 2" xfId="224" xr:uid="{72E2E4CD-9DD6-4F22-BBDD-5331A8B43996}"/>
    <cellStyle name="Comma 100" xfId="52" xr:uid="{0101221F-0656-4018-900F-9DE58277333A}"/>
    <cellStyle name="Comma 100 2" xfId="225" xr:uid="{1E6F4A5C-2DCF-4319-BBCA-485AD45997C2}"/>
    <cellStyle name="Comma 101" xfId="53" xr:uid="{5A15271A-1815-433F-9DDE-E91EBEE72154}"/>
    <cellStyle name="Comma 101 2" xfId="226" xr:uid="{4418EC18-D9E8-472F-9820-E20B74BA1B8F}"/>
    <cellStyle name="Comma 102" xfId="54" xr:uid="{812F18D9-CC84-4CF5-9181-AB8D9974E620}"/>
    <cellStyle name="Comma 102 2" xfId="227" xr:uid="{DD590277-5DC8-4DEF-A279-B4B9276EA227}"/>
    <cellStyle name="Comma 103" xfId="55" xr:uid="{86474040-DE0B-48EF-844C-48BB682F4165}"/>
    <cellStyle name="Comma 103 2" xfId="228" xr:uid="{219570E0-0D9B-4583-A62F-A2C359527FEE}"/>
    <cellStyle name="Comma 104" xfId="56" xr:uid="{5D6E38F4-FEEC-42E1-955E-E8399763A82F}"/>
    <cellStyle name="Comma 104 2" xfId="229" xr:uid="{AD7B419F-4372-4E94-9FB3-617AF19F4F5E}"/>
    <cellStyle name="Comma 105" xfId="57" xr:uid="{C8C22F7D-F49F-49B7-9B90-12CF6EB388EE}"/>
    <cellStyle name="Comma 105 2" xfId="230" xr:uid="{26D73F4D-675C-4596-917A-6154F1A11B09}"/>
    <cellStyle name="Comma 106" xfId="58" xr:uid="{1BED8BFB-F953-40C8-B314-12CFAF9A9366}"/>
    <cellStyle name="Comma 106 2" xfId="231" xr:uid="{8D7AEC88-8876-4C71-8CDD-FEFD73EB8445}"/>
    <cellStyle name="Comma 11" xfId="59" xr:uid="{CAD9D279-53EA-40D2-96A1-4A5D2A9B4815}"/>
    <cellStyle name="Comma 11 2" xfId="232" xr:uid="{A41B4918-C787-4B5B-8D9A-DD6D32D03992}"/>
    <cellStyle name="Comma 12" xfId="60" xr:uid="{FFAB57A9-9AFC-463F-B47E-12CFCF2D29C4}"/>
    <cellStyle name="Comma 12 2" xfId="233" xr:uid="{A5EF860D-ECF4-4009-A977-53C24342E7EA}"/>
    <cellStyle name="Comma 13" xfId="61" xr:uid="{5BAECF7F-335E-40C9-B2D6-7734868CF691}"/>
    <cellStyle name="Comma 13 2" xfId="234" xr:uid="{8081AF3D-B319-4771-9598-FF2817E24B12}"/>
    <cellStyle name="Comma 14" xfId="62" xr:uid="{7F5B0768-627D-4A0A-A288-5F7116A8219E}"/>
    <cellStyle name="Comma 14 2" xfId="235" xr:uid="{28279C82-71EC-4A4C-80A8-A8C6F3A5AF19}"/>
    <cellStyle name="Comma 15" xfId="197" xr:uid="{3D445B36-F74D-4094-8096-38C441195636}"/>
    <cellStyle name="Comma 16" xfId="63" xr:uid="{EE0C599C-BFCB-42DB-BF41-23C5E9E0DC62}"/>
    <cellStyle name="Comma 16 2" xfId="236" xr:uid="{C146ACAC-6D4C-467B-B0C7-7380AE8C523D}"/>
    <cellStyle name="Comma 17" xfId="64" xr:uid="{924F4BD0-F468-468E-B4D9-9B88ACF7D870}"/>
    <cellStyle name="Comma 17 2" xfId="237" xr:uid="{9B8A051C-7242-4E50-B6A4-58371EF4FB4D}"/>
    <cellStyle name="Comma 18" xfId="65" xr:uid="{AB70AE92-498B-4652-A78D-969FA8F1900A}"/>
    <cellStyle name="Comma 18 2" xfId="238" xr:uid="{1A858475-F201-4540-BE36-7423CA08A11B}"/>
    <cellStyle name="Comma 19" xfId="66" xr:uid="{A84C696D-7251-49D6-A975-D2D8CD07AE00}"/>
    <cellStyle name="Comma 19 2" xfId="239" xr:uid="{F41F108C-BC9B-4E4E-9FE3-F98851CF90C2}"/>
    <cellStyle name="Comma 2" xfId="67" xr:uid="{BE4965FD-A7AC-4383-97A8-4779C9CE716A}"/>
    <cellStyle name="Comma 2 2" xfId="68" xr:uid="{6AFF0AE2-EF28-4A70-A286-391086A9F89B}"/>
    <cellStyle name="Comma 2 2 2" xfId="338" xr:uid="{3CC5F3F7-5044-4602-B370-42AC26317500}"/>
    <cellStyle name="Comma 2 2 3" xfId="240" xr:uid="{C35A47F6-66A3-4676-BF8C-FCBB45295A18}"/>
    <cellStyle name="Comma 2 3" xfId="69" xr:uid="{AF8178EC-A1E8-416F-935E-FB1957ECF2DE}"/>
    <cellStyle name="Comma 2 4" xfId="6" xr:uid="{8A40FDA6-25BE-4A64-8359-520382CBA00E}"/>
    <cellStyle name="Comma 2 5" xfId="345" xr:uid="{642D286F-9D54-4033-A7D6-CA14F58ED5B7}"/>
    <cellStyle name="Comma 20" xfId="70" xr:uid="{67A32E7C-55CF-42A4-BFF0-38659236D566}"/>
    <cellStyle name="Comma 20 2" xfId="241" xr:uid="{19994AAE-AC0D-461F-A870-CF899A6B2A80}"/>
    <cellStyle name="Comma 21" xfId="71" xr:uid="{AAD3FDDB-FEB7-4A13-A841-75AC8BE12E74}"/>
    <cellStyle name="Comma 21 2" xfId="242" xr:uid="{94E28C21-B52C-40E9-96F4-44C4D3F5061B}"/>
    <cellStyle name="Comma 22" xfId="72" xr:uid="{86891A3B-9430-46E4-AD20-3387656BD2EC}"/>
    <cellStyle name="Comma 22 2" xfId="243" xr:uid="{E57E8351-D8CD-486B-B271-C41A6A9C36AB}"/>
    <cellStyle name="Comma 23" xfId="199" xr:uid="{712A4ADE-85C1-43D7-A100-D523041615EF}"/>
    <cellStyle name="Comma 24" xfId="73" xr:uid="{7AC10926-5CB9-40BD-9D67-8E072CAECB98}"/>
    <cellStyle name="Comma 24 2" xfId="244" xr:uid="{66A14D93-4269-4820-9118-699C0135B00B}"/>
    <cellStyle name="Comma 25" xfId="74" xr:uid="{605B935D-523C-4F22-A7FA-273B8EC3FC32}"/>
    <cellStyle name="Comma 25 2" xfId="245" xr:uid="{0AFAB583-A866-4EBA-B999-5D1425F8B704}"/>
    <cellStyle name="Comma 26" xfId="75" xr:uid="{6E3DC18A-2E44-4B36-97BE-2F8BCB5D49DF}"/>
    <cellStyle name="Comma 26 2" xfId="246" xr:uid="{88BB69DB-D28F-484B-B010-B5A5FDFEAE04}"/>
    <cellStyle name="Comma 27" xfId="76" xr:uid="{CEC6A05B-CA26-43F1-80E4-168D773C0591}"/>
    <cellStyle name="Comma 27 2" xfId="247" xr:uid="{88ABFDD6-4E88-4281-81B4-E5A8016B0045}"/>
    <cellStyle name="Comma 28" xfId="77" xr:uid="{05DF7328-0541-436A-B57C-484C39833646}"/>
    <cellStyle name="Comma 28 2" xfId="248" xr:uid="{E12BD263-323B-4D37-8408-7E5E2B998CD1}"/>
    <cellStyle name="Comma 29" xfId="78" xr:uid="{95C5BA0E-959B-4786-BB5A-1FACA319CCF1}"/>
    <cellStyle name="Comma 29 2" xfId="249" xr:uid="{3B5FE791-ABF7-43B2-9447-EBCE6D3E1DC1}"/>
    <cellStyle name="Comma 3" xfId="9" xr:uid="{238571D7-F97C-4A23-9790-40F98AB64B97}"/>
    <cellStyle name="Comma 3 2" xfId="79" xr:uid="{1A42269F-958B-486F-A255-6A83F693F7B1}"/>
    <cellStyle name="Comma 3 2 2" xfId="371" xr:uid="{7A5DC762-8023-4022-91F3-BC3EC0E68CBC}"/>
    <cellStyle name="Comma 3 3" xfId="205" xr:uid="{B6BA60B1-B9E9-463A-8305-4E00A2822D8B}"/>
    <cellStyle name="Comma 3 4" xfId="215" xr:uid="{AF982F82-F664-4096-B047-83CBB91B5551}"/>
    <cellStyle name="Comma 3 4 2" xfId="328" xr:uid="{EE3E9FA1-5BBF-4F62-80EF-839944490E62}"/>
    <cellStyle name="Comma 30" xfId="80" xr:uid="{EBC267BA-020E-45C5-84ED-C1A908EBCA18}"/>
    <cellStyle name="Comma 30 2" xfId="250" xr:uid="{B175785F-597F-49E5-A4DC-E2C4751D7D0E}"/>
    <cellStyle name="Comma 31" xfId="81" xr:uid="{45064036-1BBD-4996-9E0F-20A554464C30}"/>
    <cellStyle name="Comma 31 2" xfId="251" xr:uid="{FE5343EB-D7EF-456E-947E-5B966D016AF1}"/>
    <cellStyle name="Comma 32" xfId="200" xr:uid="{3A48F639-D36A-4239-82EA-C9AA9902F735}"/>
    <cellStyle name="Comma 33" xfId="82" xr:uid="{25DE1ED8-7403-432E-9839-55DCF47D14ED}"/>
    <cellStyle name="Comma 33 2" xfId="252" xr:uid="{37059B50-DADB-4B00-939E-163AFDC75BAC}"/>
    <cellStyle name="Comma 34" xfId="83" xr:uid="{1F763A58-89E8-4779-8021-578ECFAC616D}"/>
    <cellStyle name="Comma 34 2" xfId="253" xr:uid="{483B9F15-DD48-476C-9116-CB52C0AB8277}"/>
    <cellStyle name="Comma 35" xfId="84" xr:uid="{8B6718A2-5A2A-4BA6-8B18-6E4028286165}"/>
    <cellStyle name="Comma 35 2" xfId="254" xr:uid="{66464732-0DEE-440C-BFC6-FECCE1BA6C99}"/>
    <cellStyle name="Comma 36" xfId="85" xr:uid="{169B34E2-0859-40F9-A8DC-34547BBDA9FC}"/>
    <cellStyle name="Comma 36 2" xfId="255" xr:uid="{A01E6ADA-0EDF-4FDF-8B29-5B84327EC23B}"/>
    <cellStyle name="Comma 37" xfId="86" xr:uid="{564561AF-9481-4258-93B7-2367E40333C3}"/>
    <cellStyle name="Comma 37 2" xfId="256" xr:uid="{652F8EED-70C4-4A79-A617-2343BE617C3F}"/>
    <cellStyle name="Comma 38" xfId="87" xr:uid="{5470DF46-C2AC-4EB5-9774-F61CDBE42034}"/>
    <cellStyle name="Comma 38 2" xfId="257" xr:uid="{D84A9125-7A0B-433E-B87F-7630C6D8E68D}"/>
    <cellStyle name="Comma 39" xfId="88" xr:uid="{024203B4-3E2A-436C-B5E3-11BBDF98FC6F}"/>
    <cellStyle name="Comma 39 2" xfId="258" xr:uid="{0D5D8AD0-D605-4BB8-AA61-A1D0BC05A79B}"/>
    <cellStyle name="Comma 4" xfId="89" xr:uid="{517AA28C-FD68-4C94-A424-3851F7CD3B98}"/>
    <cellStyle name="Comma 4 2" xfId="259" xr:uid="{68DBF786-4770-4D6A-ACF7-951C821E793E}"/>
    <cellStyle name="Comma 4 2 2" xfId="365" xr:uid="{EF3BB04E-CC9B-4428-9D85-C41FA7D9FE85}"/>
    <cellStyle name="Comma 4 3" xfId="362" xr:uid="{208430A4-2C9F-4FFE-8F9B-A0F517237D81}"/>
    <cellStyle name="Comma 40" xfId="90" xr:uid="{C099127C-F6D4-46AC-9055-583126268D2E}"/>
    <cellStyle name="Comma 40 2" xfId="260" xr:uid="{ED85226F-2EAB-4C01-9671-05CBBAB5EB70}"/>
    <cellStyle name="Comma 41" xfId="91" xr:uid="{AFF953BC-C5AF-49AB-8EBD-E27F659E9897}"/>
    <cellStyle name="Comma 41 2" xfId="261" xr:uid="{88D248E6-1FBD-404F-9739-027A21D46E1B}"/>
    <cellStyle name="Comma 42" xfId="203" xr:uid="{1858E846-B91A-48E0-AAEB-6510608BB634}"/>
    <cellStyle name="Comma 42 2" xfId="321" xr:uid="{A9DEFCB4-1A48-4F67-846A-C56E52717C96}"/>
    <cellStyle name="Comma 43" xfId="92" xr:uid="{1FF7D7E5-FE84-4E5D-B364-E74B20E2DE13}"/>
    <cellStyle name="Comma 43 2" xfId="262" xr:uid="{9597F766-4A4B-474C-B62D-6093704E7422}"/>
    <cellStyle name="Comma 44" xfId="93" xr:uid="{C1F39F49-22CB-43CC-ADC9-6D578BD33472}"/>
    <cellStyle name="Comma 44 2" xfId="263" xr:uid="{6ED6F4AF-51CB-45DD-AE9A-854F0F4478E5}"/>
    <cellStyle name="Comma 45" xfId="94" xr:uid="{61CA5E42-D8D4-4C79-BA73-4E60F5155964}"/>
    <cellStyle name="Comma 45 2" xfId="264" xr:uid="{7A268CF5-4FB0-4CE7-9565-ED068C1CBDCF}"/>
    <cellStyle name="Comma 46" xfId="95" xr:uid="{EFF48835-8540-4C0F-8DEF-4F656938701A}"/>
    <cellStyle name="Comma 46 2" xfId="265" xr:uid="{E82695C3-D179-4145-86E6-DE9C07289118}"/>
    <cellStyle name="Comma 47" xfId="209" xr:uid="{8F0DD19B-0BA8-4DE7-AE09-1667F4F6D6FF}"/>
    <cellStyle name="Comma 47 2" xfId="324" xr:uid="{50935128-C704-450C-9737-5A390AAA5405}"/>
    <cellStyle name="Comma 48" xfId="96" xr:uid="{420A5EBA-59AD-44C6-BB21-6DE25B91661C}"/>
    <cellStyle name="Comma 48 2" xfId="266" xr:uid="{73412059-4796-497F-95D3-BDA5188EB953}"/>
    <cellStyle name="Comma 49" xfId="97" xr:uid="{C7D8A5FC-6E99-4660-BEF5-FB74936F3DE2}"/>
    <cellStyle name="Comma 49 2" xfId="267" xr:uid="{AC86CC60-CF2A-4DFB-8FA9-1324B7787B0B}"/>
    <cellStyle name="Comma 5" xfId="98" xr:uid="{9A9254BA-C14D-4CEC-90E6-470EF19D947F}"/>
    <cellStyle name="Comma 5 2" xfId="368" xr:uid="{D0146728-3A59-4467-9E69-0652B166BE76}"/>
    <cellStyle name="Comma 50" xfId="218" xr:uid="{B1C2FC23-1038-4B79-AC89-BEA907372C00}"/>
    <cellStyle name="Comma 50 2" xfId="330" xr:uid="{29B78C7E-3EFB-460D-ADC0-64215476B78B}"/>
    <cellStyle name="Comma 51" xfId="99" xr:uid="{1F6EB643-ABCC-4F70-ABC2-E7E821BB607E}"/>
    <cellStyle name="Comma 51 2" xfId="268" xr:uid="{D9C12794-9468-4F7B-AAEA-A57AB7E102E8}"/>
    <cellStyle name="Comma 52" xfId="100" xr:uid="{4B0F45B0-22B5-4A52-BF14-DA996C2174F5}"/>
    <cellStyle name="Comma 52 2" xfId="269" xr:uid="{AD698BC8-3275-4909-A0E6-74EE2A34EFBE}"/>
    <cellStyle name="Comma 53" xfId="101" xr:uid="{16DE576A-E52E-4143-AFBD-ED8603F8D25F}"/>
    <cellStyle name="Comma 53 2" xfId="270" xr:uid="{B6E8A26B-AD1A-47AA-9C1F-9691331124B8}"/>
    <cellStyle name="Comma 54" xfId="102" xr:uid="{E729E017-6E76-4F83-BE41-6DBE23CE0C50}"/>
    <cellStyle name="Comma 54 2" xfId="271" xr:uid="{0E242043-4A60-4FAC-97B5-7FF85CB2F42F}"/>
    <cellStyle name="Comma 55" xfId="103" xr:uid="{75CC7AFC-5103-4EE3-BF50-919266AC90F1}"/>
    <cellStyle name="Comma 55 2" xfId="272" xr:uid="{1020D816-FD55-4B78-8B21-CC2EFBC26376}"/>
    <cellStyle name="Comma 56" xfId="104" xr:uid="{55FFE65E-80C7-4016-A126-256F9210E848}"/>
    <cellStyle name="Comma 56 2" xfId="273" xr:uid="{3535FDEB-6DD8-4B4F-A3D0-F26DAF1EE286}"/>
    <cellStyle name="Comma 57" xfId="105" xr:uid="{8CD1CB77-EA85-489B-925B-D59D90BEF27E}"/>
    <cellStyle name="Comma 57 2" xfId="274" xr:uid="{5074EE54-43D5-4DF4-81F3-ABBA3F6AAFFF}"/>
    <cellStyle name="Comma 58" xfId="106" xr:uid="{EB4F4395-B102-4B2E-827D-0845C522C4F1}"/>
    <cellStyle name="Comma 58 2" xfId="275" xr:uid="{E88B89D7-FF8C-4C9A-85EC-5F842C6DE3ED}"/>
    <cellStyle name="Comma 59" xfId="107" xr:uid="{8BD7CCA7-131C-454C-A9F2-4A93759D2657}"/>
    <cellStyle name="Comma 59 2" xfId="276" xr:uid="{709777AF-9337-4549-BD73-26C99943FD7A}"/>
    <cellStyle name="Comma 6" xfId="5" xr:uid="{16FE863B-199E-4707-BB49-E0CB128D6E4E}"/>
    <cellStyle name="Comma 6 2" xfId="335" xr:uid="{F7E1CF1F-EACD-41F1-92E3-62989009667C}"/>
    <cellStyle name="Comma 6 3" xfId="319" xr:uid="{213E1E7B-094B-49C2-9DC3-069F71095C40}"/>
    <cellStyle name="Comma 60" xfId="108" xr:uid="{23BD3506-F8C2-440B-B1B4-D9957160ACE1}"/>
    <cellStyle name="Comma 60 2" xfId="277" xr:uid="{936605E1-919A-4602-A530-C93D65880B31}"/>
    <cellStyle name="Comma 61" xfId="109" xr:uid="{C57AF001-809D-4270-A713-5E1983147395}"/>
    <cellStyle name="Comma 61 2" xfId="278" xr:uid="{34D3CA01-8673-4702-A3BA-5CF601CD0F3B}"/>
    <cellStyle name="Comma 62" xfId="110" xr:uid="{AFB35E2D-851B-46B6-9267-2EB4C1CEF3AF}"/>
    <cellStyle name="Comma 62 2" xfId="279" xr:uid="{0CEFDE2A-58EA-4FB5-941A-FF1BD5F00989}"/>
    <cellStyle name="Comma 63" xfId="111" xr:uid="{D0A557C0-7A85-487D-A066-4A54F41AEE9E}"/>
    <cellStyle name="Comma 63 2" xfId="280" xr:uid="{A2AACC14-FF06-4A21-81B2-4AB839B483EB}"/>
    <cellStyle name="Comma 64" xfId="112" xr:uid="{D2390FEA-9C3A-436B-8236-3F52E3AB2BEC}"/>
    <cellStyle name="Comma 64 2" xfId="281" xr:uid="{F2627B98-B530-44EE-8CEB-489E02BDF26A}"/>
    <cellStyle name="Comma 65" xfId="113" xr:uid="{E17500B6-5982-4E75-8992-BEF009C679D1}"/>
    <cellStyle name="Comma 65 2" xfId="282" xr:uid="{0D25D53A-7F6F-4B14-9E15-DF207E18A6A2}"/>
    <cellStyle name="Comma 66" xfId="114" xr:uid="{1A306BC0-A96D-444E-B1C0-9AFDF672DA98}"/>
    <cellStyle name="Comma 66 2" xfId="283" xr:uid="{082944C2-0C49-4217-BE88-CCADDE2C257E}"/>
    <cellStyle name="Comma 67" xfId="115" xr:uid="{76D37A0D-1B89-4D16-A60B-D5FB905E81A7}"/>
    <cellStyle name="Comma 67 2" xfId="284" xr:uid="{98351821-DE2C-4FA4-AD1E-3B169E76B9CF}"/>
    <cellStyle name="Comma 68" xfId="116" xr:uid="{3B0337A3-7209-483E-A27E-26E134B2EE6A}"/>
    <cellStyle name="Comma 68 2" xfId="285" xr:uid="{BDFAA1D0-80E2-470E-A988-F2BB7559FDB2}"/>
    <cellStyle name="Comma 69" xfId="220" xr:uid="{80CCF63B-E48C-42A0-A2B8-0EEBA2E577DB}"/>
    <cellStyle name="Comma 7" xfId="117" xr:uid="{B3E48CC8-6A12-410A-90E7-D23CFCD2C4BC}"/>
    <cellStyle name="Comma 7 2" xfId="286" xr:uid="{91349BFD-A9A3-4C66-A403-A7FB8B4E3AB7}"/>
    <cellStyle name="Comma 7 3" xfId="379" xr:uid="{95C4420F-2DB6-47FD-9F23-4C393B2B4002}"/>
    <cellStyle name="Comma 70" xfId="118" xr:uid="{02D6B445-C83E-419B-9AB7-360D7A2216B7}"/>
    <cellStyle name="Comma 70 2" xfId="287" xr:uid="{5488C3D8-A0DA-4364-B616-457CD9B46904}"/>
    <cellStyle name="Comma 71" xfId="333" xr:uid="{3FB58543-5C58-4D4F-87CA-A1A0EA070B9C}"/>
    <cellStyle name="Comma 72" xfId="119" xr:uid="{68FC7FE7-02A2-4B17-B28C-5FFE4FBB6DE5}"/>
    <cellStyle name="Comma 72 2" xfId="288" xr:uid="{8F445E5F-5F21-4648-981A-409594E8EF9C}"/>
    <cellStyle name="Comma 73" xfId="120" xr:uid="{0E523DE2-6311-4B1E-BFD0-57E502542E7F}"/>
    <cellStyle name="Comma 73 2" xfId="289" xr:uid="{67483FB6-9A66-4A3B-BBDF-C1C1397D2EAC}"/>
    <cellStyle name="Comma 74" xfId="121" xr:uid="{A166FDE0-E9F1-413F-90B7-28FD56A765CE}"/>
    <cellStyle name="Comma 74 2" xfId="290" xr:uid="{0B6291A6-512A-4E9C-B326-688B06DE7A36}"/>
    <cellStyle name="Comma 75" xfId="122" xr:uid="{30FCCDA7-E5E8-417C-8C69-6372C7C992D8}"/>
    <cellStyle name="Comma 75 2" xfId="291" xr:uid="{F0ECF025-97E2-483C-B351-338BD8BC1E36}"/>
    <cellStyle name="Comma 76" xfId="123" xr:uid="{029E58C6-0075-47D0-AEAE-70BD21F1013E}"/>
    <cellStyle name="Comma 76 2" xfId="292" xr:uid="{6350296E-59DF-4DB7-844F-C12EFF2FE08A}"/>
    <cellStyle name="Comma 77" xfId="124" xr:uid="{F2628E89-B725-450E-B3E0-636FD0AD003A}"/>
    <cellStyle name="Comma 77 2" xfId="293" xr:uid="{CF2CE8F4-78B4-4F7B-A410-4422C6573743}"/>
    <cellStyle name="Comma 78" xfId="125" xr:uid="{A18CF501-01FE-4CB8-975A-518AB820A99F}"/>
    <cellStyle name="Comma 78 2" xfId="294" xr:uid="{C8438739-EA0A-4ED7-9DF3-35487BFCB120}"/>
    <cellStyle name="Comma 79" xfId="126" xr:uid="{E316B0A2-0B4D-4D53-8D8D-48E0DCC24D67}"/>
    <cellStyle name="Comma 79 2" xfId="295" xr:uid="{F28F3B96-2D8A-4590-9BE8-469C72ADFBC4}"/>
    <cellStyle name="Comma 8" xfId="127" xr:uid="{88EC3D2D-8308-4FCA-A747-CD42A38D7BDE}"/>
    <cellStyle name="Comma 8 2" xfId="296" xr:uid="{6FFF9831-08C8-457E-A727-8370A993DA36}"/>
    <cellStyle name="Comma 8 3" xfId="376" xr:uid="{D2B699EF-A5FF-43B7-9B2E-C481EDD9AB10}"/>
    <cellStyle name="Comma 80" xfId="128" xr:uid="{3F349D99-F146-4C9A-8DEB-A2FC381F7514}"/>
    <cellStyle name="Comma 80 2" xfId="297" xr:uid="{AD411935-06BC-47E0-BDD5-12B84D38D06D}"/>
    <cellStyle name="Comma 81" xfId="129" xr:uid="{BF59181E-4231-429A-9BA1-BBE0F6BD88FF}"/>
    <cellStyle name="Comma 81 2" xfId="298" xr:uid="{E255E0ED-A074-42AF-B503-0707B3B6AB16}"/>
    <cellStyle name="Comma 82" xfId="130" xr:uid="{8216C548-98E5-4082-84B4-CED96F036327}"/>
    <cellStyle name="Comma 82 2" xfId="299" xr:uid="{9CEF8764-0088-4298-AAB9-87426F0A8D52}"/>
    <cellStyle name="Comma 83" xfId="131" xr:uid="{2C64A911-7614-40E5-9D73-C809576F09CB}"/>
    <cellStyle name="Comma 83 2" xfId="300" xr:uid="{1D8D9D73-696D-46BF-917F-D00AB447A9E1}"/>
    <cellStyle name="Comma 84" xfId="132" xr:uid="{E82479CB-2231-408F-B903-E84B680D794C}"/>
    <cellStyle name="Comma 84 2" xfId="301" xr:uid="{B38EAA94-87FD-4CE7-A823-13CDBE7FC2C5}"/>
    <cellStyle name="Comma 85" xfId="133" xr:uid="{3C4CA1F8-603E-4976-94DF-B13260E6CBF0}"/>
    <cellStyle name="Comma 85 2" xfId="302" xr:uid="{B530BAAD-822C-4C09-8C59-A238518FAB36}"/>
    <cellStyle name="Comma 86" xfId="134" xr:uid="{F7C684BE-0458-4C82-98D4-A7A2F9F668C8}"/>
    <cellStyle name="Comma 86 2" xfId="303" xr:uid="{EA670555-B55D-4CB7-8B5A-2A56C632EFD1}"/>
    <cellStyle name="Comma 87" xfId="135" xr:uid="{8B0C3DF1-7AB2-4F95-A62B-BD2C2EDD6136}"/>
    <cellStyle name="Comma 87 2" xfId="304" xr:uid="{F3EE48FE-E842-4DED-ABA3-8B2A77A3FD32}"/>
    <cellStyle name="Comma 88" xfId="136" xr:uid="{4BD04B79-4B83-4E24-B919-15BB84EBA0DF}"/>
    <cellStyle name="Comma 88 2" xfId="305" xr:uid="{6E83E4FE-21C6-4303-A279-28FE2EDBAC32}"/>
    <cellStyle name="Comma 89" xfId="137" xr:uid="{D289B97F-0814-42C5-B838-63A84997AB4F}"/>
    <cellStyle name="Comma 89 2" xfId="306" xr:uid="{5FC9522F-AB1C-409E-BF4D-DA5D4AE50A82}"/>
    <cellStyle name="Comma 9" xfId="138" xr:uid="{A1055EF3-C5C0-4952-A00B-A795F9C7BC9F}"/>
    <cellStyle name="Comma 9 2" xfId="307" xr:uid="{FACB3804-6532-4A82-A33C-FBCB64E4DF9E}"/>
    <cellStyle name="Comma 9 3" xfId="389" xr:uid="{DDF98A71-E896-471B-8E13-A11D995A9E6E}"/>
    <cellStyle name="Comma 90" xfId="341" xr:uid="{BAE200ED-8BCE-4B4E-B5A0-A727091F874A}"/>
    <cellStyle name="Comma 91" xfId="139" xr:uid="{F4673C5E-1DAE-4FBF-B5EA-1B5541662C0C}"/>
    <cellStyle name="Comma 91 2" xfId="308" xr:uid="{8CE2209D-611D-43D3-B7DE-4D9705F46AEE}"/>
    <cellStyle name="Comma 92" xfId="140" xr:uid="{AADB90D4-C081-49D7-A899-8DD7071E6084}"/>
    <cellStyle name="Comma 92 2" xfId="309" xr:uid="{8BD691E5-B870-4378-8D36-818C25A44647}"/>
    <cellStyle name="Comma 93" xfId="141" xr:uid="{3CFFA834-7522-4025-9C7A-54D49A7773BA}"/>
    <cellStyle name="Comma 93 2" xfId="310" xr:uid="{0268D725-6B6F-47C6-B509-DB2516B5A23B}"/>
    <cellStyle name="Comma 94" xfId="142" xr:uid="{2CE7E229-D8FB-42A0-B2B0-329E33BA919F}"/>
    <cellStyle name="Comma 94 2" xfId="311" xr:uid="{FBFE4B11-8FDD-42FF-A85A-8EF3414E6469}"/>
    <cellStyle name="Comma 95" xfId="143" xr:uid="{48AFABA4-07A3-46A2-B6CC-61CF6A2D5F17}"/>
    <cellStyle name="Comma 95 2" xfId="312" xr:uid="{2C38D4AF-36AC-4BA2-8F6D-6C5906A6D43D}"/>
    <cellStyle name="Comma 96" xfId="144" xr:uid="{5ED6F073-D8F0-41F4-9847-C60DA7E3B4E4}"/>
    <cellStyle name="Comma 96 2" xfId="313" xr:uid="{7FA15BE8-DB22-4ED7-9E98-1BE913DBC527}"/>
    <cellStyle name="Comma 97" xfId="350" xr:uid="{805E549B-F5B5-4907-A106-DBF95C0BEFE3}"/>
    <cellStyle name="Comma 98" xfId="145" xr:uid="{4DB8ABEE-B28B-4AE6-9AC6-515E3E775835}"/>
    <cellStyle name="Comma 98 2" xfId="314" xr:uid="{1E3B7BB9-5F08-4127-B8A6-91683B0C0D0E}"/>
    <cellStyle name="Comma 99" xfId="146" xr:uid="{994B8F10-4401-4932-9178-EBFA8719D233}"/>
    <cellStyle name="Comma 99 2" xfId="315" xr:uid="{2FD82432-D7F4-4965-AB12-28CA1C56E367}"/>
    <cellStyle name="Currency 2" xfId="8" xr:uid="{8DD08C81-4554-4930-8212-E133F6A96E83}"/>
    <cellStyle name="Currency 2 2" xfId="348" xr:uid="{35E7B3CD-2073-484D-9F26-EE86D3361732}"/>
    <cellStyle name="Currency 3" xfId="206" xr:uid="{FA192FE8-3A8D-43EA-8EF4-DE6BFA0929C9}"/>
    <cellStyle name="Currency 4" xfId="336" xr:uid="{99F0665F-D995-4377-9132-C793E1284644}"/>
    <cellStyle name="Currency 5" xfId="339" xr:uid="{15F8C5D9-358A-4171-ACAB-63B1441849E9}"/>
    <cellStyle name="Currency 6 2" xfId="392" xr:uid="{0ED17ABC-BFDA-43DB-A931-245DDE1696A0}"/>
    <cellStyle name="Currency 6 2 2" xfId="400" xr:uid="{D4C80D6D-C8E2-463F-A35A-2EB523E9230B}"/>
    <cellStyle name="Euro" xfId="147" xr:uid="{B82A2576-6BFE-4143-BE0F-22EE2418F327}"/>
    <cellStyle name="Hyperlink 2" xfId="352" xr:uid="{C476D4CD-EBF4-4AA5-A12A-519A774BCF6A}"/>
    <cellStyle name="Hyperlink 3" xfId="382" xr:uid="{52E99A7C-D53E-46C6-A9AB-0DBCF0B67A79}"/>
    <cellStyle name="Normal" xfId="0" builtinId="0"/>
    <cellStyle name="Normal 10" xfId="208" xr:uid="{8772A40B-3DF2-4505-B008-2B469712C7C4}"/>
    <cellStyle name="Normal 10 2" xfId="354" xr:uid="{CB201ECE-0D0B-4029-9DD6-A47F0AFD34F0}"/>
    <cellStyle name="Normal 10 3" xfId="323" xr:uid="{466BD575-3E51-4DBD-92CE-F9F79FAFE07C}"/>
    <cellStyle name="Normal 11" xfId="211" xr:uid="{B4BF9D10-EFC8-4768-B541-AD9A6CB672A5}"/>
    <cellStyle name="Normal 11 2" xfId="326" xr:uid="{C099B6E7-CE17-4E23-8733-779BAB8E7A59}"/>
    <cellStyle name="Normal 12" xfId="216" xr:uid="{2512010E-3174-4CDA-AABE-6E24802E5681}"/>
    <cellStyle name="Normal 12 2" xfId="378" xr:uid="{F355F93F-0E01-4143-BFBA-2F8F1624C59E}"/>
    <cellStyle name="Normal 12 3" xfId="384" xr:uid="{5706063B-FC94-4306-99E3-910AA68587EC}"/>
    <cellStyle name="Normal 12 4" xfId="375" xr:uid="{355A2793-C3F4-40ED-9B3C-EBD7585F5707}"/>
    <cellStyle name="Normal 13" xfId="217" xr:uid="{8F03A2FB-FD8A-4293-A0F1-9C91CD392C45}"/>
    <cellStyle name="Normal 13 2" xfId="353" xr:uid="{B12DBBC2-75FE-4420-A3F6-17383BA835C7}"/>
    <cellStyle name="Normal 13 2 2" xfId="387" xr:uid="{5D0667F4-4039-4DF9-B2C9-7C9C43C70AE5}"/>
    <cellStyle name="Normal 13 3" xfId="329" xr:uid="{A312EF85-0EE1-4590-9904-75ECDC7384DF}"/>
    <cellStyle name="Normal 13 4" xfId="381" xr:uid="{E8D338BB-CC8D-49D2-BAEC-B16E2792531D}"/>
    <cellStyle name="Normal 14" xfId="332" xr:uid="{A7795758-3196-4297-A12F-1A9CDCBF4773}"/>
    <cellStyle name="Normal 14 2" xfId="383" xr:uid="{396CE31D-E55E-48F1-B5D3-7C446562B750}"/>
    <cellStyle name="Normal 15" xfId="337" xr:uid="{948959B9-16B9-4D51-9865-8C7285C4F864}"/>
    <cellStyle name="Normal 15 2" xfId="388" xr:uid="{6BED61B7-8A5E-405F-9AD6-B9027A40F4C5}"/>
    <cellStyle name="Normal 16" xfId="340" xr:uid="{6354054A-AADD-480F-AEBA-B44E9952EE76}"/>
    <cellStyle name="Normal 17" xfId="343" xr:uid="{DCEF50BA-7E92-43E1-9262-21CED87E0C33}"/>
    <cellStyle name="Normal 18" xfId="13" xr:uid="{9E761597-10C3-46B1-BC8E-33549789A425}"/>
    <cellStyle name="Normal 18 2" xfId="391" xr:uid="{4143A453-4A51-44C3-B500-97C5581777C4}"/>
    <cellStyle name="Normal 18 2 2" xfId="397" xr:uid="{FE7E685C-C8F2-475C-9470-FB488FF6F53D}"/>
    <cellStyle name="Normal 18 2 2 2" xfId="399" xr:uid="{80F33C55-FE3F-4B32-A687-0361B7498BA0}"/>
    <cellStyle name="Normal 2" xfId="148" xr:uid="{2F05AD66-7810-45ED-B5DB-9EC56FEEE8A6}"/>
    <cellStyle name="Normal 2 2" xfId="149" xr:uid="{B56FE000-5B4A-44AC-A868-65ADA8C71341}"/>
    <cellStyle name="Normal 2 2 2" xfId="213" xr:uid="{F762FA00-7E02-419D-A6ED-D58BB84DB630}"/>
    <cellStyle name="Normal 2 2 2 2" xfId="380" xr:uid="{1CEDAAEC-03CD-47AE-B20F-94032BBE73A0}"/>
    <cellStyle name="Normal 2 2 3" xfId="346" xr:uid="{E3422C53-9B97-4842-9283-05483234D25E}"/>
    <cellStyle name="Normal 2 2 4" xfId="394" xr:uid="{5CC0EC76-B1FB-4EF3-9310-7A846847C031}"/>
    <cellStyle name="Normal 2 3" xfId="4" xr:uid="{847A02A2-5431-402F-B16F-94825693DA62}"/>
    <cellStyle name="Normal 2 4" xfId="212" xr:uid="{583FFF11-EE5F-4B3A-B1F6-E95117FAE897}"/>
    <cellStyle name="Normal 2 5" xfId="344" xr:uid="{5D3D367A-D2A9-460C-A158-76590F8BDA76}"/>
    <cellStyle name="Normal 2 5 2" xfId="377" xr:uid="{E6282A31-2A54-4CAE-B58D-A13440F5C78E}"/>
    <cellStyle name="Normal 3" xfId="7" xr:uid="{A534426A-9C7B-4790-A910-14303DD2735F}"/>
    <cellStyle name="Normal 3 2" xfId="214" xr:uid="{E91523AF-DDAD-43F2-A418-7E6FD5AF8565}"/>
    <cellStyle name="Normal 3 2 2" xfId="327" xr:uid="{D41F0EA9-5966-4CA1-B856-8D373E4162B3}"/>
    <cellStyle name="Normal 3 2 3" xfId="356" xr:uid="{7329BA0B-FA43-4F74-85AE-B9F0856DE96A}"/>
    <cellStyle name="Normal 3 3" xfId="221" xr:uid="{E38C741F-9D36-46FE-9BC2-609C9678086E}"/>
    <cellStyle name="Normal 3 3 2" xfId="347" xr:uid="{8C7BFCDD-77B0-49C4-9FF4-FD698616FC8F}"/>
    <cellStyle name="Normal 3 4" xfId="355" xr:uid="{914D461D-DF22-4E48-8603-B9B113FB98F6}"/>
    <cellStyle name="Normal 3 5" xfId="150" xr:uid="{E1AC487F-1ECB-480F-9350-97896F126419}"/>
    <cellStyle name="Normal 4" xfId="10" xr:uid="{9EDE1F7B-8874-4019-BFC0-C7768DA4402F}"/>
    <cellStyle name="Normal 4 2" xfId="204" xr:uid="{A98DF874-7C75-48D8-A321-2DC4C05446DA}"/>
    <cellStyle name="Normal 4 2 2" xfId="359" xr:uid="{8AF4625A-6C90-4432-94A5-187915573E66}"/>
    <cellStyle name="Normal 4 3" xfId="334" xr:uid="{C90F01BE-C12F-41AD-940D-0869CEDABF83}"/>
    <cellStyle name="Normal 4 3 2" xfId="364" xr:uid="{700D0675-0646-4630-B3EA-024810CD2B41}"/>
    <cellStyle name="Normal 4 4" xfId="367" xr:uid="{C44AAA29-7A2D-4A1C-B80D-7A2748121E97}"/>
    <cellStyle name="Normal 4 5" xfId="372" xr:uid="{6987D102-EB70-40F7-93D5-BFDF7691DBE9}"/>
    <cellStyle name="Normal 4 6" xfId="386" xr:uid="{44560DA4-6B85-4987-B7B1-7947628FAA81}"/>
    <cellStyle name="Normal 4 7" xfId="357" xr:uid="{49CEE47F-A1D1-4583-AEE3-EEF51CFD491C}"/>
    <cellStyle name="Normal 4 8" xfId="151" xr:uid="{39A2EF06-6F34-490F-8A1F-E38B6DB69799}"/>
    <cellStyle name="Normal 5" xfId="152" xr:uid="{7D56CBBD-2F47-48F7-8349-04DF17FC3A57}"/>
    <cellStyle name="Normal 5 2" xfId="369" xr:uid="{9B87E662-D052-41FC-99AC-1D1FA1A09423}"/>
    <cellStyle name="Normal 5 3" xfId="358" xr:uid="{FF8D221C-AE09-487E-A021-1D8C7A5E9FE1}"/>
    <cellStyle name="Normal 6" xfId="153" xr:uid="{DBCBA70B-5FB8-46A4-B641-03D379117C01}"/>
    <cellStyle name="Normal 6 2" xfId="316" xr:uid="{48940262-E415-4F87-8C92-50382E2627E1}"/>
    <cellStyle name="Normal 6 3" xfId="361" xr:uid="{86041862-7DA0-4194-B272-4BF1BF1FDB8E}"/>
    <cellStyle name="Normal 7" xfId="196" xr:uid="{41AB9B43-0A1A-4265-994F-F4CDC5520CBE}"/>
    <cellStyle name="Normal 7 2" xfId="201" xr:uid="{AED37E47-D4F6-41CE-B9A5-87145475B68F}"/>
    <cellStyle name="Normal 7 3" xfId="363" xr:uid="{3E12444B-9E93-42C3-A5BE-032FC9E0EE61}"/>
    <cellStyle name="Normal 8" xfId="11" xr:uid="{011A3FEA-9D05-40B3-967E-B8D773C51325}"/>
    <cellStyle name="Normal 8 2" xfId="373" xr:uid="{7225AA7E-A7E3-4BF7-9F84-3A241345F9C8}"/>
    <cellStyle name="Normal 8 3" xfId="385" xr:uid="{90A5016C-2FD5-410C-B85A-561C71DC1DF0}"/>
    <cellStyle name="Normal 8 4" xfId="366" xr:uid="{C3097123-782F-4C44-B4CF-A6378C808C97}"/>
    <cellStyle name="Normal 8 5" xfId="395" xr:uid="{F6B123F2-5327-4DE5-B919-888D15F41884}"/>
    <cellStyle name="Normal 9" xfId="202" xr:uid="{14D3E407-53D8-459D-975C-A30235F104F8}"/>
    <cellStyle name="Normal 9 2" xfId="320" xr:uid="{7D87982F-35E6-4320-AD3A-8B33EEF65C9C}"/>
    <cellStyle name="Normal_E-1 Income Taxes" xfId="12" xr:uid="{01DB7123-15E5-432A-ADD5-54737820F6A5}"/>
    <cellStyle name="Normal_H-1 GR Conversion Factor" xfId="154" xr:uid="{B07F77EC-A8D9-4E9F-889E-99E795187B6E}"/>
    <cellStyle name="Normal_Schedule J" xfId="3" xr:uid="{8FC02B4E-0804-4A5A-AEFA-21D38DCACAA4}"/>
    <cellStyle name="Normal_Schedules A thru L Cost of Servive June 30, 2009" xfId="2" xr:uid="{4AC0BB92-C8F9-44A9-8A65-339FE35452CE}"/>
    <cellStyle name="Normal_SHEET" xfId="1" xr:uid="{EE3F81D6-2D24-4729-96AE-6C76C8BB5F0A}"/>
    <cellStyle name="Percent 2" xfId="156" xr:uid="{C88DE0F1-83A6-47A7-83FD-A90D9CA745C1}"/>
    <cellStyle name="Percent 2 2" xfId="195" xr:uid="{9C198042-042D-4240-B20B-43A49DA1EAC4}"/>
    <cellStyle name="Percent 2 2 2" xfId="401" xr:uid="{32F66848-CB54-449B-B18E-D73AF677AA84}"/>
    <cellStyle name="Percent 2 3" xfId="349" xr:uid="{69E1C0AC-7D10-4A86-A0BA-0D755AFD4843}"/>
    <cellStyle name="Percent 2 4" xfId="396" xr:uid="{123F841B-B6FE-49CE-9E05-89F06D5EA52A}"/>
    <cellStyle name="Percent 3" xfId="198" xr:uid="{9D30D1DE-6CBF-42E6-A43B-A3E2DCE46B20}"/>
    <cellStyle name="Percent 3 2" xfId="370" xr:uid="{9D471C56-8FBF-486A-A489-493B4EAF471C}"/>
    <cellStyle name="Percent 3 3" xfId="360" xr:uid="{F3BAA139-90AA-414F-BE43-0ADDD39A392A}"/>
    <cellStyle name="Percent 4" xfId="207" xr:uid="{2B528EA8-7333-4650-8DC6-0698C60E91DB}"/>
    <cellStyle name="Percent 4 2" xfId="322" xr:uid="{08F9A1DA-F81F-44D3-A493-F78133747924}"/>
    <cellStyle name="Percent 4 3" xfId="374" xr:uid="{523A2776-78FC-4E65-BCDB-9717CB6DED46}"/>
    <cellStyle name="Percent 5" xfId="210" xr:uid="{45CA372A-229E-4801-B57E-DE3677CFE1DE}"/>
    <cellStyle name="Percent 5 2" xfId="325" xr:uid="{9F8EA6E4-18B9-490C-A083-36351E94BFB8}"/>
    <cellStyle name="Percent 6" xfId="219" xr:uid="{DEF60FCE-30BE-46A7-B69F-9B2BA4461221}"/>
    <cellStyle name="Percent 6 2" xfId="331" xr:uid="{1D171383-2A48-4C97-B3AD-D7E572F15D31}"/>
    <cellStyle name="Percent 6 3" xfId="390" xr:uid="{AD1842D9-BE29-4034-8447-82D5332F5E60}"/>
    <cellStyle name="Percent 7" xfId="342" xr:uid="{0D320A3F-E113-4450-BB61-63FBE0A1568F}"/>
    <cellStyle name="Percent 7 4 2" xfId="393" xr:uid="{D74279A3-0EF4-444D-B714-B757452D1562}"/>
    <cellStyle name="Percent 7 4 2 2" xfId="398" xr:uid="{5567A22A-9D76-4801-B49E-F141FFBED568}"/>
    <cellStyle name="Percent 8" xfId="351" xr:uid="{314067B4-1C1F-4923-8692-FC5E3C62F6A4}"/>
    <cellStyle name="Percent 9" xfId="155" xr:uid="{C00CCD53-8A36-459A-9E48-6FC3EFE2889C}"/>
    <cellStyle name="PSChar" xfId="157" xr:uid="{1FA49405-637A-4E33-A635-6D8A0CBF897A}"/>
    <cellStyle name="PSDate" xfId="158" xr:uid="{7B6FF3E9-8F7F-432B-B2BA-36DE43EB814B}"/>
    <cellStyle name="PSDec" xfId="159" xr:uid="{FDE63EC8-2C13-4AC9-8985-2BF5D84C8631}"/>
    <cellStyle name="PSHeading" xfId="160" xr:uid="{F52F4617-22DB-491F-8B76-514B20701034}"/>
    <cellStyle name="PSInt" xfId="161" xr:uid="{3D191740-BADB-4F24-BB54-93AF7375459A}"/>
    <cellStyle name="PSSpacer" xfId="162" xr:uid="{E8E8C779-FA7C-4CDB-96AD-DF9ADC712735}"/>
    <cellStyle name="R00A" xfId="163" xr:uid="{D50C561C-8B52-40B8-A866-3FD0B4401969}"/>
    <cellStyle name="R00B" xfId="164" xr:uid="{B8F6EAE8-DDC3-458C-A687-B5CB093FF6DB}"/>
    <cellStyle name="R00L" xfId="165" xr:uid="{C7F5EBE1-B140-4465-94BB-FBD24604C3CF}"/>
    <cellStyle name="R01A" xfId="166" xr:uid="{B20DD138-4278-4190-92B2-B0AEEC8A97D3}"/>
    <cellStyle name="R01B" xfId="167" xr:uid="{4E14CFD5-5C9C-47D6-9011-64C2F46DE87D}"/>
    <cellStyle name="R01H" xfId="168" xr:uid="{7A88DAC2-E0B2-4A75-911E-A6DB265FBC88}"/>
    <cellStyle name="R01L" xfId="169" xr:uid="{AB038A78-59AA-4866-AFCB-AC801D3183AF}"/>
    <cellStyle name="R02A" xfId="170" xr:uid="{7371B5C0-058C-4C26-9EF1-2F14F6C6233C}"/>
    <cellStyle name="R02B" xfId="171" xr:uid="{FABE50DC-DE5B-4660-A235-A005BEE254E4}"/>
    <cellStyle name="R02H" xfId="172" xr:uid="{A43DBEF0-1418-42F3-8A38-9A67C1D71D31}"/>
    <cellStyle name="R02L" xfId="173" xr:uid="{8BF7667C-DBAB-4EA1-BA8B-5D1FBBA53E67}"/>
    <cellStyle name="R03A" xfId="174" xr:uid="{B07F3BCF-B484-4CE4-A99E-D8BAA3D24D34}"/>
    <cellStyle name="R03B" xfId="175" xr:uid="{8A1F6E3A-43D3-4C25-A29E-8AA57F5968E8}"/>
    <cellStyle name="R03H" xfId="176" xr:uid="{FB901295-2EDF-44A7-8C34-408F7DDEDA5E}"/>
    <cellStyle name="R03L" xfId="177" xr:uid="{093BD29D-D435-46C3-99B6-9CE6ACD86969}"/>
    <cellStyle name="R04A" xfId="178" xr:uid="{63D973DA-8012-4756-A515-C059F54A5DB4}"/>
    <cellStyle name="R04B" xfId="179" xr:uid="{C060765E-8497-4892-8B01-2867152D58DC}"/>
    <cellStyle name="R04H" xfId="180" xr:uid="{96A9FEA2-C1F4-457B-905B-4658B7B270AE}"/>
    <cellStyle name="R04L" xfId="181" xr:uid="{85BF901F-CDF1-47DE-B958-6D29FD990A36}"/>
    <cellStyle name="R05A" xfId="182" xr:uid="{1E2468A3-212B-4D8E-A011-1D3CEAC97451}"/>
    <cellStyle name="R05B" xfId="183" xr:uid="{27C292FF-07DA-4397-B0E4-A755305D353B}"/>
    <cellStyle name="R05H" xfId="184" xr:uid="{672C2A2B-F5DD-4E75-A690-C8705DD5B2B8}"/>
    <cellStyle name="R05L" xfId="185" xr:uid="{9844724F-AE3E-45AA-8666-7D44E8127341}"/>
    <cellStyle name="R05L 2" xfId="317" xr:uid="{DD5D81B3-0CD6-4BFD-B880-3683B8B78D64}"/>
    <cellStyle name="R06A" xfId="186" xr:uid="{8BF6CBEF-028A-4CA0-8812-19B8873CF22A}"/>
    <cellStyle name="R06B" xfId="187" xr:uid="{00466270-F365-48D8-88D2-2A39A34A481B}"/>
    <cellStyle name="R06H" xfId="188" xr:uid="{E9F152C5-5B81-4B92-9955-F83F82DD7EA6}"/>
    <cellStyle name="R06L" xfId="189" xr:uid="{91AA3857-3B22-404D-964D-34D1003C0CEF}"/>
    <cellStyle name="R07A" xfId="190" xr:uid="{5DCB3F60-91C4-4E35-9758-C9A75217007E}"/>
    <cellStyle name="R07B" xfId="191" xr:uid="{6B85BE27-C160-4CC5-ACD0-A508E3666521}"/>
    <cellStyle name="R07H" xfId="192" xr:uid="{54494723-4999-44CB-B6FA-E33455FF3954}"/>
    <cellStyle name="R07L" xfId="193" xr:uid="{DB95BF88-128E-43B0-9E72-F7003541A039}"/>
    <cellStyle name="Style 1" xfId="194" xr:uid="{B105A930-4B8C-4713-853A-F21BB23D483E}"/>
  </cellStyles>
  <dxfs count="0"/>
  <tableStyles count="1" defaultTableStyle="TableStyleMedium2" defaultPivotStyle="PivotStyleLight16">
    <tableStyle name="Invisible" pivot="0" table="0" count="0" xr9:uid="{10EF5D4B-2779-4FC9-895A-854C2C5BBD8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C5C47-90B7-4A95-8D4B-AFEB85D08560}">
  <sheetPr>
    <pageSetUpPr fitToPage="1"/>
  </sheetPr>
  <dimension ref="A1:C40"/>
  <sheetViews>
    <sheetView topLeftCell="A10" workbookViewId="0">
      <selection activeCell="R34" sqref="R34"/>
    </sheetView>
  </sheetViews>
  <sheetFormatPr defaultRowHeight="15"/>
  <cols>
    <col min="1" max="1" width="20" customWidth="1"/>
    <col min="2" max="2" width="5.42578125" customWidth="1"/>
    <col min="3" max="3" width="56.42578125" customWidth="1"/>
  </cols>
  <sheetData>
    <row r="1" spans="1:3" ht="15.75">
      <c r="A1" s="181" t="s">
        <v>2</v>
      </c>
      <c r="B1" s="181"/>
      <c r="C1" s="181"/>
    </row>
    <row r="2" spans="1:3" ht="15.75">
      <c r="A2" s="181" t="s">
        <v>330</v>
      </c>
      <c r="B2" s="181"/>
      <c r="C2" s="181"/>
    </row>
    <row r="3" spans="1:3" ht="15.75">
      <c r="A3" s="181" t="s">
        <v>201</v>
      </c>
      <c r="B3" s="181"/>
      <c r="C3" s="181"/>
    </row>
    <row r="4" spans="1:3" ht="15.75">
      <c r="A4" s="19"/>
      <c r="B4" s="19"/>
      <c r="C4" s="19"/>
    </row>
    <row r="5" spans="1:3" ht="15.75">
      <c r="A5" s="182" t="s">
        <v>200</v>
      </c>
      <c r="B5" s="182"/>
      <c r="C5" s="182"/>
    </row>
    <row r="6" spans="1:3" ht="15.75">
      <c r="A6" s="182"/>
      <c r="B6" s="183"/>
      <c r="C6" s="183"/>
    </row>
    <row r="7" spans="1:3" ht="15.75">
      <c r="A7" s="181" t="s">
        <v>4</v>
      </c>
      <c r="B7" s="181"/>
      <c r="C7" s="181"/>
    </row>
    <row r="8" spans="1:3" ht="15.75">
      <c r="A8" s="181"/>
      <c r="B8" s="181"/>
      <c r="C8" s="181"/>
    </row>
    <row r="9" spans="1:3" ht="15.75">
      <c r="A9" s="181" t="s">
        <v>3</v>
      </c>
      <c r="B9" s="181"/>
      <c r="C9" s="181"/>
    </row>
    <row r="10" spans="1:3" ht="15.75">
      <c r="A10" s="1"/>
      <c r="B10" s="1"/>
      <c r="C10" s="1"/>
    </row>
    <row r="11" spans="1:3" ht="15.75">
      <c r="A11" s="18" t="s">
        <v>0</v>
      </c>
      <c r="B11" s="18"/>
      <c r="C11" s="18" t="s">
        <v>1</v>
      </c>
    </row>
    <row r="12" spans="1:3" ht="15.75">
      <c r="A12" s="1"/>
      <c r="B12" s="1"/>
      <c r="C12" s="1"/>
    </row>
    <row r="13" spans="1:3" ht="15.75">
      <c r="A13" s="1" t="str">
        <f>A!H3</f>
        <v>Schedule A</v>
      </c>
      <c r="B13" s="1"/>
      <c r="C13" s="1" t="str">
        <f>A!A4</f>
        <v xml:space="preserve">Overall Financial Summary </v>
      </c>
    </row>
    <row r="14" spans="1:3" ht="15.75">
      <c r="A14" s="1" t="str">
        <f>'A-1'!D3</f>
        <v>Schedule A-1</v>
      </c>
      <c r="B14" s="1"/>
      <c r="C14" s="1" t="str">
        <f>'A-1'!A4</f>
        <v>Gross Revenue Conversion Factor</v>
      </c>
    </row>
    <row r="15" spans="1:3" ht="15.75">
      <c r="A15" s="1"/>
      <c r="B15" s="1"/>
      <c r="C15" s="1"/>
    </row>
    <row r="16" spans="1:3" ht="15.75">
      <c r="A16" s="1" t="str">
        <f>B!E3</f>
        <v>Schedule B</v>
      </c>
      <c r="B16" s="1"/>
      <c r="C16" s="1" t="str">
        <f>B!A4</f>
        <v>Rate Base</v>
      </c>
    </row>
    <row r="17" spans="1:3" ht="15.75">
      <c r="A17" s="1" t="str">
        <f>'B-1'!M3</f>
        <v>Schedule B-1</v>
      </c>
      <c r="B17" s="1"/>
      <c r="C17" s="1" t="str">
        <f>'B-1'!A4</f>
        <v>Cash Working Capital</v>
      </c>
    </row>
    <row r="18" spans="1:3" ht="15.75">
      <c r="A18" s="1" t="str">
        <f>'B-2'!F3</f>
        <v>Schedule B-2</v>
      </c>
      <c r="B18" s="1"/>
      <c r="C18" s="1" t="str">
        <f>'B-2'!A4</f>
        <v>Customer Deposits</v>
      </c>
    </row>
    <row r="19" spans="1:3" ht="15.75">
      <c r="A19" s="1"/>
      <c r="B19" s="1"/>
      <c r="C19" s="1"/>
    </row>
    <row r="20" spans="1:3" ht="15.75">
      <c r="A20" s="1" t="str">
        <f>'C'!E3</f>
        <v>Schedule C</v>
      </c>
      <c r="B20" s="1"/>
      <c r="C20" s="1" t="str">
        <f>'C'!A4</f>
        <v>Operating Income</v>
      </c>
    </row>
    <row r="21" spans="1:3" ht="15.75">
      <c r="A21" s="1" t="str">
        <f>'Rate Case Exp'!E3</f>
        <v>Schedule C-1</v>
      </c>
      <c r="B21" s="1"/>
      <c r="C21" s="1" t="str">
        <f>'Rate Case Exp'!A4</f>
        <v>Rate Case Expense</v>
      </c>
    </row>
    <row r="22" spans="1:3" ht="15.75">
      <c r="A22" s="1" t="str">
        <f>Aircraft!E3</f>
        <v>Schedule C-2</v>
      </c>
      <c r="B22" s="1"/>
      <c r="C22" s="1" t="str">
        <f>Aircraft!A4</f>
        <v>Corporate Aircraft Expense</v>
      </c>
    </row>
    <row r="23" spans="1:3" ht="15.75">
      <c r="A23" s="1" t="str">
        <f>'D&amp;O'!E3</f>
        <v>Schedule C-3</v>
      </c>
      <c r="B23" s="1"/>
      <c r="C23" s="1" t="str">
        <f>'D&amp;O'!A4</f>
        <v xml:space="preserve">Directors and Officers Insurance </v>
      </c>
    </row>
    <row r="24" spans="1:3" ht="15.75">
      <c r="A24" s="1" t="str">
        <f>'Investor Rel'!E3</f>
        <v>Schedule C-4</v>
      </c>
      <c r="B24" s="1"/>
      <c r="C24" s="1" t="str">
        <f>'Investor Rel'!A4</f>
        <v>Investor Relations Expense</v>
      </c>
    </row>
    <row r="25" spans="1:3" ht="15.75">
      <c r="A25" s="1" t="str">
        <f>Severance!E3</f>
        <v>Schedule C-5</v>
      </c>
      <c r="B25" s="1"/>
      <c r="C25" s="1" t="str">
        <f>Severance!A4</f>
        <v>Severance Expense</v>
      </c>
    </row>
    <row r="26" spans="1:3" ht="15.75">
      <c r="A26" s="1" t="str">
        <f>'Incentive Comp'!E3</f>
        <v>Schedule C-6</v>
      </c>
      <c r="B26" s="1"/>
      <c r="C26" s="1" t="str">
        <f>'Incentive Comp'!A4</f>
        <v xml:space="preserve">Incentive Compensation </v>
      </c>
    </row>
    <row r="27" spans="1:3" ht="15.75">
      <c r="A27" s="1" t="str">
        <f>Payroll!E3</f>
        <v>Schedule C-7</v>
      </c>
      <c r="B27" s="1"/>
      <c r="C27" s="1" t="str">
        <f>Payroll!A4</f>
        <v>Payroll Expense</v>
      </c>
    </row>
    <row r="28" spans="1:3" ht="15.75">
      <c r="A28" s="1" t="str">
        <f>Lobby!E3</f>
        <v>Schedule C-8</v>
      </c>
      <c r="B28" s="1"/>
      <c r="C28" s="1" t="str">
        <f>Lobby!A4</f>
        <v xml:space="preserve">Lobbying </v>
      </c>
    </row>
    <row r="29" spans="1:3" ht="15.75">
      <c r="A29" s="1" t="str">
        <f>'Profit Sharing'!E3</f>
        <v>Schedule C-9</v>
      </c>
      <c r="B29" s="1"/>
      <c r="C29" s="1" t="str">
        <f>'Profit Sharing'!A4</f>
        <v>Profit Sharing</v>
      </c>
    </row>
    <row r="30" spans="1:3" ht="15.75">
      <c r="A30" s="1" t="str">
        <f>SERP!E3</f>
        <v>Schedule C-10</v>
      </c>
      <c r="B30" s="1"/>
      <c r="C30" s="1" t="str">
        <f>SERP!A4</f>
        <v>Supplemental Executive Retirment Plan Expense</v>
      </c>
    </row>
    <row r="31" spans="1:3" ht="15.75">
      <c r="A31" s="1" t="str">
        <f>ESPP!E3</f>
        <v>Schedule C-11</v>
      </c>
      <c r="B31" s="1"/>
      <c r="C31" s="1" t="str">
        <f>ESPP!A4</f>
        <v xml:space="preserve">Employee Stock Purchase Plan </v>
      </c>
    </row>
    <row r="32" spans="1:3" ht="15.75">
      <c r="A32" s="1" t="str">
        <f>Dues!E3</f>
        <v>Schedule C-12</v>
      </c>
      <c r="B32" s="1"/>
      <c r="C32" s="1" t="str">
        <f>Dues!A4</f>
        <v>AGA Dues</v>
      </c>
    </row>
    <row r="33" spans="1:3" ht="15.75">
      <c r="A33" s="1" t="str">
        <f>'401(k)'!E3</f>
        <v>Schedule C-13</v>
      </c>
      <c r="B33" s="1"/>
      <c r="C33" s="1" t="str">
        <f>'401(k)'!A4</f>
        <v>401(k) Expense</v>
      </c>
    </row>
    <row r="34" spans="1:3" ht="15.75">
      <c r="A34" s="1" t="str">
        <f>'Payroll Tax'!E3</f>
        <v>Schedule C-14</v>
      </c>
      <c r="B34" s="1"/>
      <c r="C34" s="1" t="str">
        <f>'Payroll Tax'!A4</f>
        <v>Payroll Tax</v>
      </c>
    </row>
    <row r="35" spans="1:3" ht="15.75">
      <c r="A35" s="1" t="str">
        <f>Benefits!E3</f>
        <v>Schedule C-15</v>
      </c>
      <c r="B35" s="1"/>
      <c r="C35" s="1" t="str">
        <f>Benefits!A4</f>
        <v>Benefits</v>
      </c>
    </row>
    <row r="36" spans="1:3" ht="15.75">
      <c r="A36" s="1" t="str">
        <f>'Cus dep int'!E3</f>
        <v>Schedule C-16</v>
      </c>
      <c r="B36" s="1"/>
      <c r="C36" s="1" t="str">
        <f>'Cus dep int'!A4</f>
        <v>Customer Deposit Interest</v>
      </c>
    </row>
    <row r="37" spans="1:3" ht="15.75">
      <c r="A37" s="1" t="str">
        <f>'Inc Tax'!E3</f>
        <v>Schedule C-17</v>
      </c>
      <c r="B37" s="1"/>
      <c r="C37" s="1" t="str">
        <f>'Inc Tax'!A4</f>
        <v>Income Tax Expense</v>
      </c>
    </row>
    <row r="38" spans="1:3" ht="15.75">
      <c r="A38" s="1" t="str">
        <f>'Int Sync'!F3</f>
        <v>Schedule C-18</v>
      </c>
      <c r="B38" s="1"/>
      <c r="C38" s="1" t="str">
        <f>'Int Sync'!A4</f>
        <v>Interest Synchronization</v>
      </c>
    </row>
    <row r="39" spans="1:3" ht="15.75">
      <c r="A39" s="1"/>
      <c r="B39" s="1"/>
      <c r="C39" s="1"/>
    </row>
    <row r="40" spans="1:3" ht="15.75">
      <c r="A40" s="1" t="str">
        <f>D!I3</f>
        <v>Schedule D</v>
      </c>
      <c r="B40" s="1"/>
      <c r="C40" s="1" t="str">
        <f>D!A4</f>
        <v xml:space="preserve">Rate of Return </v>
      </c>
    </row>
  </sheetData>
  <mergeCells count="8">
    <mergeCell ref="A9:C9"/>
    <mergeCell ref="A1:C1"/>
    <mergeCell ref="A2:C2"/>
    <mergeCell ref="A3:C3"/>
    <mergeCell ref="A8:C8"/>
    <mergeCell ref="A7:C7"/>
    <mergeCell ref="A5:C5"/>
    <mergeCell ref="A6:C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D8042-7C59-4373-9FB0-A7A366C67F51}">
  <sheetPr>
    <pageSetUpPr fitToPage="1"/>
  </sheetPr>
  <dimension ref="A1:E33"/>
  <sheetViews>
    <sheetView workbookViewId="0">
      <selection activeCell="E11" sqref="E11:E15"/>
    </sheetView>
  </sheetViews>
  <sheetFormatPr defaultRowHeight="15"/>
  <cols>
    <col min="2" max="2" width="3.28515625" customWidth="1"/>
    <col min="3" max="3" width="41.140625" customWidth="1"/>
    <col min="4" max="4" width="19.7109375" customWidth="1"/>
    <col min="5" max="5" width="26" customWidth="1"/>
  </cols>
  <sheetData>
    <row r="1" spans="1:5" ht="15.75">
      <c r="A1" s="1" t="str">
        <f>A!A1</f>
        <v>Columbia Gas of Kentucky, Inc.</v>
      </c>
      <c r="B1" s="1"/>
      <c r="C1" s="1"/>
      <c r="D1" s="1"/>
      <c r="E1" s="12" t="str">
        <f>A!H1</f>
        <v>Case No. 2026-00099</v>
      </c>
    </row>
    <row r="2" spans="1:5" ht="15.75">
      <c r="A2" s="1" t="str">
        <f>A!A2</f>
        <v>Forecasted Test Period: Twelve Months Ended December 31, 2027</v>
      </c>
      <c r="B2" s="1"/>
      <c r="C2" s="1"/>
      <c r="D2" s="1"/>
      <c r="E2" s="12" t="str">
        <f>A!H2</f>
        <v xml:space="preserve">Exhibit JD-1 </v>
      </c>
    </row>
    <row r="3" spans="1:5" ht="15.75">
      <c r="A3" s="1"/>
      <c r="B3" s="1"/>
      <c r="C3" s="1"/>
      <c r="D3" s="1"/>
      <c r="E3" s="12" t="s">
        <v>111</v>
      </c>
    </row>
    <row r="4" spans="1:5" ht="15.75">
      <c r="A4" s="50" t="s">
        <v>137</v>
      </c>
      <c r="B4" s="1"/>
      <c r="C4" s="1"/>
      <c r="D4" s="1"/>
      <c r="E4" s="12" t="str">
        <f>A!H4</f>
        <v>Page 1 of 1</v>
      </c>
    </row>
    <row r="5" spans="1:5" ht="15.75">
      <c r="A5" s="1"/>
      <c r="B5" s="1"/>
      <c r="C5" s="1"/>
      <c r="D5" s="1"/>
      <c r="E5" s="1"/>
    </row>
    <row r="6" spans="1:5" ht="15.75">
      <c r="B6" s="50"/>
      <c r="C6" s="50"/>
      <c r="D6" s="50"/>
      <c r="E6" s="36"/>
    </row>
    <row r="7" spans="1:5" ht="15.75">
      <c r="A7" s="51"/>
      <c r="B7" s="50"/>
      <c r="C7" s="50"/>
      <c r="D7" s="50"/>
      <c r="E7" s="50"/>
    </row>
    <row r="8" spans="1:5" ht="15.75">
      <c r="A8" s="50"/>
      <c r="B8" s="50"/>
      <c r="C8" s="50"/>
      <c r="D8" s="50"/>
      <c r="E8" s="50"/>
    </row>
    <row r="9" spans="1:5" ht="15.75">
      <c r="A9" s="18" t="s">
        <v>29</v>
      </c>
      <c r="B9" s="1"/>
      <c r="C9" s="18" t="s">
        <v>13</v>
      </c>
      <c r="D9" s="22" t="s">
        <v>95</v>
      </c>
      <c r="E9" s="22" t="s">
        <v>31</v>
      </c>
    </row>
    <row r="10" spans="1:5" ht="15.75">
      <c r="A10" s="1"/>
      <c r="B10" s="1"/>
      <c r="C10" s="1"/>
      <c r="D10" s="19"/>
      <c r="E10" s="19"/>
    </row>
    <row r="11" spans="1:5" ht="30.75">
      <c r="A11" s="19">
        <v>1</v>
      </c>
      <c r="B11" s="1"/>
      <c r="C11" s="1" t="s">
        <v>91</v>
      </c>
      <c r="D11" s="23">
        <v>216115</v>
      </c>
      <c r="E11" s="169" t="s">
        <v>239</v>
      </c>
    </row>
    <row r="12" spans="1:5" ht="15.75">
      <c r="A12" s="19"/>
      <c r="B12" s="1"/>
      <c r="C12" s="1"/>
      <c r="D12" s="23"/>
      <c r="E12" s="139"/>
    </row>
    <row r="13" spans="1:5" ht="15.75">
      <c r="A13" s="19">
        <v>2</v>
      </c>
      <c r="B13" s="1"/>
      <c r="C13" s="1" t="s">
        <v>168</v>
      </c>
      <c r="D13" s="24">
        <f>-D28/1000</f>
        <v>0</v>
      </c>
      <c r="E13" s="139" t="s">
        <v>139</v>
      </c>
    </row>
    <row r="14" spans="1:5" ht="15.75">
      <c r="A14" s="19"/>
      <c r="B14" s="1"/>
      <c r="C14" s="1"/>
      <c r="D14" s="23"/>
      <c r="E14" s="139"/>
    </row>
    <row r="15" spans="1:5" ht="16.5" thickBot="1">
      <c r="A15" s="19">
        <v>3</v>
      </c>
      <c r="B15" s="1"/>
      <c r="C15" s="1" t="s">
        <v>169</v>
      </c>
      <c r="D15" s="28">
        <f>D13-D11</f>
        <v>-216115</v>
      </c>
      <c r="E15" s="139" t="s">
        <v>99</v>
      </c>
    </row>
    <row r="16" spans="1:5" ht="16.5" thickTop="1">
      <c r="A16" s="19"/>
      <c r="B16" s="1"/>
      <c r="C16" s="1"/>
      <c r="D16" s="1"/>
      <c r="E16" s="1"/>
    </row>
    <row r="17" spans="1:5" ht="15.75">
      <c r="A17" s="45"/>
      <c r="B17" s="50"/>
      <c r="C17" s="50"/>
      <c r="D17" s="50"/>
      <c r="E17" s="48"/>
    </row>
    <row r="18" spans="1:5" ht="15.75">
      <c r="A18" s="45"/>
      <c r="B18" s="50"/>
      <c r="C18" s="50"/>
      <c r="D18" s="50"/>
      <c r="E18" s="48"/>
    </row>
    <row r="19" spans="1:5" ht="15.75">
      <c r="A19" s="45"/>
      <c r="B19" s="50"/>
      <c r="C19" s="50"/>
      <c r="D19" s="50"/>
      <c r="E19" s="48"/>
    </row>
    <row r="27" spans="1:5" ht="15.75">
      <c r="A27" s="1"/>
      <c r="B27" s="1"/>
      <c r="C27" s="1"/>
      <c r="D27" s="1"/>
      <c r="E27" s="1"/>
    </row>
    <row r="28" spans="1:5" ht="15.75">
      <c r="A28" s="1"/>
      <c r="B28" s="1"/>
      <c r="C28" s="1"/>
      <c r="D28" s="1"/>
      <c r="E28" s="1"/>
    </row>
    <row r="29" spans="1:5" ht="15.75">
      <c r="A29" s="1"/>
      <c r="B29" s="1"/>
      <c r="C29" s="23"/>
      <c r="D29" s="1"/>
      <c r="E29" s="1"/>
    </row>
    <row r="30" spans="1:5" ht="15.75">
      <c r="A30" s="1"/>
      <c r="B30" s="1"/>
      <c r="C30" s="23"/>
      <c r="D30" s="1"/>
      <c r="E30" s="1"/>
    </row>
    <row r="31" spans="1:5" ht="15.75">
      <c r="A31" s="1"/>
      <c r="B31" s="1"/>
      <c r="C31" s="1"/>
      <c r="D31" s="1"/>
      <c r="E31" s="1"/>
    </row>
    <row r="32" spans="1:5" ht="15.75">
      <c r="A32" s="1"/>
      <c r="B32" s="1"/>
      <c r="C32" s="1"/>
      <c r="D32" s="1"/>
      <c r="E32" s="1"/>
    </row>
    <row r="33" spans="1:5" ht="15.75">
      <c r="A33" s="1"/>
      <c r="B33" s="1"/>
      <c r="C33" s="1"/>
      <c r="D33" s="1"/>
      <c r="E33" s="1"/>
    </row>
  </sheetData>
  <pageMargins left="0.7" right="0.7" top="0.75" bottom="0.75" header="0.3" footer="0.3"/>
  <pageSetup scale="9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6C98B-EC85-4CD1-AE41-34BAACF35906}">
  <sheetPr>
    <pageSetUpPr fitToPage="1"/>
  </sheetPr>
  <dimension ref="A1:E30"/>
  <sheetViews>
    <sheetView workbookViewId="0">
      <selection activeCell="E16" sqref="E16"/>
    </sheetView>
  </sheetViews>
  <sheetFormatPr defaultRowHeight="15"/>
  <cols>
    <col min="2" max="2" width="3" customWidth="1"/>
    <col min="3" max="3" width="41.140625" customWidth="1"/>
    <col min="4" max="4" width="19.7109375" customWidth="1"/>
    <col min="5" max="5" width="22.42578125" customWidth="1"/>
  </cols>
  <sheetData>
    <row r="1" spans="1:5" ht="15.75">
      <c r="A1" s="1" t="str">
        <f>A!A1</f>
        <v>Columbia Gas of Kentucky, Inc.</v>
      </c>
      <c r="B1" s="1"/>
      <c r="C1" s="1"/>
      <c r="D1" s="1"/>
      <c r="E1" s="12" t="str">
        <f>A!H1</f>
        <v>Case No. 2026-00099</v>
      </c>
    </row>
    <row r="2" spans="1:5" ht="15.75">
      <c r="A2" s="1" t="str">
        <f>A!A2</f>
        <v>Forecasted Test Period: Twelve Months Ended December 31, 2027</v>
      </c>
      <c r="B2" s="1"/>
      <c r="C2" s="1"/>
      <c r="D2" s="1"/>
      <c r="E2" s="12" t="str">
        <f>A!H2</f>
        <v xml:space="preserve">Exhibit JD-1 </v>
      </c>
    </row>
    <row r="3" spans="1:5" ht="15.75">
      <c r="A3" s="1"/>
      <c r="B3" s="1"/>
      <c r="C3" s="1"/>
      <c r="D3" s="1"/>
      <c r="E3" s="12" t="s">
        <v>113</v>
      </c>
    </row>
    <row r="4" spans="1:5" ht="15.75">
      <c r="A4" s="50" t="s">
        <v>334</v>
      </c>
      <c r="B4" s="1"/>
      <c r="C4" s="1"/>
      <c r="D4" s="1"/>
      <c r="E4" s="12" t="str">
        <f>A!H4</f>
        <v>Page 1 of 1</v>
      </c>
    </row>
    <row r="5" spans="1:5" ht="15.75">
      <c r="A5" s="1"/>
      <c r="B5" s="1"/>
      <c r="C5" s="1"/>
      <c r="D5" s="1"/>
      <c r="E5" s="1"/>
    </row>
    <row r="6" spans="1:5" ht="15.75">
      <c r="B6" s="50"/>
      <c r="C6" s="50"/>
      <c r="D6" s="50"/>
      <c r="E6" s="36"/>
    </row>
    <row r="7" spans="1:5" ht="15.75">
      <c r="A7" s="51"/>
      <c r="B7" s="50"/>
      <c r="C7" s="50"/>
      <c r="D7" s="50"/>
      <c r="E7" s="50"/>
    </row>
    <row r="8" spans="1:5" ht="15.75">
      <c r="A8" s="50"/>
      <c r="B8" s="50"/>
      <c r="C8" s="50"/>
      <c r="D8" s="50"/>
      <c r="E8" s="50"/>
    </row>
    <row r="9" spans="1:5" ht="15.75">
      <c r="A9" s="18" t="s">
        <v>29</v>
      </c>
      <c r="B9" s="1"/>
      <c r="C9" s="18" t="s">
        <v>13</v>
      </c>
      <c r="D9" s="22" t="s">
        <v>95</v>
      </c>
      <c r="E9" s="22" t="s">
        <v>31</v>
      </c>
    </row>
    <row r="10" spans="1:5" ht="15.75">
      <c r="A10" s="1"/>
      <c r="B10" s="1"/>
      <c r="C10" s="1"/>
      <c r="D10" s="19"/>
      <c r="E10" s="19"/>
    </row>
    <row r="11" spans="1:5" ht="45">
      <c r="A11" s="19">
        <v>1</v>
      </c>
      <c r="B11" s="1"/>
      <c r="C11" s="1" t="s">
        <v>91</v>
      </c>
      <c r="D11" s="23">
        <v>138131</v>
      </c>
      <c r="E11" s="177" t="s">
        <v>240</v>
      </c>
    </row>
    <row r="12" spans="1:5" ht="15.75">
      <c r="A12" s="19"/>
      <c r="B12" s="1"/>
      <c r="C12" s="1"/>
      <c r="D12" s="23"/>
      <c r="E12" s="139"/>
    </row>
    <row r="13" spans="1:5" ht="15.75">
      <c r="A13" s="19">
        <v>2</v>
      </c>
      <c r="B13" s="1"/>
      <c r="C13" s="1" t="s">
        <v>138</v>
      </c>
      <c r="D13" s="44">
        <v>-0.75</v>
      </c>
      <c r="E13" s="139" t="s">
        <v>139</v>
      </c>
    </row>
    <row r="14" spans="1:5" ht="15.75">
      <c r="A14" s="19"/>
      <c r="B14" s="1"/>
      <c r="C14" s="1"/>
      <c r="D14" s="23"/>
      <c r="E14" s="139"/>
    </row>
    <row r="15" spans="1:5" ht="16.5" thickBot="1">
      <c r="A15" s="19">
        <v>3</v>
      </c>
      <c r="B15" s="1"/>
      <c r="C15" s="1" t="s">
        <v>169</v>
      </c>
      <c r="D15" s="28">
        <f>+D11*D13</f>
        <v>-103598.25</v>
      </c>
      <c r="E15" s="139" t="s">
        <v>124</v>
      </c>
    </row>
    <row r="16" spans="1:5" ht="16.5" thickTop="1">
      <c r="A16" s="19"/>
      <c r="B16" s="1"/>
      <c r="C16" s="1"/>
      <c r="D16" s="1"/>
      <c r="E16" s="1"/>
    </row>
    <row r="17" spans="1:5" ht="15.75">
      <c r="A17" s="45"/>
      <c r="B17" s="50"/>
      <c r="C17" s="50"/>
      <c r="D17" s="50"/>
      <c r="E17" s="48"/>
    </row>
    <row r="18" spans="1:5" ht="15.75">
      <c r="A18" s="45"/>
      <c r="B18" s="50"/>
      <c r="C18" s="50"/>
      <c r="D18" s="50"/>
      <c r="E18" s="48"/>
    </row>
    <row r="19" spans="1:5" ht="15.75">
      <c r="A19" s="45"/>
      <c r="B19" s="50"/>
      <c r="C19" s="50"/>
      <c r="D19" s="50"/>
      <c r="E19" s="48"/>
    </row>
    <row r="29" spans="1:5" ht="15.75">
      <c r="A29" s="1"/>
      <c r="B29" s="1"/>
      <c r="C29" s="23"/>
      <c r="D29" s="1"/>
      <c r="E29" s="1"/>
    </row>
    <row r="30" spans="1:5" ht="15.75">
      <c r="A30" s="61"/>
      <c r="B30" s="1"/>
      <c r="C30" s="23"/>
      <c r="D30" s="1"/>
      <c r="E30" s="1"/>
    </row>
  </sheetData>
  <pageMargins left="0.7" right="0.7" top="0.75" bottom="0.75" header="0.3" footer="0.3"/>
  <pageSetup scale="9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41FAC-3486-408A-9EFE-DE79CBBBB6FC}">
  <sheetPr>
    <pageSetUpPr fitToPage="1"/>
  </sheetPr>
  <dimension ref="A1:E18"/>
  <sheetViews>
    <sheetView workbookViewId="0">
      <selection activeCell="E11" sqref="E11:E17"/>
    </sheetView>
  </sheetViews>
  <sheetFormatPr defaultRowHeight="15"/>
  <cols>
    <col min="2" max="2" width="3" customWidth="1"/>
    <col min="3" max="3" width="41.140625" customWidth="1"/>
    <col min="4" max="4" width="19.7109375" customWidth="1"/>
    <col min="5" max="5" width="20.7109375" customWidth="1"/>
  </cols>
  <sheetData>
    <row r="1" spans="1:5" ht="15.75">
      <c r="A1" s="1" t="str">
        <f>A!A1</f>
        <v>Columbia Gas of Kentucky, Inc.</v>
      </c>
      <c r="B1" s="1"/>
      <c r="C1" s="1"/>
      <c r="D1" s="1"/>
      <c r="E1" s="12" t="str">
        <f>A!H1</f>
        <v>Case No. 2026-00099</v>
      </c>
    </row>
    <row r="2" spans="1:5" ht="15.75">
      <c r="A2" s="1" t="str">
        <f>A!A2</f>
        <v>Forecasted Test Period: Twelve Months Ended December 31, 2027</v>
      </c>
      <c r="B2" s="1"/>
      <c r="C2" s="1"/>
      <c r="D2" s="1"/>
      <c r="E2" s="12" t="str">
        <f>A!H2</f>
        <v xml:space="preserve">Exhibit JD-1 </v>
      </c>
    </row>
    <row r="3" spans="1:5" ht="15.75">
      <c r="A3" s="1"/>
      <c r="B3" s="1"/>
      <c r="C3" s="1"/>
      <c r="D3" s="1"/>
      <c r="E3" s="12" t="s">
        <v>116</v>
      </c>
    </row>
    <row r="4" spans="1:5" ht="15.75">
      <c r="A4" s="50" t="s">
        <v>114</v>
      </c>
      <c r="B4" s="1"/>
      <c r="C4" s="1"/>
      <c r="D4" s="1"/>
      <c r="E4" s="12" t="str">
        <f>A!H4</f>
        <v>Page 1 of 1</v>
      </c>
    </row>
    <row r="5" spans="1:5" ht="15.75">
      <c r="A5" s="1"/>
      <c r="B5" s="1"/>
      <c r="C5" s="1"/>
      <c r="D5" s="1"/>
      <c r="E5" s="1"/>
    </row>
    <row r="6" spans="1:5" ht="15.75">
      <c r="B6" s="50"/>
      <c r="C6" s="50"/>
      <c r="D6" s="50"/>
      <c r="E6" s="36"/>
    </row>
    <row r="7" spans="1:5" ht="15.75">
      <c r="A7" s="51"/>
      <c r="B7" s="50"/>
      <c r="C7" s="50"/>
      <c r="D7" s="50"/>
      <c r="E7" s="50"/>
    </row>
    <row r="8" spans="1:5" ht="15.75">
      <c r="A8" s="50"/>
      <c r="B8" s="50"/>
      <c r="C8" s="50"/>
      <c r="D8" s="50"/>
      <c r="E8" s="50"/>
    </row>
    <row r="9" spans="1:5" ht="15.75">
      <c r="A9" s="18" t="s">
        <v>29</v>
      </c>
      <c r="B9" s="1"/>
      <c r="C9" s="18" t="s">
        <v>13</v>
      </c>
      <c r="D9" s="22" t="s">
        <v>95</v>
      </c>
      <c r="E9" s="22" t="s">
        <v>31</v>
      </c>
    </row>
    <row r="10" spans="1:5" ht="15.75">
      <c r="A10" s="1"/>
      <c r="B10" s="1"/>
      <c r="C10" s="1"/>
      <c r="D10" s="19"/>
      <c r="E10" s="19"/>
    </row>
    <row r="11" spans="1:5" ht="45">
      <c r="A11" s="19">
        <v>1</v>
      </c>
      <c r="B11" s="1"/>
      <c r="C11" s="1" t="s">
        <v>91</v>
      </c>
      <c r="D11" s="23">
        <v>60916</v>
      </c>
      <c r="E11" s="177" t="s">
        <v>241</v>
      </c>
    </row>
    <row r="12" spans="1:5" ht="15.75">
      <c r="A12" s="19"/>
      <c r="B12" s="1"/>
      <c r="C12" s="1"/>
      <c r="D12" s="23"/>
      <c r="E12" s="139"/>
    </row>
    <row r="13" spans="1:5" ht="15.75">
      <c r="A13" s="19">
        <v>2</v>
      </c>
      <c r="B13" s="1"/>
      <c r="C13" s="1" t="s">
        <v>138</v>
      </c>
      <c r="D13" s="44">
        <v>-0.75</v>
      </c>
      <c r="E13" s="139" t="s">
        <v>139</v>
      </c>
    </row>
    <row r="14" spans="1:5" ht="15.75">
      <c r="A14" s="19"/>
      <c r="B14" s="1"/>
      <c r="C14" s="1"/>
      <c r="D14" s="23"/>
      <c r="E14" s="139"/>
    </row>
    <row r="15" spans="1:5" ht="16.5" thickBot="1">
      <c r="A15" s="19">
        <v>3</v>
      </c>
      <c r="B15" s="1"/>
      <c r="C15" s="1" t="s">
        <v>169</v>
      </c>
      <c r="D15" s="28">
        <f>+D11*D13</f>
        <v>-45687</v>
      </c>
      <c r="E15" s="139" t="s">
        <v>124</v>
      </c>
    </row>
    <row r="16" spans="1:5" ht="16.5" thickTop="1">
      <c r="A16" s="19"/>
      <c r="B16" s="1"/>
      <c r="C16" s="1"/>
      <c r="D16" s="1"/>
      <c r="E16" s="19"/>
    </row>
    <row r="17" spans="1:5" ht="15.75">
      <c r="A17" s="45"/>
      <c r="B17" s="50"/>
      <c r="C17" s="50"/>
      <c r="D17" s="50"/>
      <c r="E17" s="178"/>
    </row>
    <row r="18" spans="1:5" ht="15.75">
      <c r="A18" s="45"/>
      <c r="B18" s="50"/>
      <c r="C18" s="50"/>
      <c r="D18" s="50"/>
      <c r="E18" s="48"/>
    </row>
  </sheetData>
  <pageMargins left="0.7" right="0.7" top="0.75" bottom="0.75" header="0.3" footer="0.3"/>
  <pageSetup scale="9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30527-FDD2-4391-BF59-CDC6F1E2270F}">
  <sheetPr>
    <pageSetUpPr fitToPage="1"/>
  </sheetPr>
  <dimension ref="A1:E17"/>
  <sheetViews>
    <sheetView workbookViewId="0">
      <selection activeCell="E11" sqref="E11:E16"/>
    </sheetView>
  </sheetViews>
  <sheetFormatPr defaultRowHeight="15"/>
  <cols>
    <col min="2" max="2" width="3" customWidth="1"/>
    <col min="3" max="3" width="41.140625" customWidth="1"/>
    <col min="4" max="4" width="19.7109375" customWidth="1"/>
    <col min="5" max="5" width="20.7109375" customWidth="1"/>
  </cols>
  <sheetData>
    <row r="1" spans="1:5" ht="15.75">
      <c r="A1" s="1" t="str">
        <f>A!A1</f>
        <v>Columbia Gas of Kentucky, Inc.</v>
      </c>
      <c r="B1" s="1"/>
      <c r="C1" s="1"/>
      <c r="D1" s="1"/>
      <c r="E1" s="12" t="str">
        <f>A!H1</f>
        <v>Case No. 2026-00099</v>
      </c>
    </row>
    <row r="2" spans="1:5" ht="15.75">
      <c r="A2" s="1" t="str">
        <f>A!A2</f>
        <v>Forecasted Test Period: Twelve Months Ended December 31, 2027</v>
      </c>
      <c r="B2" s="1"/>
      <c r="C2" s="1"/>
      <c r="D2" s="1"/>
      <c r="E2" s="12" t="str">
        <f>A!H2</f>
        <v xml:space="preserve">Exhibit JD-1 </v>
      </c>
    </row>
    <row r="3" spans="1:5" ht="15.75">
      <c r="A3" s="1"/>
      <c r="B3" s="1"/>
      <c r="C3" s="1"/>
      <c r="D3" s="1"/>
      <c r="E3" s="12" t="s">
        <v>117</v>
      </c>
    </row>
    <row r="4" spans="1:5" ht="15.75">
      <c r="A4" s="50" t="s">
        <v>245</v>
      </c>
      <c r="B4" s="1"/>
      <c r="C4" s="1"/>
      <c r="D4" s="1"/>
      <c r="E4" s="12" t="str">
        <f>A!H4</f>
        <v>Page 1 of 1</v>
      </c>
    </row>
    <row r="5" spans="1:5" ht="15.75">
      <c r="A5" s="1"/>
      <c r="B5" s="1"/>
      <c r="C5" s="1"/>
      <c r="D5" s="1"/>
      <c r="E5" s="1"/>
    </row>
    <row r="6" spans="1:5" ht="15.75">
      <c r="B6" s="50"/>
      <c r="C6" s="50"/>
      <c r="D6" s="50"/>
      <c r="E6" s="36"/>
    </row>
    <row r="7" spans="1:5" ht="15.75">
      <c r="A7" s="51"/>
      <c r="B7" s="50"/>
      <c r="C7" s="50"/>
      <c r="D7" s="50"/>
      <c r="E7" s="50"/>
    </row>
    <row r="8" spans="1:5" ht="15.75">
      <c r="A8" s="50"/>
      <c r="B8" s="50"/>
      <c r="C8" s="50"/>
      <c r="D8" s="50"/>
      <c r="E8" s="50"/>
    </row>
    <row r="9" spans="1:5" ht="15.75">
      <c r="A9" s="18" t="s">
        <v>29</v>
      </c>
      <c r="B9" s="1"/>
      <c r="C9" s="18" t="s">
        <v>13</v>
      </c>
      <c r="D9" s="22" t="s">
        <v>95</v>
      </c>
      <c r="E9" s="22" t="s">
        <v>31</v>
      </c>
    </row>
    <row r="10" spans="1:5" ht="15.75">
      <c r="A10" s="1"/>
      <c r="B10" s="1"/>
      <c r="C10" s="1"/>
      <c r="D10" s="19"/>
      <c r="E10" s="19"/>
    </row>
    <row r="11" spans="1:5" ht="45">
      <c r="A11" s="19">
        <v>1</v>
      </c>
      <c r="B11" s="1"/>
      <c r="C11" s="1" t="s">
        <v>91</v>
      </c>
      <c r="D11" s="23">
        <f>108001+121479</f>
        <v>229480</v>
      </c>
      <c r="E11" s="177" t="s">
        <v>244</v>
      </c>
    </row>
    <row r="12" spans="1:5" ht="15.75">
      <c r="A12" s="19"/>
      <c r="B12" s="1"/>
      <c r="C12" s="1"/>
      <c r="D12" s="23"/>
      <c r="E12" s="139"/>
    </row>
    <row r="13" spans="1:5" ht="15.75">
      <c r="A13" s="19">
        <v>2</v>
      </c>
      <c r="B13" s="1"/>
      <c r="C13" s="1" t="s">
        <v>177</v>
      </c>
      <c r="D13" s="24">
        <v>0</v>
      </c>
      <c r="E13" s="177" t="s">
        <v>139</v>
      </c>
    </row>
    <row r="14" spans="1:5" ht="15.75">
      <c r="A14" s="19"/>
      <c r="B14" s="1"/>
      <c r="C14" s="1"/>
      <c r="D14" s="23"/>
      <c r="E14" s="139"/>
    </row>
    <row r="15" spans="1:5" ht="16.5" thickBot="1">
      <c r="A15" s="19">
        <v>3</v>
      </c>
      <c r="B15" s="1"/>
      <c r="C15" s="1" t="s">
        <v>169</v>
      </c>
      <c r="D15" s="28">
        <f>+D13-D11</f>
        <v>-229480</v>
      </c>
      <c r="E15" s="139" t="s">
        <v>99</v>
      </c>
    </row>
    <row r="16" spans="1:5" ht="16.5" thickTop="1">
      <c r="A16" s="19"/>
      <c r="B16" s="1"/>
      <c r="C16" s="1"/>
      <c r="D16" s="1"/>
      <c r="E16" s="19"/>
    </row>
    <row r="17" spans="1:5" ht="15.75">
      <c r="A17" s="45"/>
      <c r="B17" s="50"/>
      <c r="C17" s="50"/>
      <c r="D17" s="50"/>
      <c r="E17" s="48"/>
    </row>
  </sheetData>
  <pageMargins left="0.7" right="0.7" top="0.75" bottom="0.75" header="0.3" footer="0.3"/>
  <pageSetup scale="9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FFA60-8241-4441-80E0-29365B6A1097}">
  <sheetPr>
    <pageSetUpPr fitToPage="1"/>
  </sheetPr>
  <dimension ref="A1:F41"/>
  <sheetViews>
    <sheetView topLeftCell="A16" workbookViewId="0">
      <selection activeCell="E45" sqref="E45"/>
    </sheetView>
  </sheetViews>
  <sheetFormatPr defaultRowHeight="15"/>
  <cols>
    <col min="2" max="2" width="3" customWidth="1"/>
    <col min="3" max="3" width="33.140625" customWidth="1"/>
    <col min="4" max="4" width="25.140625" customWidth="1"/>
    <col min="5" max="5" width="28" customWidth="1"/>
    <col min="6" max="6" width="16.42578125" customWidth="1"/>
  </cols>
  <sheetData>
    <row r="1" spans="1:6" ht="15.75">
      <c r="A1" s="1" t="str">
        <f>A!A1</f>
        <v>Columbia Gas of Kentucky, Inc.</v>
      </c>
      <c r="B1" s="1"/>
      <c r="C1" s="1"/>
      <c r="D1" s="1"/>
      <c r="E1" s="12" t="str">
        <f>A!H1</f>
        <v>Case No. 2026-00099</v>
      </c>
    </row>
    <row r="2" spans="1:6" ht="15.75">
      <c r="A2" s="1" t="str">
        <f>A!A2</f>
        <v>Forecasted Test Period: Twelve Months Ended December 31, 2027</v>
      </c>
      <c r="B2" s="1"/>
      <c r="C2" s="1"/>
      <c r="D2" s="1"/>
      <c r="E2" s="12" t="str">
        <f>A!H2</f>
        <v xml:space="preserve">Exhibit JD-1 </v>
      </c>
    </row>
    <row r="3" spans="1:6" ht="15.75">
      <c r="A3" s="1"/>
      <c r="B3" s="1"/>
      <c r="C3" s="1"/>
      <c r="D3" s="1"/>
      <c r="E3" s="12" t="s">
        <v>119</v>
      </c>
    </row>
    <row r="4" spans="1:6" ht="15.75">
      <c r="A4" s="50" t="s">
        <v>120</v>
      </c>
      <c r="B4" s="1"/>
      <c r="C4" s="1"/>
      <c r="D4" s="1"/>
      <c r="E4" s="12" t="str">
        <f>A!H4</f>
        <v>Page 1 of 1</v>
      </c>
    </row>
    <row r="5" spans="1:6" ht="15.75">
      <c r="A5" s="1"/>
      <c r="B5" s="1"/>
      <c r="C5" s="1"/>
      <c r="D5" s="1"/>
      <c r="E5" s="1"/>
    </row>
    <row r="6" spans="1:6" ht="15.75">
      <c r="B6" s="50"/>
      <c r="C6" s="50"/>
      <c r="D6" s="50"/>
      <c r="E6" s="36"/>
    </row>
    <row r="7" spans="1:6" ht="15.75">
      <c r="A7" s="51"/>
      <c r="B7" s="50"/>
      <c r="C7" s="50"/>
      <c r="D7" s="50"/>
      <c r="E7" s="50"/>
    </row>
    <row r="8" spans="1:6" ht="15.75">
      <c r="A8" s="50"/>
      <c r="B8" s="50"/>
      <c r="C8" s="50"/>
      <c r="D8" s="50"/>
      <c r="E8" s="50"/>
    </row>
    <row r="9" spans="1:6" ht="15.75">
      <c r="A9" s="18" t="s">
        <v>29</v>
      </c>
      <c r="B9" s="1"/>
      <c r="C9" s="18" t="s">
        <v>13</v>
      </c>
      <c r="D9" s="22" t="s">
        <v>95</v>
      </c>
      <c r="E9" s="22" t="s">
        <v>31</v>
      </c>
    </row>
    <row r="10" spans="1:6" ht="15.75">
      <c r="A10" s="1"/>
      <c r="B10" s="1"/>
      <c r="C10" s="1"/>
      <c r="D10" s="19"/>
      <c r="E10" s="19"/>
    </row>
    <row r="11" spans="1:6" ht="15.75">
      <c r="A11" s="19">
        <v>1</v>
      </c>
      <c r="B11" s="1"/>
      <c r="C11" s="1" t="s">
        <v>151</v>
      </c>
      <c r="D11" s="23">
        <f>+D22</f>
        <v>2294258</v>
      </c>
      <c r="E11" s="179" t="s">
        <v>98</v>
      </c>
      <c r="F11" s="85"/>
    </row>
    <row r="12" spans="1:6" ht="15.75">
      <c r="A12" s="19"/>
      <c r="B12" s="1"/>
      <c r="C12" s="1"/>
      <c r="D12" s="23"/>
      <c r="E12" s="139"/>
    </row>
    <row r="13" spans="1:6" ht="15.75">
      <c r="A13" s="19">
        <v>2</v>
      </c>
      <c r="B13" s="1"/>
      <c r="C13" s="1" t="s">
        <v>175</v>
      </c>
      <c r="D13" s="24">
        <v>0</v>
      </c>
      <c r="E13" s="139" t="s">
        <v>139</v>
      </c>
    </row>
    <row r="14" spans="1:6" ht="15.75">
      <c r="A14" s="19"/>
      <c r="B14" s="1"/>
      <c r="C14" s="1"/>
      <c r="D14" s="23"/>
      <c r="E14" s="139"/>
    </row>
    <row r="15" spans="1:6" ht="16.5" thickBot="1">
      <c r="A15" s="19">
        <v>3</v>
      </c>
      <c r="B15" s="1"/>
      <c r="C15" s="1" t="s">
        <v>169</v>
      </c>
      <c r="D15" s="28">
        <f>+D13-D11</f>
        <v>-2294258</v>
      </c>
      <c r="E15" s="139" t="s">
        <v>99</v>
      </c>
    </row>
    <row r="16" spans="1:6" ht="16.5" thickTop="1">
      <c r="A16" s="19"/>
      <c r="B16" s="1"/>
      <c r="C16" s="1"/>
      <c r="D16" s="1"/>
      <c r="E16" s="1"/>
    </row>
    <row r="17" spans="1:5" ht="15.75">
      <c r="A17" s="45"/>
      <c r="B17" s="50"/>
      <c r="C17" s="50"/>
      <c r="D17" s="50"/>
      <c r="E17" s="48"/>
    </row>
    <row r="18" spans="1:5" ht="15.75">
      <c r="A18" s="45"/>
      <c r="B18" s="50"/>
      <c r="C18" s="50"/>
      <c r="D18" s="50"/>
      <c r="E18" s="48"/>
    </row>
    <row r="19" spans="1:5" ht="15.75">
      <c r="A19" s="19"/>
      <c r="B19" s="1"/>
      <c r="C19" s="1" t="s">
        <v>248</v>
      </c>
      <c r="D19" s="19"/>
    </row>
    <row r="20" spans="1:5" ht="30.75">
      <c r="A20" s="19">
        <v>4</v>
      </c>
      <c r="B20" s="1"/>
      <c r="C20" s="12" t="s">
        <v>246</v>
      </c>
      <c r="D20" s="23">
        <v>1627695</v>
      </c>
      <c r="E20" s="76" t="s">
        <v>249</v>
      </c>
    </row>
    <row r="21" spans="1:5" ht="30.75">
      <c r="A21" s="19">
        <v>5</v>
      </c>
      <c r="B21" s="1"/>
      <c r="C21" s="12" t="s">
        <v>247</v>
      </c>
      <c r="D21" s="24">
        <v>666563</v>
      </c>
      <c r="E21" s="76" t="s">
        <v>249</v>
      </c>
    </row>
    <row r="22" spans="1:5" ht="15.75">
      <c r="A22" s="19">
        <v>6</v>
      </c>
      <c r="B22" s="1"/>
      <c r="C22" s="12" t="s">
        <v>20</v>
      </c>
      <c r="D22" s="23">
        <f>SUM(D20:D21)</f>
        <v>2294258</v>
      </c>
      <c r="E22" s="1" t="s">
        <v>250</v>
      </c>
    </row>
    <row r="23" spans="1:5" ht="15.75">
      <c r="A23" s="19"/>
      <c r="B23" s="1"/>
      <c r="C23" s="12"/>
      <c r="D23" s="138"/>
      <c r="E23" s="76"/>
    </row>
    <row r="24" spans="1:5" ht="15.75">
      <c r="A24" s="19"/>
      <c r="B24" s="1"/>
      <c r="C24" s="12"/>
      <c r="D24" s="23"/>
    </row>
    <row r="25" spans="1:5" ht="15.75">
      <c r="A25" s="19">
        <v>7</v>
      </c>
      <c r="B25" s="1"/>
      <c r="C25" s="12" t="s">
        <v>337</v>
      </c>
      <c r="D25" s="23">
        <f>677547+232451</f>
        <v>909998</v>
      </c>
    </row>
    <row r="26" spans="1:5" ht="15.75">
      <c r="A26" s="19">
        <v>8</v>
      </c>
      <c r="B26" s="1"/>
      <c r="C26" s="12" t="s">
        <v>338</v>
      </c>
      <c r="D26" s="180">
        <f>950148+434112</f>
        <v>1384260</v>
      </c>
    </row>
    <row r="27" spans="1:5" ht="15.75">
      <c r="A27" s="19">
        <v>9</v>
      </c>
      <c r="B27" s="1"/>
      <c r="C27" s="12" t="s">
        <v>20</v>
      </c>
      <c r="D27" s="23">
        <f>SUM(D25:D26)</f>
        <v>2294258</v>
      </c>
      <c r="E27" s="76"/>
    </row>
    <row r="28" spans="1:5" ht="15.75">
      <c r="A28" s="19"/>
      <c r="B28" s="1"/>
      <c r="C28" s="12"/>
      <c r="D28" s="23"/>
      <c r="E28" s="76"/>
    </row>
    <row r="29" spans="1:5" ht="15.75">
      <c r="A29" s="19"/>
      <c r="B29" s="1"/>
      <c r="C29" s="12"/>
      <c r="D29" s="23"/>
    </row>
    <row r="30" spans="1:5" ht="15.75">
      <c r="A30" s="19"/>
      <c r="B30" s="1"/>
      <c r="C30" s="12"/>
      <c r="D30" s="138"/>
      <c r="E30" s="76"/>
    </row>
    <row r="31" spans="1:5" ht="15.75">
      <c r="A31" s="19"/>
      <c r="B31" s="1"/>
      <c r="C31" s="12"/>
      <c r="D31" s="23"/>
    </row>
    <row r="32" spans="1:5" ht="15.75">
      <c r="A32" s="19"/>
      <c r="B32" s="1"/>
      <c r="C32" s="1"/>
      <c r="D32" s="23"/>
    </row>
    <row r="33" spans="1:4" ht="15.75">
      <c r="A33" s="19"/>
      <c r="B33" s="1"/>
      <c r="C33" s="1"/>
      <c r="D33" s="139"/>
    </row>
    <row r="34" spans="1:4" ht="15.75">
      <c r="A34" s="19"/>
      <c r="B34" s="1"/>
      <c r="C34" s="1"/>
      <c r="D34" s="23"/>
    </row>
    <row r="35" spans="1:4" ht="15.75">
      <c r="A35" s="78"/>
      <c r="C35" s="1"/>
      <c r="D35" s="23"/>
    </row>
    <row r="36" spans="1:4" ht="15.75">
      <c r="A36" s="78"/>
      <c r="C36" s="1"/>
      <c r="D36" s="23"/>
    </row>
    <row r="37" spans="1:4" ht="15.75">
      <c r="A37" s="78"/>
      <c r="D37" s="85"/>
    </row>
    <row r="38" spans="1:4" ht="15.75">
      <c r="A38" s="78"/>
    </row>
    <row r="39" spans="1:4" ht="15.75">
      <c r="A39" s="78"/>
    </row>
    <row r="40" spans="1:4" ht="15.75">
      <c r="A40" s="78"/>
    </row>
    <row r="41" spans="1:4" ht="15.75">
      <c r="A41" s="78"/>
    </row>
  </sheetData>
  <pageMargins left="0.7" right="0.7" top="0.75" bottom="0.75" header="0.3" footer="0.3"/>
  <pageSetup scale="9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559D3-375C-40ED-8B9D-807B153B1150}">
  <sheetPr>
    <pageSetUpPr fitToPage="1"/>
  </sheetPr>
  <dimension ref="A1:E31"/>
  <sheetViews>
    <sheetView workbookViewId="0">
      <selection activeCell="E11" sqref="E11:E16"/>
    </sheetView>
  </sheetViews>
  <sheetFormatPr defaultRowHeight="15"/>
  <cols>
    <col min="2" max="2" width="3" customWidth="1"/>
    <col min="3" max="3" width="41.140625" customWidth="1"/>
    <col min="4" max="4" width="19.7109375" customWidth="1"/>
    <col min="5" max="5" width="23.42578125" bestFit="1" customWidth="1"/>
  </cols>
  <sheetData>
    <row r="1" spans="1:5" ht="15.75">
      <c r="A1" s="1" t="str">
        <f>A!A1</f>
        <v>Columbia Gas of Kentucky, Inc.</v>
      </c>
      <c r="B1" s="1"/>
      <c r="C1" s="1"/>
      <c r="D1" s="1"/>
      <c r="E1" s="12" t="str">
        <f>A!H1</f>
        <v>Case No. 2026-00099</v>
      </c>
    </row>
    <row r="2" spans="1:5" ht="15.75">
      <c r="A2" s="1" t="str">
        <f>A!A2</f>
        <v>Forecasted Test Period: Twelve Months Ended December 31, 2027</v>
      </c>
      <c r="B2" s="1"/>
      <c r="C2" s="1"/>
      <c r="D2" s="1"/>
      <c r="E2" s="12" t="str">
        <f>A!H2</f>
        <v xml:space="preserve">Exhibit JD-1 </v>
      </c>
    </row>
    <row r="3" spans="1:5" ht="15.75">
      <c r="A3" s="1"/>
      <c r="B3" s="1"/>
      <c r="C3" s="1"/>
      <c r="D3" s="1"/>
      <c r="E3" s="12" t="s">
        <v>122</v>
      </c>
    </row>
    <row r="4" spans="1:5" ht="15.75">
      <c r="A4" s="50" t="s">
        <v>118</v>
      </c>
      <c r="B4" s="1"/>
      <c r="C4" s="1"/>
      <c r="D4" s="1"/>
      <c r="E4" s="12" t="str">
        <f>A!H4</f>
        <v>Page 1 of 1</v>
      </c>
    </row>
    <row r="5" spans="1:5" ht="15.75">
      <c r="A5" s="1"/>
      <c r="B5" s="1"/>
      <c r="C5" s="1"/>
      <c r="D5" s="1"/>
      <c r="E5" s="1"/>
    </row>
    <row r="6" spans="1:5" ht="15.75">
      <c r="B6" s="50"/>
      <c r="C6" s="50"/>
      <c r="D6" s="50"/>
      <c r="E6" s="36"/>
    </row>
    <row r="7" spans="1:5" ht="15.75">
      <c r="A7" s="51"/>
      <c r="B7" s="50"/>
      <c r="C7" s="50"/>
      <c r="D7" s="50"/>
      <c r="E7" s="50"/>
    </row>
    <row r="8" spans="1:5" ht="15.75">
      <c r="A8" s="50"/>
      <c r="B8" s="50"/>
      <c r="C8" s="50"/>
      <c r="D8" s="50"/>
      <c r="E8" s="50"/>
    </row>
    <row r="9" spans="1:5" ht="15.75">
      <c r="A9" s="18" t="s">
        <v>29</v>
      </c>
      <c r="B9" s="1"/>
      <c r="C9" s="18" t="s">
        <v>13</v>
      </c>
      <c r="D9" s="22" t="s">
        <v>95</v>
      </c>
      <c r="E9" s="22" t="s">
        <v>31</v>
      </c>
    </row>
    <row r="10" spans="1:5" ht="15.75">
      <c r="A10" s="1"/>
      <c r="B10" s="1"/>
      <c r="C10" s="1"/>
      <c r="D10" s="19"/>
      <c r="E10" s="19"/>
    </row>
    <row r="11" spans="1:5" ht="45">
      <c r="A11" s="19">
        <v>1</v>
      </c>
      <c r="B11" s="1"/>
      <c r="C11" s="1" t="s">
        <v>91</v>
      </c>
      <c r="D11" s="23">
        <v>13008188</v>
      </c>
      <c r="E11" s="177" t="s">
        <v>258</v>
      </c>
    </row>
    <row r="12" spans="1:5" ht="15.75">
      <c r="A12" s="19"/>
      <c r="B12" s="1"/>
      <c r="C12" s="1"/>
      <c r="D12" s="23"/>
      <c r="E12" s="139"/>
    </row>
    <row r="13" spans="1:5" ht="15.75">
      <c r="A13" s="19">
        <v>2</v>
      </c>
      <c r="B13" s="1"/>
      <c r="C13" s="1" t="s">
        <v>257</v>
      </c>
      <c r="D13" s="37">
        <v>-7.0499999999999993E-2</v>
      </c>
      <c r="E13" s="139" t="s">
        <v>139</v>
      </c>
    </row>
    <row r="14" spans="1:5" ht="15.75">
      <c r="A14" s="19"/>
      <c r="B14" s="1"/>
      <c r="C14" s="1"/>
      <c r="D14" s="23"/>
      <c r="E14" s="139"/>
    </row>
    <row r="15" spans="1:5" ht="16.5" thickBot="1">
      <c r="A15" s="19">
        <v>3</v>
      </c>
      <c r="B15" s="1"/>
      <c r="C15" s="1" t="s">
        <v>169</v>
      </c>
      <c r="D15" s="28">
        <f>+D11*D13</f>
        <v>-917077.25399999996</v>
      </c>
      <c r="E15" s="139" t="s">
        <v>124</v>
      </c>
    </row>
    <row r="16" spans="1:5" ht="16.5" thickTop="1">
      <c r="A16" s="19"/>
      <c r="B16" s="1"/>
      <c r="C16" s="1"/>
      <c r="D16" s="1"/>
      <c r="E16" s="19"/>
    </row>
    <row r="17" spans="1:5" ht="15.75">
      <c r="A17" s="45"/>
      <c r="B17" s="50"/>
      <c r="C17" s="50"/>
      <c r="D17" s="50"/>
      <c r="E17" s="48"/>
    </row>
    <row r="18" spans="1:5" ht="15.75">
      <c r="A18" s="45"/>
      <c r="B18" s="50"/>
      <c r="C18" s="50"/>
      <c r="D18" s="50"/>
      <c r="E18" s="48"/>
    </row>
    <row r="19" spans="1:5" ht="15.75">
      <c r="A19" s="19"/>
    </row>
    <row r="20" spans="1:5" ht="15.75">
      <c r="A20" s="19"/>
      <c r="C20" s="12"/>
      <c r="D20" s="23"/>
      <c r="E20" s="76"/>
    </row>
    <row r="21" spans="1:5" ht="15.75">
      <c r="A21" s="19"/>
      <c r="C21" s="12"/>
      <c r="D21" s="66"/>
      <c r="E21" s="1"/>
    </row>
    <row r="22" spans="1:5" ht="15.75">
      <c r="A22" s="19"/>
      <c r="C22" s="12"/>
      <c r="D22" s="23"/>
      <c r="E22" s="1"/>
    </row>
    <row r="23" spans="1:5" ht="15.75">
      <c r="A23" s="19"/>
      <c r="C23" s="12"/>
      <c r="D23" s="23"/>
      <c r="E23" s="1"/>
    </row>
    <row r="24" spans="1:5" ht="15.75">
      <c r="A24" s="19"/>
      <c r="C24" s="12"/>
      <c r="D24" s="23"/>
      <c r="E24" s="76"/>
    </row>
    <row r="25" spans="1:5" ht="15.75">
      <c r="A25" s="19"/>
      <c r="C25" s="12"/>
      <c r="D25" s="66"/>
      <c r="E25" s="1"/>
    </row>
    <row r="26" spans="1:5" ht="15.75">
      <c r="A26" s="19"/>
      <c r="C26" s="12"/>
      <c r="D26" s="23"/>
      <c r="E26" s="1"/>
    </row>
    <row r="27" spans="1:5" ht="15.75">
      <c r="A27" s="19"/>
      <c r="C27" s="12"/>
      <c r="D27" s="1"/>
    </row>
    <row r="28" spans="1:5" ht="15.75">
      <c r="A28" s="19"/>
      <c r="C28" s="12"/>
      <c r="D28" s="23"/>
    </row>
    <row r="29" spans="1:5" ht="15.75">
      <c r="A29" s="19"/>
      <c r="C29" s="12"/>
      <c r="D29" s="1"/>
    </row>
    <row r="30" spans="1:5" ht="15.75">
      <c r="A30" s="19"/>
      <c r="D30" s="1"/>
    </row>
    <row r="31" spans="1:5" ht="15.75">
      <c r="D31" s="1"/>
    </row>
  </sheetData>
  <pageMargins left="0.7" right="0.7" top="0.75" bottom="0.75" header="0.3" footer="0.3"/>
  <pageSetup scale="9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2CFD-2583-4F63-B735-7EF962EBB654}">
  <sheetPr>
    <pageSetUpPr fitToPage="1"/>
  </sheetPr>
  <dimension ref="A1:E30"/>
  <sheetViews>
    <sheetView workbookViewId="0">
      <selection activeCell="E11" sqref="E11:E16"/>
    </sheetView>
  </sheetViews>
  <sheetFormatPr defaultRowHeight="15"/>
  <cols>
    <col min="2" max="2" width="3" customWidth="1"/>
    <col min="3" max="3" width="41.140625" customWidth="1"/>
    <col min="4" max="4" width="19.7109375" customWidth="1"/>
    <col min="5" max="5" width="23.42578125" bestFit="1" customWidth="1"/>
  </cols>
  <sheetData>
    <row r="1" spans="1:5" ht="15.75">
      <c r="A1" s="1" t="str">
        <f>A!A1</f>
        <v>Columbia Gas of Kentucky, Inc.</v>
      </c>
      <c r="B1" s="1"/>
      <c r="C1" s="1"/>
      <c r="D1" s="1"/>
      <c r="E1" s="12" t="str">
        <f>A!H1</f>
        <v>Case No. 2026-00099</v>
      </c>
    </row>
    <row r="2" spans="1:5" ht="15.75">
      <c r="A2" s="1" t="str">
        <f>A!A2</f>
        <v>Forecasted Test Period: Twelve Months Ended December 31, 2027</v>
      </c>
      <c r="B2" s="1"/>
      <c r="C2" s="1"/>
      <c r="D2" s="1"/>
      <c r="E2" s="12" t="str">
        <f>A!H2</f>
        <v xml:space="preserve">Exhibit JD-1 </v>
      </c>
    </row>
    <row r="3" spans="1:5" ht="15.75">
      <c r="A3" s="1"/>
      <c r="B3" s="1"/>
      <c r="C3" s="1"/>
      <c r="D3" s="1"/>
      <c r="E3" s="12" t="s">
        <v>123</v>
      </c>
    </row>
    <row r="4" spans="1:5" ht="15.75">
      <c r="A4" s="50" t="s">
        <v>251</v>
      </c>
      <c r="B4" s="1"/>
      <c r="C4" s="1"/>
      <c r="D4" s="1"/>
      <c r="E4" s="12" t="str">
        <f>A!H4</f>
        <v>Page 1 of 1</v>
      </c>
    </row>
    <row r="5" spans="1:5" ht="15.75">
      <c r="A5" s="1"/>
      <c r="B5" s="1"/>
      <c r="C5" s="1"/>
      <c r="D5" s="1"/>
      <c r="E5" s="1"/>
    </row>
    <row r="6" spans="1:5" ht="15.75">
      <c r="B6" s="50"/>
      <c r="C6" s="50"/>
      <c r="D6" s="50"/>
      <c r="E6" s="36"/>
    </row>
    <row r="7" spans="1:5" ht="15.75">
      <c r="A7" s="51"/>
      <c r="B7" s="50"/>
      <c r="C7" s="50"/>
      <c r="D7" s="50"/>
      <c r="E7" s="50"/>
    </row>
    <row r="8" spans="1:5" ht="15.75">
      <c r="A8" s="50"/>
      <c r="B8" s="50"/>
      <c r="C8" s="50"/>
      <c r="D8" s="50"/>
      <c r="E8" s="50"/>
    </row>
    <row r="9" spans="1:5" ht="15.75">
      <c r="A9" s="18" t="s">
        <v>29</v>
      </c>
      <c r="B9" s="1"/>
      <c r="C9" s="18" t="s">
        <v>13</v>
      </c>
      <c r="D9" s="22" t="s">
        <v>95</v>
      </c>
      <c r="E9" s="22" t="s">
        <v>31</v>
      </c>
    </row>
    <row r="10" spans="1:5" ht="15.75">
      <c r="A10" s="1"/>
      <c r="B10" s="1"/>
      <c r="C10" s="1"/>
      <c r="D10" s="19"/>
      <c r="E10" s="19"/>
    </row>
    <row r="11" spans="1:5" ht="45.75">
      <c r="A11" s="19">
        <v>1</v>
      </c>
      <c r="B11" s="1"/>
      <c r="C11" s="1" t="s">
        <v>91</v>
      </c>
      <c r="D11" s="23">
        <v>6283</v>
      </c>
      <c r="E11" s="169" t="s">
        <v>336</v>
      </c>
    </row>
    <row r="12" spans="1:5" ht="15.75">
      <c r="A12" s="19"/>
      <c r="B12" s="1"/>
      <c r="C12" s="1"/>
      <c r="D12" s="23"/>
      <c r="E12" s="139"/>
    </row>
    <row r="13" spans="1:5" ht="15.75">
      <c r="A13" s="19">
        <v>2</v>
      </c>
      <c r="B13" s="1"/>
      <c r="C13" s="1" t="s">
        <v>174</v>
      </c>
      <c r="D13" s="24">
        <v>0</v>
      </c>
      <c r="E13" s="139" t="s">
        <v>139</v>
      </c>
    </row>
    <row r="14" spans="1:5" ht="15.75">
      <c r="A14" s="19"/>
      <c r="B14" s="1"/>
      <c r="C14" s="1"/>
      <c r="D14" s="23"/>
      <c r="E14" s="139"/>
    </row>
    <row r="15" spans="1:5" ht="16.5" thickBot="1">
      <c r="A15" s="19">
        <v>3</v>
      </c>
      <c r="B15" s="1"/>
      <c r="C15" s="1" t="s">
        <v>169</v>
      </c>
      <c r="D15" s="28">
        <f>+D13-D11</f>
        <v>-6283</v>
      </c>
      <c r="E15" s="139" t="s">
        <v>99</v>
      </c>
    </row>
    <row r="16" spans="1:5" ht="16.5" thickTop="1">
      <c r="A16" s="19"/>
      <c r="B16" s="1"/>
      <c r="C16" s="1"/>
      <c r="D16" s="1"/>
      <c r="E16" s="19"/>
    </row>
    <row r="17" spans="1:5" ht="15.75">
      <c r="A17" s="45"/>
      <c r="B17" s="50"/>
      <c r="C17" s="50"/>
      <c r="D17" s="50"/>
      <c r="E17" s="48"/>
    </row>
    <row r="18" spans="1:5" ht="15.75">
      <c r="A18" s="45"/>
      <c r="B18" s="50"/>
      <c r="C18" s="50"/>
      <c r="D18" s="50"/>
      <c r="E18" s="48"/>
    </row>
    <row r="19" spans="1:5" ht="15.75">
      <c r="A19" s="19"/>
    </row>
    <row r="20" spans="1:5" ht="15.75">
      <c r="A20" s="19"/>
      <c r="C20" s="12"/>
      <c r="D20" s="23"/>
      <c r="E20" s="76"/>
    </row>
    <row r="21" spans="1:5" ht="15.75">
      <c r="A21" s="19"/>
      <c r="C21" s="12"/>
      <c r="D21" s="66"/>
      <c r="E21" s="1"/>
    </row>
    <row r="22" spans="1:5" ht="15.75">
      <c r="A22" s="19"/>
      <c r="C22" s="12"/>
      <c r="D22" s="23"/>
      <c r="E22" s="1"/>
    </row>
    <row r="23" spans="1:5" ht="15.75">
      <c r="A23" s="19"/>
      <c r="C23" s="12"/>
      <c r="D23" s="23"/>
      <c r="E23" s="1"/>
    </row>
    <row r="24" spans="1:5" ht="15.75">
      <c r="A24" s="19"/>
      <c r="C24" s="12"/>
      <c r="D24" s="23"/>
      <c r="E24" s="76"/>
    </row>
    <row r="25" spans="1:5" ht="15.75">
      <c r="A25" s="19"/>
      <c r="C25" s="12"/>
      <c r="D25" s="66"/>
      <c r="E25" s="1"/>
    </row>
    <row r="26" spans="1:5" ht="15.75">
      <c r="A26" s="19"/>
      <c r="C26" s="12"/>
      <c r="D26" s="23"/>
      <c r="E26" s="1"/>
    </row>
    <row r="27" spans="1:5" ht="15.75">
      <c r="A27" s="19"/>
      <c r="C27" s="12"/>
      <c r="D27" s="1"/>
    </row>
    <row r="28" spans="1:5" ht="15.75">
      <c r="A28" s="19"/>
      <c r="C28" s="12"/>
      <c r="D28" s="23"/>
    </row>
    <row r="29" spans="1:5" ht="15.75">
      <c r="A29" s="19"/>
      <c r="C29" s="12"/>
      <c r="D29" s="1"/>
    </row>
    <row r="30" spans="1:5" ht="15.75">
      <c r="A30" s="19"/>
      <c r="D30" s="1"/>
    </row>
  </sheetData>
  <pageMargins left="0.7" right="0.7" top="0.75" bottom="0.75" header="0.3" footer="0.3"/>
  <pageSetup scale="9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06F7E-F2F7-4BD1-B07A-4E8642170A4E}">
  <sheetPr>
    <pageSetUpPr fitToPage="1"/>
  </sheetPr>
  <dimension ref="A1:E29"/>
  <sheetViews>
    <sheetView workbookViewId="0">
      <selection activeCell="E11" sqref="E11:E16"/>
    </sheetView>
  </sheetViews>
  <sheetFormatPr defaultRowHeight="15"/>
  <cols>
    <col min="2" max="2" width="3" customWidth="1"/>
    <col min="3" max="3" width="41.140625" customWidth="1"/>
    <col min="4" max="4" width="19.7109375" customWidth="1"/>
    <col min="5" max="5" width="25.28515625" customWidth="1"/>
  </cols>
  <sheetData>
    <row r="1" spans="1:5" ht="15.75">
      <c r="A1" s="1" t="str">
        <f>A!A1</f>
        <v>Columbia Gas of Kentucky, Inc.</v>
      </c>
      <c r="B1" s="1"/>
      <c r="C1" s="1"/>
      <c r="D1" s="1"/>
      <c r="E1" s="12" t="str">
        <f>A!H1</f>
        <v>Case No. 2026-00099</v>
      </c>
    </row>
    <row r="2" spans="1:5" ht="15.75">
      <c r="A2" s="1" t="str">
        <f>A!A2</f>
        <v>Forecasted Test Period: Twelve Months Ended December 31, 2027</v>
      </c>
      <c r="B2" s="1"/>
      <c r="C2" s="1"/>
      <c r="D2" s="1"/>
      <c r="E2" s="12" t="str">
        <f>A!H2</f>
        <v xml:space="preserve">Exhibit JD-1 </v>
      </c>
    </row>
    <row r="3" spans="1:5" ht="15.75">
      <c r="A3" s="1"/>
      <c r="B3" s="1"/>
      <c r="C3" s="1"/>
      <c r="D3" s="1"/>
      <c r="E3" s="12" t="s">
        <v>126</v>
      </c>
    </row>
    <row r="4" spans="1:5" ht="15.75">
      <c r="A4" s="50" t="s">
        <v>153</v>
      </c>
      <c r="B4" s="1"/>
      <c r="C4" s="1"/>
      <c r="D4" s="1"/>
      <c r="E4" s="12" t="str">
        <f>A!H4</f>
        <v>Page 1 of 1</v>
      </c>
    </row>
    <row r="5" spans="1:5" ht="15.75">
      <c r="A5" s="1"/>
      <c r="B5" s="1"/>
      <c r="C5" s="1"/>
      <c r="D5" s="1"/>
      <c r="E5" s="1"/>
    </row>
    <row r="6" spans="1:5" ht="15.75">
      <c r="B6" s="50"/>
      <c r="C6" s="50"/>
      <c r="D6" s="50"/>
      <c r="E6" s="36"/>
    </row>
    <row r="7" spans="1:5" ht="15.75">
      <c r="A7" s="51"/>
      <c r="B7" s="50"/>
      <c r="C7" s="50"/>
      <c r="D7" s="50"/>
      <c r="E7" s="50"/>
    </row>
    <row r="8" spans="1:5" ht="15.75">
      <c r="A8" s="50"/>
      <c r="B8" s="50"/>
      <c r="C8" s="50"/>
      <c r="D8" s="50"/>
      <c r="E8" s="50"/>
    </row>
    <row r="9" spans="1:5" ht="15.75">
      <c r="A9" s="18" t="s">
        <v>29</v>
      </c>
      <c r="B9" s="1"/>
      <c r="C9" s="18" t="s">
        <v>13</v>
      </c>
      <c r="D9" s="22" t="s">
        <v>95</v>
      </c>
      <c r="E9" s="22" t="s">
        <v>31</v>
      </c>
    </row>
    <row r="10" spans="1:5" ht="15.75">
      <c r="A10" s="1"/>
      <c r="B10" s="1"/>
      <c r="C10" s="1"/>
      <c r="D10" s="19"/>
      <c r="E10" s="19"/>
    </row>
    <row r="11" spans="1:5" ht="30.75">
      <c r="A11" s="19">
        <v>1</v>
      </c>
      <c r="B11" s="1"/>
      <c r="C11" s="1" t="s">
        <v>151</v>
      </c>
      <c r="D11" s="23">
        <v>147466</v>
      </c>
      <c r="E11" s="179" t="s">
        <v>252</v>
      </c>
    </row>
    <row r="12" spans="1:5" ht="15.75">
      <c r="A12" s="19"/>
      <c r="B12" s="1"/>
      <c r="C12" s="1"/>
      <c r="D12" s="23"/>
      <c r="E12" s="139"/>
    </row>
    <row r="13" spans="1:5" ht="15.75">
      <c r="A13" s="19">
        <v>2</v>
      </c>
      <c r="B13" s="1"/>
      <c r="C13" s="1" t="s">
        <v>175</v>
      </c>
      <c r="D13" s="24">
        <v>0</v>
      </c>
      <c r="E13" s="139" t="s">
        <v>139</v>
      </c>
    </row>
    <row r="14" spans="1:5" ht="15.75">
      <c r="A14" s="19"/>
      <c r="B14" s="1"/>
      <c r="C14" s="1"/>
      <c r="D14" s="23"/>
      <c r="E14" s="139"/>
    </row>
    <row r="15" spans="1:5" ht="16.5" thickBot="1">
      <c r="A15" s="19">
        <v>3</v>
      </c>
      <c r="B15" s="1"/>
      <c r="C15" s="1" t="s">
        <v>169</v>
      </c>
      <c r="D15" s="28">
        <f>+D13-D11</f>
        <v>-147466</v>
      </c>
      <c r="E15" s="139" t="s">
        <v>99</v>
      </c>
    </row>
    <row r="16" spans="1:5" ht="16.5" thickTop="1">
      <c r="A16" s="19"/>
      <c r="B16" s="1"/>
      <c r="C16" s="1"/>
      <c r="D16" s="1"/>
      <c r="E16" s="19"/>
    </row>
    <row r="17" spans="1:5" ht="15.75">
      <c r="A17" s="45"/>
      <c r="B17" s="50"/>
      <c r="C17" s="50"/>
      <c r="D17" s="50"/>
      <c r="E17" s="48"/>
    </row>
    <row r="21" spans="1:5" ht="15.75">
      <c r="A21" s="19"/>
    </row>
    <row r="22" spans="1:5" ht="15.75">
      <c r="A22" s="19"/>
      <c r="C22" s="1"/>
      <c r="D22" s="19"/>
    </row>
    <row r="23" spans="1:5" ht="15.75">
      <c r="A23" s="19"/>
      <c r="C23" s="12"/>
      <c r="D23" s="23"/>
      <c r="E23" s="76"/>
    </row>
    <row r="24" spans="1:5" ht="15.75">
      <c r="A24" s="19"/>
      <c r="C24" s="12"/>
      <c r="D24" s="23"/>
      <c r="E24" s="76"/>
    </row>
    <row r="25" spans="1:5" ht="15.75">
      <c r="A25" s="19"/>
      <c r="C25" s="12"/>
      <c r="D25" s="23"/>
    </row>
    <row r="26" spans="1:5" ht="15.75">
      <c r="A26" s="19"/>
      <c r="C26" s="12"/>
      <c r="D26" s="138"/>
      <c r="E26" s="76"/>
    </row>
    <row r="27" spans="1:5" ht="15.75">
      <c r="A27" s="19"/>
      <c r="C27" s="12"/>
      <c r="D27" s="23"/>
    </row>
    <row r="28" spans="1:5" ht="15.75">
      <c r="A28" s="19"/>
      <c r="C28" s="140"/>
    </row>
    <row r="29" spans="1:5" ht="15.75">
      <c r="A29" s="19"/>
      <c r="C29" s="141"/>
    </row>
  </sheetData>
  <pageMargins left="0.7" right="0.7" top="0.75" bottom="0.75" header="0.3" footer="0.3"/>
  <pageSetup scale="9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2A2A5-26B5-472B-9753-B2C88126F9C0}">
  <sheetPr>
    <pageSetUpPr fitToPage="1"/>
  </sheetPr>
  <dimension ref="A1:E18"/>
  <sheetViews>
    <sheetView workbookViewId="0">
      <selection activeCell="E11" sqref="E11:E18"/>
    </sheetView>
  </sheetViews>
  <sheetFormatPr defaultRowHeight="15"/>
  <cols>
    <col min="2" max="2" width="3" customWidth="1"/>
    <col min="3" max="3" width="41.140625" customWidth="1"/>
    <col min="4" max="4" width="19.7109375" customWidth="1"/>
    <col min="5" max="5" width="20.7109375" customWidth="1"/>
  </cols>
  <sheetData>
    <row r="1" spans="1:5" ht="15.75">
      <c r="A1" s="1" t="str">
        <f>A!A1</f>
        <v>Columbia Gas of Kentucky, Inc.</v>
      </c>
      <c r="B1" s="1"/>
      <c r="C1" s="1"/>
      <c r="D1" s="1"/>
      <c r="E1" s="12" t="str">
        <f>A!H1</f>
        <v>Case No. 2026-00099</v>
      </c>
    </row>
    <row r="2" spans="1:5" ht="15.75">
      <c r="A2" s="1" t="str">
        <f>A!A2</f>
        <v>Forecasted Test Period: Twelve Months Ended December 31, 2027</v>
      </c>
      <c r="B2" s="1"/>
      <c r="C2" s="1"/>
      <c r="D2" s="1"/>
      <c r="E2" s="12" t="str">
        <f>A!H2</f>
        <v xml:space="preserve">Exhibit JD-1 </v>
      </c>
    </row>
    <row r="3" spans="1:5" ht="15.75">
      <c r="A3" s="1"/>
      <c r="B3" s="1"/>
      <c r="C3" s="1"/>
      <c r="D3" s="1"/>
      <c r="E3" s="12" t="s">
        <v>127</v>
      </c>
    </row>
    <row r="4" spans="1:5" ht="15.75">
      <c r="A4" s="50" t="s">
        <v>332</v>
      </c>
      <c r="B4" s="1"/>
      <c r="C4" s="1"/>
      <c r="D4" s="1"/>
      <c r="E4" s="12" t="str">
        <f>A!H4</f>
        <v>Page 1 of 1</v>
      </c>
    </row>
    <row r="5" spans="1:5" ht="15.75">
      <c r="A5" s="1"/>
      <c r="B5" s="1"/>
      <c r="C5" s="1"/>
      <c r="D5" s="1"/>
      <c r="E5" s="1"/>
    </row>
    <row r="6" spans="1:5" ht="15.75">
      <c r="B6" s="50"/>
      <c r="C6" s="50"/>
      <c r="D6" s="50"/>
      <c r="E6" s="36"/>
    </row>
    <row r="7" spans="1:5" ht="15.75">
      <c r="A7" s="51"/>
      <c r="B7" s="50"/>
      <c r="C7" s="50"/>
      <c r="D7" s="50"/>
      <c r="E7" s="50"/>
    </row>
    <row r="8" spans="1:5" ht="15.75">
      <c r="A8" s="50"/>
      <c r="B8" s="50"/>
      <c r="C8" s="50"/>
      <c r="D8" s="50"/>
      <c r="E8" s="50"/>
    </row>
    <row r="9" spans="1:5" ht="15.75">
      <c r="A9" s="18" t="s">
        <v>29</v>
      </c>
      <c r="B9" s="1"/>
      <c r="C9" s="18" t="s">
        <v>13</v>
      </c>
      <c r="D9" s="22" t="s">
        <v>95</v>
      </c>
      <c r="E9" s="22" t="s">
        <v>31</v>
      </c>
    </row>
    <row r="10" spans="1:5" ht="15.75">
      <c r="A10" s="1"/>
      <c r="B10" s="1"/>
      <c r="C10" s="1"/>
      <c r="D10" s="19"/>
      <c r="E10" s="19"/>
    </row>
    <row r="11" spans="1:5" ht="45">
      <c r="A11" s="19">
        <v>1</v>
      </c>
      <c r="B11" s="1"/>
      <c r="C11" s="1" t="s">
        <v>91</v>
      </c>
      <c r="D11" s="23">
        <v>39444</v>
      </c>
      <c r="E11" s="177" t="s">
        <v>253</v>
      </c>
    </row>
    <row r="12" spans="1:5" ht="15.75">
      <c r="A12" s="19"/>
      <c r="B12" s="1"/>
      <c r="C12" s="1"/>
      <c r="D12" s="23"/>
      <c r="E12" s="139"/>
    </row>
    <row r="13" spans="1:5" ht="15.75">
      <c r="A13" s="19">
        <v>2</v>
      </c>
      <c r="B13" s="1"/>
      <c r="C13" s="1" t="s">
        <v>177</v>
      </c>
      <c r="D13" s="24">
        <v>0</v>
      </c>
      <c r="E13" s="177" t="s">
        <v>139</v>
      </c>
    </row>
    <row r="14" spans="1:5" ht="15.75">
      <c r="A14" s="19"/>
      <c r="B14" s="1"/>
      <c r="C14" s="1"/>
      <c r="D14" s="23"/>
      <c r="E14" s="139"/>
    </row>
    <row r="15" spans="1:5" ht="16.5" thickBot="1">
      <c r="A15" s="19">
        <v>3</v>
      </c>
      <c r="B15" s="1"/>
      <c r="C15" s="1" t="s">
        <v>169</v>
      </c>
      <c r="D15" s="28">
        <f>+D13-D11</f>
        <v>-39444</v>
      </c>
      <c r="E15" s="139" t="s">
        <v>99</v>
      </c>
    </row>
    <row r="16" spans="1:5" ht="16.5" thickTop="1">
      <c r="A16" s="19"/>
      <c r="B16" s="1"/>
      <c r="C16" s="1"/>
      <c r="D16" s="1"/>
      <c r="E16" s="19"/>
    </row>
    <row r="17" spans="1:5" ht="15.75">
      <c r="A17" s="45"/>
      <c r="B17" s="50"/>
      <c r="C17" s="50"/>
      <c r="D17" s="50"/>
      <c r="E17" s="178"/>
    </row>
    <row r="18" spans="1:5">
      <c r="E18" s="128"/>
    </row>
  </sheetData>
  <pageMargins left="0.7" right="0.7" top="0.75" bottom="0.75" header="0.3" footer="0.3"/>
  <pageSetup scale="96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7B38A-A67A-41D7-A45E-DD8A108C2A87}">
  <sheetPr>
    <pageSetUpPr fitToPage="1"/>
  </sheetPr>
  <dimension ref="A1:E17"/>
  <sheetViews>
    <sheetView workbookViewId="0">
      <selection activeCell="E11" sqref="E11:E16"/>
    </sheetView>
  </sheetViews>
  <sheetFormatPr defaultRowHeight="15"/>
  <cols>
    <col min="2" max="2" width="3" customWidth="1"/>
    <col min="3" max="3" width="41.140625" customWidth="1"/>
    <col min="4" max="4" width="19.7109375" customWidth="1"/>
    <col min="5" max="5" width="20.7109375" customWidth="1"/>
  </cols>
  <sheetData>
    <row r="1" spans="1:5" ht="15.75">
      <c r="A1" s="1" t="str">
        <f>A!A1</f>
        <v>Columbia Gas of Kentucky, Inc.</v>
      </c>
      <c r="B1" s="1"/>
      <c r="C1" s="1"/>
      <c r="D1" s="1"/>
      <c r="E1" s="12" t="str">
        <f>A!H1</f>
        <v>Case No. 2026-00099</v>
      </c>
    </row>
    <row r="2" spans="1:5" ht="15.75">
      <c r="A2" s="1" t="str">
        <f>A!A2</f>
        <v>Forecasted Test Period: Twelve Months Ended December 31, 2027</v>
      </c>
      <c r="B2" s="1"/>
      <c r="C2" s="1"/>
      <c r="D2" s="1"/>
      <c r="E2" s="12" t="str">
        <f>A!H2</f>
        <v xml:space="preserve">Exhibit JD-1 </v>
      </c>
    </row>
    <row r="3" spans="1:5" ht="15.75">
      <c r="A3" s="1"/>
      <c r="B3" s="1"/>
      <c r="C3" s="1"/>
      <c r="D3" s="1"/>
      <c r="E3" s="12" t="s">
        <v>136</v>
      </c>
    </row>
    <row r="4" spans="1:5" ht="15.75">
      <c r="A4" s="50" t="s">
        <v>333</v>
      </c>
      <c r="B4" s="1"/>
      <c r="C4" s="1"/>
      <c r="D4" s="1"/>
      <c r="E4" s="12" t="str">
        <f>A!H4</f>
        <v>Page 1 of 1</v>
      </c>
    </row>
    <row r="5" spans="1:5" ht="15.75">
      <c r="A5" s="1"/>
      <c r="B5" s="1"/>
      <c r="C5" s="1"/>
      <c r="D5" s="1"/>
      <c r="E5" s="1"/>
    </row>
    <row r="6" spans="1:5" ht="15.75">
      <c r="B6" s="50"/>
      <c r="C6" s="50"/>
      <c r="D6" s="50"/>
      <c r="E6" s="36"/>
    </row>
    <row r="7" spans="1:5" ht="15.75">
      <c r="A7" s="51"/>
      <c r="B7" s="50"/>
      <c r="C7" s="50"/>
      <c r="D7" s="50"/>
      <c r="E7" s="50"/>
    </row>
    <row r="8" spans="1:5" ht="15.75">
      <c r="A8" s="50"/>
      <c r="B8" s="50"/>
      <c r="C8" s="50"/>
      <c r="D8" s="50"/>
      <c r="E8" s="50"/>
    </row>
    <row r="9" spans="1:5" ht="15.75">
      <c r="A9" s="18" t="s">
        <v>29</v>
      </c>
      <c r="B9" s="1"/>
      <c r="C9" s="18" t="s">
        <v>13</v>
      </c>
      <c r="D9" s="22" t="s">
        <v>95</v>
      </c>
      <c r="E9" s="22" t="s">
        <v>31</v>
      </c>
    </row>
    <row r="10" spans="1:5" ht="15.75">
      <c r="A10" s="1"/>
      <c r="B10" s="1"/>
      <c r="C10" s="1"/>
      <c r="D10" s="19"/>
      <c r="E10" s="19"/>
    </row>
    <row r="11" spans="1:5" ht="45">
      <c r="A11" s="19">
        <v>1</v>
      </c>
      <c r="B11" s="1"/>
      <c r="C11" s="1" t="s">
        <v>91</v>
      </c>
      <c r="D11" s="23">
        <v>37064</v>
      </c>
      <c r="E11" s="177" t="s">
        <v>254</v>
      </c>
    </row>
    <row r="12" spans="1:5" ht="15.75">
      <c r="A12" s="19"/>
      <c r="B12" s="1"/>
      <c r="C12" s="1"/>
      <c r="D12" s="23"/>
      <c r="E12" s="139"/>
    </row>
    <row r="13" spans="1:5" ht="15.75">
      <c r="A13" s="19">
        <v>2</v>
      </c>
      <c r="B13" s="1"/>
      <c r="C13" s="1" t="s">
        <v>177</v>
      </c>
      <c r="D13" s="24">
        <v>0</v>
      </c>
      <c r="E13" s="177" t="s">
        <v>139</v>
      </c>
    </row>
    <row r="14" spans="1:5" ht="15.75">
      <c r="A14" s="19"/>
      <c r="B14" s="1"/>
      <c r="C14" s="1"/>
      <c r="D14" s="23"/>
      <c r="E14" s="139"/>
    </row>
    <row r="15" spans="1:5" ht="16.5" thickBot="1">
      <c r="A15" s="19">
        <v>3</v>
      </c>
      <c r="B15" s="1"/>
      <c r="C15" s="1" t="s">
        <v>169</v>
      </c>
      <c r="D15" s="28">
        <f>+D13-D11</f>
        <v>-37064</v>
      </c>
      <c r="E15" s="139" t="s">
        <v>99</v>
      </c>
    </row>
    <row r="16" spans="1:5" ht="16.5" thickTop="1">
      <c r="A16" s="19"/>
      <c r="B16" s="1"/>
      <c r="C16" s="1"/>
      <c r="D16" s="1"/>
      <c r="E16" s="19"/>
    </row>
    <row r="17" spans="1:5" ht="15.75">
      <c r="A17" s="45"/>
      <c r="B17" s="50"/>
      <c r="C17" s="50"/>
      <c r="D17" s="50"/>
      <c r="E17" s="48"/>
    </row>
  </sheetData>
  <pageMargins left="0.7" right="0.7" top="0.75" bottom="0.75" header="0.3" footer="0.3"/>
  <pageSetup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6C4A3-6635-4AD3-B8F4-4C87E3EE349C}">
  <sheetPr>
    <pageSetUpPr fitToPage="1"/>
  </sheetPr>
  <dimension ref="A1:K25"/>
  <sheetViews>
    <sheetView workbookViewId="0">
      <selection activeCell="P6" sqref="P6"/>
    </sheetView>
  </sheetViews>
  <sheetFormatPr defaultRowHeight="15"/>
  <cols>
    <col min="1" max="1" width="9.85546875" customWidth="1"/>
    <col min="2" max="2" width="2" customWidth="1"/>
    <col min="3" max="3" width="51.85546875" customWidth="1"/>
    <col min="4" max="6" width="18.7109375" customWidth="1"/>
    <col min="7" max="7" width="1.7109375" customWidth="1"/>
    <col min="8" max="8" width="16.42578125" customWidth="1"/>
    <col min="10" max="10" width="15" customWidth="1"/>
  </cols>
  <sheetData>
    <row r="1" spans="1:11" ht="15.75">
      <c r="A1" s="1" t="s">
        <v>2</v>
      </c>
      <c r="B1" s="1"/>
      <c r="C1" s="1"/>
      <c r="H1" s="12" t="s">
        <v>330</v>
      </c>
    </row>
    <row r="2" spans="1:11" ht="15.75">
      <c r="A2" s="1" t="s">
        <v>331</v>
      </c>
      <c r="H2" s="12" t="s">
        <v>200</v>
      </c>
    </row>
    <row r="3" spans="1:11" ht="15.75">
      <c r="A3" s="1"/>
      <c r="D3" s="1"/>
      <c r="E3" s="1"/>
      <c r="F3" s="1"/>
      <c r="G3" s="1"/>
      <c r="H3" s="12" t="s">
        <v>54</v>
      </c>
      <c r="I3" s="1"/>
      <c r="J3" s="1"/>
      <c r="K3" s="1"/>
    </row>
    <row r="4" spans="1:11" ht="15.75">
      <c r="A4" s="1" t="s">
        <v>47</v>
      </c>
      <c r="D4" s="1"/>
      <c r="E4" s="1"/>
      <c r="F4" s="1"/>
      <c r="G4" s="1"/>
      <c r="H4" s="12" t="s">
        <v>7</v>
      </c>
      <c r="I4" s="1"/>
      <c r="J4" s="1"/>
      <c r="K4" s="1"/>
    </row>
    <row r="5" spans="1:11" ht="15.75">
      <c r="C5" s="1"/>
      <c r="D5" s="1"/>
      <c r="E5" s="1"/>
      <c r="F5" s="1"/>
      <c r="G5" s="1"/>
      <c r="H5" s="1"/>
      <c r="I5" s="1"/>
      <c r="J5" s="1"/>
      <c r="K5" s="1"/>
    </row>
    <row r="6" spans="1:11" ht="15.75">
      <c r="A6" s="18" t="s">
        <v>29</v>
      </c>
      <c r="C6" s="20" t="s">
        <v>13</v>
      </c>
      <c r="D6" s="22" t="s">
        <v>38</v>
      </c>
      <c r="E6" s="22" t="s">
        <v>39</v>
      </c>
      <c r="F6" s="22" t="s">
        <v>166</v>
      </c>
      <c r="G6" s="19"/>
      <c r="H6" s="22" t="s">
        <v>31</v>
      </c>
      <c r="I6" s="1"/>
      <c r="J6" s="1"/>
      <c r="K6" s="1"/>
    </row>
    <row r="7" spans="1:11" ht="15.75">
      <c r="C7" s="1"/>
      <c r="D7" s="19" t="s">
        <v>32</v>
      </c>
      <c r="E7" s="19" t="s">
        <v>33</v>
      </c>
      <c r="F7" s="19" t="s">
        <v>34</v>
      </c>
      <c r="G7" s="19"/>
      <c r="H7" s="19" t="s">
        <v>53</v>
      </c>
      <c r="I7" s="1"/>
      <c r="J7" s="1"/>
      <c r="K7" s="1"/>
    </row>
    <row r="8" spans="1:11" ht="15.75">
      <c r="C8" s="1"/>
      <c r="D8" s="19"/>
      <c r="E8" s="19"/>
      <c r="F8" s="19"/>
      <c r="G8" s="19"/>
      <c r="H8" s="19"/>
      <c r="I8" s="1"/>
      <c r="J8" s="1"/>
      <c r="K8" s="1"/>
    </row>
    <row r="9" spans="1:11" ht="15.75">
      <c r="A9" s="19">
        <v>1</v>
      </c>
      <c r="C9" s="21" t="s">
        <v>40</v>
      </c>
      <c r="D9" s="23">
        <f>B!C36</f>
        <v>609682978</v>
      </c>
      <c r="E9" s="23">
        <f ca="1">+F9-D9</f>
        <v>-12641871.307692289</v>
      </c>
      <c r="F9" s="23">
        <f ca="1">B!E36</f>
        <v>597041106.69230771</v>
      </c>
      <c r="G9" s="1"/>
      <c r="H9" s="1" t="s">
        <v>55</v>
      </c>
      <c r="I9" s="1"/>
      <c r="J9" s="1"/>
      <c r="K9" s="1"/>
    </row>
    <row r="10" spans="1:11" ht="15.75">
      <c r="A10" s="19"/>
      <c r="C10" s="1"/>
      <c r="D10" s="1"/>
      <c r="E10" s="1"/>
      <c r="F10" s="1"/>
      <c r="G10" s="1"/>
      <c r="H10" s="1"/>
      <c r="I10" s="1"/>
      <c r="J10" s="1"/>
      <c r="K10" s="1"/>
    </row>
    <row r="11" spans="1:11" ht="15.75">
      <c r="A11" s="19">
        <v>2</v>
      </c>
      <c r="C11" s="21" t="s">
        <v>66</v>
      </c>
      <c r="D11" s="37">
        <f>D!I20</f>
        <v>8.1519999999999995E-2</v>
      </c>
      <c r="E11" s="37">
        <f>+F11-D11</f>
        <v>-1.4658705999999994E-2</v>
      </c>
      <c r="F11" s="37">
        <f>D!I36</f>
        <v>6.6861294000000002E-2</v>
      </c>
      <c r="G11" s="1"/>
      <c r="H11" s="1" t="s">
        <v>5</v>
      </c>
      <c r="I11" s="1"/>
      <c r="J11" s="1"/>
      <c r="K11" s="1"/>
    </row>
    <row r="12" spans="1:11" ht="15.75">
      <c r="A12" s="19"/>
      <c r="C12" s="1"/>
      <c r="D12" s="1"/>
      <c r="E12" s="1"/>
      <c r="F12" s="1"/>
      <c r="G12" s="1"/>
      <c r="H12" s="1"/>
      <c r="I12" s="1"/>
      <c r="J12" s="1"/>
      <c r="K12" s="1"/>
    </row>
    <row r="13" spans="1:11" ht="15.75">
      <c r="A13" s="19">
        <v>3</v>
      </c>
      <c r="C13" s="21" t="s">
        <v>36</v>
      </c>
      <c r="D13" s="23">
        <f>+D9*D11</f>
        <v>49701356.366559997</v>
      </c>
      <c r="E13" s="23">
        <f ca="1">+F13-D13</f>
        <v>-9782415.4019202441</v>
      </c>
      <c r="F13" s="23">
        <f ca="1">+F9*F11</f>
        <v>39918940.964639753</v>
      </c>
      <c r="G13" s="1"/>
      <c r="H13" s="1" t="s">
        <v>74</v>
      </c>
      <c r="I13" s="1"/>
      <c r="J13" s="1"/>
      <c r="K13" s="1"/>
    </row>
    <row r="14" spans="1:11" ht="15.75">
      <c r="A14" s="19"/>
      <c r="C14" s="1"/>
      <c r="D14" s="23"/>
      <c r="E14" s="23"/>
      <c r="F14" s="23"/>
      <c r="G14" s="1"/>
      <c r="H14" s="1"/>
      <c r="I14" s="1"/>
      <c r="J14" s="1"/>
      <c r="K14" s="1"/>
    </row>
    <row r="15" spans="1:11" ht="15.75">
      <c r="A15" s="19">
        <v>4</v>
      </c>
      <c r="C15" s="21" t="s">
        <v>147</v>
      </c>
      <c r="D15" s="24">
        <f>'C'!C41</f>
        <v>22889633</v>
      </c>
      <c r="E15" s="24">
        <f ca="1">+F15-D15</f>
        <v>4465691.2877228558</v>
      </c>
      <c r="F15" s="100">
        <f ca="1">'C'!E41</f>
        <v>27355324.287722856</v>
      </c>
      <c r="G15" s="1"/>
      <c r="H15" s="1" t="s">
        <v>35</v>
      </c>
      <c r="I15" s="1"/>
      <c r="J15" s="1"/>
      <c r="K15" s="1"/>
    </row>
    <row r="16" spans="1:11" ht="15.75">
      <c r="A16" s="19"/>
      <c r="C16" s="1"/>
      <c r="D16" s="23"/>
      <c r="E16" s="23"/>
      <c r="F16" s="97"/>
      <c r="G16" s="1"/>
      <c r="H16" s="1"/>
      <c r="I16" s="1"/>
      <c r="J16" s="1"/>
      <c r="K16" s="1"/>
    </row>
    <row r="17" spans="1:11" ht="15.75">
      <c r="A17" s="19">
        <v>5</v>
      </c>
      <c r="C17" s="21" t="s">
        <v>41</v>
      </c>
      <c r="D17" s="23">
        <f>+D13-D15</f>
        <v>26811723.366559997</v>
      </c>
      <c r="E17" s="23">
        <f ca="1">+F17-D17</f>
        <v>-14248106.6896431</v>
      </c>
      <c r="F17" s="97">
        <f ca="1">+F13-F15</f>
        <v>12563616.676916897</v>
      </c>
      <c r="G17" s="1"/>
      <c r="H17" s="1" t="s">
        <v>75</v>
      </c>
      <c r="I17" s="1"/>
      <c r="J17" s="23"/>
      <c r="K17" s="1"/>
    </row>
    <row r="18" spans="1:11" ht="15.75">
      <c r="A18" s="19"/>
      <c r="C18" s="1"/>
      <c r="D18" s="1"/>
      <c r="E18" s="1"/>
      <c r="F18" s="1"/>
      <c r="G18" s="1"/>
      <c r="H18" s="1"/>
      <c r="I18" s="1"/>
      <c r="J18" s="1"/>
      <c r="K18" s="1"/>
    </row>
    <row r="19" spans="1:11" ht="16.5" thickBot="1">
      <c r="A19" s="19">
        <v>6</v>
      </c>
      <c r="C19" s="21" t="s">
        <v>28</v>
      </c>
      <c r="D19" s="127">
        <v>1.3415140000000001</v>
      </c>
      <c r="E19" s="24">
        <f t="shared" ref="E19:E21" si="0">+F19-D19</f>
        <v>0</v>
      </c>
      <c r="F19" s="18">
        <f>+D19</f>
        <v>1.3415140000000001</v>
      </c>
      <c r="G19" s="1"/>
      <c r="H19" s="1" t="s">
        <v>48</v>
      </c>
      <c r="I19" s="1"/>
      <c r="J19" s="1"/>
      <c r="K19" s="1"/>
    </row>
    <row r="20" spans="1:11" ht="16.5" thickTop="1">
      <c r="A20" s="19"/>
      <c r="C20" s="1"/>
      <c r="D20" s="1"/>
      <c r="E20" s="23"/>
      <c r="F20" s="1"/>
      <c r="G20" s="1"/>
      <c r="H20" s="1"/>
      <c r="I20" s="1"/>
      <c r="J20" s="1"/>
      <c r="K20" s="1"/>
    </row>
    <row r="21" spans="1:11" ht="16.5" thickBot="1">
      <c r="A21" s="19">
        <v>7</v>
      </c>
      <c r="C21" s="13" t="s">
        <v>42</v>
      </c>
      <c r="D21" s="28">
        <f>+D17*D19+1</f>
        <v>35968303.260367371</v>
      </c>
      <c r="E21" s="28">
        <f t="shared" ca="1" si="0"/>
        <v>-19114035.597649876</v>
      </c>
      <c r="F21" s="129">
        <f ca="1">+F17*F19</f>
        <v>16854267.662717495</v>
      </c>
      <c r="G21" s="1"/>
      <c r="H21" s="1" t="s">
        <v>76</v>
      </c>
      <c r="I21" s="1"/>
      <c r="J21" s="1"/>
      <c r="K21" s="1"/>
    </row>
    <row r="22" spans="1:11" ht="16.5" thickTop="1">
      <c r="A22" s="19"/>
      <c r="C22" s="1"/>
      <c r="D22" s="1"/>
      <c r="E22" s="1"/>
      <c r="F22" s="1"/>
      <c r="G22" s="1"/>
      <c r="H22" s="1"/>
      <c r="I22" s="1"/>
      <c r="J22" s="1"/>
      <c r="K22" s="1"/>
    </row>
    <row r="23" spans="1:11" ht="15.75">
      <c r="D23" s="1"/>
      <c r="E23" s="1"/>
      <c r="F23" s="1"/>
      <c r="G23" s="1"/>
      <c r="H23" s="1"/>
      <c r="I23" s="1"/>
      <c r="J23" s="1"/>
      <c r="K23" s="1"/>
    </row>
    <row r="24" spans="1:11" ht="15.75">
      <c r="A24" s="18" t="s">
        <v>19</v>
      </c>
      <c r="B24" s="18"/>
      <c r="C24" s="18"/>
      <c r="D24" s="18"/>
      <c r="E24" s="18"/>
      <c r="F24" s="18"/>
      <c r="G24" s="18"/>
      <c r="H24" s="18"/>
    </row>
    <row r="25" spans="1:11" ht="15.75">
      <c r="A25" s="1" t="s">
        <v>216</v>
      </c>
      <c r="B25" s="1"/>
      <c r="C25" s="1"/>
      <c r="D25" s="1"/>
      <c r="E25" s="1"/>
      <c r="F25" s="1"/>
      <c r="G25" s="1"/>
      <c r="H25" s="1"/>
    </row>
  </sheetData>
  <pageMargins left="0.7" right="0.7" top="0.75" bottom="0.75" header="0.3" footer="0.3"/>
  <pageSetup scale="65" orientation="portrait" r:id="rId1"/>
  <ignoredErrors>
    <ignoredError sqref="E13 E17 E21" formula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04C16-69C9-4833-AC92-EC6A41D53E8D}">
  <sheetPr>
    <pageSetUpPr fitToPage="1"/>
  </sheetPr>
  <dimension ref="A1:E17"/>
  <sheetViews>
    <sheetView workbookViewId="0">
      <selection activeCell="E11" sqref="E11:E16"/>
    </sheetView>
  </sheetViews>
  <sheetFormatPr defaultRowHeight="15"/>
  <cols>
    <col min="2" max="2" width="3" customWidth="1"/>
    <col min="3" max="3" width="41.140625" customWidth="1"/>
    <col min="4" max="4" width="19.7109375" customWidth="1"/>
    <col min="5" max="5" width="20.7109375" customWidth="1"/>
  </cols>
  <sheetData>
    <row r="1" spans="1:5" ht="15.75">
      <c r="A1" s="1" t="str">
        <f>A!A1</f>
        <v>Columbia Gas of Kentucky, Inc.</v>
      </c>
      <c r="B1" s="1"/>
      <c r="C1" s="1"/>
      <c r="D1" s="1"/>
      <c r="E1" s="12" t="str">
        <f>A!H1</f>
        <v>Case No. 2026-00099</v>
      </c>
    </row>
    <row r="2" spans="1:5" ht="15.75">
      <c r="A2" s="1" t="str">
        <f>A!A2</f>
        <v>Forecasted Test Period: Twelve Months Ended December 31, 2027</v>
      </c>
      <c r="B2" s="1"/>
      <c r="C2" s="1"/>
      <c r="D2" s="1"/>
      <c r="E2" s="12" t="str">
        <f>A!H2</f>
        <v xml:space="preserve">Exhibit JD-1 </v>
      </c>
    </row>
    <row r="3" spans="1:5" ht="15.75">
      <c r="A3" s="1"/>
      <c r="B3" s="1"/>
      <c r="C3" s="1"/>
      <c r="D3" s="1"/>
      <c r="E3" s="12" t="s">
        <v>142</v>
      </c>
    </row>
    <row r="4" spans="1:5" ht="15.75">
      <c r="A4" s="50" t="s">
        <v>182</v>
      </c>
      <c r="B4" s="1"/>
      <c r="C4" s="1"/>
      <c r="D4" s="1"/>
      <c r="E4" s="12" t="str">
        <f>A!H4</f>
        <v>Page 1 of 1</v>
      </c>
    </row>
    <row r="5" spans="1:5" ht="15.75">
      <c r="A5" s="1"/>
      <c r="B5" s="1"/>
      <c r="C5" s="1"/>
      <c r="D5" s="1"/>
      <c r="E5" s="1"/>
    </row>
    <row r="6" spans="1:5" ht="15.75">
      <c r="B6" s="50"/>
      <c r="C6" s="50"/>
      <c r="D6" s="50"/>
      <c r="E6" s="36"/>
    </row>
    <row r="7" spans="1:5" ht="15.75">
      <c r="A7" s="51"/>
      <c r="B7" s="50"/>
      <c r="C7" s="50"/>
      <c r="D7" s="50"/>
      <c r="E7" s="50"/>
    </row>
    <row r="8" spans="1:5" ht="15.75">
      <c r="A8" s="50"/>
      <c r="B8" s="50"/>
      <c r="C8" s="50"/>
      <c r="D8" s="50"/>
      <c r="E8" s="50"/>
    </row>
    <row r="9" spans="1:5" ht="15.75">
      <c r="A9" s="18" t="s">
        <v>29</v>
      </c>
      <c r="B9" s="1"/>
      <c r="C9" s="18" t="s">
        <v>13</v>
      </c>
      <c r="D9" s="22" t="s">
        <v>95</v>
      </c>
      <c r="E9" s="22" t="s">
        <v>31</v>
      </c>
    </row>
    <row r="10" spans="1:5" ht="15.75">
      <c r="A10" s="1"/>
      <c r="B10" s="1"/>
      <c r="C10" s="1"/>
      <c r="D10" s="19"/>
      <c r="E10" s="19"/>
    </row>
    <row r="11" spans="1:5" ht="30">
      <c r="A11" s="19">
        <v>1</v>
      </c>
      <c r="B11" s="1"/>
      <c r="C11" s="1" t="s">
        <v>91</v>
      </c>
      <c r="D11" s="23">
        <v>31031</v>
      </c>
      <c r="E11" s="177" t="s">
        <v>255</v>
      </c>
    </row>
    <row r="12" spans="1:5" ht="15.75">
      <c r="A12" s="19"/>
      <c r="B12" s="1"/>
      <c r="C12" s="1"/>
      <c r="D12" s="23"/>
      <c r="E12" s="139"/>
    </row>
    <row r="13" spans="1:5" ht="15.75">
      <c r="A13" s="19">
        <v>2</v>
      </c>
      <c r="B13" s="1"/>
      <c r="C13" s="1" t="s">
        <v>177</v>
      </c>
      <c r="D13" s="24">
        <v>0</v>
      </c>
      <c r="E13" s="177" t="s">
        <v>139</v>
      </c>
    </row>
    <row r="14" spans="1:5" ht="15.75">
      <c r="A14" s="19"/>
      <c r="B14" s="1"/>
      <c r="C14" s="1"/>
      <c r="D14" s="23"/>
      <c r="E14" s="139"/>
    </row>
    <row r="15" spans="1:5" ht="16.5" thickBot="1">
      <c r="A15" s="19">
        <v>3</v>
      </c>
      <c r="B15" s="1"/>
      <c r="C15" s="1" t="s">
        <v>169</v>
      </c>
      <c r="D15" s="28">
        <f>+D13-D11</f>
        <v>-31031</v>
      </c>
      <c r="E15" s="139" t="s">
        <v>99</v>
      </c>
    </row>
    <row r="16" spans="1:5" ht="16.5" thickTop="1">
      <c r="A16" s="19"/>
      <c r="B16" s="1"/>
      <c r="C16" s="1"/>
      <c r="D16" s="1"/>
      <c r="E16" s="19"/>
    </row>
    <row r="17" spans="1:5" ht="15.75">
      <c r="A17" s="45"/>
      <c r="B17" s="50"/>
      <c r="C17" s="50"/>
      <c r="D17" s="50"/>
      <c r="E17" s="48"/>
    </row>
  </sheetData>
  <pageMargins left="0.7" right="0.7" top="0.75" bottom="0.75" header="0.3" footer="0.3"/>
  <pageSetup scale="96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A54BB-4375-440B-ABEC-6B1DB9781528}">
  <sheetPr>
    <pageSetUpPr fitToPage="1"/>
  </sheetPr>
  <dimension ref="A1:E14"/>
  <sheetViews>
    <sheetView workbookViewId="0">
      <selection activeCell="E11" sqref="E11"/>
    </sheetView>
  </sheetViews>
  <sheetFormatPr defaultRowHeight="15"/>
  <cols>
    <col min="2" max="2" width="3" customWidth="1"/>
    <col min="3" max="3" width="31.5703125" customWidth="1"/>
    <col min="4" max="4" width="19.7109375" customWidth="1"/>
    <col min="5" max="5" width="25.140625" customWidth="1"/>
  </cols>
  <sheetData>
    <row r="1" spans="1:5" ht="15.75">
      <c r="A1" s="1" t="str">
        <f>A!A1</f>
        <v>Columbia Gas of Kentucky, Inc.</v>
      </c>
      <c r="B1" s="1"/>
      <c r="C1" s="1"/>
      <c r="D1" s="1"/>
      <c r="E1" s="12" t="str">
        <f>A!H1</f>
        <v>Case No. 2026-00099</v>
      </c>
    </row>
    <row r="2" spans="1:5" ht="15.75">
      <c r="A2" s="1" t="str">
        <f>A!A2</f>
        <v>Forecasted Test Period: Twelve Months Ended December 31, 2027</v>
      </c>
      <c r="B2" s="1"/>
      <c r="C2" s="1"/>
      <c r="D2" s="1"/>
      <c r="E2" s="12" t="str">
        <f>A!H2</f>
        <v xml:space="preserve">Exhibit JD-1 </v>
      </c>
    </row>
    <row r="3" spans="1:5" ht="15.75">
      <c r="A3" s="1"/>
      <c r="B3" s="1"/>
      <c r="C3" s="1"/>
      <c r="D3" s="1"/>
      <c r="E3" s="12" t="s">
        <v>183</v>
      </c>
    </row>
    <row r="4" spans="1:5" ht="15.75">
      <c r="A4" s="50" t="s">
        <v>115</v>
      </c>
      <c r="B4" s="1"/>
      <c r="C4" s="1"/>
      <c r="D4" s="1"/>
      <c r="E4" s="12" t="str">
        <f>A!H4</f>
        <v>Page 1 of 1</v>
      </c>
    </row>
    <row r="5" spans="1:5" ht="15.75">
      <c r="A5" s="1"/>
      <c r="B5" s="1"/>
      <c r="C5" s="1"/>
      <c r="D5" s="1"/>
      <c r="E5" s="1"/>
    </row>
    <row r="6" spans="1:5" ht="15.75">
      <c r="B6" s="50"/>
      <c r="C6" s="50"/>
      <c r="D6" s="50"/>
      <c r="E6" s="36"/>
    </row>
    <row r="7" spans="1:5" ht="15.75">
      <c r="A7" s="51"/>
      <c r="B7" s="50"/>
      <c r="C7" s="50"/>
      <c r="D7" s="50"/>
      <c r="E7" s="50"/>
    </row>
    <row r="8" spans="1:5" ht="15.75">
      <c r="A8" s="50"/>
      <c r="B8" s="50"/>
      <c r="C8" s="50"/>
      <c r="D8" s="50"/>
      <c r="E8" s="50"/>
    </row>
    <row r="9" spans="1:5" ht="15.75">
      <c r="A9" s="18" t="s">
        <v>29</v>
      </c>
      <c r="B9" s="1"/>
      <c r="C9" s="18" t="s">
        <v>13</v>
      </c>
      <c r="D9" s="22" t="s">
        <v>95</v>
      </c>
      <c r="E9" s="22" t="s">
        <v>31</v>
      </c>
    </row>
    <row r="10" spans="1:5" ht="15.75">
      <c r="A10" s="1"/>
      <c r="B10" s="1"/>
      <c r="C10" s="1"/>
      <c r="D10" s="19"/>
      <c r="E10" s="19"/>
    </row>
    <row r="11" spans="1:5" ht="30.75" thickBot="1">
      <c r="A11" s="19">
        <v>1</v>
      </c>
      <c r="B11" s="1"/>
      <c r="C11" s="1" t="s">
        <v>169</v>
      </c>
      <c r="D11" s="28">
        <f>-201922-82285</f>
        <v>-284207</v>
      </c>
      <c r="E11" s="177" t="s">
        <v>256</v>
      </c>
    </row>
    <row r="12" spans="1:5" ht="16.5" thickTop="1">
      <c r="A12" s="19"/>
      <c r="B12" s="1"/>
      <c r="C12" s="1"/>
      <c r="D12" s="1"/>
      <c r="E12" s="1"/>
    </row>
    <row r="13" spans="1:5" ht="15.75">
      <c r="A13" s="45"/>
      <c r="B13" s="50"/>
      <c r="C13" s="50"/>
      <c r="D13" s="50"/>
      <c r="E13" s="48"/>
    </row>
    <row r="14" spans="1:5" ht="15.75">
      <c r="A14" s="45"/>
      <c r="B14" s="50"/>
      <c r="C14" s="50"/>
      <c r="D14" s="50"/>
      <c r="E14" s="48"/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31CDB-EF39-476B-BDCD-9EDE575DA76F}">
  <sheetPr>
    <pageSetUpPr fitToPage="1"/>
  </sheetPr>
  <dimension ref="A1:E29"/>
  <sheetViews>
    <sheetView workbookViewId="0">
      <selection activeCell="E9" sqref="E9:E22"/>
    </sheetView>
  </sheetViews>
  <sheetFormatPr defaultRowHeight="15"/>
  <cols>
    <col min="1" max="1" width="9" customWidth="1"/>
    <col min="2" max="2" width="2.28515625" customWidth="1"/>
    <col min="3" max="3" width="61.42578125" customWidth="1"/>
    <col min="4" max="4" width="20.7109375" customWidth="1"/>
    <col min="5" max="5" width="31" customWidth="1"/>
  </cols>
  <sheetData>
    <row r="1" spans="1:5" ht="15.75">
      <c r="A1" s="1" t="str">
        <f>A!A1</f>
        <v>Columbia Gas of Kentucky, Inc.</v>
      </c>
      <c r="B1" s="1"/>
      <c r="C1" s="1"/>
      <c r="D1" s="1"/>
      <c r="E1" s="12" t="str">
        <f>A!H1</f>
        <v>Case No. 2026-00099</v>
      </c>
    </row>
    <row r="2" spans="1:5" ht="15.75">
      <c r="A2" s="1" t="str">
        <f>A!A2</f>
        <v>Forecasted Test Period: Twelve Months Ended December 31, 2027</v>
      </c>
      <c r="B2" s="1"/>
      <c r="C2" s="1"/>
      <c r="D2" s="1"/>
      <c r="E2" s="12" t="str">
        <f>A!H2</f>
        <v xml:space="preserve">Exhibit JD-1 </v>
      </c>
    </row>
    <row r="3" spans="1:5" ht="15.75">
      <c r="A3" s="1"/>
      <c r="B3" s="1"/>
      <c r="C3" s="1"/>
      <c r="D3" s="1"/>
      <c r="E3" s="12" t="s">
        <v>196</v>
      </c>
    </row>
    <row r="4" spans="1:5" ht="15.75">
      <c r="A4" s="50" t="s">
        <v>121</v>
      </c>
      <c r="B4" s="1"/>
      <c r="C4" s="1"/>
      <c r="D4" s="1"/>
      <c r="E4" s="12" t="str">
        <f>A!H4</f>
        <v>Page 1 of 1</v>
      </c>
    </row>
    <row r="5" spans="1:5" ht="15.75">
      <c r="A5" s="1"/>
      <c r="B5" s="1"/>
      <c r="C5" s="1"/>
      <c r="D5" s="1"/>
      <c r="E5" s="1"/>
    </row>
    <row r="7" spans="1:5" ht="15.75">
      <c r="A7" s="18" t="s">
        <v>29</v>
      </c>
      <c r="B7" s="40"/>
      <c r="C7" s="18" t="s">
        <v>13</v>
      </c>
      <c r="D7" s="22" t="s">
        <v>95</v>
      </c>
      <c r="E7" s="22" t="s">
        <v>31</v>
      </c>
    </row>
    <row r="8" spans="1:5" ht="15.75">
      <c r="A8" s="1"/>
      <c r="B8" s="40"/>
      <c r="C8" s="1"/>
      <c r="D8" s="19"/>
      <c r="E8" s="19"/>
    </row>
    <row r="9" spans="1:5" ht="30.75">
      <c r="A9" s="42">
        <v>1</v>
      </c>
      <c r="B9" s="40"/>
      <c r="C9" s="52" t="s">
        <v>259</v>
      </c>
      <c r="D9" s="23">
        <f>+Payroll!D15+'Incentive Comp'!D15+Severance!D15</f>
        <v>-3440815.2539999997</v>
      </c>
      <c r="E9" s="139" t="s">
        <v>260</v>
      </c>
    </row>
    <row r="10" spans="1:5" ht="15.75">
      <c r="A10" s="42"/>
      <c r="B10" s="40"/>
      <c r="C10" s="1"/>
      <c r="D10" s="23"/>
      <c r="E10" s="139"/>
    </row>
    <row r="11" spans="1:5" ht="15.75">
      <c r="A11" s="42">
        <v>2</v>
      </c>
      <c r="B11" s="40"/>
      <c r="C11" s="1" t="s">
        <v>140</v>
      </c>
      <c r="D11" s="37">
        <f>D20</f>
        <v>6.3947911076148875E-2</v>
      </c>
      <c r="E11" s="19" t="s">
        <v>98</v>
      </c>
    </row>
    <row r="12" spans="1:5" ht="15.75">
      <c r="A12" s="42"/>
      <c r="B12" s="40"/>
      <c r="C12" s="1"/>
      <c r="D12" s="23"/>
      <c r="E12" s="139"/>
    </row>
    <row r="13" spans="1:5" ht="16.5" thickBot="1">
      <c r="A13" s="42">
        <v>3</v>
      </c>
      <c r="B13" s="40"/>
      <c r="C13" s="1" t="s">
        <v>169</v>
      </c>
      <c r="D13" s="28">
        <f>D9*D11</f>
        <v>-220032.9478922486</v>
      </c>
      <c r="E13" s="139" t="s">
        <v>124</v>
      </c>
    </row>
    <row r="14" spans="1:5" ht="16.5" thickTop="1">
      <c r="A14" s="42"/>
      <c r="B14" s="40"/>
      <c r="C14" s="1"/>
      <c r="D14" s="23"/>
      <c r="E14" s="139"/>
    </row>
    <row r="15" spans="1:5" ht="15.75">
      <c r="A15" s="19"/>
      <c r="B15" s="1"/>
      <c r="C15" s="1"/>
      <c r="D15" s="23"/>
      <c r="E15" s="139"/>
    </row>
    <row r="16" spans="1:5" ht="15.75">
      <c r="A16" s="19"/>
      <c r="B16" s="23"/>
      <c r="C16" s="1"/>
      <c r="D16" s="23"/>
      <c r="E16" s="139"/>
    </row>
    <row r="17" spans="1:5" ht="15.75">
      <c r="A17" s="19"/>
      <c r="B17" s="1"/>
      <c r="C17" s="1"/>
      <c r="D17" s="65"/>
      <c r="E17" s="19"/>
    </row>
    <row r="18" spans="1:5" ht="30.75">
      <c r="A18" s="19">
        <v>4</v>
      </c>
      <c r="B18" s="1"/>
      <c r="C18" s="1" t="s">
        <v>145</v>
      </c>
      <c r="D18" s="23">
        <v>947858</v>
      </c>
      <c r="E18" s="169" t="s">
        <v>261</v>
      </c>
    </row>
    <row r="19" spans="1:5" ht="30.75">
      <c r="A19" s="19">
        <v>5</v>
      </c>
      <c r="B19" s="1"/>
      <c r="C19" s="1" t="s">
        <v>118</v>
      </c>
      <c r="D19" s="24">
        <v>14822345</v>
      </c>
      <c r="E19" s="169" t="s">
        <v>261</v>
      </c>
    </row>
    <row r="20" spans="1:5" ht="15.75">
      <c r="A20" s="19">
        <v>6</v>
      </c>
      <c r="B20" s="1"/>
      <c r="C20" s="1" t="s">
        <v>140</v>
      </c>
      <c r="D20" s="66">
        <f>+D18/D19</f>
        <v>6.3947911076148875E-2</v>
      </c>
      <c r="E20" s="19" t="s">
        <v>146</v>
      </c>
    </row>
    <row r="21" spans="1:5" ht="15.75">
      <c r="A21" s="19"/>
      <c r="B21" s="1"/>
      <c r="C21" s="1"/>
      <c r="D21" s="1"/>
      <c r="E21" s="19"/>
    </row>
    <row r="22" spans="1:5" ht="15.75">
      <c r="A22" s="19"/>
      <c r="B22" s="1"/>
      <c r="C22" s="1"/>
      <c r="D22" s="1"/>
      <c r="E22" s="19"/>
    </row>
    <row r="23" spans="1:5" ht="15.75">
      <c r="A23" s="1"/>
      <c r="B23" s="1"/>
      <c r="C23" s="1"/>
      <c r="D23" s="1"/>
      <c r="E23" s="1"/>
    </row>
    <row r="24" spans="1:5" ht="15.75">
      <c r="A24" s="1"/>
      <c r="B24" s="1"/>
      <c r="C24" s="1"/>
      <c r="D24" s="1"/>
      <c r="E24" s="1"/>
    </row>
    <row r="25" spans="1:5" ht="15.75">
      <c r="A25" s="1"/>
      <c r="B25" s="1"/>
      <c r="C25" s="1"/>
      <c r="D25" s="1"/>
      <c r="E25" s="1"/>
    </row>
    <row r="26" spans="1:5" ht="15.75">
      <c r="A26" s="1"/>
      <c r="B26" s="1"/>
      <c r="C26" s="1"/>
      <c r="D26" s="1"/>
      <c r="E26" s="1"/>
    </row>
    <row r="27" spans="1:5" ht="15.75">
      <c r="A27" s="1"/>
      <c r="B27" s="1"/>
      <c r="C27" s="23"/>
      <c r="D27" s="1"/>
    </row>
    <row r="28" spans="1:5">
      <c r="A28" s="74"/>
    </row>
    <row r="29" spans="1:5" ht="15.75">
      <c r="C29" s="1"/>
    </row>
  </sheetData>
  <pageMargins left="0.7" right="0.7" top="0.75" bottom="0.75" header="0.3" footer="0.3"/>
  <pageSetup scale="7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EB8F4-BB78-4858-9150-09ED26A29801}">
  <sheetPr>
    <pageSetUpPr fitToPage="1"/>
  </sheetPr>
  <dimension ref="A1:G31"/>
  <sheetViews>
    <sheetView workbookViewId="0">
      <selection activeCell="E9" sqref="E9"/>
    </sheetView>
  </sheetViews>
  <sheetFormatPr defaultRowHeight="15"/>
  <cols>
    <col min="1" max="1" width="9" customWidth="1"/>
    <col min="2" max="2" width="2.28515625" customWidth="1"/>
    <col min="3" max="3" width="61.42578125" customWidth="1"/>
    <col min="4" max="4" width="20.7109375" customWidth="1"/>
    <col min="5" max="5" width="31" customWidth="1"/>
  </cols>
  <sheetData>
    <row r="1" spans="1:5" ht="15.75">
      <c r="A1" s="1" t="str">
        <f>A!A1</f>
        <v>Columbia Gas of Kentucky, Inc.</v>
      </c>
      <c r="B1" s="1"/>
      <c r="C1" s="1"/>
      <c r="D1" s="1"/>
      <c r="E1" s="12" t="str">
        <f>A!H1</f>
        <v>Case No. 2026-00099</v>
      </c>
    </row>
    <row r="2" spans="1:5" ht="15.75">
      <c r="A2" s="1" t="str">
        <f>A!A2</f>
        <v>Forecasted Test Period: Twelve Months Ended December 31, 2027</v>
      </c>
      <c r="B2" s="1"/>
      <c r="C2" s="1"/>
      <c r="D2" s="1"/>
      <c r="E2" s="12" t="str">
        <f>A!H2</f>
        <v xml:space="preserve">Exhibit JD-1 </v>
      </c>
    </row>
    <row r="3" spans="1:5" ht="15.75">
      <c r="A3" s="1"/>
      <c r="B3" s="1"/>
      <c r="C3" s="1"/>
      <c r="D3" s="1"/>
      <c r="E3" s="12" t="s">
        <v>220</v>
      </c>
    </row>
    <row r="4" spans="1:5" ht="15.75">
      <c r="A4" s="50" t="s">
        <v>125</v>
      </c>
      <c r="B4" s="1"/>
      <c r="C4" s="1"/>
      <c r="D4" s="1"/>
      <c r="E4" s="12" t="str">
        <f>A!H4</f>
        <v>Page 1 of 1</v>
      </c>
    </row>
    <row r="5" spans="1:5" ht="15.75">
      <c r="A5" s="1"/>
      <c r="B5" s="1"/>
      <c r="C5" s="1"/>
      <c r="D5" s="1"/>
      <c r="E5" s="1"/>
    </row>
    <row r="7" spans="1:5" ht="15.75">
      <c r="A7" s="18" t="s">
        <v>29</v>
      </c>
      <c r="B7" s="40"/>
      <c r="C7" s="18" t="s">
        <v>13</v>
      </c>
      <c r="D7" s="22" t="s">
        <v>95</v>
      </c>
      <c r="E7" s="22" t="s">
        <v>31</v>
      </c>
    </row>
    <row r="8" spans="1:5" ht="15.75">
      <c r="A8" s="1"/>
      <c r="B8" s="40"/>
      <c r="C8" s="1"/>
      <c r="D8" s="19"/>
      <c r="E8" s="19"/>
    </row>
    <row r="9" spans="1:5" ht="15.75">
      <c r="A9" s="42">
        <v>1</v>
      </c>
      <c r="B9" s="40"/>
      <c r="C9" s="52" t="s">
        <v>176</v>
      </c>
      <c r="D9" s="23">
        <f>Payroll!D15</f>
        <v>-917077.25399999996</v>
      </c>
      <c r="E9" s="139" t="s">
        <v>122</v>
      </c>
    </row>
    <row r="10" spans="1:5" ht="15.75">
      <c r="A10" s="42"/>
      <c r="B10" s="40"/>
      <c r="C10" s="1"/>
      <c r="D10" s="23"/>
      <c r="E10" s="139"/>
    </row>
    <row r="11" spans="1:5" ht="15.75">
      <c r="A11" s="42">
        <v>2</v>
      </c>
      <c r="B11" s="40"/>
      <c r="C11" s="51" t="s">
        <v>129</v>
      </c>
      <c r="D11" s="37">
        <f>D24</f>
        <v>0.21795835949035056</v>
      </c>
      <c r="E11" s="19" t="s">
        <v>98</v>
      </c>
    </row>
    <row r="12" spans="1:5" ht="15.75">
      <c r="A12" s="42"/>
      <c r="B12" s="40"/>
      <c r="C12" s="1"/>
      <c r="D12" s="23"/>
      <c r="E12" s="139"/>
    </row>
    <row r="13" spans="1:5" ht="16.5" thickBot="1">
      <c r="A13" s="42">
        <v>3</v>
      </c>
      <c r="B13" s="40"/>
      <c r="C13" s="1" t="s">
        <v>169</v>
      </c>
      <c r="D13" s="28">
        <f>D9*D11</f>
        <v>-199884.65380775553</v>
      </c>
      <c r="E13" s="139" t="s">
        <v>124</v>
      </c>
    </row>
    <row r="14" spans="1:5" ht="16.5" thickTop="1">
      <c r="A14" s="42"/>
      <c r="B14" s="40"/>
      <c r="C14" s="1"/>
      <c r="D14" s="23"/>
      <c r="E14" s="139"/>
    </row>
    <row r="15" spans="1:5" ht="15.75">
      <c r="A15" s="19"/>
      <c r="B15" s="1"/>
      <c r="C15" s="1"/>
      <c r="D15" s="23"/>
      <c r="E15" s="139"/>
    </row>
    <row r="16" spans="1:5" ht="15.75">
      <c r="A16" s="19"/>
      <c r="B16" s="23"/>
      <c r="C16" s="1"/>
      <c r="D16" s="23"/>
      <c r="E16" s="139"/>
    </row>
    <row r="17" spans="1:7">
      <c r="E17" s="128"/>
    </row>
    <row r="18" spans="1:7">
      <c r="E18" s="128"/>
    </row>
    <row r="19" spans="1:7">
      <c r="E19" s="128"/>
    </row>
    <row r="20" spans="1:7">
      <c r="E20" s="128"/>
    </row>
    <row r="21" spans="1:7">
      <c r="E21" s="128"/>
    </row>
    <row r="22" spans="1:7" ht="30.75">
      <c r="A22" s="53">
        <v>4</v>
      </c>
      <c r="B22" s="51"/>
      <c r="C22" s="51" t="s">
        <v>128</v>
      </c>
      <c r="D22" s="54">
        <v>3230654</v>
      </c>
      <c r="E22" s="169" t="s">
        <v>261</v>
      </c>
      <c r="F22" s="54"/>
      <c r="G22" s="51"/>
    </row>
    <row r="23" spans="1:7" ht="30.75">
      <c r="A23" s="53">
        <v>5</v>
      </c>
      <c r="B23" s="51"/>
      <c r="C23" s="51" t="s">
        <v>118</v>
      </c>
      <c r="D23" s="75">
        <f>+'Payroll Tax'!D19</f>
        <v>14822345</v>
      </c>
      <c r="E23" s="169" t="s">
        <v>261</v>
      </c>
      <c r="F23" s="54"/>
      <c r="G23" s="23"/>
    </row>
    <row r="24" spans="1:7" ht="15.75">
      <c r="A24" s="53">
        <v>6</v>
      </c>
      <c r="B24" s="51"/>
      <c r="C24" s="51" t="s">
        <v>129</v>
      </c>
      <c r="D24" s="55">
        <f>+D22/D23</f>
        <v>0.21795835949035056</v>
      </c>
      <c r="E24" s="19" t="s">
        <v>146</v>
      </c>
      <c r="F24" s="55"/>
      <c r="G24" s="51"/>
    </row>
    <row r="25" spans="1:7" ht="15.75">
      <c r="A25" s="53"/>
      <c r="B25" s="51"/>
      <c r="C25" s="51"/>
      <c r="D25" s="51"/>
      <c r="E25" s="53"/>
      <c r="F25" s="51"/>
      <c r="G25" s="51"/>
    </row>
    <row r="26" spans="1:7" ht="15.75">
      <c r="A26" s="39"/>
      <c r="B26" s="39"/>
      <c r="C26" s="39"/>
      <c r="D26" s="39"/>
      <c r="E26" s="128"/>
    </row>
    <row r="27" spans="1:7" ht="15.75">
      <c r="A27" s="39"/>
      <c r="B27" s="39"/>
      <c r="C27" s="1" t="s">
        <v>85</v>
      </c>
      <c r="D27" s="39"/>
    </row>
    <row r="28" spans="1:7" ht="15.75">
      <c r="C28" s="1"/>
    </row>
    <row r="30" spans="1:7" ht="15.75">
      <c r="A30" s="1"/>
      <c r="B30" s="1"/>
      <c r="C30" s="23"/>
      <c r="D30" s="1"/>
    </row>
    <row r="31" spans="1:7">
      <c r="A31" s="74"/>
    </row>
  </sheetData>
  <pageMargins left="0.7" right="0.7" top="0.75" bottom="0.75" header="0.3" footer="0.3"/>
  <pageSetup scale="7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378DA-F9BF-4BE7-B7B5-AEC47757123D}">
  <sheetPr>
    <pageSetUpPr fitToPage="1"/>
  </sheetPr>
  <dimension ref="A1:E24"/>
  <sheetViews>
    <sheetView workbookViewId="0">
      <selection activeCell="D21" sqref="D21"/>
    </sheetView>
  </sheetViews>
  <sheetFormatPr defaultRowHeight="15"/>
  <cols>
    <col min="2" max="2" width="3" customWidth="1"/>
    <col min="3" max="3" width="41.140625" customWidth="1"/>
    <col min="4" max="4" width="19.7109375" customWidth="1"/>
    <col min="5" max="5" width="20.7109375" customWidth="1"/>
  </cols>
  <sheetData>
    <row r="1" spans="1:5" ht="15.75">
      <c r="A1" s="1" t="str">
        <f>A!A1</f>
        <v>Columbia Gas of Kentucky, Inc.</v>
      </c>
      <c r="B1" s="1"/>
      <c r="C1" s="1"/>
      <c r="D1" s="1"/>
      <c r="E1" s="12" t="str">
        <f>A!H1</f>
        <v>Case No. 2026-00099</v>
      </c>
    </row>
    <row r="2" spans="1:5" ht="15.75">
      <c r="A2" s="1" t="str">
        <f>A!A2</f>
        <v>Forecasted Test Period: Twelve Months Ended December 31, 2027</v>
      </c>
      <c r="B2" s="1"/>
      <c r="C2" s="1"/>
      <c r="D2" s="1"/>
      <c r="E2" s="12" t="str">
        <f>A!H2</f>
        <v xml:space="preserve">Exhibit JD-1 </v>
      </c>
    </row>
    <row r="3" spans="1:5" ht="15.75">
      <c r="A3" s="1"/>
      <c r="B3" s="1"/>
      <c r="C3" s="1"/>
      <c r="D3" s="1"/>
      <c r="E3" s="12" t="s">
        <v>221</v>
      </c>
    </row>
    <row r="4" spans="1:5" ht="15.75">
      <c r="A4" s="50" t="s">
        <v>321</v>
      </c>
      <c r="B4" s="1"/>
      <c r="C4" s="1"/>
      <c r="D4" s="1"/>
      <c r="E4" s="12" t="str">
        <f>A!H4</f>
        <v>Page 1 of 1</v>
      </c>
    </row>
    <row r="5" spans="1:5" ht="15.75">
      <c r="A5" s="1"/>
      <c r="B5" s="1"/>
      <c r="C5" s="1"/>
      <c r="D5" s="1"/>
      <c r="E5" s="1"/>
    </row>
    <row r="6" spans="1:5" ht="15.75">
      <c r="B6" s="50"/>
      <c r="C6" s="50"/>
      <c r="D6" s="50"/>
      <c r="E6" s="36"/>
    </row>
    <row r="7" spans="1:5" ht="15.75">
      <c r="A7" s="51"/>
      <c r="B7" s="50"/>
      <c r="C7" s="50"/>
      <c r="D7" s="50"/>
      <c r="E7" s="50"/>
    </row>
    <row r="8" spans="1:5" ht="15.75">
      <c r="A8" s="50"/>
      <c r="B8" s="50"/>
      <c r="C8" s="50"/>
      <c r="D8" s="50"/>
      <c r="E8" s="50"/>
    </row>
    <row r="9" spans="1:5" ht="15.75">
      <c r="A9" s="18" t="s">
        <v>29</v>
      </c>
      <c r="B9" s="1"/>
      <c r="C9" s="18" t="s">
        <v>13</v>
      </c>
      <c r="D9" s="22" t="s">
        <v>95</v>
      </c>
      <c r="E9" s="22" t="s">
        <v>31</v>
      </c>
    </row>
    <row r="10" spans="1:5" ht="15.75">
      <c r="A10" s="1"/>
      <c r="B10" s="1"/>
      <c r="C10" s="1"/>
      <c r="D10" s="19"/>
      <c r="E10" s="19"/>
    </row>
    <row r="11" spans="1:5" ht="30">
      <c r="A11" s="19">
        <v>1</v>
      </c>
      <c r="B11" s="1"/>
      <c r="C11" s="1" t="s">
        <v>91</v>
      </c>
      <c r="D11" s="23">
        <v>0</v>
      </c>
      <c r="E11" s="177" t="s">
        <v>255</v>
      </c>
    </row>
    <row r="12" spans="1:5" ht="15.75">
      <c r="A12" s="19"/>
      <c r="B12" s="1"/>
      <c r="C12" s="1"/>
      <c r="D12" s="23"/>
      <c r="E12" s="139"/>
    </row>
    <row r="13" spans="1:5" ht="15.75">
      <c r="A13" s="19">
        <v>2</v>
      </c>
      <c r="B13" s="1"/>
      <c r="C13" s="1" t="s">
        <v>177</v>
      </c>
      <c r="D13" s="24">
        <f>D21</f>
        <v>71015.210000000006</v>
      </c>
      <c r="E13" s="177" t="s">
        <v>98</v>
      </c>
    </row>
    <row r="14" spans="1:5" ht="15.75">
      <c r="A14" s="19"/>
      <c r="B14" s="1"/>
      <c r="C14" s="1"/>
      <c r="D14" s="23"/>
      <c r="E14" s="139"/>
    </row>
    <row r="15" spans="1:5" ht="16.5" thickBot="1">
      <c r="A15" s="19">
        <v>3</v>
      </c>
      <c r="B15" s="1"/>
      <c r="C15" s="1" t="s">
        <v>169</v>
      </c>
      <c r="D15" s="28">
        <f>+D13-D11</f>
        <v>71015.210000000006</v>
      </c>
      <c r="E15" s="139" t="s">
        <v>99</v>
      </c>
    </row>
    <row r="16" spans="1:5" ht="16.5" thickTop="1">
      <c r="A16" s="19"/>
      <c r="B16" s="1"/>
      <c r="C16" s="1"/>
      <c r="D16" s="1"/>
      <c r="E16" s="19"/>
    </row>
    <row r="17" spans="1:5" ht="15.75">
      <c r="A17" s="45"/>
      <c r="B17" s="50"/>
      <c r="C17" s="50"/>
      <c r="D17" s="50"/>
      <c r="E17" s="178"/>
    </row>
    <row r="18" spans="1:5" ht="15.75">
      <c r="A18" s="19"/>
      <c r="E18" s="128"/>
    </row>
    <row r="19" spans="1:5" ht="15.75">
      <c r="A19" s="19">
        <v>4</v>
      </c>
      <c r="D19" s="23">
        <f>+'B-2'!E30</f>
        <v>1950967.3076923077</v>
      </c>
      <c r="E19" s="19" t="s">
        <v>93</v>
      </c>
    </row>
    <row r="20" spans="1:5" ht="45">
      <c r="A20" s="19">
        <v>5</v>
      </c>
      <c r="D20" s="37">
        <v>3.6400000000000002E-2</v>
      </c>
      <c r="E20" s="177" t="s">
        <v>322</v>
      </c>
    </row>
    <row r="21" spans="1:5" ht="15.75">
      <c r="A21" s="19">
        <v>6</v>
      </c>
      <c r="D21" s="23">
        <f>+D19*D20</f>
        <v>71015.210000000006</v>
      </c>
      <c r="E21" s="19" t="s">
        <v>323</v>
      </c>
    </row>
    <row r="22" spans="1:5">
      <c r="E22" s="128"/>
    </row>
    <row r="23" spans="1:5">
      <c r="E23" s="128"/>
    </row>
    <row r="24" spans="1:5">
      <c r="E24" s="128"/>
    </row>
  </sheetData>
  <pageMargins left="0.7" right="0.7" top="0.75" bottom="0.75" header="0.3" footer="0.3"/>
  <pageSetup scale="96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400C5-F407-4C94-8264-24D9533639BC}">
  <sheetPr>
    <pageSetUpPr fitToPage="1"/>
  </sheetPr>
  <dimension ref="A1:G32"/>
  <sheetViews>
    <sheetView workbookViewId="0">
      <selection activeCell="E26" sqref="E26"/>
    </sheetView>
  </sheetViews>
  <sheetFormatPr defaultRowHeight="15"/>
  <cols>
    <col min="1" max="1" width="7.85546875"/>
    <col min="2" max="2" width="3" customWidth="1"/>
    <col min="3" max="3" width="62.28515625" customWidth="1"/>
    <col min="4" max="4" width="10.28515625" customWidth="1"/>
    <col min="5" max="5" width="17.7109375" customWidth="1"/>
    <col min="6" max="6" width="2.42578125" customWidth="1"/>
    <col min="7" max="7" width="14.5703125" customWidth="1"/>
  </cols>
  <sheetData>
    <row r="1" spans="1:7" ht="15.75">
      <c r="A1" s="1" t="str">
        <f>A!A1</f>
        <v>Columbia Gas of Kentucky, Inc.</v>
      </c>
      <c r="B1" s="1"/>
      <c r="C1" s="1"/>
      <c r="D1" s="1"/>
      <c r="E1" s="12" t="str">
        <f>A!H1</f>
        <v>Case No. 2026-00099</v>
      </c>
    </row>
    <row r="2" spans="1:7" ht="15.75">
      <c r="A2" s="1" t="str">
        <f>A!A2</f>
        <v>Forecasted Test Period: Twelve Months Ended December 31, 2027</v>
      </c>
      <c r="B2" s="1"/>
      <c r="C2" s="1"/>
      <c r="D2" s="1"/>
      <c r="E2" s="12" t="str">
        <f>A!H2</f>
        <v xml:space="preserve">Exhibit JD-1 </v>
      </c>
    </row>
    <row r="3" spans="1:7" ht="15.75">
      <c r="A3" s="1"/>
      <c r="B3" s="1"/>
      <c r="C3" s="1"/>
      <c r="D3" s="1"/>
      <c r="E3" s="12" t="s">
        <v>243</v>
      </c>
    </row>
    <row r="4" spans="1:7" ht="15.75">
      <c r="A4" s="50" t="s">
        <v>135</v>
      </c>
      <c r="B4" s="1"/>
      <c r="C4" s="1"/>
      <c r="D4" s="1"/>
      <c r="E4" s="12" t="str">
        <f>A!H4</f>
        <v>Page 1 of 1</v>
      </c>
    </row>
    <row r="6" spans="1:7" ht="15.75">
      <c r="A6" s="45" t="s">
        <v>8</v>
      </c>
      <c r="B6" s="50"/>
      <c r="C6" s="50"/>
      <c r="D6" s="50"/>
      <c r="E6" s="50"/>
      <c r="F6" s="50"/>
      <c r="G6" s="62"/>
    </row>
    <row r="7" spans="1:7" ht="15.75">
      <c r="A7" s="46" t="s">
        <v>12</v>
      </c>
      <c r="B7" s="50"/>
      <c r="C7" s="56" t="s">
        <v>13</v>
      </c>
      <c r="D7" s="50"/>
      <c r="E7" s="46" t="s">
        <v>95</v>
      </c>
      <c r="F7" s="50"/>
      <c r="G7" s="45"/>
    </row>
    <row r="8" spans="1:7" ht="15.75">
      <c r="A8" s="45"/>
      <c r="B8" s="50"/>
      <c r="C8" s="50"/>
      <c r="D8" s="50"/>
      <c r="E8" s="50"/>
      <c r="F8" s="50"/>
      <c r="G8" s="62"/>
    </row>
    <row r="9" spans="1:7" ht="15.75">
      <c r="A9" s="45"/>
      <c r="B9" s="50"/>
      <c r="C9" s="57" t="s">
        <v>26</v>
      </c>
      <c r="D9" s="50"/>
      <c r="E9" s="50"/>
      <c r="F9" s="50"/>
      <c r="G9" s="62"/>
    </row>
    <row r="10" spans="1:7" ht="15.75">
      <c r="A10" s="45">
        <v>1</v>
      </c>
      <c r="B10" s="50"/>
      <c r="C10" s="50" t="s">
        <v>184</v>
      </c>
      <c r="D10" s="50"/>
      <c r="E10" s="58">
        <f>-SUM('Cp2'!D14:D29)</f>
        <v>-5568164.895700004</v>
      </c>
      <c r="F10" s="50"/>
      <c r="G10" s="62"/>
    </row>
    <row r="11" spans="1:7" ht="15.75">
      <c r="A11" s="45"/>
      <c r="B11" s="50"/>
      <c r="C11" s="50"/>
      <c r="D11" s="50"/>
      <c r="E11" s="58"/>
      <c r="F11" s="50"/>
      <c r="G11" s="62"/>
    </row>
    <row r="12" spans="1:7" ht="15.75">
      <c r="A12" s="45">
        <v>2</v>
      </c>
      <c r="B12" s="50"/>
      <c r="C12" s="50" t="s">
        <v>130</v>
      </c>
      <c r="D12" s="50"/>
      <c r="E12" s="67">
        <f>+E24</f>
        <v>278408.24478500022</v>
      </c>
      <c r="F12" s="50"/>
      <c r="G12" s="62"/>
    </row>
    <row r="13" spans="1:7" ht="15.75">
      <c r="A13" s="45">
        <v>3</v>
      </c>
      <c r="B13" s="50"/>
      <c r="C13" s="50" t="s">
        <v>131</v>
      </c>
      <c r="D13" s="50"/>
      <c r="E13" s="58">
        <f>SUM(E10:E12)</f>
        <v>-5289756.6509150034</v>
      </c>
      <c r="F13" s="50"/>
      <c r="G13" s="62"/>
    </row>
    <row r="14" spans="1:7" ht="15.75">
      <c r="A14" s="45"/>
      <c r="B14" s="50"/>
      <c r="C14" s="50"/>
      <c r="D14" s="50"/>
      <c r="E14" s="50"/>
      <c r="F14" s="50"/>
      <c r="G14" s="62"/>
    </row>
    <row r="15" spans="1:7" ht="15.75">
      <c r="A15" s="45">
        <v>4</v>
      </c>
      <c r="B15" s="50"/>
      <c r="C15" s="50" t="s">
        <v>132</v>
      </c>
      <c r="D15" s="50"/>
      <c r="E15" s="59">
        <v>0.21</v>
      </c>
      <c r="F15" s="50"/>
      <c r="G15" s="62"/>
    </row>
    <row r="16" spans="1:7" ht="15.75">
      <c r="A16" s="45"/>
      <c r="B16" s="50"/>
      <c r="C16" s="50"/>
      <c r="D16" s="50"/>
      <c r="E16" s="50"/>
      <c r="F16" s="50"/>
      <c r="G16" s="62"/>
    </row>
    <row r="17" spans="1:7" ht="15.75">
      <c r="A17" s="45">
        <v>5</v>
      </c>
      <c r="B17" s="50"/>
      <c r="C17" s="50" t="s">
        <v>178</v>
      </c>
      <c r="D17" s="50"/>
      <c r="E17" s="60">
        <f>-E13*E15</f>
        <v>1110848.8966921507</v>
      </c>
      <c r="F17" s="50"/>
      <c r="G17" s="62"/>
    </row>
    <row r="18" spans="1:7" ht="15.75">
      <c r="A18" s="45"/>
      <c r="B18" s="50"/>
      <c r="C18" s="50"/>
      <c r="D18" s="50"/>
      <c r="E18" s="50"/>
      <c r="F18" s="50"/>
      <c r="G18" s="36"/>
    </row>
    <row r="19" spans="1:7" ht="15.75">
      <c r="A19" s="45"/>
      <c r="B19" s="50"/>
      <c r="C19" s="57" t="s">
        <v>133</v>
      </c>
      <c r="D19" s="50"/>
      <c r="E19" s="50"/>
      <c r="F19" s="50"/>
      <c r="G19" s="36"/>
    </row>
    <row r="20" spans="1:7" ht="15.75">
      <c r="A20" s="45">
        <v>6</v>
      </c>
      <c r="B20" s="50"/>
      <c r="C20" s="50" t="s">
        <v>144</v>
      </c>
      <c r="D20" s="50"/>
      <c r="E20" s="48">
        <f>E10</f>
        <v>-5568164.895700004</v>
      </c>
      <c r="F20" s="50"/>
      <c r="G20" s="36"/>
    </row>
    <row r="21" spans="1:7" ht="15.75">
      <c r="A21" s="45"/>
      <c r="B21" s="50"/>
      <c r="C21" s="50"/>
      <c r="D21" s="50"/>
      <c r="E21" s="50"/>
      <c r="F21" s="50"/>
      <c r="G21" s="36"/>
    </row>
    <row r="22" spans="1:7" ht="15.75">
      <c r="A22" s="45">
        <v>7</v>
      </c>
      <c r="B22" s="50"/>
      <c r="C22" s="50" t="s">
        <v>133</v>
      </c>
      <c r="D22" s="50"/>
      <c r="E22" s="64">
        <v>0.05</v>
      </c>
      <c r="F22" s="50"/>
      <c r="G22" s="36"/>
    </row>
    <row r="23" spans="1:7" ht="15.75">
      <c r="A23" s="50"/>
      <c r="B23" s="50"/>
      <c r="C23" s="50"/>
      <c r="D23" s="50"/>
      <c r="E23" s="50"/>
      <c r="F23" s="50"/>
      <c r="G23" s="36"/>
    </row>
    <row r="24" spans="1:7" ht="15.75">
      <c r="A24" s="45">
        <v>8</v>
      </c>
      <c r="B24" s="50"/>
      <c r="C24" s="50" t="s">
        <v>179</v>
      </c>
      <c r="D24" s="50"/>
      <c r="E24" s="60">
        <f>-E22*E20</f>
        <v>278408.24478500022</v>
      </c>
      <c r="F24" s="50"/>
      <c r="G24" s="36"/>
    </row>
    <row r="25" spans="1:7" ht="15.75">
      <c r="A25" s="50"/>
      <c r="B25" s="50"/>
      <c r="C25" s="50"/>
      <c r="D25" s="50"/>
      <c r="E25" s="50"/>
      <c r="F25" s="50"/>
      <c r="G25" s="36"/>
    </row>
    <row r="26" spans="1:7" ht="16.5" thickBot="1">
      <c r="A26" s="45">
        <v>9</v>
      </c>
      <c r="B26" s="50"/>
      <c r="C26" s="50" t="s">
        <v>180</v>
      </c>
      <c r="D26" s="50"/>
      <c r="E26" s="77">
        <f>+E17+E24</f>
        <v>1389257.1414771508</v>
      </c>
      <c r="F26" s="50"/>
      <c r="G26" s="36"/>
    </row>
    <row r="27" spans="1:7" ht="16.5" thickTop="1">
      <c r="A27" s="50"/>
      <c r="B27" s="50"/>
      <c r="C27" s="50"/>
      <c r="D27" s="50"/>
      <c r="E27" s="50"/>
      <c r="F27" s="50"/>
      <c r="G27" s="36"/>
    </row>
    <row r="28" spans="1:7" ht="15.75">
      <c r="A28" s="56" t="s">
        <v>134</v>
      </c>
      <c r="B28" s="56"/>
      <c r="C28" s="56"/>
      <c r="D28" s="18"/>
      <c r="E28" s="18"/>
      <c r="F28" s="50"/>
      <c r="G28" s="36"/>
    </row>
    <row r="29" spans="1:7" ht="15.75">
      <c r="A29" s="63" t="s">
        <v>152</v>
      </c>
      <c r="B29" s="50"/>
      <c r="C29" s="1"/>
      <c r="D29" s="50"/>
      <c r="E29" s="50"/>
      <c r="F29" s="50"/>
      <c r="G29" s="36"/>
    </row>
    <row r="30" spans="1:7" ht="15.75">
      <c r="A30" s="50"/>
      <c r="B30" s="50"/>
      <c r="C30" s="1"/>
      <c r="D30" s="50"/>
      <c r="E30" s="50"/>
      <c r="F30" s="50"/>
      <c r="G30" s="36"/>
    </row>
    <row r="31" spans="1:7" ht="15.75">
      <c r="A31" s="50"/>
      <c r="B31" s="50"/>
      <c r="C31" s="36"/>
      <c r="D31" s="50"/>
      <c r="E31" s="50"/>
      <c r="F31" s="50"/>
      <c r="G31" s="36"/>
    </row>
    <row r="32" spans="1:7" ht="15.75">
      <c r="A32" s="50"/>
      <c r="B32" s="50"/>
      <c r="C32" s="50"/>
      <c r="D32" s="50"/>
      <c r="E32" s="50"/>
      <c r="F32" s="50"/>
      <c r="G32" s="36"/>
    </row>
  </sheetData>
  <pageMargins left="0.7" right="0.7" top="0.75" bottom="0.75" header="0.3" footer="0.3"/>
  <pageSetup scale="8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883CB-BCE5-46A0-BF07-7AAB56A59F72}">
  <sheetPr>
    <pageSetUpPr fitToPage="1"/>
  </sheetPr>
  <dimension ref="A1:F31"/>
  <sheetViews>
    <sheetView workbookViewId="0">
      <selection activeCell="J40" sqref="J40"/>
    </sheetView>
  </sheetViews>
  <sheetFormatPr defaultRowHeight="15"/>
  <cols>
    <col min="1" max="1" width="9.140625" customWidth="1"/>
    <col min="2" max="2" width="3.42578125" customWidth="1"/>
    <col min="3" max="3" width="64.42578125" customWidth="1"/>
    <col min="4" max="4" width="11.85546875" customWidth="1"/>
    <col min="5" max="5" width="17.140625" customWidth="1"/>
    <col min="6" max="6" width="27.42578125" customWidth="1"/>
  </cols>
  <sheetData>
    <row r="1" spans="1:6" ht="15.75">
      <c r="A1" s="40" t="str">
        <f>'Inc Tax'!A1</f>
        <v>Columbia Gas of Kentucky, Inc.</v>
      </c>
      <c r="B1" s="40"/>
      <c r="C1" s="40"/>
      <c r="D1" s="40"/>
      <c r="E1" s="98"/>
      <c r="F1" s="102" t="str">
        <f>'Inc Tax'!E1</f>
        <v>Case No. 2026-00099</v>
      </c>
    </row>
    <row r="2" spans="1:6" ht="15.75">
      <c r="A2" s="40" t="str">
        <f>'Inc Tax'!A2</f>
        <v>Forecasted Test Period: Twelve Months Ended December 31, 2027</v>
      </c>
      <c r="B2" s="40"/>
      <c r="C2" s="40"/>
      <c r="D2" s="40"/>
      <c r="E2" s="98"/>
      <c r="F2" s="102" t="str">
        <f>'Inc Tax'!E2</f>
        <v xml:space="preserve">Exhibit JD-1 </v>
      </c>
    </row>
    <row r="3" spans="1:6" ht="15.75">
      <c r="A3" s="40"/>
      <c r="B3" s="40"/>
      <c r="C3" s="40"/>
      <c r="D3" s="40"/>
      <c r="E3" s="98"/>
      <c r="F3" s="102" t="s">
        <v>324</v>
      </c>
    </row>
    <row r="4" spans="1:6" ht="15.75">
      <c r="A4" s="40" t="s">
        <v>195</v>
      </c>
      <c r="B4" s="40"/>
      <c r="C4" s="40"/>
      <c r="D4" s="40"/>
      <c r="E4" s="98"/>
      <c r="F4" s="102" t="str">
        <f>'Inc Tax'!E4</f>
        <v>Page 1 of 1</v>
      </c>
    </row>
    <row r="5" spans="1:6" ht="15.75">
      <c r="A5" s="40"/>
      <c r="B5" s="40"/>
      <c r="C5" s="40"/>
      <c r="D5" s="40"/>
      <c r="E5" s="102"/>
      <c r="F5" s="98"/>
    </row>
    <row r="6" spans="1:6" ht="15.75">
      <c r="A6" s="103" t="s">
        <v>197</v>
      </c>
      <c r="B6" s="40"/>
      <c r="C6" s="103" t="s">
        <v>13</v>
      </c>
      <c r="D6" s="40"/>
      <c r="E6" s="104" t="s">
        <v>95</v>
      </c>
      <c r="F6" s="105" t="s">
        <v>31</v>
      </c>
    </row>
    <row r="7" spans="1:6" ht="15.75">
      <c r="A7" s="42">
        <v>1</v>
      </c>
      <c r="B7" s="40"/>
      <c r="C7" s="40" t="s">
        <v>185</v>
      </c>
      <c r="D7" s="40"/>
      <c r="E7" s="97">
        <f ca="1">B!E36</f>
        <v>597041106.69230771</v>
      </c>
      <c r="F7" s="42" t="s">
        <v>55</v>
      </c>
    </row>
    <row r="8" spans="1:6" ht="15.75">
      <c r="A8" s="42"/>
      <c r="B8" s="40"/>
      <c r="C8" s="40"/>
      <c r="D8" s="40"/>
      <c r="E8" s="40"/>
      <c r="F8" s="42"/>
    </row>
    <row r="9" spans="1:6" ht="15.75">
      <c r="A9" s="42">
        <v>2</v>
      </c>
      <c r="B9" s="40"/>
      <c r="C9" s="40" t="s">
        <v>186</v>
      </c>
      <c r="D9" s="40"/>
      <c r="E9" s="106">
        <f>+D!I28+D!I30</f>
        <v>2.6020134000000004E-2</v>
      </c>
      <c r="F9" s="42" t="s">
        <v>5</v>
      </c>
    </row>
    <row r="10" spans="1:6" ht="15.75">
      <c r="A10" s="42"/>
      <c r="B10" s="40"/>
      <c r="C10" s="40"/>
      <c r="D10" s="40"/>
      <c r="E10" s="40"/>
      <c r="F10" s="42"/>
    </row>
    <row r="11" spans="1:6" ht="15.75">
      <c r="A11" s="42">
        <v>3</v>
      </c>
      <c r="B11" s="40"/>
      <c r="C11" s="40" t="s">
        <v>188</v>
      </c>
      <c r="D11" s="40"/>
      <c r="E11" s="97">
        <f ca="1">ROUND(E7*E9,0)</f>
        <v>15535090</v>
      </c>
      <c r="F11" s="42" t="s">
        <v>124</v>
      </c>
    </row>
    <row r="12" spans="1:6" ht="15.75">
      <c r="A12" s="42"/>
      <c r="B12" s="40"/>
      <c r="C12" s="40"/>
      <c r="D12" s="40"/>
      <c r="E12" s="97"/>
      <c r="F12" s="42"/>
    </row>
    <row r="13" spans="1:6" ht="15.75">
      <c r="A13" s="42">
        <v>4</v>
      </c>
      <c r="B13" s="40"/>
      <c r="C13" s="107" t="s">
        <v>187</v>
      </c>
      <c r="D13" s="40"/>
      <c r="E13" s="168">
        <v>14385657</v>
      </c>
      <c r="F13" s="42" t="s">
        <v>320</v>
      </c>
    </row>
    <row r="14" spans="1:6" ht="15.75">
      <c r="A14" s="42"/>
      <c r="B14" s="40"/>
      <c r="C14" s="40"/>
      <c r="D14" s="40"/>
      <c r="E14" s="97"/>
      <c r="F14" s="42"/>
    </row>
    <row r="15" spans="1:6" ht="15.75">
      <c r="A15" s="42">
        <v>5</v>
      </c>
      <c r="B15" s="40"/>
      <c r="C15" s="40" t="s">
        <v>189</v>
      </c>
      <c r="D15" s="40"/>
      <c r="E15" s="108">
        <f ca="1">+E11-E13</f>
        <v>1149433</v>
      </c>
      <c r="F15" s="42" t="s">
        <v>75</v>
      </c>
    </row>
    <row r="16" spans="1:6" ht="15.75">
      <c r="A16" s="42"/>
      <c r="B16" s="40"/>
      <c r="C16" s="40"/>
      <c r="D16" s="40"/>
      <c r="E16" s="108"/>
      <c r="F16" s="42"/>
    </row>
    <row r="17" spans="1:6" ht="15.75">
      <c r="A17" s="42">
        <v>6</v>
      </c>
      <c r="B17" s="40"/>
      <c r="C17" s="40" t="s">
        <v>190</v>
      </c>
      <c r="D17" s="40"/>
      <c r="E17" s="109">
        <v>0.2495</v>
      </c>
      <c r="F17" s="42" t="s">
        <v>198</v>
      </c>
    </row>
    <row r="18" spans="1:6" ht="15.75">
      <c r="A18" s="42"/>
      <c r="B18" s="40"/>
      <c r="C18" s="40"/>
      <c r="D18" s="40"/>
      <c r="E18" s="40"/>
      <c r="F18" s="42"/>
    </row>
    <row r="19" spans="1:6" ht="16.5" thickBot="1">
      <c r="A19" s="42">
        <v>7</v>
      </c>
      <c r="B19" s="40"/>
      <c r="C19" s="40" t="s">
        <v>262</v>
      </c>
      <c r="D19" s="40"/>
      <c r="E19" s="110">
        <f ca="1">-E15*E17</f>
        <v>-286783.53350000002</v>
      </c>
      <c r="F19" s="42" t="s">
        <v>199</v>
      </c>
    </row>
    <row r="20" spans="1:6" ht="16.5" thickTop="1">
      <c r="A20" s="42"/>
      <c r="B20" s="40"/>
      <c r="C20" s="40"/>
      <c r="D20" s="40"/>
      <c r="E20" s="111"/>
      <c r="F20" s="42"/>
    </row>
    <row r="21" spans="1:6" ht="15.75">
      <c r="A21" s="42">
        <v>8</v>
      </c>
      <c r="B21" s="40"/>
      <c r="C21" s="40" t="s">
        <v>191</v>
      </c>
      <c r="D21" s="40"/>
      <c r="E21" s="111">
        <f ca="1">-E15*0.05</f>
        <v>-57471.65</v>
      </c>
      <c r="F21" s="42"/>
    </row>
    <row r="22" spans="1:6" ht="15.75">
      <c r="A22" s="42">
        <v>9</v>
      </c>
      <c r="B22" s="40"/>
      <c r="C22" s="40" t="s">
        <v>192</v>
      </c>
      <c r="D22" s="40"/>
      <c r="E22" s="112">
        <f ca="1">-(+E15+E21)*0.21</f>
        <v>-229311.88350000003</v>
      </c>
      <c r="F22" s="42"/>
    </row>
    <row r="23" spans="1:6" ht="16.5" thickBot="1">
      <c r="A23" s="42">
        <v>10</v>
      </c>
      <c r="B23" s="40"/>
      <c r="C23" s="40" t="s">
        <v>263</v>
      </c>
      <c r="D23" s="40"/>
      <c r="E23" s="113">
        <f ca="1">+E22+E21</f>
        <v>-286783.53350000002</v>
      </c>
      <c r="F23" s="42"/>
    </row>
    <row r="24" spans="1:6" ht="16.5" thickTop="1">
      <c r="A24" s="42"/>
      <c r="B24" s="40"/>
      <c r="C24" s="40"/>
      <c r="D24" s="40"/>
      <c r="E24" s="40"/>
      <c r="F24" s="42"/>
    </row>
    <row r="25" spans="1:6" ht="15.75">
      <c r="A25" s="42"/>
      <c r="B25" s="40"/>
      <c r="C25" s="40"/>
      <c r="D25" s="40"/>
      <c r="E25" s="114"/>
      <c r="F25" s="42"/>
    </row>
    <row r="26" spans="1:6" ht="15.75">
      <c r="A26" s="42">
        <v>11</v>
      </c>
      <c r="B26" s="40"/>
      <c r="C26" s="40" t="s">
        <v>193</v>
      </c>
      <c r="D26" s="40">
        <v>0.21</v>
      </c>
      <c r="E26" s="40"/>
      <c r="F26" s="42"/>
    </row>
    <row r="27" spans="1:6" ht="15.75">
      <c r="A27" s="42">
        <v>12</v>
      </c>
      <c r="B27" s="40"/>
      <c r="C27" s="40" t="s">
        <v>194</v>
      </c>
      <c r="D27" s="103">
        <v>0.05</v>
      </c>
      <c r="E27" s="111"/>
      <c r="F27" s="40"/>
    </row>
    <row r="28" spans="1:6" ht="15.75">
      <c r="A28" s="42">
        <v>13</v>
      </c>
      <c r="B28" s="40"/>
      <c r="C28" s="40"/>
      <c r="D28" s="40">
        <f>(1-0.05)*0.21</f>
        <v>0.19949999999999998</v>
      </c>
      <c r="E28" s="40"/>
      <c r="F28" s="40"/>
    </row>
    <row r="29" spans="1:6" ht="15.75">
      <c r="A29" s="42">
        <v>14</v>
      </c>
      <c r="B29" s="98"/>
      <c r="C29" s="40" t="s">
        <v>194</v>
      </c>
      <c r="D29" s="103">
        <v>0.05</v>
      </c>
      <c r="E29" s="40"/>
      <c r="F29" s="40"/>
    </row>
    <row r="30" spans="1:6" ht="15.75">
      <c r="A30" s="42">
        <v>15</v>
      </c>
      <c r="B30" s="98"/>
      <c r="C30" s="40" t="s">
        <v>190</v>
      </c>
      <c r="D30" s="40">
        <f>SUM(D28:D29)</f>
        <v>0.2495</v>
      </c>
      <c r="E30" s="115"/>
      <c r="F30" s="40"/>
    </row>
    <row r="31" spans="1:6" ht="15.75">
      <c r="A31" s="98"/>
      <c r="B31" s="98"/>
      <c r="C31" s="98"/>
      <c r="D31" s="116"/>
      <c r="E31" s="98"/>
      <c r="F31" s="40"/>
    </row>
  </sheetData>
  <pageMargins left="0.7" right="0.7" top="0.75" bottom="0.75" header="0.3" footer="0.3"/>
  <pageSetup scale="67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36B95-9DF5-4042-ACA9-662C64D12540}">
  <sheetPr>
    <pageSetUpPr fitToPage="1"/>
  </sheetPr>
  <dimension ref="A1:K44"/>
  <sheetViews>
    <sheetView showGridLines="0" topLeftCell="A19" workbookViewId="0">
      <selection activeCell="A7" sqref="A7:I36"/>
    </sheetView>
  </sheetViews>
  <sheetFormatPr defaultRowHeight="15"/>
  <cols>
    <col min="1" max="1" width="6.42578125" customWidth="1"/>
    <col min="2" max="2" width="1.5703125" customWidth="1"/>
    <col min="3" max="3" width="26.42578125" customWidth="1"/>
    <col min="4" max="4" width="21.5703125" customWidth="1"/>
    <col min="5" max="5" width="12.140625" customWidth="1"/>
    <col min="6" max="6" width="1.140625" customWidth="1"/>
    <col min="7" max="7" width="12.140625" customWidth="1"/>
    <col min="8" max="8" width="0.85546875" customWidth="1"/>
    <col min="9" max="9" width="12.140625" customWidth="1"/>
  </cols>
  <sheetData>
    <row r="1" spans="1:11" ht="15.75">
      <c r="A1" s="1" t="str">
        <f>A!A1</f>
        <v>Columbia Gas of Kentucky, Inc.</v>
      </c>
      <c r="B1" s="1"/>
      <c r="C1" s="1"/>
      <c r="D1" s="1"/>
      <c r="E1" s="1"/>
      <c r="F1" s="1"/>
      <c r="G1" s="2"/>
      <c r="H1" s="2"/>
      <c r="I1" s="12" t="str">
        <f>A!H1</f>
        <v>Case No. 2026-00099</v>
      </c>
    </row>
    <row r="2" spans="1:11" ht="15.75">
      <c r="A2" s="1" t="str">
        <f>A!A2</f>
        <v>Forecasted Test Period: Twelve Months Ended December 31, 2027</v>
      </c>
      <c r="B2" s="1"/>
      <c r="C2" s="1"/>
      <c r="D2" s="1"/>
      <c r="E2" s="1"/>
      <c r="F2" s="1"/>
      <c r="G2" s="2"/>
      <c r="H2" s="2"/>
      <c r="I2" s="12" t="str">
        <f>A!H2</f>
        <v xml:space="preserve">Exhibit JD-1 </v>
      </c>
    </row>
    <row r="3" spans="1:11" ht="15.75">
      <c r="A3" s="1"/>
      <c r="B3" s="1"/>
      <c r="C3" s="1"/>
      <c r="D3" s="1"/>
      <c r="E3" s="1"/>
      <c r="F3" s="1"/>
      <c r="G3" s="2"/>
      <c r="H3" s="2"/>
      <c r="I3" s="12" t="s">
        <v>5</v>
      </c>
    </row>
    <row r="4" spans="1:11" ht="15.75">
      <c r="A4" s="13" t="s">
        <v>6</v>
      </c>
      <c r="B4" s="1"/>
      <c r="C4" s="1"/>
      <c r="D4" s="1"/>
      <c r="E4" s="1"/>
      <c r="F4" s="1"/>
      <c r="G4" s="1"/>
      <c r="H4" s="1"/>
      <c r="I4" s="12" t="s">
        <v>7</v>
      </c>
    </row>
    <row r="5" spans="1:11" ht="15.75">
      <c r="A5" s="14"/>
      <c r="B5" s="1"/>
      <c r="C5" s="1"/>
      <c r="D5" s="1"/>
      <c r="E5" s="1"/>
      <c r="F5" s="1"/>
      <c r="G5" s="1"/>
      <c r="H5" s="1"/>
      <c r="I5" s="38"/>
    </row>
    <row r="7" spans="1:11" ht="15.75">
      <c r="A7" s="185" t="s">
        <v>141</v>
      </c>
      <c r="B7" s="186"/>
      <c r="C7" s="186"/>
      <c r="D7" s="186"/>
      <c r="E7" s="186"/>
      <c r="F7" s="186"/>
      <c r="G7" s="186"/>
      <c r="H7" s="186"/>
      <c r="I7" s="187"/>
    </row>
    <row r="8" spans="1:11" ht="15.75">
      <c r="A8" s="2"/>
      <c r="B8" s="2"/>
      <c r="C8" s="2"/>
      <c r="D8" s="2"/>
      <c r="E8" s="2"/>
      <c r="F8" s="2"/>
      <c r="G8" s="2"/>
      <c r="H8" s="2"/>
      <c r="I8" s="2"/>
    </row>
    <row r="9" spans="1:11" ht="15.75">
      <c r="A9" s="3" t="s">
        <v>8</v>
      </c>
      <c r="B9" s="3"/>
      <c r="C9" s="3"/>
      <c r="D9" s="3"/>
      <c r="E9" s="4" t="s">
        <v>9</v>
      </c>
      <c r="F9" s="3"/>
      <c r="G9" s="4" t="s">
        <v>10</v>
      </c>
      <c r="H9" s="3"/>
      <c r="I9" s="5" t="s">
        <v>11</v>
      </c>
    </row>
    <row r="10" spans="1:11" ht="15.75">
      <c r="A10" s="15" t="s">
        <v>12</v>
      </c>
      <c r="B10" s="3"/>
      <c r="C10" s="6" t="s">
        <v>13</v>
      </c>
      <c r="D10" s="7" t="s">
        <v>30</v>
      </c>
      <c r="E10" s="7" t="s">
        <v>14</v>
      </c>
      <c r="F10" s="3"/>
      <c r="G10" s="7" t="s">
        <v>15</v>
      </c>
      <c r="H10" s="3"/>
      <c r="I10" s="8" t="s">
        <v>10</v>
      </c>
    </row>
    <row r="11" spans="1:11" ht="15.75">
      <c r="A11" s="2"/>
      <c r="B11" s="2"/>
      <c r="C11" s="2"/>
      <c r="D11" s="2"/>
      <c r="E11" s="2"/>
      <c r="F11" s="2"/>
      <c r="G11" s="2"/>
      <c r="H11" s="2"/>
      <c r="I11" s="2"/>
    </row>
    <row r="12" spans="1:11" ht="15.75">
      <c r="A12" s="5">
        <v>1</v>
      </c>
      <c r="B12" s="2"/>
      <c r="C12" s="16" t="s">
        <v>17</v>
      </c>
      <c r="D12" s="2">
        <v>8870145</v>
      </c>
      <c r="E12" s="9">
        <v>1.227E-2</v>
      </c>
      <c r="F12" s="9"/>
      <c r="G12" s="9">
        <v>0.05</v>
      </c>
      <c r="H12" s="9"/>
      <c r="I12" s="9">
        <v>6.0999999999999997E-4</v>
      </c>
    </row>
    <row r="13" spans="1:11" ht="15.75">
      <c r="A13" s="5"/>
      <c r="B13" s="2"/>
      <c r="C13" s="2"/>
      <c r="D13" s="2"/>
      <c r="E13" s="9"/>
      <c r="F13" s="9"/>
      <c r="G13" s="9"/>
      <c r="H13" s="9"/>
      <c r="I13" s="9"/>
    </row>
    <row r="14" spans="1:11" ht="15.75">
      <c r="A14" s="5">
        <v>2</v>
      </c>
      <c r="B14" s="2"/>
      <c r="C14" s="2" t="s">
        <v>16</v>
      </c>
      <c r="D14" s="2">
        <v>333461538</v>
      </c>
      <c r="E14" s="9">
        <v>0.46134999999999998</v>
      </c>
      <c r="F14" s="9"/>
      <c r="G14" s="9">
        <v>5.0430000000000003E-2</v>
      </c>
      <c r="H14" s="9"/>
      <c r="I14" s="9">
        <v>2.3269999999999999E-2</v>
      </c>
    </row>
    <row r="15" spans="1:11" ht="15.75">
      <c r="A15" s="5"/>
      <c r="B15" s="2"/>
      <c r="C15" s="2"/>
      <c r="D15" s="2"/>
      <c r="E15" s="9"/>
      <c r="F15" s="9"/>
      <c r="G15" s="9"/>
      <c r="H15" s="9"/>
      <c r="I15" s="9"/>
      <c r="K15" s="174"/>
    </row>
    <row r="16" spans="1:11" ht="15.75">
      <c r="A16" s="5">
        <v>3</v>
      </c>
      <c r="B16" s="2"/>
      <c r="C16" s="16" t="s">
        <v>18</v>
      </c>
      <c r="D16" s="2">
        <v>0</v>
      </c>
      <c r="E16" s="9">
        <v>0</v>
      </c>
      <c r="F16" s="9"/>
      <c r="G16" s="9">
        <v>0</v>
      </c>
      <c r="H16" s="9"/>
      <c r="I16" s="9">
        <v>0</v>
      </c>
    </row>
    <row r="17" spans="1:9" ht="15.75">
      <c r="A17" s="5"/>
      <c r="B17" s="2"/>
      <c r="C17" s="2"/>
      <c r="D17" s="2"/>
      <c r="E17" s="9"/>
      <c r="F17" s="9"/>
      <c r="G17" s="9"/>
      <c r="H17" s="9"/>
      <c r="I17" s="9"/>
    </row>
    <row r="18" spans="1:9" ht="15.75">
      <c r="A18" s="5">
        <v>4</v>
      </c>
      <c r="B18" s="2"/>
      <c r="C18" s="16" t="s">
        <v>65</v>
      </c>
      <c r="D18" s="11">
        <v>380461169</v>
      </c>
      <c r="E18" s="10">
        <v>0.52637999999999996</v>
      </c>
      <c r="F18" s="9"/>
      <c r="G18" s="9">
        <v>0.1095</v>
      </c>
      <c r="H18" s="9"/>
      <c r="I18" s="10">
        <v>5.7639999999999997E-2</v>
      </c>
    </row>
    <row r="19" spans="1:9" ht="15.75">
      <c r="A19" s="5"/>
      <c r="B19" s="2"/>
      <c r="C19" s="2"/>
      <c r="D19" s="2"/>
      <c r="E19" s="9"/>
      <c r="F19" s="9"/>
      <c r="G19" s="9"/>
      <c r="H19" s="9"/>
      <c r="I19" s="9"/>
    </row>
    <row r="20" spans="1:9" ht="16.5" thickBot="1">
      <c r="A20" s="5">
        <v>5</v>
      </c>
      <c r="B20" s="2"/>
      <c r="C20" s="16" t="s">
        <v>20</v>
      </c>
      <c r="D20" s="2">
        <f>SUM(D12:D18)</f>
        <v>722792852</v>
      </c>
      <c r="E20" s="9">
        <v>1</v>
      </c>
      <c r="F20" s="9"/>
      <c r="G20" s="9"/>
      <c r="H20" s="9"/>
      <c r="I20" s="167">
        <v>8.1519999999999995E-2</v>
      </c>
    </row>
    <row r="21" spans="1:9" ht="15.75" thickTop="1"/>
    <row r="23" spans="1:9" ht="15.75">
      <c r="A23" s="185" t="s">
        <v>167</v>
      </c>
      <c r="B23" s="186"/>
      <c r="C23" s="186"/>
      <c r="D23" s="186"/>
      <c r="E23" s="186"/>
      <c r="F23" s="186"/>
      <c r="G23" s="186"/>
      <c r="H23" s="186"/>
      <c r="I23" s="187"/>
    </row>
    <row r="24" spans="1:9" ht="15.75">
      <c r="A24" s="2"/>
      <c r="B24" s="2"/>
      <c r="C24" s="2"/>
      <c r="D24" s="2"/>
      <c r="E24" s="2"/>
      <c r="F24" s="2"/>
      <c r="G24" s="2"/>
      <c r="H24" s="2"/>
      <c r="I24" s="2"/>
    </row>
    <row r="25" spans="1:9" ht="15.75">
      <c r="A25" s="3" t="s">
        <v>8</v>
      </c>
      <c r="B25" s="3"/>
      <c r="C25" s="3"/>
      <c r="D25" s="3"/>
      <c r="E25" s="4" t="s">
        <v>9</v>
      </c>
      <c r="F25" s="3"/>
      <c r="G25" s="4" t="s">
        <v>10</v>
      </c>
      <c r="H25" s="3"/>
      <c r="I25" s="5" t="s">
        <v>11</v>
      </c>
    </row>
    <row r="26" spans="1:9" ht="15.75">
      <c r="A26" s="15" t="s">
        <v>12</v>
      </c>
      <c r="B26" s="3"/>
      <c r="C26" s="6" t="s">
        <v>13</v>
      </c>
      <c r="D26" s="7"/>
      <c r="E26" s="7" t="s">
        <v>14</v>
      </c>
      <c r="F26" s="3"/>
      <c r="G26" s="7" t="s">
        <v>15</v>
      </c>
      <c r="H26" s="3"/>
      <c r="I26" s="8" t="s">
        <v>10</v>
      </c>
    </row>
    <row r="27" spans="1:9" ht="15.75">
      <c r="A27" s="2"/>
      <c r="B27" s="2"/>
      <c r="C27" s="2"/>
      <c r="D27" s="2"/>
      <c r="E27" s="2"/>
      <c r="F27" s="2"/>
      <c r="G27" s="2"/>
      <c r="H27" s="2"/>
      <c r="I27" s="2"/>
    </row>
    <row r="28" spans="1:9" ht="15.75">
      <c r="A28" s="5">
        <v>6</v>
      </c>
      <c r="B28" s="2"/>
      <c r="C28" s="16" t="s">
        <v>17</v>
      </c>
      <c r="D28" s="2"/>
      <c r="E28" s="9">
        <v>1.227E-2</v>
      </c>
      <c r="F28" s="9"/>
      <c r="G28" s="9">
        <v>0.05</v>
      </c>
      <c r="H28" s="9"/>
      <c r="I28" s="9">
        <f>+E28*G28</f>
        <v>6.135E-4</v>
      </c>
    </row>
    <row r="29" spans="1:9" ht="15.75">
      <c r="A29" s="5"/>
      <c r="B29" s="2"/>
      <c r="C29" s="2"/>
      <c r="D29" s="2"/>
      <c r="E29" s="9"/>
      <c r="F29" s="9"/>
      <c r="G29" s="9"/>
      <c r="H29" s="9"/>
      <c r="I29" s="9"/>
    </row>
    <row r="30" spans="1:9" ht="15.75">
      <c r="A30" s="5">
        <v>7</v>
      </c>
      <c r="B30" s="2"/>
      <c r="C30" s="2" t="s">
        <v>16</v>
      </c>
      <c r="D30" s="2"/>
      <c r="E30" s="9">
        <v>0.50380000000000003</v>
      </c>
      <c r="F30" s="9"/>
      <c r="G30" s="9">
        <v>5.0430000000000003E-2</v>
      </c>
      <c r="H30" s="9"/>
      <c r="I30" s="9">
        <f t="shared" ref="I30:I34" si="0">+E30*G30</f>
        <v>2.5406634000000004E-2</v>
      </c>
    </row>
    <row r="31" spans="1:9" ht="15.75">
      <c r="A31" s="5"/>
      <c r="B31" s="2"/>
      <c r="C31" s="2"/>
      <c r="D31" s="2"/>
      <c r="E31" s="9"/>
      <c r="F31" s="9"/>
      <c r="G31" s="9"/>
      <c r="H31" s="9"/>
      <c r="I31" s="9"/>
    </row>
    <row r="32" spans="1:9" ht="15.75">
      <c r="A32" s="5">
        <v>8</v>
      </c>
      <c r="B32" s="2"/>
      <c r="C32" s="16" t="s">
        <v>18</v>
      </c>
      <c r="D32" s="2"/>
      <c r="E32" s="9">
        <v>0</v>
      </c>
      <c r="F32" s="9"/>
      <c r="G32" s="9">
        <v>0</v>
      </c>
      <c r="H32" s="9"/>
      <c r="I32" s="9">
        <f t="shared" si="0"/>
        <v>0</v>
      </c>
    </row>
    <row r="33" spans="1:9" ht="15.75">
      <c r="A33" s="5"/>
      <c r="B33" s="2"/>
      <c r="C33" s="2"/>
      <c r="D33" s="2"/>
      <c r="E33" s="9"/>
      <c r="F33" s="9"/>
      <c r="G33" s="9"/>
      <c r="H33" s="9"/>
      <c r="I33" s="9"/>
    </row>
    <row r="34" spans="1:9" ht="15.75">
      <c r="A34" s="5">
        <v>9</v>
      </c>
      <c r="B34" s="2"/>
      <c r="C34" s="16" t="s">
        <v>65</v>
      </c>
      <c r="D34" s="11"/>
      <c r="E34" s="10">
        <v>0.4839</v>
      </c>
      <c r="F34" s="9"/>
      <c r="G34" s="9">
        <v>8.4400000000000003E-2</v>
      </c>
      <c r="H34" s="9"/>
      <c r="I34" s="9">
        <f t="shared" si="0"/>
        <v>4.0841160000000001E-2</v>
      </c>
    </row>
    <row r="35" spans="1:9" ht="15.75">
      <c r="A35" s="5"/>
      <c r="B35" s="2"/>
      <c r="C35" s="2"/>
      <c r="D35" s="2"/>
      <c r="E35" s="9"/>
      <c r="F35" s="9"/>
      <c r="G35" s="9"/>
      <c r="H35" s="9"/>
      <c r="I35" s="9"/>
    </row>
    <row r="36" spans="1:9" ht="16.5" thickBot="1">
      <c r="A36" s="5">
        <v>10</v>
      </c>
      <c r="B36" s="2"/>
      <c r="C36" s="16" t="s">
        <v>20</v>
      </c>
      <c r="D36" s="2"/>
      <c r="E36" s="9">
        <f>SUM(E27:E35)</f>
        <v>0.99997000000000003</v>
      </c>
      <c r="F36" s="9"/>
      <c r="G36" s="9"/>
      <c r="H36" s="9"/>
      <c r="I36" s="167">
        <f>SUM(I28:I34)</f>
        <v>6.6861294000000002E-2</v>
      </c>
    </row>
    <row r="37" spans="1:9" ht="16.5" thickTop="1">
      <c r="A37" s="5"/>
      <c r="B37" s="2"/>
      <c r="C37" s="16"/>
      <c r="D37" s="2"/>
      <c r="E37" s="9"/>
      <c r="F37" s="9"/>
      <c r="G37" s="9"/>
      <c r="H37" s="9"/>
      <c r="I37" s="9"/>
    </row>
    <row r="38" spans="1:9" ht="15.75">
      <c r="A38" s="5"/>
      <c r="B38" s="2"/>
      <c r="C38" s="16"/>
      <c r="D38" s="2"/>
      <c r="E38" s="9"/>
      <c r="F38" s="9"/>
      <c r="G38" s="9"/>
      <c r="H38" s="9"/>
      <c r="I38" s="9"/>
    </row>
    <row r="39" spans="1:9" ht="15.75">
      <c r="A39" s="5"/>
      <c r="B39" s="2"/>
      <c r="C39" s="16"/>
      <c r="D39" s="2"/>
      <c r="E39" s="9"/>
      <c r="F39" s="9"/>
      <c r="G39" s="9"/>
      <c r="H39" s="9"/>
      <c r="I39" s="9"/>
    </row>
    <row r="40" spans="1:9" ht="15.75">
      <c r="A40" s="5"/>
      <c r="B40" s="2"/>
      <c r="C40" s="16"/>
      <c r="D40" s="2"/>
      <c r="E40" s="9"/>
      <c r="F40" s="9"/>
      <c r="G40" s="9"/>
      <c r="H40" s="9"/>
      <c r="I40" s="9"/>
    </row>
    <row r="41" spans="1:9" ht="15.75">
      <c r="A41" s="79" t="s">
        <v>19</v>
      </c>
      <c r="B41" s="11"/>
      <c r="C41" s="80"/>
      <c r="D41" s="11"/>
      <c r="E41" s="10"/>
      <c r="F41" s="10"/>
      <c r="G41" s="10"/>
      <c r="H41" s="10"/>
      <c r="I41" s="10"/>
    </row>
    <row r="42" spans="1:9" ht="15.75">
      <c r="A42" s="166" t="s">
        <v>318</v>
      </c>
      <c r="B42" s="1"/>
      <c r="C42" s="1"/>
      <c r="D42" s="1"/>
      <c r="E42" s="1"/>
      <c r="F42" s="1"/>
      <c r="G42" s="1"/>
    </row>
    <row r="43" spans="1:9" ht="15.75">
      <c r="A43" s="1" t="s">
        <v>317</v>
      </c>
      <c r="B43" s="1"/>
      <c r="C43" s="1"/>
      <c r="D43" s="1"/>
      <c r="E43" s="1"/>
      <c r="F43" s="1"/>
      <c r="G43" s="1"/>
    </row>
    <row r="44" spans="1:9" ht="15.75">
      <c r="A44" s="39"/>
      <c r="B44" s="39"/>
      <c r="C44" s="39"/>
      <c r="D44" s="39"/>
    </row>
  </sheetData>
  <mergeCells count="2">
    <mergeCell ref="A7:I7"/>
    <mergeCell ref="A23:I23"/>
  </mergeCells>
  <pageMargins left="0.7" right="0.7" top="0.75" bottom="0.75" header="0.3" footer="0.3"/>
  <pageSetup scale="9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6BF7E-807E-4C73-8060-2A80D9EB105A}">
  <sheetPr>
    <pageSetUpPr fitToPage="1"/>
  </sheetPr>
  <dimension ref="A1:H39"/>
  <sheetViews>
    <sheetView showGridLines="0" tabSelected="1" workbookViewId="0">
      <selection activeCell="L32" sqref="L32"/>
    </sheetView>
  </sheetViews>
  <sheetFormatPr defaultRowHeight="15"/>
  <cols>
    <col min="1" max="1" width="50.42578125" customWidth="1"/>
    <col min="2" max="4" width="17.42578125" customWidth="1"/>
    <col min="5" max="6" width="20.85546875" customWidth="1"/>
    <col min="7" max="7" width="16.5703125" customWidth="1"/>
    <col min="8" max="8" width="14.85546875" customWidth="1"/>
  </cols>
  <sheetData>
    <row r="1" spans="1:8" ht="15.75">
      <c r="A1" s="27" t="s">
        <v>158</v>
      </c>
      <c r="B1" s="27"/>
      <c r="C1" s="27"/>
      <c r="D1" s="27"/>
      <c r="E1" s="71"/>
      <c r="F1" s="71">
        <f>+A!D21</f>
        <v>35968303.260367371</v>
      </c>
      <c r="G1" s="71"/>
    </row>
    <row r="2" spans="1:8" ht="15.75">
      <c r="A2" s="68"/>
      <c r="B2" s="68"/>
      <c r="C2" s="68"/>
      <c r="D2" s="68"/>
      <c r="E2" s="71"/>
      <c r="F2" s="71"/>
      <c r="G2" s="71"/>
    </row>
    <row r="3" spans="1:8" ht="15.75">
      <c r="A3" s="27" t="s">
        <v>170</v>
      </c>
      <c r="B3" s="27"/>
      <c r="C3" s="27"/>
      <c r="D3" s="27"/>
      <c r="E3" s="23"/>
      <c r="F3" s="70"/>
      <c r="G3" s="70"/>
    </row>
    <row r="4" spans="1:8" ht="15.75">
      <c r="A4" s="27" t="s">
        <v>159</v>
      </c>
      <c r="B4" s="27"/>
      <c r="C4" s="27"/>
      <c r="D4" s="27"/>
      <c r="E4" s="71"/>
      <c r="F4" s="71">
        <f>-((+D!I20-D!I36)*B!C36*'A-1'!D24)</f>
        <v>-11989327.034908498</v>
      </c>
    </row>
    <row r="5" spans="1:8" ht="15.75">
      <c r="A5" s="27"/>
      <c r="B5" s="27"/>
      <c r="C5" s="27"/>
      <c r="D5" s="27"/>
      <c r="E5" s="71"/>
      <c r="F5" s="71"/>
      <c r="G5" s="71"/>
    </row>
    <row r="6" spans="1:8" ht="15.75">
      <c r="A6" s="90" t="s">
        <v>160</v>
      </c>
      <c r="B6" s="27"/>
      <c r="C6" s="27"/>
      <c r="D6" s="27"/>
      <c r="E6" s="71"/>
      <c r="F6" s="71"/>
      <c r="G6" s="71"/>
      <c r="H6" s="85"/>
    </row>
    <row r="7" spans="1:8" ht="15.75">
      <c r="A7" s="27" t="s">
        <v>88</v>
      </c>
      <c r="B7" s="27"/>
      <c r="C7" s="27"/>
      <c r="D7" s="27"/>
      <c r="E7" s="71">
        <f ca="1">(+'B-1'!M48*D!I36)*1.341514</f>
        <v>-958924.41425479925</v>
      </c>
      <c r="F7" s="23"/>
      <c r="G7" s="71"/>
    </row>
    <row r="8" spans="1:8" ht="15.75">
      <c r="A8" s="27" t="s">
        <v>92</v>
      </c>
      <c r="B8" s="27"/>
      <c r="C8" s="27"/>
      <c r="D8" s="27"/>
      <c r="E8" s="173">
        <f>(-1950967*D!I36)*1.341514</f>
        <v>-174992.69123529067</v>
      </c>
      <c r="F8" s="23"/>
      <c r="G8" s="71"/>
    </row>
    <row r="9" spans="1:8" ht="15.75">
      <c r="A9" s="89" t="s">
        <v>64</v>
      </c>
      <c r="B9" s="89"/>
      <c r="C9" s="89"/>
      <c r="D9" s="89"/>
      <c r="E9" s="71"/>
      <c r="F9" s="23">
        <f ca="1">SUM(E7:E8)</f>
        <v>-1133917.1054900899</v>
      </c>
    </row>
    <row r="10" spans="1:8" ht="15.75">
      <c r="A10" s="89"/>
      <c r="B10" s="89"/>
      <c r="C10" s="89"/>
      <c r="D10" s="89"/>
      <c r="E10" s="71"/>
      <c r="F10" s="23"/>
    </row>
    <row r="11" spans="1:8" ht="15.75">
      <c r="A11" s="90" t="s">
        <v>161</v>
      </c>
      <c r="B11" s="94" t="s">
        <v>163</v>
      </c>
      <c r="C11" s="94" t="s">
        <v>164</v>
      </c>
      <c r="D11" s="126" t="s">
        <v>165</v>
      </c>
      <c r="E11" s="95" t="s">
        <v>162</v>
      </c>
      <c r="F11" s="23"/>
    </row>
    <row r="12" spans="1:8" ht="15.75">
      <c r="A12" s="27" t="s">
        <v>96</v>
      </c>
      <c r="B12" s="92">
        <f>'Rate Case Exp'!D15</f>
        <v>-867552</v>
      </c>
      <c r="C12" s="92">
        <f>-B12+(B12*B38)</f>
        <v>651097.77600000007</v>
      </c>
      <c r="D12" s="125">
        <v>1.3415140000000001</v>
      </c>
      <c r="E12" s="72">
        <f>+C12*-D12</f>
        <v>-873456.78187286411</v>
      </c>
      <c r="G12" s="87"/>
    </row>
    <row r="13" spans="1:8" ht="15.75">
      <c r="A13" s="27" t="s">
        <v>137</v>
      </c>
      <c r="B13" s="92">
        <f>Aircraft!D15</f>
        <v>-216115</v>
      </c>
      <c r="C13" s="92">
        <f>-B13+(B13*B38)</f>
        <v>162194.3075</v>
      </c>
      <c r="D13" s="125">
        <v>1.3415140000000001</v>
      </c>
      <c r="E13" s="72">
        <f t="shared" ref="E13:E26" si="0">+C13*-D13</f>
        <v>-217585.934231555</v>
      </c>
      <c r="G13" s="87"/>
    </row>
    <row r="14" spans="1:8" ht="15.75">
      <c r="A14" s="27" t="s">
        <v>112</v>
      </c>
      <c r="B14" s="92">
        <f>'D&amp;O'!D15</f>
        <v>-103598.25</v>
      </c>
      <c r="C14" s="92">
        <f>-B14+(B14*B38)</f>
        <v>77750.486625000005</v>
      </c>
      <c r="D14" s="125">
        <v>1.3415140000000001</v>
      </c>
      <c r="E14" s="72">
        <f t="shared" si="0"/>
        <v>-104303.36631425026</v>
      </c>
      <c r="G14" s="87"/>
    </row>
    <row r="15" spans="1:8" ht="15.75">
      <c r="A15" s="69" t="s">
        <v>114</v>
      </c>
      <c r="B15" s="93">
        <f>'Investor Rel'!D15</f>
        <v>-45687</v>
      </c>
      <c r="C15" s="92">
        <f>-B15+(B15*B38)</f>
        <v>34288.093500000003</v>
      </c>
      <c r="D15" s="125">
        <v>1.3415140000000001</v>
      </c>
      <c r="E15" s="72">
        <f t="shared" si="0"/>
        <v>-45997.957463559003</v>
      </c>
      <c r="G15" s="87"/>
    </row>
    <row r="16" spans="1:8" ht="15.75">
      <c r="A16" s="69" t="str">
        <f>Severance!A4</f>
        <v>Severance Expense</v>
      </c>
      <c r="B16" s="93">
        <f>Severance!D15</f>
        <v>-229480</v>
      </c>
      <c r="C16" s="92">
        <f>-B16+(B16*B38)</f>
        <v>172224.74</v>
      </c>
      <c r="D16" s="125">
        <v>1.3415140000000001</v>
      </c>
      <c r="E16" s="72">
        <f t="shared" si="0"/>
        <v>-231041.89985636002</v>
      </c>
      <c r="G16" s="87"/>
    </row>
    <row r="17" spans="1:7" ht="15.75">
      <c r="A17" s="27" t="s">
        <v>120</v>
      </c>
      <c r="B17" s="92">
        <f>'Incentive Comp'!D15</f>
        <v>-2294258</v>
      </c>
      <c r="C17" s="92">
        <f>-B17+(B17*B38)</f>
        <v>1721840.629</v>
      </c>
      <c r="D17" s="125">
        <v>1.3415140000000001</v>
      </c>
      <c r="E17" s="72">
        <f t="shared" si="0"/>
        <v>-2309873.309572306</v>
      </c>
      <c r="G17" s="87"/>
    </row>
    <row r="18" spans="1:7" ht="15.75">
      <c r="A18" s="1" t="str">
        <f>Payroll!A4</f>
        <v>Payroll Expense</v>
      </c>
      <c r="B18" s="92">
        <f>Payroll!D15</f>
        <v>-917077.25399999996</v>
      </c>
      <c r="C18" s="92">
        <f>-B18+(B18*B38)</f>
        <v>688266.47912699997</v>
      </c>
      <c r="D18" s="125">
        <v>1.3415140000000001</v>
      </c>
      <c r="E18" s="72">
        <f t="shared" si="0"/>
        <v>-923319.11747957836</v>
      </c>
      <c r="G18" s="87"/>
    </row>
    <row r="19" spans="1:7" ht="15.75">
      <c r="A19" s="1" t="str">
        <f>Lobby!A4</f>
        <v xml:space="preserve">Lobbying </v>
      </c>
      <c r="B19" s="92">
        <f>Lobby!D15</f>
        <v>-6283</v>
      </c>
      <c r="C19" s="92">
        <f>-B19+(B19*B38)</f>
        <v>4715.3914999999997</v>
      </c>
      <c r="D19" s="125">
        <v>1.3415140000000001</v>
      </c>
      <c r="E19" s="72">
        <f t="shared" si="0"/>
        <v>-6325.7637127309999</v>
      </c>
      <c r="G19" s="87"/>
    </row>
    <row r="20" spans="1:7" ht="15.75">
      <c r="A20" s="1" t="str">
        <f>'Profit Sharing'!A4</f>
        <v>Profit Sharing</v>
      </c>
      <c r="B20" s="92">
        <f>'Profit Sharing'!D15</f>
        <v>-147466</v>
      </c>
      <c r="C20" s="92">
        <f>-B20+(B20*B38)</f>
        <v>110673.23300000001</v>
      </c>
      <c r="D20" s="125">
        <v>1.3415140000000001</v>
      </c>
      <c r="E20" s="72">
        <f t="shared" si="0"/>
        <v>-148469.69149476202</v>
      </c>
      <c r="G20" s="87"/>
    </row>
    <row r="21" spans="1:7" ht="15.75">
      <c r="A21" s="1" t="str">
        <f>SERP!A4</f>
        <v>Supplemental Executive Retirment Plan Expense</v>
      </c>
      <c r="B21" s="92">
        <f>SERP!D15</f>
        <v>-39444</v>
      </c>
      <c r="C21" s="92">
        <f>-B21+(B21*B38)</f>
        <v>29602.722000000002</v>
      </c>
      <c r="D21" s="125">
        <v>1.3415140000000001</v>
      </c>
      <c r="E21" s="72">
        <f t="shared" si="0"/>
        <v>-39712.466001108005</v>
      </c>
      <c r="G21" s="87"/>
    </row>
    <row r="22" spans="1:7" ht="15.75">
      <c r="A22" s="1" t="str">
        <f>ESPP!A4</f>
        <v xml:space="preserve">Employee Stock Purchase Plan </v>
      </c>
      <c r="B22" s="92">
        <f>ESPP!D15</f>
        <v>-37064</v>
      </c>
      <c r="C22" s="92">
        <f>-B22+(B22*B38)</f>
        <v>27816.531999999999</v>
      </c>
      <c r="D22" s="125">
        <v>1.3415140000000001</v>
      </c>
      <c r="E22" s="72">
        <f t="shared" si="0"/>
        <v>-37316.267109448003</v>
      </c>
      <c r="G22" s="87"/>
    </row>
    <row r="23" spans="1:7" ht="15.75">
      <c r="A23" s="1" t="str">
        <f>Dues!A4</f>
        <v>AGA Dues</v>
      </c>
      <c r="B23" s="92">
        <f>Dues!D15</f>
        <v>-31031</v>
      </c>
      <c r="C23" s="92">
        <f>-B23+(B23*B38)</f>
        <v>23288.765500000001</v>
      </c>
      <c r="D23" s="125">
        <v>1.3415140000000001</v>
      </c>
      <c r="E23" s="72">
        <f t="shared" si="0"/>
        <v>-31242.204960967003</v>
      </c>
      <c r="G23" s="87"/>
    </row>
    <row r="24" spans="1:7" ht="15.75">
      <c r="A24" s="1" t="str">
        <f>'401(k)'!A4</f>
        <v>401(k) Expense</v>
      </c>
      <c r="B24" s="92">
        <f>'401(k)'!D11</f>
        <v>-284207</v>
      </c>
      <c r="C24" s="92">
        <f>-B24+(B24*B38)</f>
        <v>213297.3535</v>
      </c>
      <c r="D24" s="125">
        <v>1.3415140000000001</v>
      </c>
      <c r="E24" s="72">
        <f t="shared" si="0"/>
        <v>-286141.38588319899</v>
      </c>
      <c r="G24" s="87"/>
    </row>
    <row r="25" spans="1:7" ht="15.75">
      <c r="A25" s="69" t="s">
        <v>121</v>
      </c>
      <c r="B25" s="93">
        <f>'Payroll Tax'!D13</f>
        <v>-220032.9478922486</v>
      </c>
      <c r="C25" s="92">
        <f>-B25+(B25*B38)</f>
        <v>165134.72739313258</v>
      </c>
      <c r="D25" s="125">
        <v>1.3415140000000001</v>
      </c>
      <c r="E25" s="72">
        <f t="shared" si="0"/>
        <v>-221530.54868407088</v>
      </c>
      <c r="G25" s="87"/>
    </row>
    <row r="26" spans="1:7" ht="15.75">
      <c r="A26" s="69" t="s">
        <v>125</v>
      </c>
      <c r="B26" s="93">
        <f>Benefits!D13</f>
        <v>-199884.65380775553</v>
      </c>
      <c r="C26" s="92">
        <f>-B26+(B26*B38)</f>
        <v>150013.43268272054</v>
      </c>
      <c r="D26" s="125">
        <v>1.3415140000000001</v>
      </c>
      <c r="E26" s="72">
        <f t="shared" si="0"/>
        <v>-201245.12013192716</v>
      </c>
      <c r="G26" s="87"/>
    </row>
    <row r="27" spans="1:7" ht="15.75">
      <c r="A27" s="69" t="str">
        <f>'Cus dep int'!A4</f>
        <v>Customer Deposit Interest</v>
      </c>
      <c r="B27" s="93">
        <f>'Cus dep int'!D15</f>
        <v>71015.210000000006</v>
      </c>
      <c r="C27" s="92">
        <f>-B27+(B27*B38)</f>
        <v>-53296.915105000007</v>
      </c>
      <c r="D27" s="125">
        <v>1.3415140000000001</v>
      </c>
      <c r="E27" s="72">
        <f>+C27*-D27</f>
        <v>71498.557770168991</v>
      </c>
      <c r="G27" s="87"/>
    </row>
    <row r="28" spans="1:7" ht="15.75">
      <c r="A28" s="69" t="s">
        <v>195</v>
      </c>
      <c r="B28" s="93">
        <f ca="1">'Int Sync'!E23</f>
        <v>-286783.53350000002</v>
      </c>
      <c r="C28" s="93"/>
      <c r="D28" s="125">
        <v>1.3415140000000001</v>
      </c>
      <c r="E28" s="72">
        <f ca="1">+B28*D28</f>
        <v>-384724.12515971903</v>
      </c>
      <c r="F28" s="98"/>
      <c r="G28" s="23"/>
    </row>
    <row r="29" spans="1:7" ht="15.75">
      <c r="B29" s="99"/>
      <c r="C29" s="99"/>
      <c r="D29" s="99"/>
      <c r="E29" s="97"/>
      <c r="F29" s="100">
        <f ca="1">SUM(E12:E28)</f>
        <v>-5990787.3821582366</v>
      </c>
      <c r="G29" s="87"/>
    </row>
    <row r="30" spans="1:7" ht="15.75">
      <c r="A30" s="99" t="s">
        <v>64</v>
      </c>
      <c r="B30" s="69"/>
      <c r="C30" s="69"/>
      <c r="D30" s="69"/>
      <c r="E30" s="97"/>
      <c r="F30" s="97"/>
      <c r="G30" s="87"/>
    </row>
    <row r="31" spans="1:7" ht="15.75">
      <c r="A31" s="69"/>
      <c r="B31" s="26"/>
      <c r="C31" s="26"/>
      <c r="D31" s="26"/>
      <c r="E31" s="97"/>
      <c r="F31" s="100"/>
      <c r="G31" s="87"/>
    </row>
    <row r="32" spans="1:7" ht="16.5" thickBot="1">
      <c r="A32" s="27" t="s">
        <v>181</v>
      </c>
      <c r="B32" s="27"/>
      <c r="C32" s="27"/>
      <c r="D32" s="27"/>
      <c r="E32" s="97"/>
      <c r="F32" s="101">
        <f ca="1">SUM(F1:F29)-4</f>
        <v>16854267.737810552</v>
      </c>
      <c r="G32" s="88"/>
    </row>
    <row r="33" spans="1:7" ht="16.5" thickTop="1">
      <c r="B33" s="26"/>
      <c r="C33" s="26"/>
      <c r="D33" s="26"/>
      <c r="E33" s="97"/>
      <c r="G33" s="87"/>
    </row>
    <row r="34" spans="1:7" ht="15.75">
      <c r="A34" s="26"/>
      <c r="E34" s="23"/>
      <c r="F34" s="23"/>
      <c r="G34" s="87"/>
    </row>
    <row r="35" spans="1:7" ht="15.75">
      <c r="E35" s="1"/>
      <c r="F35" s="23"/>
      <c r="G35" s="87"/>
    </row>
    <row r="36" spans="1:7" ht="15.75">
      <c r="D36" s="91"/>
      <c r="E36" s="72"/>
      <c r="F36" s="23"/>
      <c r="G36" s="87"/>
    </row>
    <row r="38" spans="1:7" ht="15.75">
      <c r="A38" s="1" t="s">
        <v>242</v>
      </c>
      <c r="B38" s="1">
        <f>'Int Sync'!D30</f>
        <v>0.2495</v>
      </c>
      <c r="E38" t="s">
        <v>319</v>
      </c>
      <c r="F38" s="97">
        <f ca="1">A!F21</f>
        <v>16854267.662717495</v>
      </c>
    </row>
    <row r="39" spans="1:7" ht="15.75">
      <c r="A39" s="1" t="s">
        <v>324</v>
      </c>
      <c r="B39" s="1"/>
      <c r="F39" s="85">
        <f ca="1">+F38-F32</f>
        <v>-7.5093057006597519E-2</v>
      </c>
    </row>
  </sheetData>
  <pageMargins left="0.7" right="0.7" top="0.75" bottom="0.75" header="0.3" footer="0.3"/>
  <pageSetup scale="62" orientation="portrait" r:id="rId1"/>
  <ignoredErrors>
    <ignoredError sqref="B15:B16 A16 B25:B26 A27:B27 B2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709F9-D3F9-4169-94C4-601F749F1D00}">
  <sheetPr>
    <pageSetUpPr fitToPage="1"/>
  </sheetPr>
  <dimension ref="A1:D38"/>
  <sheetViews>
    <sheetView workbookViewId="0">
      <selection activeCell="J28" sqref="J28"/>
    </sheetView>
  </sheetViews>
  <sheetFormatPr defaultRowHeight="15"/>
  <cols>
    <col min="1" max="1" width="10.5703125" customWidth="1"/>
    <col min="2" max="2" width="51.28515625" customWidth="1"/>
    <col min="3" max="3" width="8.5703125" customWidth="1"/>
    <col min="4" max="4" width="25.5703125" customWidth="1"/>
  </cols>
  <sheetData>
    <row r="1" spans="1:4" ht="15.75">
      <c r="A1" s="1" t="str">
        <f>A!A1</f>
        <v>Columbia Gas of Kentucky, Inc.</v>
      </c>
      <c r="B1" s="1"/>
      <c r="C1" s="1"/>
      <c r="D1" s="12" t="str">
        <f>A!H1</f>
        <v>Case No. 2026-00099</v>
      </c>
    </row>
    <row r="2" spans="1:4" ht="15.75">
      <c r="A2" s="1" t="str">
        <f>A!A2</f>
        <v>Forecasted Test Period: Twelve Months Ended December 31, 2027</v>
      </c>
      <c r="B2" s="1"/>
      <c r="C2" s="1"/>
      <c r="D2" s="12" t="str">
        <f>A!H2</f>
        <v xml:space="preserve">Exhibit JD-1 </v>
      </c>
    </row>
    <row r="3" spans="1:4" ht="15.75">
      <c r="A3" s="1"/>
      <c r="B3" s="1"/>
      <c r="C3" s="1"/>
      <c r="D3" s="12" t="s">
        <v>48</v>
      </c>
    </row>
    <row r="4" spans="1:4" ht="15.75">
      <c r="A4" s="1" t="s">
        <v>28</v>
      </c>
      <c r="B4" s="1"/>
      <c r="C4" s="1"/>
      <c r="D4" s="12" t="str">
        <f>A!H4</f>
        <v>Page 1 of 1</v>
      </c>
    </row>
    <row r="5" spans="1:4" ht="15.75">
      <c r="B5" s="1"/>
      <c r="C5" s="1"/>
      <c r="D5" s="1"/>
    </row>
    <row r="6" spans="1:4" ht="15.75">
      <c r="A6" s="18" t="s">
        <v>29</v>
      </c>
      <c r="B6" s="18" t="s">
        <v>13</v>
      </c>
      <c r="C6" s="18"/>
      <c r="D6" s="18" t="s">
        <v>52</v>
      </c>
    </row>
    <row r="7" spans="1:4" ht="15.75">
      <c r="A7" s="1"/>
      <c r="B7" s="1"/>
      <c r="C7" s="1"/>
      <c r="D7" s="1"/>
    </row>
    <row r="8" spans="1:4" ht="15.75">
      <c r="A8" s="19">
        <v>1</v>
      </c>
      <c r="B8" s="1" t="s">
        <v>21</v>
      </c>
      <c r="C8" s="1"/>
      <c r="D8" s="130">
        <v>1</v>
      </c>
    </row>
    <row r="9" spans="1:4" ht="15.75">
      <c r="A9" s="19"/>
      <c r="B9" s="1"/>
      <c r="C9" s="1"/>
      <c r="D9" s="130"/>
    </row>
    <row r="10" spans="1:4" ht="15.75">
      <c r="A10" s="19">
        <v>2</v>
      </c>
      <c r="B10" s="1" t="s">
        <v>22</v>
      </c>
      <c r="C10" s="1"/>
      <c r="D10" s="130">
        <v>4.4600000000000004E-3</v>
      </c>
    </row>
    <row r="11" spans="1:4" ht="15.75">
      <c r="A11" s="19"/>
      <c r="B11" s="1"/>
      <c r="C11" s="1"/>
      <c r="D11" s="130"/>
    </row>
    <row r="12" spans="1:4" ht="15.75">
      <c r="A12" s="19">
        <v>3</v>
      </c>
      <c r="B12" s="1" t="s">
        <v>23</v>
      </c>
      <c r="C12" s="1"/>
      <c r="D12" s="131">
        <v>2.3E-3</v>
      </c>
    </row>
    <row r="13" spans="1:4" ht="15.75">
      <c r="A13" s="19"/>
      <c r="B13" s="1"/>
      <c r="C13" s="1"/>
      <c r="D13" s="130"/>
    </row>
    <row r="14" spans="1:4" ht="15.75">
      <c r="A14" s="19">
        <v>4</v>
      </c>
      <c r="B14" s="1" t="s">
        <v>24</v>
      </c>
      <c r="C14" s="1"/>
      <c r="D14" s="130">
        <f>+D8-D10-D12</f>
        <v>0.99324000000000001</v>
      </c>
    </row>
    <row r="15" spans="1:4" ht="15.75">
      <c r="A15" s="19"/>
      <c r="B15" s="1"/>
      <c r="C15" s="1"/>
      <c r="D15" s="130"/>
    </row>
    <row r="16" spans="1:4" ht="15.75">
      <c r="A16" s="19">
        <v>5</v>
      </c>
      <c r="B16" s="1" t="s">
        <v>148</v>
      </c>
      <c r="C16" s="1"/>
      <c r="D16" s="131">
        <v>4.9661999999999998E-2</v>
      </c>
    </row>
    <row r="17" spans="1:4" ht="15.75">
      <c r="A17" s="19"/>
      <c r="B17" s="1"/>
      <c r="C17" s="1"/>
      <c r="D17" s="130"/>
    </row>
    <row r="18" spans="1:4" ht="15.75">
      <c r="A18" s="19">
        <v>6</v>
      </c>
      <c r="B18" s="1" t="s">
        <v>25</v>
      </c>
      <c r="C18" s="1"/>
      <c r="D18" s="130">
        <f>+D14-D16</f>
        <v>0.94357800000000003</v>
      </c>
    </row>
    <row r="19" spans="1:4" ht="15.75">
      <c r="A19" s="19"/>
      <c r="B19" s="1"/>
      <c r="C19" s="1"/>
      <c r="D19" s="130"/>
    </row>
    <row r="20" spans="1:4" ht="15.75">
      <c r="A20" s="19">
        <v>7</v>
      </c>
      <c r="B20" s="1" t="s">
        <v>149</v>
      </c>
      <c r="C20" s="1"/>
      <c r="D20" s="131">
        <v>0.19815137999999999</v>
      </c>
    </row>
    <row r="21" spans="1:4" ht="15.75">
      <c r="A21" s="19"/>
      <c r="B21" s="1"/>
      <c r="C21" s="1"/>
      <c r="D21" s="130"/>
    </row>
    <row r="22" spans="1:4" ht="15.75">
      <c r="A22" s="19">
        <v>8</v>
      </c>
      <c r="B22" s="1" t="s">
        <v>27</v>
      </c>
      <c r="C22" s="1"/>
      <c r="D22" s="131">
        <f>+D18-D20</f>
        <v>0.74542662000000004</v>
      </c>
    </row>
    <row r="23" spans="1:4" ht="15.75">
      <c r="A23" s="19"/>
      <c r="B23" s="1"/>
      <c r="C23" s="1"/>
      <c r="D23" s="130"/>
    </row>
    <row r="24" spans="1:4" ht="16.5" thickBot="1">
      <c r="A24" s="19">
        <v>9</v>
      </c>
      <c r="B24" s="1" t="s">
        <v>28</v>
      </c>
      <c r="C24" s="1"/>
      <c r="D24" s="132">
        <f>+D8/D22</f>
        <v>1.3415136690449825</v>
      </c>
    </row>
    <row r="25" spans="1:4" ht="16.5" thickTop="1">
      <c r="A25" s="19"/>
      <c r="B25" s="1" t="s">
        <v>154</v>
      </c>
      <c r="C25" s="1"/>
      <c r="D25" s="130"/>
    </row>
    <row r="26" spans="1:4" ht="15.75">
      <c r="A26" s="19"/>
      <c r="B26" s="1"/>
      <c r="C26" s="1"/>
      <c r="D26" s="1"/>
    </row>
    <row r="27" spans="1:4" ht="15.75">
      <c r="A27" s="19"/>
      <c r="B27" s="1"/>
      <c r="C27" s="1"/>
      <c r="D27" s="1"/>
    </row>
    <row r="28" spans="1:4" ht="15.75">
      <c r="A28" s="19"/>
      <c r="B28" s="1"/>
      <c r="C28" s="1"/>
      <c r="D28" s="1"/>
    </row>
    <row r="29" spans="1:4" ht="15.75">
      <c r="A29" s="19"/>
      <c r="B29" s="1"/>
      <c r="C29" s="1"/>
      <c r="D29" s="1"/>
    </row>
    <row r="30" spans="1:4" ht="15.75">
      <c r="A30" s="19"/>
      <c r="B30" s="1"/>
      <c r="C30" s="1"/>
      <c r="D30" s="1"/>
    </row>
    <row r="31" spans="1:4" ht="15.75">
      <c r="A31" s="18" t="s">
        <v>37</v>
      </c>
      <c r="B31" s="18"/>
      <c r="C31" s="18"/>
      <c r="D31" s="18"/>
    </row>
    <row r="32" spans="1:4" ht="15.75">
      <c r="A32" s="1" t="s">
        <v>217</v>
      </c>
      <c r="B32" s="17"/>
      <c r="C32" s="1"/>
      <c r="D32" s="1"/>
    </row>
    <row r="33" spans="2:3">
      <c r="B33" s="17"/>
      <c r="C33" s="17"/>
    </row>
    <row r="34" spans="2:3" ht="15.75">
      <c r="B34" s="1"/>
      <c r="C34" s="1"/>
    </row>
    <row r="35" spans="2:3" ht="15.75">
      <c r="B35" s="1"/>
      <c r="C35" s="1"/>
    </row>
    <row r="36" spans="2:3" ht="15.75">
      <c r="B36" s="1"/>
      <c r="C36" s="1"/>
    </row>
    <row r="37" spans="2:3" ht="15.75">
      <c r="B37" s="1"/>
      <c r="C37" s="1"/>
    </row>
    <row r="38" spans="2:3" ht="15.75">
      <c r="B38" s="1"/>
      <c r="C38" s="1"/>
    </row>
  </sheetData>
  <pageMargins left="0.7" right="0.7" top="0.75" bottom="0.75" header="0.3" footer="0.3"/>
  <pageSetup scale="9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55FE5-AE15-4606-A447-124F5A628E0F}">
  <sheetPr>
    <pageSetUpPr fitToPage="1"/>
  </sheetPr>
  <dimension ref="A1:K44"/>
  <sheetViews>
    <sheetView topLeftCell="A13" workbookViewId="0">
      <selection activeCell="D22" sqref="D22"/>
    </sheetView>
  </sheetViews>
  <sheetFormatPr defaultRowHeight="15"/>
  <cols>
    <col min="2" max="2" width="55" customWidth="1"/>
    <col min="3" max="5" width="20.7109375" customWidth="1"/>
    <col min="7" max="7" width="12.85546875" bestFit="1" customWidth="1"/>
  </cols>
  <sheetData>
    <row r="1" spans="1:11" ht="15.75">
      <c r="A1" s="1" t="str">
        <f>A!A1</f>
        <v>Columbia Gas of Kentucky, Inc.</v>
      </c>
      <c r="B1" s="1"/>
      <c r="C1" s="1"/>
      <c r="D1" s="1"/>
      <c r="E1" s="12" t="str">
        <f>A!H1</f>
        <v>Case No. 2026-00099</v>
      </c>
    </row>
    <row r="2" spans="1:11" ht="15.75">
      <c r="A2" s="1" t="str">
        <f>A!A2</f>
        <v>Forecasted Test Period: Twelve Months Ended December 31, 2027</v>
      </c>
      <c r="B2" s="1"/>
      <c r="C2" s="1"/>
      <c r="D2" s="1"/>
      <c r="E2" s="12" t="str">
        <f>A!H2</f>
        <v xml:space="preserve">Exhibit JD-1 </v>
      </c>
    </row>
    <row r="3" spans="1:11" ht="15.75">
      <c r="A3" s="1"/>
      <c r="B3" s="1"/>
      <c r="C3" s="1"/>
      <c r="D3" s="1"/>
      <c r="E3" s="12" t="s">
        <v>55</v>
      </c>
    </row>
    <row r="4" spans="1:11" ht="15.75">
      <c r="A4" s="1" t="s">
        <v>40</v>
      </c>
      <c r="B4" s="1"/>
      <c r="C4" s="1"/>
      <c r="D4" s="1"/>
      <c r="E4" s="12" t="str">
        <f>A!H4</f>
        <v>Page 1 of 1</v>
      </c>
    </row>
    <row r="5" spans="1:11" ht="15.75">
      <c r="A5" s="1"/>
      <c r="B5" s="1"/>
      <c r="C5" s="1"/>
      <c r="D5" s="1"/>
      <c r="E5" s="1"/>
    </row>
    <row r="6" spans="1:11" ht="15.75">
      <c r="B6" s="1"/>
      <c r="C6" s="19" t="s">
        <v>50</v>
      </c>
      <c r="D6" s="19"/>
      <c r="E6" s="19" t="s">
        <v>50</v>
      </c>
    </row>
    <row r="7" spans="1:11" ht="15.75">
      <c r="A7" s="1"/>
      <c r="B7" s="1"/>
      <c r="C7" s="19" t="s">
        <v>51</v>
      </c>
      <c r="D7" s="19"/>
      <c r="E7" s="19" t="s">
        <v>51</v>
      </c>
      <c r="F7" s="1"/>
      <c r="G7" s="1"/>
      <c r="H7" s="1"/>
      <c r="I7" s="1"/>
      <c r="J7" s="1"/>
      <c r="K7" s="1"/>
    </row>
    <row r="8" spans="1:11" ht="15.75">
      <c r="A8" s="1"/>
      <c r="B8" s="1"/>
      <c r="C8" s="19" t="s">
        <v>49</v>
      </c>
      <c r="D8" s="19" t="s">
        <v>167</v>
      </c>
      <c r="E8" s="19" t="s">
        <v>49</v>
      </c>
      <c r="F8" s="1"/>
      <c r="G8" s="1"/>
      <c r="H8" s="1"/>
      <c r="I8" s="1"/>
      <c r="J8" s="1"/>
      <c r="K8" s="1"/>
    </row>
    <row r="9" spans="1:11" ht="15.75">
      <c r="A9" s="18" t="s">
        <v>29</v>
      </c>
      <c r="B9" s="18" t="s">
        <v>13</v>
      </c>
      <c r="C9" s="22" t="s">
        <v>38</v>
      </c>
      <c r="D9" s="22" t="s">
        <v>61</v>
      </c>
      <c r="E9" s="22" t="s">
        <v>167</v>
      </c>
      <c r="F9" s="1"/>
      <c r="G9" s="1"/>
      <c r="H9" s="1"/>
      <c r="I9" s="1"/>
      <c r="J9" s="1"/>
      <c r="K9" s="1"/>
    </row>
    <row r="10" spans="1:11" ht="15.75">
      <c r="B10" s="1"/>
      <c r="C10" s="19" t="s">
        <v>32</v>
      </c>
      <c r="D10" s="19" t="s">
        <v>33</v>
      </c>
      <c r="E10" s="19" t="s">
        <v>34</v>
      </c>
      <c r="F10" s="19"/>
      <c r="G10" s="19"/>
      <c r="H10" s="1"/>
      <c r="I10" s="1"/>
      <c r="J10" s="1"/>
      <c r="K10" s="1"/>
    </row>
    <row r="11" spans="1:11" ht="15.75">
      <c r="B11" s="1"/>
      <c r="C11" s="19"/>
      <c r="D11" s="19"/>
      <c r="E11" s="19"/>
      <c r="F11" s="19"/>
      <c r="G11" s="19"/>
      <c r="H11" s="1"/>
      <c r="I11" s="1"/>
      <c r="J11" s="1"/>
      <c r="K11" s="1"/>
    </row>
    <row r="12" spans="1:11" ht="15.75">
      <c r="A12" s="19">
        <v>1</v>
      </c>
      <c r="B12" s="1" t="s">
        <v>44</v>
      </c>
      <c r="C12" s="23">
        <v>911487309</v>
      </c>
      <c r="D12" s="23"/>
      <c r="E12" s="23">
        <f>+D12+C12</f>
        <v>911487309</v>
      </c>
      <c r="F12" s="1"/>
      <c r="G12" s="1"/>
      <c r="H12" s="1"/>
      <c r="I12" s="1"/>
      <c r="J12" s="1"/>
      <c r="K12" s="1"/>
    </row>
    <row r="13" spans="1:11" ht="15.75">
      <c r="A13" s="19"/>
      <c r="B13" s="1"/>
      <c r="C13" s="23"/>
      <c r="D13" s="23"/>
      <c r="E13" s="23"/>
      <c r="F13" s="1"/>
      <c r="G13" s="1"/>
      <c r="H13" s="1"/>
      <c r="I13" s="1"/>
      <c r="J13" s="1"/>
      <c r="K13" s="1"/>
    </row>
    <row r="14" spans="1:11" ht="15.75">
      <c r="A14" s="19">
        <v>2</v>
      </c>
      <c r="B14" s="1" t="s">
        <v>43</v>
      </c>
      <c r="C14" s="23">
        <v>0</v>
      </c>
      <c r="D14" s="23"/>
      <c r="E14" s="23">
        <f t="shared" ref="E14:E18" si="0">+D14+C14</f>
        <v>0</v>
      </c>
      <c r="F14" s="1"/>
      <c r="G14" s="1"/>
      <c r="H14" s="1"/>
      <c r="I14" s="1"/>
      <c r="J14" s="1"/>
      <c r="K14" s="1"/>
    </row>
    <row r="15" spans="1:11" ht="15.75">
      <c r="A15" s="19"/>
      <c r="B15" s="1"/>
      <c r="C15" s="23"/>
      <c r="D15" s="23"/>
      <c r="E15" s="23"/>
      <c r="F15" s="1"/>
      <c r="G15" s="1"/>
      <c r="H15" s="1"/>
      <c r="I15" s="1"/>
      <c r="J15" s="1"/>
      <c r="K15" s="1"/>
    </row>
    <row r="16" spans="1:11" ht="15.75">
      <c r="A16" s="19">
        <v>3</v>
      </c>
      <c r="B16" s="1" t="s">
        <v>45</v>
      </c>
      <c r="C16" s="23">
        <v>0</v>
      </c>
      <c r="D16" s="23"/>
      <c r="E16" s="23">
        <f t="shared" si="0"/>
        <v>0</v>
      </c>
      <c r="F16" s="1"/>
      <c r="G16" s="1"/>
      <c r="H16" s="1"/>
      <c r="I16" s="1"/>
      <c r="J16" s="1"/>
      <c r="K16" s="1"/>
    </row>
    <row r="17" spans="1:11" ht="15.75">
      <c r="A17" s="19"/>
      <c r="B17" s="1"/>
      <c r="C17" s="23"/>
      <c r="D17" s="23"/>
      <c r="E17" s="23"/>
      <c r="F17" s="1"/>
      <c r="G17" s="1"/>
      <c r="H17" s="1"/>
      <c r="I17" s="1"/>
      <c r="J17" s="1"/>
      <c r="K17" s="1"/>
    </row>
    <row r="18" spans="1:11" ht="15.75">
      <c r="A18" s="19">
        <v>4</v>
      </c>
      <c r="B18" s="1" t="s">
        <v>46</v>
      </c>
      <c r="C18" s="24">
        <v>-222245603</v>
      </c>
      <c r="D18" s="24"/>
      <c r="E18" s="24">
        <f t="shared" si="0"/>
        <v>-222245603</v>
      </c>
      <c r="F18" s="1"/>
      <c r="G18" s="1"/>
      <c r="H18" s="1"/>
      <c r="I18" s="1"/>
      <c r="J18" s="1"/>
      <c r="K18" s="1"/>
    </row>
    <row r="19" spans="1:11" ht="15.75">
      <c r="A19" s="19"/>
      <c r="B19" s="1"/>
      <c r="C19" s="23"/>
      <c r="D19" s="23"/>
      <c r="E19" s="23"/>
      <c r="F19" s="1"/>
      <c r="G19" s="1"/>
      <c r="H19" s="1"/>
      <c r="I19" s="1"/>
      <c r="J19" s="1"/>
      <c r="K19" s="1"/>
    </row>
    <row r="20" spans="1:11" ht="15.75">
      <c r="A20" s="19">
        <v>5</v>
      </c>
      <c r="B20" s="1" t="s">
        <v>56</v>
      </c>
      <c r="C20" s="23">
        <f>SUM(C12:C18)</f>
        <v>689241706</v>
      </c>
      <c r="D20" s="23">
        <f t="shared" ref="D20:E20" si="1">SUM(D12:D18)</f>
        <v>0</v>
      </c>
      <c r="E20" s="23">
        <f t="shared" si="1"/>
        <v>689241706</v>
      </c>
      <c r="F20" s="1"/>
      <c r="G20" s="1"/>
      <c r="H20" s="1"/>
      <c r="I20" s="1"/>
      <c r="J20" s="1"/>
      <c r="K20" s="1"/>
    </row>
    <row r="21" spans="1:11" ht="15.75">
      <c r="A21" s="19"/>
      <c r="B21" s="1"/>
      <c r="C21" s="23"/>
      <c r="D21" s="23"/>
      <c r="E21" s="23"/>
      <c r="F21" s="1"/>
      <c r="G21" s="1"/>
      <c r="H21" s="1"/>
      <c r="I21" s="1"/>
      <c r="J21" s="1"/>
      <c r="K21" s="1"/>
    </row>
    <row r="22" spans="1:11" ht="15.75">
      <c r="A22" s="19">
        <v>6</v>
      </c>
      <c r="B22" s="1" t="s">
        <v>62</v>
      </c>
      <c r="C22" s="23">
        <v>0</v>
      </c>
      <c r="D22" s="23">
        <f ca="1">+E22-C22</f>
        <v>-10690903</v>
      </c>
      <c r="E22" s="23">
        <f ca="1">'B-1'!M48</f>
        <v>-10690903</v>
      </c>
      <c r="F22" s="1"/>
      <c r="G22" s="1"/>
      <c r="H22" s="1"/>
      <c r="I22" s="1"/>
      <c r="J22" s="1"/>
      <c r="K22" s="1"/>
    </row>
    <row r="23" spans="1:11" ht="15.75">
      <c r="A23" s="19"/>
      <c r="B23" s="1"/>
      <c r="C23" s="23"/>
      <c r="D23" s="23"/>
      <c r="E23" s="23"/>
      <c r="F23" s="1"/>
      <c r="G23" s="1"/>
      <c r="H23" s="1"/>
      <c r="I23" s="1"/>
      <c r="J23" s="1"/>
      <c r="K23" s="1"/>
    </row>
    <row r="24" spans="1:11" ht="15.75">
      <c r="A24" s="19">
        <v>7</v>
      </c>
      <c r="B24" s="1" t="s">
        <v>57</v>
      </c>
      <c r="C24" s="23">
        <v>35465643</v>
      </c>
      <c r="D24" s="23">
        <f t="shared" ref="D24:D30" ca="1" si="2">+E24-C24</f>
        <v>0</v>
      </c>
      <c r="E24" s="23">
        <f t="shared" ref="E24:E32" ca="1" si="3">+C24+D24</f>
        <v>35465643</v>
      </c>
      <c r="F24" s="1"/>
      <c r="G24" s="1"/>
      <c r="H24" s="1"/>
      <c r="I24" s="1"/>
      <c r="J24" s="1"/>
      <c r="K24" s="1"/>
    </row>
    <row r="25" spans="1:11" ht="15.75">
      <c r="A25" s="19"/>
      <c r="B25" s="1"/>
      <c r="C25" s="23"/>
      <c r="D25" s="23"/>
      <c r="E25" s="23"/>
      <c r="F25" s="1"/>
      <c r="G25" s="1"/>
      <c r="H25" s="1"/>
      <c r="I25" s="1"/>
      <c r="J25" s="1"/>
      <c r="K25" s="1"/>
    </row>
    <row r="26" spans="1:11" ht="15.75">
      <c r="A26" s="19">
        <v>8</v>
      </c>
      <c r="B26" s="1" t="s">
        <v>202</v>
      </c>
      <c r="C26" s="23">
        <v>-115220472</v>
      </c>
      <c r="D26" s="23">
        <f t="shared" ca="1" si="2"/>
        <v>0</v>
      </c>
      <c r="E26" s="23">
        <f t="shared" ca="1" si="3"/>
        <v>-115220472</v>
      </c>
      <c r="F26" s="1"/>
      <c r="G26" s="1"/>
      <c r="H26" s="1"/>
      <c r="I26" s="1"/>
      <c r="J26" s="1"/>
      <c r="K26" s="1"/>
    </row>
    <row r="27" spans="1:11" ht="15.75">
      <c r="A27" s="19">
        <v>9</v>
      </c>
      <c r="B27" s="1"/>
      <c r="C27" s="23"/>
      <c r="D27" s="23"/>
      <c r="E27" s="23"/>
      <c r="F27" s="1"/>
      <c r="G27" s="1"/>
      <c r="H27" s="1"/>
      <c r="I27" s="1"/>
      <c r="J27" s="1"/>
      <c r="K27" s="1"/>
    </row>
    <row r="28" spans="1:11" ht="15.75">
      <c r="A28" s="19">
        <v>10</v>
      </c>
      <c r="B28" s="1" t="s">
        <v>58</v>
      </c>
      <c r="C28" s="23">
        <v>2605890</v>
      </c>
      <c r="D28" s="23">
        <f t="shared" ca="1" si="2"/>
        <v>0</v>
      </c>
      <c r="E28" s="23">
        <f t="shared" ca="1" si="3"/>
        <v>2605890</v>
      </c>
      <c r="F28" s="1"/>
      <c r="G28" s="1"/>
      <c r="H28" s="1"/>
      <c r="I28" s="1"/>
      <c r="J28" s="1"/>
      <c r="K28" s="1"/>
    </row>
    <row r="29" spans="1:11" ht="15.75">
      <c r="A29" s="19">
        <v>11</v>
      </c>
      <c r="B29" s="1" t="s">
        <v>60</v>
      </c>
      <c r="C29" s="23">
        <v>-2605890</v>
      </c>
      <c r="D29" s="23">
        <f t="shared" ca="1" si="2"/>
        <v>0</v>
      </c>
      <c r="E29" s="23">
        <f t="shared" ca="1" si="3"/>
        <v>-2605890</v>
      </c>
      <c r="F29" s="1"/>
      <c r="G29" s="1"/>
      <c r="H29" s="1"/>
      <c r="I29" s="1"/>
      <c r="J29" s="1"/>
      <c r="K29" s="1"/>
    </row>
    <row r="30" spans="1:11" ht="15.75">
      <c r="A30" s="19">
        <v>12</v>
      </c>
      <c r="B30" s="1" t="s">
        <v>59</v>
      </c>
      <c r="C30" s="23">
        <v>196100</v>
      </c>
      <c r="D30" s="23">
        <f t="shared" ca="1" si="2"/>
        <v>0</v>
      </c>
      <c r="E30" s="23">
        <f t="shared" ca="1" si="3"/>
        <v>196100</v>
      </c>
      <c r="F30" s="1"/>
      <c r="G30" s="1"/>
      <c r="H30" s="1"/>
      <c r="I30" s="1"/>
      <c r="J30" s="1"/>
      <c r="K30" s="1"/>
    </row>
    <row r="31" spans="1:11" ht="15.75">
      <c r="A31" s="19"/>
      <c r="B31" s="1"/>
      <c r="C31" s="23"/>
      <c r="D31" s="23"/>
      <c r="E31" s="23"/>
      <c r="F31" s="1"/>
      <c r="G31" s="1"/>
      <c r="H31" s="1"/>
      <c r="I31" s="1"/>
      <c r="J31" s="1"/>
      <c r="K31" s="1"/>
    </row>
    <row r="32" spans="1:11" ht="15.75">
      <c r="A32" s="19">
        <v>13</v>
      </c>
      <c r="B32" s="1" t="s">
        <v>92</v>
      </c>
      <c r="C32" s="23">
        <v>0</v>
      </c>
      <c r="D32" s="23">
        <f>'B-2'!E14</f>
        <v>-1950967.3076923077</v>
      </c>
      <c r="E32" s="23">
        <f t="shared" si="3"/>
        <v>-1950967.3076923077</v>
      </c>
      <c r="F32" s="1"/>
      <c r="G32" s="1"/>
      <c r="H32" s="1"/>
      <c r="I32" s="1"/>
      <c r="J32" s="1"/>
      <c r="K32" s="1"/>
    </row>
    <row r="33" spans="1:11" ht="15.75">
      <c r="A33" s="19"/>
      <c r="B33" s="1"/>
      <c r="C33" s="24"/>
      <c r="D33" s="24"/>
      <c r="E33" s="24"/>
      <c r="F33" s="1"/>
      <c r="G33" s="1"/>
      <c r="H33" s="1"/>
      <c r="I33" s="1"/>
      <c r="J33" s="1"/>
      <c r="K33" s="1"/>
    </row>
    <row r="34" spans="1:11" ht="15.75">
      <c r="A34" s="19">
        <v>14</v>
      </c>
      <c r="B34" s="12" t="s">
        <v>64</v>
      </c>
      <c r="C34" s="23">
        <f>SUM(C26:C32)+1</f>
        <v>-115024371</v>
      </c>
      <c r="D34" s="23">
        <f ca="1">SUM(D22:D32)</f>
        <v>-12641870.307692308</v>
      </c>
      <c r="E34" s="23">
        <f ca="1">SUM(E26:E32)</f>
        <v>-116975339.3076923</v>
      </c>
    </row>
    <row r="35" spans="1:11" ht="15.75">
      <c r="C35" s="23"/>
      <c r="D35" s="23"/>
      <c r="E35" s="23"/>
    </row>
    <row r="36" spans="1:11" ht="16.5" thickBot="1">
      <c r="A36" s="19">
        <v>15</v>
      </c>
      <c r="B36" s="1" t="s">
        <v>63</v>
      </c>
      <c r="C36" s="25">
        <f>+C20+C22+C24+C34</f>
        <v>609682978</v>
      </c>
      <c r="D36" s="25">
        <f ca="1">+E36-C36</f>
        <v>-12641871.307692289</v>
      </c>
      <c r="E36" s="25">
        <f t="shared" ref="E36" ca="1" si="4">+E20+E22+E24+E34</f>
        <v>597041106.69230771</v>
      </c>
    </row>
    <row r="37" spans="1:11" ht="16.5" thickTop="1">
      <c r="C37" s="23"/>
      <c r="D37" s="23"/>
      <c r="E37" s="23"/>
    </row>
    <row r="38" spans="1:11" ht="15.75">
      <c r="C38" s="23"/>
      <c r="D38" s="23"/>
      <c r="E38" s="23"/>
    </row>
    <row r="39" spans="1:11" ht="15.75">
      <c r="C39" s="23"/>
      <c r="D39" s="23"/>
      <c r="E39" s="23"/>
    </row>
    <row r="40" spans="1:11" ht="15.75">
      <c r="C40" s="23"/>
      <c r="D40" s="23"/>
      <c r="E40" s="23"/>
    </row>
    <row r="41" spans="1:11" ht="15.75">
      <c r="C41" s="23"/>
      <c r="D41" s="23"/>
      <c r="E41" s="23"/>
    </row>
    <row r="42" spans="1:11" ht="15.75">
      <c r="A42" s="18" t="s">
        <v>37</v>
      </c>
      <c r="B42" s="18"/>
      <c r="C42" s="18"/>
      <c r="D42" s="24"/>
      <c r="E42" s="24"/>
    </row>
    <row r="43" spans="1:11">
      <c r="A43" s="30" t="s">
        <v>215</v>
      </c>
    </row>
    <row r="44" spans="1:11">
      <c r="A44" s="29"/>
    </row>
  </sheetData>
  <pageMargins left="0.7" right="0.7" top="0.75" bottom="0.75" header="0.3" footer="0.3"/>
  <pageSetup scale="71" orientation="portrait" r:id="rId1"/>
  <ignoredErrors>
    <ignoredError sqref="D34 D36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CAA83-87EF-4A5E-9EE3-338AB9DD21B7}">
  <sheetPr>
    <pageSetUpPr fitToPage="1"/>
  </sheetPr>
  <dimension ref="A1:N64"/>
  <sheetViews>
    <sheetView topLeftCell="A19" workbookViewId="0">
      <selection activeCell="G40" sqref="G40"/>
    </sheetView>
  </sheetViews>
  <sheetFormatPr defaultRowHeight="15"/>
  <cols>
    <col min="1" max="1" width="5.7109375" customWidth="1"/>
    <col min="2" max="2" width="1.42578125" customWidth="1"/>
    <col min="3" max="3" width="47.7109375" customWidth="1"/>
    <col min="4" max="6" width="15.85546875" bestFit="1" customWidth="1"/>
    <col min="7" max="8" width="15.85546875" customWidth="1"/>
    <col min="9" max="9" width="16.42578125" bestFit="1" customWidth="1"/>
    <col min="10" max="10" width="10.5703125" bestFit="1" customWidth="1"/>
    <col min="11" max="11" width="11.7109375" bestFit="1" customWidth="1"/>
    <col min="12" max="12" width="10" bestFit="1" customWidth="1"/>
    <col min="13" max="13" width="15.140625" customWidth="1"/>
    <col min="14" max="14" width="14" bestFit="1" customWidth="1"/>
  </cols>
  <sheetData>
    <row r="1" spans="1:14">
      <c r="A1" s="17" t="str">
        <f>A!A1</f>
        <v>Columbia Gas of Kentucky, Inc.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17" t="str">
        <f>A!H1</f>
        <v>Case No. 2026-00099</v>
      </c>
    </row>
    <row r="2" spans="1:14">
      <c r="A2" s="17" t="str">
        <f>A!A2</f>
        <v>Forecasted Test Period: Twelve Months Ended December 31, 2027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17" t="str">
        <f>A!H2</f>
        <v xml:space="preserve">Exhibit JD-1 </v>
      </c>
    </row>
    <row r="3" spans="1:14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17" t="s">
        <v>89</v>
      </c>
    </row>
    <row r="4" spans="1:14">
      <c r="A4" s="17" t="s">
        <v>88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17" t="s">
        <v>7</v>
      </c>
    </row>
    <row r="6" spans="1:14">
      <c r="A6" s="144"/>
      <c r="B6" s="144"/>
      <c r="C6" s="144"/>
      <c r="D6" s="184" t="s">
        <v>77</v>
      </c>
      <c r="E6" s="184"/>
      <c r="F6" s="184"/>
      <c r="G6" s="184"/>
      <c r="H6" s="184"/>
      <c r="I6" s="184"/>
      <c r="J6" s="184"/>
      <c r="K6" s="184"/>
      <c r="L6" s="184"/>
      <c r="M6" s="184"/>
    </row>
    <row r="7" spans="1:14">
      <c r="A7" s="31" t="s">
        <v>264</v>
      </c>
      <c r="B7" s="32"/>
      <c r="C7" s="32"/>
      <c r="D7" s="31" t="s">
        <v>265</v>
      </c>
      <c r="E7" s="145" t="s">
        <v>266</v>
      </c>
      <c r="F7" s="145" t="s">
        <v>266</v>
      </c>
      <c r="G7" s="145" t="s">
        <v>167</v>
      </c>
      <c r="H7" s="145"/>
      <c r="I7" s="31" t="s">
        <v>267</v>
      </c>
      <c r="J7" s="31" t="s">
        <v>268</v>
      </c>
      <c r="K7" s="31" t="s">
        <v>269</v>
      </c>
      <c r="L7" s="31" t="s">
        <v>270</v>
      </c>
      <c r="M7" s="31" t="s">
        <v>271</v>
      </c>
    </row>
    <row r="8" spans="1:14">
      <c r="A8" s="33" t="s">
        <v>272</v>
      </c>
      <c r="B8" s="34"/>
      <c r="C8" s="146" t="s">
        <v>273</v>
      </c>
      <c r="D8" s="33" t="s">
        <v>274</v>
      </c>
      <c r="E8" s="147" t="s">
        <v>275</v>
      </c>
      <c r="F8" s="147" t="s">
        <v>276</v>
      </c>
      <c r="G8" s="147" t="s">
        <v>311</v>
      </c>
      <c r="H8" s="147"/>
      <c r="I8" s="33" t="s">
        <v>276</v>
      </c>
      <c r="J8" s="33" t="s">
        <v>277</v>
      </c>
      <c r="K8" s="33" t="s">
        <v>278</v>
      </c>
      <c r="L8" s="33" t="s">
        <v>279</v>
      </c>
      <c r="M8" s="33" t="s">
        <v>280</v>
      </c>
      <c r="N8" s="133"/>
    </row>
    <row r="9" spans="1:14">
      <c r="A9" s="31"/>
      <c r="B9" s="32"/>
      <c r="C9" s="30"/>
      <c r="D9" s="118" t="s">
        <v>78</v>
      </c>
      <c r="E9" s="118" t="s">
        <v>79</v>
      </c>
      <c r="F9" s="118" t="s">
        <v>80</v>
      </c>
      <c r="G9" s="118" t="s">
        <v>312</v>
      </c>
      <c r="H9" s="118" t="s">
        <v>313</v>
      </c>
      <c r="I9" s="118" t="s">
        <v>326</v>
      </c>
      <c r="J9" s="118" t="s">
        <v>314</v>
      </c>
      <c r="K9" s="118" t="s">
        <v>327</v>
      </c>
      <c r="L9" s="118" t="s">
        <v>328</v>
      </c>
      <c r="M9" s="118" t="s">
        <v>329</v>
      </c>
    </row>
    <row r="10" spans="1:14">
      <c r="A10" s="32"/>
      <c r="B10" s="32"/>
      <c r="C10" s="32"/>
      <c r="D10" s="31" t="s">
        <v>81</v>
      </c>
      <c r="E10" s="148"/>
      <c r="F10" s="145" t="s">
        <v>81</v>
      </c>
      <c r="G10" s="145"/>
      <c r="H10" s="145"/>
      <c r="I10" s="31" t="s">
        <v>81</v>
      </c>
      <c r="J10" s="32"/>
      <c r="K10" s="32"/>
      <c r="L10" s="32"/>
      <c r="M10" s="31" t="s">
        <v>81</v>
      </c>
    </row>
    <row r="11" spans="1:14">
      <c r="A11" s="31">
        <v>1</v>
      </c>
      <c r="B11" s="35" t="s">
        <v>281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spans="1:14">
      <c r="A12" s="31">
        <f>A11+1</f>
        <v>2</v>
      </c>
      <c r="B12" s="32"/>
      <c r="C12" s="30" t="s">
        <v>282</v>
      </c>
      <c r="D12" s="149">
        <v>52344385.170000002</v>
      </c>
      <c r="E12" s="145" t="s">
        <v>82</v>
      </c>
      <c r="F12" s="150">
        <f>D12</f>
        <v>52344385.170000002</v>
      </c>
      <c r="G12" s="150"/>
      <c r="H12" s="150">
        <f>+F12+G12</f>
        <v>52344385.170000002</v>
      </c>
      <c r="I12" s="150">
        <f t="shared" ref="I12:I19" si="0">ROUND(H12/365,0)</f>
        <v>143409</v>
      </c>
      <c r="J12" s="151">
        <v>19.809999999999999</v>
      </c>
      <c r="K12" s="151">
        <v>39.229999999999997</v>
      </c>
      <c r="L12" s="151">
        <f t="shared" ref="L12:L46" si="1">J12-K12</f>
        <v>-19.419999999999998</v>
      </c>
      <c r="M12" s="150">
        <f>ROUND(L12*I12,0)</f>
        <v>-2785003</v>
      </c>
    </row>
    <row r="13" spans="1:14">
      <c r="A13" s="31">
        <f>A12+1</f>
        <v>3</v>
      </c>
      <c r="B13" s="32"/>
      <c r="C13" s="30" t="s">
        <v>283</v>
      </c>
      <c r="D13" s="152">
        <v>29377507.25</v>
      </c>
      <c r="E13" s="145" t="s">
        <v>82</v>
      </c>
      <c r="F13" s="150">
        <f t="shared" ref="F13:F23" si="2">D13</f>
        <v>29377507.25</v>
      </c>
      <c r="G13" s="150"/>
      <c r="H13" s="150">
        <f t="shared" ref="H13:H39" si="3">+F13+G13</f>
        <v>29377507.25</v>
      </c>
      <c r="I13" s="150">
        <f t="shared" si="0"/>
        <v>80486</v>
      </c>
      <c r="J13" s="151">
        <f>J12</f>
        <v>19.809999999999999</v>
      </c>
      <c r="K13" s="151">
        <v>0</v>
      </c>
      <c r="L13" s="151">
        <f t="shared" si="1"/>
        <v>19.809999999999999</v>
      </c>
      <c r="M13" s="150">
        <f t="shared" ref="M13:M23" si="4">ROUND(L13*I13,0)</f>
        <v>1594428</v>
      </c>
    </row>
    <row r="14" spans="1:14">
      <c r="A14" s="31">
        <f t="shared" ref="A14:A30" si="5">A13+1</f>
        <v>4</v>
      </c>
      <c r="B14" s="32"/>
      <c r="C14" s="32" t="s">
        <v>284</v>
      </c>
      <c r="D14" s="152">
        <v>1416583.9754124293</v>
      </c>
      <c r="E14" s="145" t="s">
        <v>82</v>
      </c>
      <c r="F14" s="150">
        <f t="shared" si="2"/>
        <v>1416583.9754124293</v>
      </c>
      <c r="G14" s="150"/>
      <c r="H14" s="150">
        <f t="shared" si="3"/>
        <v>1416583.9754124293</v>
      </c>
      <c r="I14" s="150">
        <f t="shared" si="0"/>
        <v>3881</v>
      </c>
      <c r="J14" s="151">
        <f t="shared" ref="J14:J19" si="6">J13</f>
        <v>19.809999999999999</v>
      </c>
      <c r="K14" s="153">
        <v>-144.65</v>
      </c>
      <c r="L14" s="151">
        <f t="shared" si="1"/>
        <v>164.46</v>
      </c>
      <c r="M14" s="150">
        <f t="shared" si="4"/>
        <v>638269</v>
      </c>
    </row>
    <row r="15" spans="1:14">
      <c r="A15" s="31">
        <f t="shared" si="5"/>
        <v>5</v>
      </c>
      <c r="B15" s="32"/>
      <c r="C15" s="30" t="s">
        <v>285</v>
      </c>
      <c r="D15" s="152">
        <v>12989753.539999999</v>
      </c>
      <c r="E15" s="145" t="s">
        <v>82</v>
      </c>
      <c r="F15" s="150">
        <f>D15</f>
        <v>12989753.539999999</v>
      </c>
      <c r="G15" s="150">
        <f>-'Cp2'!D20-'Cp2'!D18</f>
        <v>-1146557.254</v>
      </c>
      <c r="H15" s="150">
        <f t="shared" si="3"/>
        <v>11843196.285999998</v>
      </c>
      <c r="I15" s="150">
        <f t="shared" si="0"/>
        <v>32447</v>
      </c>
      <c r="J15" s="151">
        <f t="shared" si="6"/>
        <v>19.809999999999999</v>
      </c>
      <c r="K15" s="151">
        <v>4.4400000000000004</v>
      </c>
      <c r="L15" s="151">
        <f t="shared" si="1"/>
        <v>15.369999999999997</v>
      </c>
      <c r="M15" s="150">
        <f t="shared" si="4"/>
        <v>498710</v>
      </c>
    </row>
    <row r="16" spans="1:14">
      <c r="A16" s="31">
        <f t="shared" si="5"/>
        <v>6</v>
      </c>
      <c r="B16" s="32"/>
      <c r="C16" s="32" t="s">
        <v>286</v>
      </c>
      <c r="D16" s="152">
        <v>967923.93692600017</v>
      </c>
      <c r="E16" s="145" t="s">
        <v>82</v>
      </c>
      <c r="F16" s="150">
        <f t="shared" si="2"/>
        <v>967923.93692600017</v>
      </c>
      <c r="G16" s="150">
        <f>-'Incentive Comp'!D25</f>
        <v>-909998</v>
      </c>
      <c r="H16" s="150">
        <f t="shared" si="3"/>
        <v>57925.936926000169</v>
      </c>
      <c r="I16" s="150">
        <f t="shared" si="0"/>
        <v>159</v>
      </c>
      <c r="J16" s="151">
        <f>J15</f>
        <v>19.809999999999999</v>
      </c>
      <c r="K16" s="151">
        <v>238.71</v>
      </c>
      <c r="L16" s="151">
        <f t="shared" si="1"/>
        <v>-218.9</v>
      </c>
      <c r="M16" s="150">
        <f t="shared" si="4"/>
        <v>-34805</v>
      </c>
    </row>
    <row r="17" spans="1:13">
      <c r="A17" s="31">
        <f t="shared" si="5"/>
        <v>7</v>
      </c>
      <c r="B17" s="32"/>
      <c r="C17" s="30" t="s">
        <v>287</v>
      </c>
      <c r="D17" s="152">
        <v>3650991.5447739945</v>
      </c>
      <c r="E17" s="145" t="s">
        <v>82</v>
      </c>
      <c r="F17" s="150">
        <f t="shared" si="2"/>
        <v>3650991.5447739945</v>
      </c>
      <c r="G17" s="150">
        <f>-'Cp2'!D26-'Cp2'!D28-'Cp2'!D22-'Cp2'!D23-'Cp2'!D24</f>
        <v>-708065.65380775556</v>
      </c>
      <c r="H17" s="150">
        <f t="shared" si="3"/>
        <v>2942925.8909662389</v>
      </c>
      <c r="I17" s="150">
        <f t="shared" si="0"/>
        <v>8063</v>
      </c>
      <c r="J17" s="151">
        <f t="shared" si="6"/>
        <v>19.809999999999999</v>
      </c>
      <c r="K17" s="151">
        <v>13.7</v>
      </c>
      <c r="L17" s="151">
        <f t="shared" si="1"/>
        <v>6.1099999999999994</v>
      </c>
      <c r="M17" s="150">
        <f t="shared" si="4"/>
        <v>49265</v>
      </c>
    </row>
    <row r="18" spans="1:13">
      <c r="A18" s="31">
        <f t="shared" si="5"/>
        <v>8</v>
      </c>
      <c r="B18" s="32"/>
      <c r="C18" s="32" t="s">
        <v>288</v>
      </c>
      <c r="D18" s="152">
        <v>483060</v>
      </c>
      <c r="E18" s="145" t="s">
        <v>82</v>
      </c>
      <c r="F18" s="150">
        <f t="shared" si="2"/>
        <v>483060</v>
      </c>
      <c r="G18" s="150"/>
      <c r="H18" s="150">
        <f t="shared" si="3"/>
        <v>483060</v>
      </c>
      <c r="I18" s="150">
        <f t="shared" si="0"/>
        <v>1323</v>
      </c>
      <c r="J18" s="151">
        <f t="shared" si="6"/>
        <v>19.809999999999999</v>
      </c>
      <c r="K18" s="151">
        <f>J18</f>
        <v>19.809999999999999</v>
      </c>
      <c r="L18" s="151">
        <f t="shared" si="1"/>
        <v>0</v>
      </c>
      <c r="M18" s="150">
        <f t="shared" si="4"/>
        <v>0</v>
      </c>
    </row>
    <row r="19" spans="1:13">
      <c r="A19" s="31">
        <f t="shared" si="5"/>
        <v>9</v>
      </c>
      <c r="B19" s="32"/>
      <c r="C19" s="32" t="s">
        <v>289</v>
      </c>
      <c r="D19" s="152">
        <v>-38729.99998800001</v>
      </c>
      <c r="E19" s="145" t="s">
        <v>82</v>
      </c>
      <c r="F19" s="150">
        <f>D19</f>
        <v>-38729.99998800001</v>
      </c>
      <c r="G19" s="150"/>
      <c r="H19" s="150">
        <f t="shared" si="3"/>
        <v>-38729.99998800001</v>
      </c>
      <c r="I19" s="150">
        <f t="shared" si="0"/>
        <v>-106</v>
      </c>
      <c r="J19" s="151">
        <f t="shared" si="6"/>
        <v>19.809999999999999</v>
      </c>
      <c r="K19" s="151">
        <v>42.9</v>
      </c>
      <c r="L19" s="151">
        <f>J19-K19</f>
        <v>-23.09</v>
      </c>
      <c r="M19" s="150">
        <f>ROUND(L19*I19,0)</f>
        <v>2448</v>
      </c>
    </row>
    <row r="20" spans="1:13">
      <c r="A20" s="31">
        <f t="shared" si="5"/>
        <v>10</v>
      </c>
      <c r="B20" s="32"/>
      <c r="C20" s="32" t="s">
        <v>290</v>
      </c>
      <c r="D20" s="152"/>
      <c r="E20" s="145"/>
      <c r="F20" s="150"/>
      <c r="G20" s="150"/>
      <c r="H20" s="150"/>
      <c r="I20" s="150"/>
      <c r="J20" s="151"/>
      <c r="K20" s="151"/>
      <c r="L20" s="151"/>
      <c r="M20" s="150"/>
    </row>
    <row r="21" spans="1:13">
      <c r="A21" s="31">
        <f t="shared" si="5"/>
        <v>11</v>
      </c>
      <c r="B21" s="32"/>
      <c r="C21" s="32" t="s">
        <v>291</v>
      </c>
      <c r="D21" s="152">
        <v>24079433.425081644</v>
      </c>
      <c r="E21" s="145" t="s">
        <v>82</v>
      </c>
      <c r="F21" s="150">
        <f t="shared" si="2"/>
        <v>24079433.425081644</v>
      </c>
      <c r="G21" s="150">
        <f>-'Cp2'!D15-'Cp2'!D16-'Cp2'!D17-'Cp2'!D21-'Cp2'!D25-'Incentive Comp'!D26</f>
        <v>-1786974.25</v>
      </c>
      <c r="H21" s="150">
        <f t="shared" si="3"/>
        <v>22292459.175081644</v>
      </c>
      <c r="I21" s="150">
        <f>ROUND(H21/365,0)</f>
        <v>61075</v>
      </c>
      <c r="J21" s="151">
        <v>19.809999999999999</v>
      </c>
      <c r="K21" s="151">
        <v>35.4</v>
      </c>
      <c r="L21" s="151">
        <f t="shared" si="1"/>
        <v>-15.59</v>
      </c>
      <c r="M21" s="150">
        <f t="shared" si="4"/>
        <v>-952159</v>
      </c>
    </row>
    <row r="22" spans="1:13">
      <c r="A22" s="31">
        <f t="shared" si="5"/>
        <v>12</v>
      </c>
      <c r="B22" s="32"/>
      <c r="C22" s="32" t="s">
        <v>292</v>
      </c>
      <c r="D22" s="152">
        <v>558209.01</v>
      </c>
      <c r="E22" s="145" t="s">
        <v>82</v>
      </c>
      <c r="F22" s="150">
        <f t="shared" si="2"/>
        <v>558209.01</v>
      </c>
      <c r="G22" s="150"/>
      <c r="H22" s="150">
        <f t="shared" si="3"/>
        <v>558209.01</v>
      </c>
      <c r="I22" s="150">
        <f>ROUND(H22/365,0)</f>
        <v>1529</v>
      </c>
      <c r="J22" s="151">
        <v>19.809999999999999</v>
      </c>
      <c r="K22" s="151">
        <f>J22</f>
        <v>19.809999999999999</v>
      </c>
      <c r="L22" s="151">
        <f t="shared" si="1"/>
        <v>0</v>
      </c>
      <c r="M22" s="150">
        <f t="shared" si="4"/>
        <v>0</v>
      </c>
    </row>
    <row r="23" spans="1:13">
      <c r="A23" s="31">
        <f t="shared" si="5"/>
        <v>13</v>
      </c>
      <c r="B23" s="32"/>
      <c r="C23" s="32" t="s">
        <v>293</v>
      </c>
      <c r="D23" s="154">
        <v>14182727</v>
      </c>
      <c r="E23" s="145" t="s">
        <v>82</v>
      </c>
      <c r="F23" s="150">
        <f t="shared" si="2"/>
        <v>14182727</v>
      </c>
      <c r="G23" s="150">
        <f>'Cus dep int'!D13</f>
        <v>71015.210000000006</v>
      </c>
      <c r="H23" s="150">
        <f t="shared" si="3"/>
        <v>14253742.210000001</v>
      </c>
      <c r="I23" s="150">
        <f>ROUND(H23/365,0)</f>
        <v>39051</v>
      </c>
      <c r="J23" s="151">
        <v>19.809999999999999</v>
      </c>
      <c r="K23" s="151">
        <v>41.2</v>
      </c>
      <c r="L23" s="151">
        <f t="shared" si="1"/>
        <v>-21.390000000000004</v>
      </c>
      <c r="M23" s="150">
        <f t="shared" si="4"/>
        <v>-835301</v>
      </c>
    </row>
    <row r="24" spans="1:13">
      <c r="A24" s="31"/>
      <c r="B24" s="32"/>
      <c r="C24" s="32"/>
      <c r="D24" s="152"/>
      <c r="E24" s="145"/>
      <c r="F24" s="150"/>
      <c r="G24" s="150"/>
      <c r="H24" s="150"/>
      <c r="I24" s="150"/>
      <c r="J24" s="151"/>
      <c r="K24" s="151"/>
      <c r="L24" s="151"/>
      <c r="M24" s="152"/>
    </row>
    <row r="25" spans="1:13">
      <c r="A25" s="31">
        <f>A23+1</f>
        <v>14</v>
      </c>
      <c r="B25" s="32"/>
      <c r="C25" s="32" t="s">
        <v>294</v>
      </c>
      <c r="D25" s="152"/>
      <c r="E25" s="145"/>
      <c r="F25" s="150"/>
      <c r="G25" s="150"/>
      <c r="H25" s="150"/>
      <c r="I25" s="150"/>
      <c r="J25" s="151"/>
      <c r="K25" s="151"/>
      <c r="L25" s="151"/>
      <c r="M25" s="150"/>
    </row>
    <row r="26" spans="1:13">
      <c r="A26" s="31"/>
      <c r="B26" s="32"/>
      <c r="C26" s="32"/>
      <c r="D26" s="152"/>
      <c r="E26" s="145"/>
      <c r="F26" s="150"/>
      <c r="G26" s="150"/>
      <c r="H26" s="150"/>
      <c r="I26" s="150"/>
      <c r="J26" s="151"/>
      <c r="K26" s="151"/>
      <c r="L26" s="151"/>
      <c r="M26" s="152"/>
    </row>
    <row r="27" spans="1:13">
      <c r="A27" s="31">
        <f>A25+1</f>
        <v>15</v>
      </c>
      <c r="B27" s="35" t="s">
        <v>295</v>
      </c>
      <c r="C27" s="32"/>
      <c r="D27" s="152"/>
      <c r="E27" s="145"/>
      <c r="F27" s="150"/>
      <c r="G27" s="150"/>
      <c r="H27" s="150"/>
      <c r="I27" s="150"/>
      <c r="J27" s="151"/>
      <c r="K27" s="151"/>
      <c r="L27" s="151"/>
      <c r="M27" s="152"/>
    </row>
    <row r="28" spans="1:13">
      <c r="A28" s="31">
        <f t="shared" si="5"/>
        <v>16</v>
      </c>
      <c r="B28" s="32"/>
      <c r="C28" s="32" t="s">
        <v>296</v>
      </c>
      <c r="D28" s="152">
        <v>1055369.8292880002</v>
      </c>
      <c r="E28" s="145" t="s">
        <v>82</v>
      </c>
      <c r="F28" s="150">
        <f>D28</f>
        <v>1055369.8292880002</v>
      </c>
      <c r="G28" s="150">
        <f>-'Cp2'!D27</f>
        <v>-220032.9478922486</v>
      </c>
      <c r="H28" s="150">
        <f t="shared" si="3"/>
        <v>835336.88139575161</v>
      </c>
      <c r="I28" s="150">
        <f>ROUND(H28/365,0)</f>
        <v>2289</v>
      </c>
      <c r="J28" s="151">
        <v>19.809999999999999</v>
      </c>
      <c r="K28" s="151">
        <v>10.38</v>
      </c>
      <c r="L28" s="151">
        <f t="shared" si="1"/>
        <v>9.4299999999999979</v>
      </c>
      <c r="M28" s="150">
        <f>ROUND(L28*I28,0)</f>
        <v>21585</v>
      </c>
    </row>
    <row r="29" spans="1:13">
      <c r="A29" s="31">
        <f t="shared" si="5"/>
        <v>17</v>
      </c>
      <c r="B29" s="32"/>
      <c r="C29" s="32" t="s">
        <v>297</v>
      </c>
      <c r="D29" s="152">
        <v>6228059</v>
      </c>
      <c r="E29" s="145" t="s">
        <v>82</v>
      </c>
      <c r="F29" s="150">
        <f>D29</f>
        <v>6228059</v>
      </c>
      <c r="G29" s="150"/>
      <c r="H29" s="150">
        <f t="shared" si="3"/>
        <v>6228059</v>
      </c>
      <c r="I29" s="150">
        <f>ROUND(H29/365,0)</f>
        <v>17063</v>
      </c>
      <c r="J29" s="151">
        <v>19.809999999999999</v>
      </c>
      <c r="K29" s="151">
        <v>307.23</v>
      </c>
      <c r="L29" s="151">
        <f t="shared" si="1"/>
        <v>-287.42</v>
      </c>
      <c r="M29" s="150">
        <f>ROUND(L29*I29,0)</f>
        <v>-4904247</v>
      </c>
    </row>
    <row r="30" spans="1:13">
      <c r="A30" s="31">
        <f t="shared" si="5"/>
        <v>18</v>
      </c>
      <c r="B30" s="32"/>
      <c r="C30" s="32" t="s">
        <v>298</v>
      </c>
      <c r="D30" s="155">
        <v>228399.95999999996</v>
      </c>
      <c r="E30" s="145" t="s">
        <v>82</v>
      </c>
      <c r="F30" s="150">
        <f>D30</f>
        <v>228399.95999999996</v>
      </c>
      <c r="G30" s="150"/>
      <c r="H30" s="150">
        <f t="shared" si="3"/>
        <v>228399.95999999996</v>
      </c>
      <c r="I30" s="150">
        <f>ROUND(H30/365,0)</f>
        <v>626</v>
      </c>
      <c r="J30" s="151">
        <v>19.809999999999999</v>
      </c>
      <c r="K30" s="151">
        <v>35.200000000000003</v>
      </c>
      <c r="L30" s="151">
        <f t="shared" si="1"/>
        <v>-15.390000000000004</v>
      </c>
      <c r="M30" s="150">
        <f>ROUND(L30*I30,0)</f>
        <v>-9634</v>
      </c>
    </row>
    <row r="31" spans="1:13">
      <c r="A31" s="31"/>
      <c r="B31" s="32"/>
      <c r="C31" s="32"/>
      <c r="D31" s="152"/>
      <c r="E31" s="145"/>
      <c r="F31" s="150"/>
      <c r="G31" s="150"/>
      <c r="H31" s="150"/>
      <c r="I31" s="150"/>
      <c r="J31" s="151"/>
      <c r="K31" s="151"/>
      <c r="L31" s="151"/>
      <c r="M31" s="152"/>
    </row>
    <row r="32" spans="1:13">
      <c r="A32" s="31">
        <f>A30+1</f>
        <v>19</v>
      </c>
      <c r="B32" s="35" t="s">
        <v>299</v>
      </c>
      <c r="C32" s="32"/>
      <c r="D32" s="152"/>
      <c r="E32" s="145"/>
      <c r="F32" s="150"/>
      <c r="G32" s="150"/>
      <c r="H32" s="150"/>
      <c r="I32" s="150"/>
      <c r="J32" s="151"/>
      <c r="K32" s="151"/>
      <c r="L32" s="151"/>
      <c r="M32" s="152"/>
    </row>
    <row r="33" spans="1:13">
      <c r="A33" s="31">
        <f>A32+1</f>
        <v>20</v>
      </c>
      <c r="B33" s="32"/>
      <c r="C33" s="32" t="s">
        <v>300</v>
      </c>
      <c r="D33" s="152">
        <v>-4181716.5794903818</v>
      </c>
      <c r="E33" s="145" t="s">
        <v>82</v>
      </c>
      <c r="F33" s="150">
        <f>D33</f>
        <v>-4181716.5794903818</v>
      </c>
      <c r="G33" s="150">
        <f ca="1">+'Inc Tax'!E17+'Int Sync'!E22</f>
        <v>881537.01319215074</v>
      </c>
      <c r="H33" s="150">
        <f t="shared" ca="1" si="3"/>
        <v>-3300179.566298231</v>
      </c>
      <c r="I33" s="150">
        <f ca="1">ROUND(H33/365,0)</f>
        <v>-9042</v>
      </c>
      <c r="J33" s="151">
        <v>19.809999999999999</v>
      </c>
      <c r="K33" s="151">
        <v>37.5</v>
      </c>
      <c r="L33" s="151">
        <f t="shared" si="1"/>
        <v>-17.690000000000001</v>
      </c>
      <c r="M33" s="150">
        <f ca="1">ROUND(L33*I33,0)</f>
        <v>159953</v>
      </c>
    </row>
    <row r="34" spans="1:13">
      <c r="A34" s="31">
        <f>A33+1</f>
        <v>21</v>
      </c>
      <c r="B34" s="32"/>
      <c r="C34" s="32" t="s">
        <v>301</v>
      </c>
      <c r="D34" s="152">
        <v>-1212778.4348845971</v>
      </c>
      <c r="E34" s="145" t="s">
        <v>82</v>
      </c>
      <c r="F34" s="150">
        <f>D34</f>
        <v>-1212778.4348845971</v>
      </c>
      <c r="G34" s="150">
        <f ca="1">+'Inc Tax'!E24+'Int Sync'!E21</f>
        <v>220936.59478500023</v>
      </c>
      <c r="H34" s="150">
        <f t="shared" ca="1" si="3"/>
        <v>-991841.84009959688</v>
      </c>
      <c r="I34" s="150">
        <f ca="1">ROUND(H34/365,0)</f>
        <v>-2717</v>
      </c>
      <c r="J34" s="151">
        <v>19.809999999999999</v>
      </c>
      <c r="K34" s="151">
        <f>K33</f>
        <v>37.5</v>
      </c>
      <c r="L34" s="151">
        <f t="shared" si="1"/>
        <v>-17.690000000000001</v>
      </c>
      <c r="M34" s="150">
        <f ca="1">ROUND(L34*I34,0)</f>
        <v>48064</v>
      </c>
    </row>
    <row r="35" spans="1:13">
      <c r="A35" s="31">
        <f>A34+1</f>
        <v>22</v>
      </c>
      <c r="B35" s="32"/>
      <c r="C35" s="32" t="s">
        <v>302</v>
      </c>
      <c r="D35" s="152"/>
      <c r="E35" s="145"/>
      <c r="F35" s="150"/>
      <c r="G35" s="150"/>
      <c r="H35" s="150"/>
      <c r="I35" s="150"/>
      <c r="J35" s="151"/>
      <c r="K35" s="151"/>
      <c r="L35" s="151"/>
      <c r="M35" s="150"/>
    </row>
    <row r="36" spans="1:13">
      <c r="A36" s="32"/>
      <c r="B36" s="32"/>
      <c r="C36" s="32"/>
      <c r="D36" s="152"/>
      <c r="E36" s="145"/>
      <c r="F36" s="150"/>
      <c r="G36" s="150"/>
      <c r="H36" s="150"/>
      <c r="I36" s="150"/>
      <c r="J36" s="151"/>
      <c r="K36" s="151"/>
      <c r="L36" s="151"/>
      <c r="M36" s="152"/>
    </row>
    <row r="37" spans="1:13">
      <c r="A37" s="31">
        <f>A35+1</f>
        <v>23</v>
      </c>
      <c r="B37" s="35" t="s">
        <v>303</v>
      </c>
      <c r="C37" s="32"/>
      <c r="D37" s="152"/>
      <c r="E37" s="145"/>
      <c r="F37" s="150"/>
      <c r="G37" s="150"/>
      <c r="H37" s="150"/>
      <c r="I37" s="150"/>
      <c r="J37" s="151"/>
      <c r="K37" s="151"/>
      <c r="L37" s="151"/>
      <c r="M37" s="152"/>
    </row>
    <row r="38" spans="1:13">
      <c r="A38" s="31">
        <f>A37+1</f>
        <v>24</v>
      </c>
      <c r="B38" s="32"/>
      <c r="C38" s="32" t="s">
        <v>304</v>
      </c>
      <c r="D38" s="152">
        <v>1936141.801781862</v>
      </c>
      <c r="E38" s="145" t="s">
        <v>82</v>
      </c>
      <c r="F38" s="150">
        <f>D38</f>
        <v>1936141.801781862</v>
      </c>
      <c r="G38" s="150"/>
      <c r="H38" s="150">
        <f t="shared" si="3"/>
        <v>1936141.801781862</v>
      </c>
      <c r="I38" s="150">
        <f>ROUND(H38/365,0)</f>
        <v>5304</v>
      </c>
      <c r="J38" s="151">
        <v>19.809999999999999</v>
      </c>
      <c r="K38" s="151">
        <f>J38</f>
        <v>19.809999999999999</v>
      </c>
      <c r="L38" s="151">
        <f t="shared" si="1"/>
        <v>0</v>
      </c>
      <c r="M38" s="150">
        <f>ROUND(L38*I38,0)</f>
        <v>0</v>
      </c>
    </row>
    <row r="39" spans="1:13">
      <c r="A39" s="31">
        <f>A38+1</f>
        <v>25</v>
      </c>
      <c r="B39" s="32"/>
      <c r="C39" s="32" t="s">
        <v>305</v>
      </c>
      <c r="D39" s="152">
        <v>14559229.517345121</v>
      </c>
      <c r="E39" s="145" t="s">
        <v>82</v>
      </c>
      <c r="F39" s="150">
        <f>D39</f>
        <v>14559229.517345121</v>
      </c>
      <c r="G39" s="150"/>
      <c r="H39" s="150">
        <f t="shared" si="3"/>
        <v>14559229.517345121</v>
      </c>
      <c r="I39" s="150">
        <f>ROUND(H39/365,0)</f>
        <v>39888</v>
      </c>
      <c r="J39" s="151">
        <v>19.809999999999999</v>
      </c>
      <c r="K39" s="151">
        <v>92.59</v>
      </c>
      <c r="L39" s="151">
        <f t="shared" si="1"/>
        <v>-72.78</v>
      </c>
      <c r="M39" s="150">
        <f>ROUND(L39*I39,0)</f>
        <v>-2903049</v>
      </c>
    </row>
    <row r="40" spans="1:13">
      <c r="A40" s="31">
        <f>A39+1</f>
        <v>26</v>
      </c>
      <c r="B40" s="32"/>
      <c r="C40" s="32" t="s">
        <v>306</v>
      </c>
      <c r="D40" s="164"/>
      <c r="E40" s="145"/>
      <c r="F40" s="156"/>
      <c r="G40" s="156"/>
      <c r="H40" s="157"/>
      <c r="I40" s="157"/>
      <c r="J40" s="151"/>
      <c r="K40" s="151"/>
      <c r="L40" s="151"/>
      <c r="M40" s="157"/>
    </row>
    <row r="41" spans="1:13">
      <c r="A41" s="32"/>
      <c r="B41" s="32"/>
      <c r="C41" s="32"/>
      <c r="D41" s="152"/>
      <c r="E41" s="145"/>
      <c r="F41" s="150"/>
      <c r="G41" s="150"/>
      <c r="H41" s="150"/>
      <c r="I41" s="150"/>
      <c r="J41" s="151"/>
      <c r="K41" s="151"/>
      <c r="L41" s="151"/>
      <c r="M41" s="152"/>
    </row>
    <row r="42" spans="1:13">
      <c r="A42" s="31">
        <f>A40+1</f>
        <v>27</v>
      </c>
      <c r="B42" s="32"/>
      <c r="C42" s="29" t="s">
        <v>83</v>
      </c>
      <c r="D42" s="149">
        <f>SUM(D12:D35)-D38+SUM(D39+D40)</f>
        <v>154752266.34268236</v>
      </c>
      <c r="E42" s="145" t="s">
        <v>82</v>
      </c>
      <c r="F42" s="150">
        <f>D42</f>
        <v>154752266.34268236</v>
      </c>
      <c r="G42" s="150"/>
      <c r="H42" s="150">
        <f>F42</f>
        <v>154752266.34268236</v>
      </c>
      <c r="I42" s="150">
        <f>ROUND(H42/365,0)</f>
        <v>423979</v>
      </c>
      <c r="J42" s="151"/>
      <c r="K42" s="151"/>
      <c r="L42" s="151"/>
      <c r="M42" s="152">
        <f ca="1">SUM(M12:M40)</f>
        <v>-9411476</v>
      </c>
    </row>
    <row r="43" spans="1:13">
      <c r="A43" s="32"/>
      <c r="B43" s="32"/>
      <c r="C43" s="32"/>
      <c r="D43" s="152"/>
      <c r="E43" s="145"/>
      <c r="F43" s="150"/>
      <c r="G43" s="150"/>
      <c r="H43" s="150"/>
      <c r="I43" s="150"/>
      <c r="J43" s="151"/>
      <c r="K43" s="151"/>
      <c r="L43" s="151"/>
      <c r="M43" s="152"/>
    </row>
    <row r="44" spans="1:13">
      <c r="A44" s="31">
        <f>A42+1</f>
        <v>28</v>
      </c>
      <c r="B44" s="32"/>
      <c r="C44" s="32" t="s">
        <v>307</v>
      </c>
      <c r="D44" s="152">
        <v>6444689.0800000001</v>
      </c>
      <c r="E44" s="145" t="s">
        <v>82</v>
      </c>
      <c r="F44" s="150">
        <f>D44</f>
        <v>6444689.0800000001</v>
      </c>
      <c r="G44" s="150"/>
      <c r="H44" s="150">
        <f t="shared" ref="H44:H46" si="7">+F44+G44</f>
        <v>6444689.0800000001</v>
      </c>
      <c r="I44" s="150">
        <f>ROUND(H44/365,0)</f>
        <v>17657</v>
      </c>
      <c r="J44" s="151">
        <v>19.809999999999999</v>
      </c>
      <c r="K44" s="151">
        <v>56.9</v>
      </c>
      <c r="L44" s="151">
        <f t="shared" si="1"/>
        <v>-37.090000000000003</v>
      </c>
      <c r="M44" s="150">
        <f>ROUND(L44*I44,0)</f>
        <v>-654898</v>
      </c>
    </row>
    <row r="45" spans="1:13">
      <c r="A45" s="31">
        <f>A44+1</f>
        <v>29</v>
      </c>
      <c r="B45" s="32"/>
      <c r="C45" s="32" t="s">
        <v>308</v>
      </c>
      <c r="D45" s="152">
        <v>5721121.3300000001</v>
      </c>
      <c r="E45" s="145" t="s">
        <v>82</v>
      </c>
      <c r="F45" s="150">
        <f>D45</f>
        <v>5721121.3300000001</v>
      </c>
      <c r="G45" s="150"/>
      <c r="H45" s="150">
        <f t="shared" si="7"/>
        <v>5721121.3300000001</v>
      </c>
      <c r="I45" s="150">
        <f>ROUND(H45/365,0)</f>
        <v>15674</v>
      </c>
      <c r="J45" s="151">
        <v>19.809999999999999</v>
      </c>
      <c r="K45" s="151">
        <v>44.8</v>
      </c>
      <c r="L45" s="151">
        <f t="shared" si="1"/>
        <v>-24.99</v>
      </c>
      <c r="M45" s="150">
        <f>ROUND(L45*I45,0)</f>
        <v>-391693</v>
      </c>
    </row>
    <row r="46" spans="1:13">
      <c r="A46" s="31">
        <f>A45+1</f>
        <v>30</v>
      </c>
      <c r="B46" s="32"/>
      <c r="C46" s="32" t="s">
        <v>309</v>
      </c>
      <c r="D46" s="152">
        <v>5558050.6500000004</v>
      </c>
      <c r="E46" s="145" t="s">
        <v>82</v>
      </c>
      <c r="F46" s="150">
        <f>D46</f>
        <v>5558050.6500000004</v>
      </c>
      <c r="G46" s="150"/>
      <c r="H46" s="150">
        <f t="shared" si="7"/>
        <v>5558050.6500000004</v>
      </c>
      <c r="I46" s="150">
        <f>ROUND(H46/365,0)</f>
        <v>15228</v>
      </c>
      <c r="J46" s="151">
        <v>19.809999999999999</v>
      </c>
      <c r="K46" s="151">
        <v>35.1</v>
      </c>
      <c r="L46" s="151">
        <f t="shared" si="1"/>
        <v>-15.290000000000003</v>
      </c>
      <c r="M46" s="150">
        <f>ROUND(L46*I46,0)</f>
        <v>-232836</v>
      </c>
    </row>
    <row r="47" spans="1:13">
      <c r="A47" s="31"/>
      <c r="B47" s="32"/>
      <c r="C47" s="32"/>
      <c r="D47" s="122"/>
      <c r="E47" s="122"/>
      <c r="F47" s="122"/>
      <c r="G47" s="122"/>
      <c r="H47" s="122"/>
      <c r="I47" s="119"/>
      <c r="J47" s="32"/>
      <c r="K47" s="120"/>
      <c r="L47" s="121"/>
      <c r="M47" s="150"/>
    </row>
    <row r="48" spans="1:13" ht="15.75" thickBot="1">
      <c r="A48" s="31">
        <f>A46+1</f>
        <v>31</v>
      </c>
      <c r="B48" s="32"/>
      <c r="C48" s="32" t="s">
        <v>310</v>
      </c>
      <c r="D48" s="122"/>
      <c r="E48" s="122"/>
      <c r="F48" s="122"/>
      <c r="G48" s="122"/>
      <c r="H48" s="122"/>
      <c r="I48" s="119"/>
      <c r="J48" s="32"/>
      <c r="K48" s="120"/>
      <c r="L48" s="121"/>
      <c r="M48" s="158">
        <f ca="1">SUM(M42:M46)</f>
        <v>-10690903</v>
      </c>
    </row>
    <row r="49" spans="1:13" ht="15.75" thickTop="1">
      <c r="A49" s="32"/>
      <c r="B49" s="32"/>
      <c r="C49" s="32"/>
      <c r="D49" s="32"/>
      <c r="E49" s="32"/>
      <c r="F49" s="32"/>
      <c r="G49" s="152"/>
      <c r="H49" s="32"/>
      <c r="I49" s="32"/>
      <c r="J49" s="32"/>
      <c r="K49" s="32"/>
      <c r="L49" s="32"/>
      <c r="M49" s="152"/>
    </row>
    <row r="50" spans="1:13">
      <c r="A50" s="160"/>
      <c r="B50" s="161"/>
      <c r="C50" s="161"/>
      <c r="D50" s="123"/>
      <c r="E50" s="123"/>
      <c r="F50" s="123"/>
      <c r="G50" s="123"/>
      <c r="H50" s="123"/>
      <c r="I50" s="124"/>
      <c r="J50" s="161"/>
      <c r="K50" s="162"/>
      <c r="L50" s="163"/>
      <c r="M50" s="164"/>
    </row>
    <row r="51" spans="1:13">
      <c r="A51" s="32" t="s">
        <v>315</v>
      </c>
      <c r="B51" s="159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</row>
    <row r="52" spans="1:13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</row>
    <row r="53" spans="1:13">
      <c r="G53" s="87"/>
    </row>
    <row r="55" spans="1:13">
      <c r="F55" s="85"/>
      <c r="G55" s="85"/>
      <c r="H55" s="85"/>
    </row>
    <row r="56" spans="1:13">
      <c r="C56" s="17"/>
      <c r="D56" s="142"/>
      <c r="E56" s="143"/>
      <c r="F56" s="142"/>
      <c r="G56" s="142"/>
      <c r="H56" s="142"/>
      <c r="I56" s="17"/>
    </row>
    <row r="57" spans="1:13">
      <c r="C57" s="17"/>
      <c r="D57" s="142"/>
      <c r="E57" s="143"/>
      <c r="F57" s="142"/>
      <c r="G57" s="142"/>
      <c r="H57" s="142"/>
      <c r="I57" s="17"/>
    </row>
    <row r="58" spans="1:13">
      <c r="C58" s="17"/>
      <c r="D58" s="142"/>
      <c r="E58" s="17"/>
      <c r="F58" s="142"/>
      <c r="G58" s="142"/>
      <c r="H58" s="142"/>
      <c r="I58" s="17"/>
    </row>
    <row r="59" spans="1:13">
      <c r="C59" s="17"/>
      <c r="D59" s="142"/>
      <c r="E59" s="143"/>
      <c r="F59" s="142"/>
      <c r="G59" s="142"/>
      <c r="H59" s="142"/>
      <c r="I59" s="17"/>
    </row>
    <row r="60" spans="1:13">
      <c r="C60" s="17"/>
      <c r="D60" s="142"/>
      <c r="E60" s="143"/>
      <c r="F60" s="142"/>
      <c r="G60" s="142"/>
      <c r="H60" s="142"/>
      <c r="I60" s="17"/>
    </row>
    <row r="61" spans="1:13">
      <c r="C61" s="17"/>
      <c r="D61" s="142"/>
      <c r="E61" s="17"/>
      <c r="F61" s="142"/>
      <c r="G61" s="142"/>
      <c r="H61" s="142"/>
      <c r="I61" s="17"/>
    </row>
    <row r="62" spans="1:13">
      <c r="C62" s="17"/>
      <c r="D62" s="17"/>
      <c r="E62" s="17"/>
      <c r="F62" s="142"/>
      <c r="G62" s="142"/>
      <c r="H62" s="142"/>
      <c r="I62" s="17"/>
    </row>
    <row r="63" spans="1:13">
      <c r="C63" s="17"/>
      <c r="D63" s="17"/>
      <c r="E63" s="17"/>
      <c r="F63" s="17"/>
      <c r="G63" s="17"/>
      <c r="H63" s="17"/>
      <c r="I63" s="17"/>
    </row>
    <row r="64" spans="1:13">
      <c r="C64" s="17"/>
      <c r="D64" s="17"/>
      <c r="E64" s="17"/>
      <c r="F64" s="17"/>
      <c r="G64" s="17"/>
      <c r="H64" s="17"/>
      <c r="I64" s="17"/>
    </row>
  </sheetData>
  <mergeCells count="1">
    <mergeCell ref="D6:M6"/>
  </mergeCells>
  <pageMargins left="0.7" right="0.7" top="0.75" bottom="0.75" header="0.3" footer="0.3"/>
  <pageSetup scale="61" orientation="landscape" r:id="rId1"/>
  <ignoredErrors>
    <ignoredError sqref="E26:E27 D48:E58 D40:D44 D47" unlockedFormula="1"/>
    <ignoredError sqref="E12:E25 E28:E47" numberStoredAsText="1" unlockedFormula="1"/>
    <ignoredError sqref="D9:G11 F12:G15 J9:K9 M9 F18:G18 F17 F20:G20 F19 F16 F22:G25 F2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D8519-7869-4BE8-8A74-1B1E747A84C4}">
  <sheetPr>
    <pageSetUpPr fitToPage="1"/>
  </sheetPr>
  <dimension ref="A1:F38"/>
  <sheetViews>
    <sheetView topLeftCell="A4" workbookViewId="0">
      <selection activeCell="E30" sqref="E30"/>
    </sheetView>
  </sheetViews>
  <sheetFormatPr defaultRowHeight="15"/>
  <cols>
    <col min="1" max="1" width="9" customWidth="1"/>
    <col min="2" max="2" width="2.28515625" customWidth="1"/>
    <col min="3" max="3" width="50.140625" customWidth="1"/>
    <col min="4" max="4" width="22" customWidth="1"/>
    <col min="5" max="5" width="20.5703125" customWidth="1"/>
    <col min="6" max="6" width="16.42578125" customWidth="1"/>
  </cols>
  <sheetData>
    <row r="1" spans="1:6" ht="15.75">
      <c r="A1" s="1" t="str">
        <f>A!A1</f>
        <v>Columbia Gas of Kentucky, Inc.</v>
      </c>
      <c r="B1" s="1"/>
      <c r="C1" s="1"/>
      <c r="D1" s="1"/>
      <c r="F1" s="12" t="str">
        <f>A!H1</f>
        <v>Case No. 2026-00099</v>
      </c>
    </row>
    <row r="2" spans="1:6" ht="15.75">
      <c r="A2" s="1" t="str">
        <f>A!A2</f>
        <v>Forecasted Test Period: Twelve Months Ended December 31, 2027</v>
      </c>
      <c r="B2" s="1"/>
      <c r="C2" s="1"/>
      <c r="D2" s="1"/>
      <c r="F2" s="12" t="str">
        <f>A!H2</f>
        <v xml:space="preserve">Exhibit JD-1 </v>
      </c>
    </row>
    <row r="3" spans="1:6" ht="15.75">
      <c r="A3" s="1"/>
      <c r="B3" s="1"/>
      <c r="C3" s="1"/>
      <c r="D3" s="1"/>
      <c r="F3" s="12" t="s">
        <v>93</v>
      </c>
    </row>
    <row r="4" spans="1:6" ht="15.75">
      <c r="A4" s="1" t="s">
        <v>92</v>
      </c>
      <c r="B4" s="1"/>
      <c r="C4" s="1"/>
      <c r="D4" s="1"/>
      <c r="F4" s="12" t="str">
        <f>A!H4</f>
        <v>Page 1 of 1</v>
      </c>
    </row>
    <row r="5" spans="1:6" ht="15.75">
      <c r="A5" s="1"/>
      <c r="B5" s="1"/>
      <c r="C5" s="1"/>
      <c r="D5" s="1"/>
      <c r="E5" s="1"/>
    </row>
    <row r="6" spans="1:6" ht="15.75">
      <c r="B6" s="1"/>
      <c r="C6" s="1"/>
      <c r="D6" s="1"/>
      <c r="E6" s="19"/>
    </row>
    <row r="7" spans="1:6" ht="15.75">
      <c r="A7" s="1"/>
      <c r="B7" s="1"/>
      <c r="C7" s="1"/>
      <c r="D7" s="1"/>
      <c r="E7" s="19" t="s">
        <v>50</v>
      </c>
    </row>
    <row r="8" spans="1:6" ht="15.75">
      <c r="A8" s="1"/>
      <c r="B8" s="40"/>
      <c r="C8" s="40"/>
      <c r="D8" s="40"/>
      <c r="E8" s="19" t="s">
        <v>51</v>
      </c>
    </row>
    <row r="9" spans="1:6" ht="15.75">
      <c r="A9" s="18" t="s">
        <v>29</v>
      </c>
      <c r="B9" s="40"/>
      <c r="C9" s="18" t="s">
        <v>13</v>
      </c>
      <c r="D9" s="18"/>
      <c r="E9" s="22" t="s">
        <v>49</v>
      </c>
      <c r="F9" s="18" t="s">
        <v>31</v>
      </c>
    </row>
    <row r="10" spans="1:6" ht="15.75">
      <c r="A10" s="42">
        <v>1</v>
      </c>
      <c r="B10" s="40"/>
      <c r="C10" s="1" t="s">
        <v>91</v>
      </c>
      <c r="D10" s="1"/>
      <c r="E10" s="23">
        <v>0</v>
      </c>
    </row>
    <row r="11" spans="1:6" ht="15.75">
      <c r="A11" s="42"/>
      <c r="B11" s="40"/>
      <c r="C11" s="1"/>
      <c r="D11" s="1"/>
      <c r="E11" s="23"/>
      <c r="F11" s="1"/>
    </row>
    <row r="12" spans="1:6" ht="15.75">
      <c r="A12" s="19">
        <v>2</v>
      </c>
      <c r="B12" s="1"/>
      <c r="C12" s="1" t="s">
        <v>236</v>
      </c>
      <c r="D12" s="1"/>
      <c r="E12" s="24">
        <f>-E30</f>
        <v>-1950967.3076923077</v>
      </c>
      <c r="F12" s="1" t="s">
        <v>237</v>
      </c>
    </row>
    <row r="13" spans="1:6" ht="15.75">
      <c r="A13" s="19"/>
      <c r="B13" s="1"/>
      <c r="C13" s="1"/>
      <c r="D13" s="1"/>
      <c r="E13" s="23"/>
      <c r="F13" s="1"/>
    </row>
    <row r="14" spans="1:6" ht="16.5" thickBot="1">
      <c r="A14" s="19">
        <v>3</v>
      </c>
      <c r="B14" s="1"/>
      <c r="C14" s="1" t="s">
        <v>169</v>
      </c>
      <c r="D14" s="1"/>
      <c r="E14" s="28">
        <f>+E12</f>
        <v>-1950967.3076923077</v>
      </c>
      <c r="F14" s="1" t="s">
        <v>99</v>
      </c>
    </row>
    <row r="15" spans="1:6" ht="16.5" thickTop="1">
      <c r="A15" s="19"/>
      <c r="B15" s="1"/>
      <c r="C15" s="1"/>
      <c r="D15" s="1"/>
      <c r="E15" s="1"/>
      <c r="F15" s="1"/>
    </row>
    <row r="16" spans="1:6" ht="15.75">
      <c r="A16" s="19"/>
      <c r="B16" s="1"/>
      <c r="C16" s="1"/>
      <c r="D16" s="1"/>
      <c r="E16" s="23"/>
    </row>
    <row r="17" spans="1:5" ht="15.75">
      <c r="A17" s="19">
        <v>4</v>
      </c>
      <c r="B17" s="23"/>
      <c r="C17" s="1"/>
      <c r="D17" s="134" t="s">
        <v>222</v>
      </c>
      <c r="E17" s="23">
        <v>1801200</v>
      </c>
    </row>
    <row r="18" spans="1:5" ht="15.75">
      <c r="A18" s="19">
        <v>5</v>
      </c>
      <c r="B18" s="23"/>
      <c r="C18" s="1"/>
      <c r="D18" s="134" t="s">
        <v>223</v>
      </c>
      <c r="E18" s="23">
        <v>1745332</v>
      </c>
    </row>
    <row r="19" spans="1:5" ht="15.75">
      <c r="A19" s="19">
        <v>6</v>
      </c>
      <c r="B19" s="1"/>
      <c r="C19" s="1"/>
      <c r="D19" s="14" t="s">
        <v>224</v>
      </c>
      <c r="E19" s="23">
        <v>1788650</v>
      </c>
    </row>
    <row r="20" spans="1:5" ht="15.75">
      <c r="A20" s="19">
        <v>7</v>
      </c>
      <c r="B20" s="1"/>
      <c r="D20" s="135" t="s">
        <v>225</v>
      </c>
      <c r="E20" s="23">
        <v>1799247</v>
      </c>
    </row>
    <row r="21" spans="1:5" ht="15.75">
      <c r="A21" s="19">
        <v>8</v>
      </c>
      <c r="B21" s="1"/>
      <c r="D21" s="135" t="s">
        <v>226</v>
      </c>
      <c r="E21" s="23">
        <v>1802959</v>
      </c>
    </row>
    <row r="22" spans="1:5" ht="15.75">
      <c r="A22" s="19">
        <v>9</v>
      </c>
      <c r="B22" s="1"/>
      <c r="D22" s="135" t="s">
        <v>227</v>
      </c>
      <c r="E22" s="23">
        <v>1825467</v>
      </c>
    </row>
    <row r="23" spans="1:5" ht="15.75">
      <c r="A23" s="19">
        <v>10</v>
      </c>
      <c r="B23" s="1"/>
      <c r="D23" s="135" t="s">
        <v>228</v>
      </c>
      <c r="E23" s="23">
        <v>1915097</v>
      </c>
    </row>
    <row r="24" spans="1:5" ht="15.75">
      <c r="A24" s="19">
        <v>11</v>
      </c>
      <c r="B24" s="1"/>
      <c r="D24" s="135" t="s">
        <v>229</v>
      </c>
      <c r="E24" s="23">
        <v>2025936</v>
      </c>
    </row>
    <row r="25" spans="1:5" ht="15.75">
      <c r="A25" s="19">
        <v>12</v>
      </c>
      <c r="B25" s="1"/>
      <c r="D25" s="135" t="s">
        <v>230</v>
      </c>
      <c r="E25" s="23">
        <v>2126548</v>
      </c>
    </row>
    <row r="26" spans="1:5" ht="15.75">
      <c r="A26" s="19">
        <v>13</v>
      </c>
      <c r="D26" s="135" t="s">
        <v>231</v>
      </c>
      <c r="E26" s="23">
        <v>2175290</v>
      </c>
    </row>
    <row r="27" spans="1:5" ht="15.75">
      <c r="A27" s="19">
        <v>14</v>
      </c>
      <c r="D27" s="135" t="s">
        <v>232</v>
      </c>
      <c r="E27" s="23">
        <v>2155499</v>
      </c>
    </row>
    <row r="28" spans="1:5" ht="15.75">
      <c r="A28" s="19">
        <v>15</v>
      </c>
      <c r="D28" s="135" t="s">
        <v>233</v>
      </c>
      <c r="E28" s="23">
        <v>2128821</v>
      </c>
    </row>
    <row r="29" spans="1:5" ht="15.75">
      <c r="A29" s="19">
        <v>16</v>
      </c>
      <c r="D29" s="135" t="s">
        <v>222</v>
      </c>
      <c r="E29" s="24">
        <v>2072529</v>
      </c>
    </row>
    <row r="30" spans="1:5" ht="16.5" thickBot="1">
      <c r="A30" s="19">
        <v>17</v>
      </c>
      <c r="D30" s="86" t="s">
        <v>234</v>
      </c>
      <c r="E30" s="25">
        <f>AVERAGE(E17:E29)</f>
        <v>1950967.3076923077</v>
      </c>
    </row>
    <row r="31" spans="1:5" ht="16.5" thickTop="1">
      <c r="A31" s="128"/>
      <c r="D31" s="86"/>
      <c r="E31" s="23"/>
    </row>
    <row r="32" spans="1:5" ht="15.75">
      <c r="A32" s="18" t="s">
        <v>19</v>
      </c>
      <c r="B32" s="18"/>
      <c r="C32" s="18"/>
      <c r="D32" s="136"/>
      <c r="E32" s="24"/>
    </row>
    <row r="33" spans="1:5" ht="15.75">
      <c r="A33" s="1" t="s">
        <v>235</v>
      </c>
      <c r="B33" s="1"/>
      <c r="C33" s="1"/>
      <c r="D33" s="39"/>
      <c r="E33" s="39"/>
    </row>
    <row r="34" spans="1:5" ht="15.75">
      <c r="D34" s="12"/>
      <c r="E34" s="23"/>
    </row>
    <row r="35" spans="1:5" ht="15.75">
      <c r="D35" s="39"/>
      <c r="E35" s="39"/>
    </row>
    <row r="37" spans="1:5" ht="15.75">
      <c r="A37" s="1"/>
      <c r="B37" s="1"/>
      <c r="C37" s="23"/>
    </row>
    <row r="38" spans="1:5" ht="15.75">
      <c r="A38" s="61"/>
      <c r="B38" s="1"/>
      <c r="C38" s="23"/>
    </row>
  </sheetData>
  <pageMargins left="0.7" right="0.7" top="0.75" bottom="0.75" header="0.3" footer="0.3"/>
  <pageSetup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5AB44-334F-45D2-8C66-817767501F29}">
  <sheetPr>
    <pageSetUpPr fitToPage="1"/>
  </sheetPr>
  <dimension ref="A1:H46"/>
  <sheetViews>
    <sheetView topLeftCell="A22" workbookViewId="0">
      <selection activeCell="C41" sqref="C41"/>
    </sheetView>
  </sheetViews>
  <sheetFormatPr defaultRowHeight="15"/>
  <cols>
    <col min="2" max="2" width="47.140625" customWidth="1"/>
    <col min="3" max="5" width="16.7109375" customWidth="1"/>
    <col min="7" max="7" width="14.28515625" bestFit="1" customWidth="1"/>
  </cols>
  <sheetData>
    <row r="1" spans="1:8" ht="15.75">
      <c r="A1" s="1" t="str">
        <f>A!A1</f>
        <v>Columbia Gas of Kentucky, Inc.</v>
      </c>
      <c r="B1" s="1"/>
      <c r="C1" s="1"/>
      <c r="D1" s="1"/>
      <c r="E1" s="12" t="str">
        <f>A!H1</f>
        <v>Case No. 2026-00099</v>
      </c>
    </row>
    <row r="2" spans="1:8" ht="15.75">
      <c r="A2" s="1" t="str">
        <f>A!A2</f>
        <v>Forecasted Test Period: Twelve Months Ended December 31, 2027</v>
      </c>
      <c r="B2" s="1"/>
      <c r="C2" s="1"/>
      <c r="D2" s="1"/>
      <c r="E2" s="12" t="str">
        <f>A!H2</f>
        <v xml:space="preserve">Exhibit JD-1 </v>
      </c>
    </row>
    <row r="3" spans="1:8" ht="15.75">
      <c r="A3" s="1"/>
      <c r="B3" s="1"/>
      <c r="C3" s="1"/>
      <c r="D3" s="1"/>
      <c r="E3" s="12" t="s">
        <v>35</v>
      </c>
    </row>
    <row r="4" spans="1:8" ht="15.75">
      <c r="A4" s="1" t="s">
        <v>70</v>
      </c>
      <c r="B4" s="1"/>
      <c r="C4" s="1"/>
      <c r="D4" s="1"/>
      <c r="E4" s="12" t="s">
        <v>86</v>
      </c>
    </row>
    <row r="6" spans="1:8" ht="15.75">
      <c r="B6" s="1"/>
      <c r="C6" s="19" t="s">
        <v>51</v>
      </c>
      <c r="D6" s="19"/>
      <c r="E6" s="19" t="s">
        <v>51</v>
      </c>
      <c r="F6" s="1"/>
      <c r="G6" s="1"/>
      <c r="H6" s="1"/>
    </row>
    <row r="7" spans="1:8" ht="15.75">
      <c r="B7" s="1"/>
      <c r="C7" s="19" t="s">
        <v>49</v>
      </c>
      <c r="D7" s="19" t="s">
        <v>167</v>
      </c>
      <c r="E7" s="19" t="s">
        <v>49</v>
      </c>
      <c r="F7" s="1"/>
      <c r="G7" s="1"/>
      <c r="H7" s="1"/>
    </row>
    <row r="8" spans="1:8" ht="15.75">
      <c r="A8" s="18" t="s">
        <v>29</v>
      </c>
      <c r="B8" s="18" t="s">
        <v>13</v>
      </c>
      <c r="C8" s="22" t="s">
        <v>38</v>
      </c>
      <c r="D8" s="22" t="s">
        <v>61</v>
      </c>
      <c r="E8" s="22" t="s">
        <v>166</v>
      </c>
      <c r="F8" s="1"/>
      <c r="G8" s="1"/>
      <c r="H8" s="1"/>
    </row>
    <row r="9" spans="1:8" ht="15.75">
      <c r="B9" s="1"/>
      <c r="C9" s="19" t="s">
        <v>32</v>
      </c>
      <c r="D9" s="19" t="s">
        <v>33</v>
      </c>
      <c r="E9" s="19" t="s">
        <v>34</v>
      </c>
      <c r="F9" s="1"/>
      <c r="G9" s="1"/>
      <c r="H9" s="1"/>
    </row>
    <row r="10" spans="1:8" ht="15.75">
      <c r="B10" s="1"/>
      <c r="C10" s="1"/>
      <c r="D10" s="1"/>
      <c r="E10" s="1"/>
      <c r="F10" s="1"/>
      <c r="G10" s="1"/>
      <c r="H10" s="1"/>
    </row>
    <row r="11" spans="1:8" ht="15.75">
      <c r="A11" s="19">
        <v>1</v>
      </c>
      <c r="B11" s="1" t="s">
        <v>73</v>
      </c>
      <c r="C11" s="24">
        <v>209853954</v>
      </c>
      <c r="D11" s="24"/>
      <c r="E11" s="24">
        <f>+C11+D11</f>
        <v>209853954</v>
      </c>
      <c r="F11" s="1"/>
      <c r="G11" s="1"/>
      <c r="H11" s="1"/>
    </row>
    <row r="12" spans="1:8" ht="15.75">
      <c r="A12" s="19"/>
      <c r="B12" s="26"/>
      <c r="C12" s="23"/>
      <c r="D12" s="23"/>
      <c r="E12" s="23"/>
      <c r="F12" s="1"/>
      <c r="G12" s="1"/>
      <c r="H12" s="1"/>
    </row>
    <row r="13" spans="1:8" ht="15.75">
      <c r="A13" s="19">
        <v>2</v>
      </c>
      <c r="B13" s="27" t="s">
        <v>71</v>
      </c>
      <c r="D13" s="23"/>
      <c r="E13" s="23"/>
      <c r="F13" s="1"/>
      <c r="G13" s="1"/>
      <c r="H13" s="1"/>
    </row>
    <row r="14" spans="1:8" ht="15.75">
      <c r="A14" s="19">
        <v>3</v>
      </c>
      <c r="B14" s="27" t="s">
        <v>203</v>
      </c>
      <c r="C14" s="23">
        <v>81721892</v>
      </c>
      <c r="D14" s="23"/>
      <c r="E14" s="23">
        <f>+C14+D14</f>
        <v>81721892</v>
      </c>
      <c r="F14" s="1"/>
      <c r="G14" s="1"/>
      <c r="H14" s="1"/>
    </row>
    <row r="15" spans="1:8" ht="15.75">
      <c r="A15" s="19">
        <v>4</v>
      </c>
      <c r="B15" s="27" t="s">
        <v>204</v>
      </c>
      <c r="C15" s="23">
        <v>0</v>
      </c>
      <c r="D15" s="23"/>
      <c r="E15" s="23">
        <f t="shared" ref="E15:E29" si="0">+C15+D15</f>
        <v>0</v>
      </c>
      <c r="F15" s="1"/>
      <c r="G15" s="1"/>
      <c r="H15" s="1"/>
    </row>
    <row r="16" spans="1:8" ht="15.75">
      <c r="A16" s="19">
        <v>5</v>
      </c>
      <c r="B16" s="27" t="s">
        <v>205</v>
      </c>
      <c r="C16" s="23">
        <v>346462</v>
      </c>
      <c r="D16" s="23">
        <f>'Cus dep int'!D15</f>
        <v>71015.210000000006</v>
      </c>
      <c r="E16" s="23">
        <f t="shared" si="0"/>
        <v>417477.21</v>
      </c>
      <c r="F16" s="1"/>
      <c r="G16" s="1"/>
      <c r="H16" s="1"/>
    </row>
    <row r="17" spans="1:8" ht="15.75">
      <c r="A17" s="19">
        <v>6</v>
      </c>
      <c r="B17" s="27" t="s">
        <v>206</v>
      </c>
      <c r="C17" s="23">
        <v>16280</v>
      </c>
      <c r="D17" s="23"/>
      <c r="E17" s="23">
        <f t="shared" si="0"/>
        <v>16280</v>
      </c>
      <c r="F17" s="1"/>
      <c r="G17" s="1"/>
      <c r="H17" s="1"/>
    </row>
    <row r="18" spans="1:8" ht="15.75">
      <c r="A18" s="19">
        <v>7</v>
      </c>
      <c r="B18" s="27" t="s">
        <v>207</v>
      </c>
      <c r="C18" s="23">
        <v>22917430</v>
      </c>
      <c r="D18" s="23"/>
      <c r="E18" s="23">
        <f t="shared" si="0"/>
        <v>22917430</v>
      </c>
      <c r="F18" s="1"/>
      <c r="G18" s="1"/>
      <c r="H18" s="1"/>
    </row>
    <row r="19" spans="1:8" ht="15.75">
      <c r="A19" s="19">
        <v>8</v>
      </c>
      <c r="B19" s="27" t="s">
        <v>208</v>
      </c>
      <c r="C19" s="23">
        <v>4721225</v>
      </c>
      <c r="D19" s="23"/>
      <c r="E19" s="23">
        <f t="shared" si="0"/>
        <v>4721225</v>
      </c>
      <c r="F19" s="1"/>
      <c r="G19" s="1"/>
      <c r="H19" s="1"/>
    </row>
    <row r="20" spans="1:8" ht="15.75">
      <c r="A20" s="19">
        <v>9</v>
      </c>
      <c r="B20" s="27" t="s">
        <v>316</v>
      </c>
      <c r="C20" s="23">
        <v>407905</v>
      </c>
      <c r="D20" s="23"/>
      <c r="E20" s="23">
        <f t="shared" si="0"/>
        <v>407905</v>
      </c>
      <c r="F20" s="1"/>
      <c r="G20" s="1"/>
      <c r="H20" s="1"/>
    </row>
    <row r="21" spans="1:8" ht="15.75">
      <c r="A21" s="19">
        <v>10</v>
      </c>
      <c r="B21" s="27" t="s">
        <v>209</v>
      </c>
      <c r="C21" s="23">
        <v>1284</v>
      </c>
      <c r="D21" s="23"/>
      <c r="E21" s="23">
        <f t="shared" si="0"/>
        <v>1284</v>
      </c>
      <c r="F21" s="1"/>
      <c r="G21" s="1"/>
      <c r="H21" s="1"/>
    </row>
    <row r="22" spans="1:8" ht="15.75">
      <c r="A22" s="19">
        <v>11</v>
      </c>
      <c r="B22" s="27" t="s">
        <v>210</v>
      </c>
      <c r="C22" s="23">
        <v>30679539</v>
      </c>
      <c r="D22" s="23">
        <f>-SUM('Cp2'!D14:D26)-'Cp2'!D28</f>
        <v>-5419147.1578077553</v>
      </c>
      <c r="E22" s="23">
        <f t="shared" si="0"/>
        <v>25260391.842192244</v>
      </c>
      <c r="F22" s="1"/>
      <c r="G22" s="1"/>
      <c r="H22" s="1"/>
    </row>
    <row r="23" spans="1:8" ht="15.75">
      <c r="A23" s="19"/>
      <c r="B23" s="27"/>
      <c r="C23" s="23"/>
      <c r="D23" s="23"/>
      <c r="E23" s="23">
        <f t="shared" si="0"/>
        <v>0</v>
      </c>
      <c r="F23" s="1"/>
      <c r="G23" s="1"/>
      <c r="H23" s="1"/>
    </row>
    <row r="24" spans="1:8" ht="15.75">
      <c r="A24" s="19">
        <v>12</v>
      </c>
      <c r="B24" s="27" t="s">
        <v>72</v>
      </c>
      <c r="C24" s="23">
        <v>36908120</v>
      </c>
      <c r="D24" s="23"/>
      <c r="E24" s="23">
        <f t="shared" si="0"/>
        <v>36908120</v>
      </c>
      <c r="F24" s="1"/>
      <c r="G24" s="1"/>
      <c r="H24" s="1"/>
    </row>
    <row r="25" spans="1:8" ht="15.75">
      <c r="A25" s="19"/>
      <c r="B25" s="27"/>
      <c r="C25" s="23"/>
      <c r="D25" s="23"/>
      <c r="E25" s="23">
        <f t="shared" si="0"/>
        <v>0</v>
      </c>
      <c r="F25" s="1"/>
      <c r="G25" s="1"/>
      <c r="H25" s="1"/>
    </row>
    <row r="26" spans="1:8" ht="15.75">
      <c r="A26" s="19">
        <v>13</v>
      </c>
      <c r="B26" s="27" t="s">
        <v>84</v>
      </c>
      <c r="C26" s="23"/>
      <c r="D26" s="23"/>
      <c r="E26" s="23">
        <f t="shared" si="0"/>
        <v>0</v>
      </c>
      <c r="F26" s="1"/>
      <c r="G26" s="1"/>
      <c r="H26" s="1"/>
    </row>
    <row r="27" spans="1:8" ht="15.75">
      <c r="A27" s="19">
        <v>14</v>
      </c>
      <c r="B27" s="27" t="s">
        <v>211</v>
      </c>
      <c r="C27" s="23">
        <v>6228059</v>
      </c>
      <c r="D27" s="23"/>
      <c r="E27" s="23">
        <f t="shared" si="0"/>
        <v>6228059</v>
      </c>
      <c r="F27" s="1"/>
      <c r="G27" s="1"/>
      <c r="H27" s="1"/>
    </row>
    <row r="28" spans="1:8" ht="15.75">
      <c r="A28" s="19">
        <v>15</v>
      </c>
      <c r="B28" s="27" t="s">
        <v>212</v>
      </c>
      <c r="C28" s="23">
        <v>1055370</v>
      </c>
      <c r="D28" s="23">
        <f>'Payroll Tax'!D13</f>
        <v>-220032.9478922486</v>
      </c>
      <c r="E28" s="23">
        <f t="shared" si="0"/>
        <v>835337.05210775137</v>
      </c>
      <c r="F28" s="1"/>
      <c r="G28" s="1"/>
      <c r="H28" s="1"/>
    </row>
    <row r="29" spans="1:8" ht="15.75">
      <c r="A29" s="19">
        <v>16</v>
      </c>
      <c r="B29" s="27" t="s">
        <v>213</v>
      </c>
      <c r="C29" s="24">
        <v>228400</v>
      </c>
      <c r="D29" s="24"/>
      <c r="E29" s="24">
        <f t="shared" si="0"/>
        <v>228400</v>
      </c>
      <c r="F29" s="1"/>
      <c r="G29" s="1"/>
      <c r="H29" s="1"/>
    </row>
    <row r="30" spans="1:8" ht="15.75">
      <c r="A30" s="19">
        <v>17</v>
      </c>
      <c r="B30" s="89" t="s">
        <v>64</v>
      </c>
      <c r="C30" s="23">
        <f>SUM(C14:C29)</f>
        <v>185231966</v>
      </c>
      <c r="D30" s="23">
        <f t="shared" ref="D30:E30" si="1">SUM(D14:D29)</f>
        <v>-5568164.895700004</v>
      </c>
      <c r="E30" s="23">
        <f t="shared" si="1"/>
        <v>179663801.10429999</v>
      </c>
      <c r="F30" s="1"/>
      <c r="G30" s="1"/>
      <c r="H30" s="1"/>
    </row>
    <row r="31" spans="1:8" ht="15.75">
      <c r="A31" s="19"/>
      <c r="B31" s="27"/>
      <c r="C31" s="23"/>
      <c r="D31" s="23"/>
      <c r="E31" s="23"/>
      <c r="F31" s="1"/>
      <c r="G31" s="1"/>
      <c r="H31" s="1"/>
    </row>
    <row r="32" spans="1:8" ht="15.75">
      <c r="A32" s="19">
        <v>18</v>
      </c>
      <c r="B32" s="27" t="s">
        <v>69</v>
      </c>
      <c r="C32" s="24">
        <f>+C11-C30</f>
        <v>24621988</v>
      </c>
      <c r="D32" s="24">
        <f t="shared" ref="D32:E32" si="2">+D11-D30</f>
        <v>5568164.895700004</v>
      </c>
      <c r="E32" s="24">
        <f t="shared" si="2"/>
        <v>30190152.895700008</v>
      </c>
      <c r="F32" s="1"/>
      <c r="G32" s="1"/>
      <c r="H32" s="1"/>
    </row>
    <row r="33" spans="1:8" ht="15.75">
      <c r="A33" s="19"/>
      <c r="B33" s="27"/>
      <c r="C33" s="23"/>
      <c r="D33" s="23"/>
      <c r="E33" s="23"/>
      <c r="F33" s="1"/>
      <c r="G33" s="1"/>
      <c r="H33" s="1"/>
    </row>
    <row r="34" spans="1:8" ht="15.75">
      <c r="A34" s="19">
        <v>19</v>
      </c>
      <c r="B34" s="27" t="s">
        <v>90</v>
      </c>
      <c r="C34" s="23"/>
      <c r="D34" s="23"/>
      <c r="E34" s="23"/>
      <c r="F34" s="1"/>
      <c r="G34" s="1"/>
      <c r="H34" s="1"/>
    </row>
    <row r="35" spans="1:8" ht="15.75">
      <c r="A35" s="19">
        <v>20</v>
      </c>
      <c r="B35" s="26" t="s">
        <v>67</v>
      </c>
      <c r="C35" s="23">
        <v>1276539</v>
      </c>
      <c r="D35" s="97">
        <f ca="1">'Inc Tax'!E17+'Int Sync'!E22</f>
        <v>881537.01319215074</v>
      </c>
      <c r="E35" s="97">
        <f ca="1">+C35+D35</f>
        <v>2158076.0131921507</v>
      </c>
      <c r="F35" s="1"/>
      <c r="G35" s="1"/>
      <c r="H35" s="1"/>
    </row>
    <row r="36" spans="1:8" ht="15.75">
      <c r="A36" s="19">
        <v>21</v>
      </c>
      <c r="B36" s="26" t="s">
        <v>68</v>
      </c>
      <c r="C36" s="24">
        <v>455815</v>
      </c>
      <c r="D36" s="100">
        <f ca="1">'Inc Tax'!E24+'Int Sync'!E21</f>
        <v>220936.59478500023</v>
      </c>
      <c r="E36" s="100">
        <f ca="1">+C36+D36</f>
        <v>676751.5947850002</v>
      </c>
      <c r="F36" s="1"/>
      <c r="G36" s="1"/>
      <c r="H36" s="1"/>
    </row>
    <row r="37" spans="1:8" ht="15.75">
      <c r="A37" s="19">
        <v>22</v>
      </c>
      <c r="B37" s="89" t="s">
        <v>64</v>
      </c>
      <c r="C37" s="23">
        <f>SUM(C35:C36)</f>
        <v>1732354</v>
      </c>
      <c r="D37" s="97">
        <f ca="1">SUM(D35:D36)</f>
        <v>1102473.6079771509</v>
      </c>
      <c r="E37" s="97">
        <f ca="1">SUM(E35:E36)</f>
        <v>2834827.6079771509</v>
      </c>
      <c r="F37" s="1"/>
      <c r="G37" s="1"/>
      <c r="H37" s="1"/>
    </row>
    <row r="38" spans="1:8" ht="15.75">
      <c r="A38" s="19"/>
      <c r="B38" s="26"/>
      <c r="C38" s="23"/>
      <c r="D38" s="97"/>
      <c r="E38" s="97"/>
      <c r="F38" s="1"/>
      <c r="G38" s="1"/>
      <c r="H38" s="1"/>
    </row>
    <row r="39" spans="1:8" ht="15.75">
      <c r="A39" s="19">
        <v>23</v>
      </c>
      <c r="B39" s="26" t="s">
        <v>150</v>
      </c>
      <c r="C39" s="23">
        <f>+C37+C30+1</f>
        <v>186964321</v>
      </c>
      <c r="D39" s="23">
        <f ca="1">+D37+D30</f>
        <v>-4465691.287722853</v>
      </c>
      <c r="E39" s="23">
        <f t="shared" ref="E39" ca="1" si="3">+E37+E30+1</f>
        <v>182498629.71227714</v>
      </c>
      <c r="F39" s="1"/>
      <c r="G39" s="1"/>
      <c r="H39" s="1"/>
    </row>
    <row r="40" spans="1:8" ht="15.75">
      <c r="A40" s="19"/>
      <c r="B40" s="26"/>
      <c r="C40" s="23"/>
      <c r="D40" s="97"/>
      <c r="E40" s="97"/>
      <c r="F40" s="1"/>
      <c r="G40" s="1"/>
      <c r="H40" s="1"/>
    </row>
    <row r="41" spans="1:8" ht="16.5" thickBot="1">
      <c r="A41" s="19">
        <v>24</v>
      </c>
      <c r="B41" s="27" t="s">
        <v>214</v>
      </c>
      <c r="C41" s="28">
        <f>+C11-C39</f>
        <v>22889633</v>
      </c>
      <c r="D41" s="28">
        <f t="shared" ref="D41:E41" ca="1" si="4">+D11-D39</f>
        <v>4465691.287722853</v>
      </c>
      <c r="E41" s="28">
        <f t="shared" ca="1" si="4"/>
        <v>27355324.287722856</v>
      </c>
      <c r="F41" s="1"/>
      <c r="G41" s="1"/>
      <c r="H41" s="1"/>
    </row>
    <row r="42" spans="1:8" ht="16.5" thickTop="1">
      <c r="A42" s="19"/>
      <c r="B42" s="1"/>
      <c r="C42" s="23"/>
      <c r="D42" s="23"/>
      <c r="E42" s="23"/>
      <c r="F42" s="1"/>
      <c r="G42" s="1"/>
      <c r="H42" s="1"/>
    </row>
    <row r="43" spans="1:8" ht="15.75">
      <c r="A43" s="19"/>
      <c r="B43" s="1"/>
      <c r="C43" s="23"/>
      <c r="D43" s="23"/>
      <c r="E43" s="23"/>
      <c r="F43" s="1"/>
      <c r="G43" s="1"/>
      <c r="H43" s="1"/>
    </row>
    <row r="44" spans="1:8" ht="15.75">
      <c r="A44" s="18" t="s">
        <v>37</v>
      </c>
      <c r="B44" s="18"/>
      <c r="C44" s="24"/>
      <c r="D44" s="24"/>
      <c r="E44" s="24"/>
      <c r="F44" s="1"/>
      <c r="G44" s="1"/>
      <c r="H44" s="1"/>
    </row>
    <row r="45" spans="1:8" ht="15.75">
      <c r="A45" s="27" t="s">
        <v>218</v>
      </c>
      <c r="B45" s="1"/>
      <c r="C45" s="23"/>
      <c r="D45" s="23"/>
      <c r="E45" s="23"/>
      <c r="F45" s="1"/>
      <c r="G45" s="1"/>
      <c r="H45" s="1"/>
    </row>
    <row r="46" spans="1:8" ht="15.75">
      <c r="B46" s="1"/>
      <c r="C46" s="1"/>
      <c r="D46" s="1"/>
      <c r="E46" s="1"/>
      <c r="F46" s="1"/>
      <c r="G46" s="1"/>
      <c r="H46" s="1"/>
    </row>
  </sheetData>
  <pageMargins left="0.7" right="0.7" top="0.75" bottom="0.75" header="0.3" footer="0.3"/>
  <pageSetup scale="84" orientation="portrait" r:id="rId1"/>
  <ignoredErrors>
    <ignoredError sqref="D39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6DB33-7007-4713-9E89-B24D3D42BAAB}">
  <sheetPr>
    <pageSetUpPr fitToPage="1"/>
  </sheetPr>
  <dimension ref="A1:G52"/>
  <sheetViews>
    <sheetView topLeftCell="A10" workbookViewId="0">
      <selection activeCell="F30" sqref="F30"/>
    </sheetView>
  </sheetViews>
  <sheetFormatPr defaultRowHeight="15"/>
  <cols>
    <col min="2" max="2" width="67.140625" customWidth="1"/>
    <col min="3" max="3" width="2.140625" customWidth="1"/>
    <col min="4" max="4" width="20.7109375" customWidth="1"/>
    <col min="5" max="5" width="23.42578125" customWidth="1"/>
    <col min="6" max="6" width="20.7109375" customWidth="1"/>
    <col min="7" max="7" width="17.7109375" customWidth="1"/>
    <col min="8" max="8" width="17.140625" customWidth="1"/>
  </cols>
  <sheetData>
    <row r="1" spans="1:6" ht="15.75">
      <c r="A1" s="1" t="str">
        <f>A!A1</f>
        <v>Columbia Gas of Kentucky, Inc.</v>
      </c>
      <c r="B1" s="1"/>
      <c r="C1" s="1"/>
      <c r="D1" s="1"/>
      <c r="E1" s="12" t="str">
        <f>A!H1</f>
        <v>Case No. 2026-00099</v>
      </c>
    </row>
    <row r="2" spans="1:6" ht="15.75">
      <c r="A2" s="1" t="str">
        <f>A!A2</f>
        <v>Forecasted Test Period: Twelve Months Ended December 31, 2027</v>
      </c>
      <c r="B2" s="1"/>
      <c r="C2" s="1"/>
      <c r="D2" s="1"/>
      <c r="E2" s="12" t="str">
        <f>A!H2</f>
        <v xml:space="preserve">Exhibit JD-1 </v>
      </c>
    </row>
    <row r="3" spans="1:6" ht="15.75">
      <c r="A3" s="1"/>
      <c r="B3" s="1"/>
      <c r="C3" s="1"/>
      <c r="D3" s="1"/>
      <c r="E3" s="12" t="str">
        <f>'C'!E3</f>
        <v>Schedule C</v>
      </c>
    </row>
    <row r="4" spans="1:6" ht="15.75">
      <c r="A4" s="1" t="str">
        <f>'C'!A4</f>
        <v>Operating Income</v>
      </c>
      <c r="B4" s="1"/>
      <c r="C4" s="1"/>
      <c r="D4" s="1"/>
      <c r="E4" s="12" t="s">
        <v>87</v>
      </c>
    </row>
    <row r="5" spans="1:6" ht="15.75">
      <c r="A5" s="1"/>
      <c r="B5" s="1"/>
      <c r="C5" s="1"/>
      <c r="D5" s="1"/>
      <c r="E5" s="1"/>
      <c r="F5" s="12"/>
    </row>
    <row r="6" spans="1:6" ht="15.75">
      <c r="A6" s="1"/>
      <c r="B6" s="1"/>
      <c r="C6" s="1"/>
      <c r="D6" s="1"/>
      <c r="E6" s="1"/>
      <c r="F6" s="1"/>
    </row>
    <row r="7" spans="1:6" ht="15.75">
      <c r="A7" s="45" t="s">
        <v>94</v>
      </c>
      <c r="B7" s="45"/>
      <c r="C7" s="45"/>
      <c r="D7" s="45"/>
      <c r="E7" s="45"/>
      <c r="F7" s="45"/>
    </row>
    <row r="8" spans="1:6" ht="15.75">
      <c r="A8" s="46" t="s">
        <v>12</v>
      </c>
      <c r="B8" s="46" t="s">
        <v>13</v>
      </c>
      <c r="C8" s="45"/>
      <c r="D8" s="46" t="s">
        <v>95</v>
      </c>
      <c r="E8" s="81" t="s">
        <v>134</v>
      </c>
      <c r="F8" s="45"/>
    </row>
    <row r="9" spans="1:6" ht="15.75">
      <c r="A9" s="45" t="s">
        <v>85</v>
      </c>
      <c r="B9" s="45"/>
      <c r="C9" s="45"/>
      <c r="D9" s="45" t="s">
        <v>32</v>
      </c>
      <c r="E9" s="45"/>
      <c r="F9" s="45"/>
    </row>
    <row r="10" spans="1:6" ht="30.75">
      <c r="A10" s="47">
        <v>1</v>
      </c>
      <c r="B10" s="27" t="s">
        <v>143</v>
      </c>
      <c r="C10" s="73"/>
      <c r="D10" s="71">
        <f>'C'!C41</f>
        <v>22889633</v>
      </c>
      <c r="E10" s="169" t="s">
        <v>219</v>
      </c>
      <c r="F10" s="48"/>
    </row>
    <row r="11" spans="1:6" ht="15.75">
      <c r="A11" s="47">
        <f>+A10+1</f>
        <v>2</v>
      </c>
      <c r="B11" s="68"/>
      <c r="C11" s="73"/>
      <c r="D11" s="71"/>
      <c r="E11" s="170"/>
      <c r="F11" s="49"/>
    </row>
    <row r="12" spans="1:6" ht="15.75">
      <c r="A12" s="47">
        <f t="shared" ref="A12:A18" si="0">+A11+1</f>
        <v>3</v>
      </c>
      <c r="B12" s="165" t="s">
        <v>170</v>
      </c>
      <c r="C12" s="1"/>
      <c r="D12" s="70"/>
      <c r="E12" s="170"/>
      <c r="F12" s="49"/>
    </row>
    <row r="13" spans="1:6" ht="15.75">
      <c r="A13" s="47"/>
      <c r="B13" s="165"/>
      <c r="C13" s="1"/>
      <c r="D13" s="70"/>
      <c r="E13" s="170"/>
      <c r="F13" s="49"/>
    </row>
    <row r="14" spans="1:6" ht="15.75">
      <c r="A14" s="47">
        <f>+A12+1</f>
        <v>4</v>
      </c>
      <c r="B14" s="27" t="str">
        <f>'Rate Case Exp'!A4</f>
        <v>Rate Case Expense</v>
      </c>
      <c r="C14" s="73"/>
      <c r="D14" s="71">
        <f>-'Rate Case Exp'!D15</f>
        <v>867552</v>
      </c>
      <c r="E14" s="171" t="str">
        <f>'Rate Case Exp'!E3</f>
        <v>Schedule C-1</v>
      </c>
      <c r="F14" s="49"/>
    </row>
    <row r="15" spans="1:6" ht="15.75">
      <c r="A15" s="47">
        <f t="shared" si="0"/>
        <v>5</v>
      </c>
      <c r="B15" s="27" t="str">
        <f>Aircraft!A4</f>
        <v>Corporate Aircraft Expense</v>
      </c>
      <c r="C15" s="73"/>
      <c r="D15" s="71">
        <f>-Aircraft!D15</f>
        <v>216115</v>
      </c>
      <c r="E15" s="171" t="str">
        <f>Aircraft!E3</f>
        <v>Schedule C-2</v>
      </c>
      <c r="F15" s="49"/>
    </row>
    <row r="16" spans="1:6" ht="15.75">
      <c r="A16" s="47">
        <f t="shared" si="0"/>
        <v>6</v>
      </c>
      <c r="B16" s="27" t="str">
        <f>'D&amp;O'!A4</f>
        <v xml:space="preserve">Directors and Officers Insurance </v>
      </c>
      <c r="C16" s="73"/>
      <c r="D16" s="71">
        <f>-'D&amp;O'!D15</f>
        <v>103598.25</v>
      </c>
      <c r="E16" s="171" t="str">
        <f>'D&amp;O'!E3</f>
        <v>Schedule C-3</v>
      </c>
      <c r="F16" s="49"/>
    </row>
    <row r="17" spans="1:7" ht="15.75">
      <c r="A17" s="47">
        <f t="shared" si="0"/>
        <v>7</v>
      </c>
      <c r="B17" s="27" t="str">
        <f>'Investor Rel'!A4</f>
        <v>Investor Relations Expense</v>
      </c>
      <c r="C17" s="73"/>
      <c r="D17" s="72">
        <f>-'Investor Rel'!D15</f>
        <v>45687</v>
      </c>
      <c r="E17" s="172" t="str">
        <f>'Investor Rel'!E3</f>
        <v>Schedule C-4</v>
      </c>
      <c r="F17" s="49"/>
    </row>
    <row r="18" spans="1:7" ht="15.75">
      <c r="A18" s="47">
        <f t="shared" si="0"/>
        <v>8</v>
      </c>
      <c r="B18" s="69" t="str">
        <f>Severance!A4</f>
        <v>Severance Expense</v>
      </c>
      <c r="C18" s="73"/>
      <c r="D18" s="72">
        <f>-Severance!D15</f>
        <v>229480</v>
      </c>
      <c r="E18" s="172" t="str">
        <f>Severance!E3</f>
        <v>Schedule C-5</v>
      </c>
      <c r="F18" s="49"/>
    </row>
    <row r="19" spans="1:7" ht="15.75">
      <c r="A19" s="19">
        <v>9</v>
      </c>
      <c r="B19" s="27" t="str">
        <f>'Incentive Comp'!A4</f>
        <v xml:space="preserve">Incentive Compensation </v>
      </c>
      <c r="C19" s="1"/>
      <c r="D19" s="23">
        <f>-'Incentive Comp'!D15</f>
        <v>2294258</v>
      </c>
      <c r="E19" s="169" t="str">
        <f>'Incentive Comp'!E3</f>
        <v>Schedule C-6</v>
      </c>
      <c r="F19" s="1"/>
      <c r="G19" s="1"/>
    </row>
    <row r="20" spans="1:7" ht="15.75">
      <c r="A20" s="19">
        <v>10</v>
      </c>
      <c r="B20" s="1" t="str">
        <f>Payroll!A4</f>
        <v>Payroll Expense</v>
      </c>
      <c r="C20" s="1"/>
      <c r="D20" s="23">
        <f>-Payroll!D15</f>
        <v>917077.25399999996</v>
      </c>
      <c r="E20" s="169" t="str">
        <f>Payroll!E3</f>
        <v>Schedule C-7</v>
      </c>
      <c r="F20" s="1"/>
      <c r="G20" s="23"/>
    </row>
    <row r="21" spans="1:7" ht="15.75">
      <c r="A21" s="19">
        <v>11</v>
      </c>
      <c r="B21" s="1" t="str">
        <f>Lobby!A4</f>
        <v xml:space="preserve">Lobbying </v>
      </c>
      <c r="C21" s="1"/>
      <c r="D21" s="23">
        <f>-Lobby!D15</f>
        <v>6283</v>
      </c>
      <c r="E21" s="169" t="str">
        <f>Lobby!E3</f>
        <v>Schedule C-8</v>
      </c>
      <c r="F21" s="1"/>
      <c r="G21" s="23"/>
    </row>
    <row r="22" spans="1:7" ht="15.75">
      <c r="A22" s="19">
        <v>12</v>
      </c>
      <c r="B22" s="27" t="str">
        <f>'Profit Sharing'!A4</f>
        <v>Profit Sharing</v>
      </c>
      <c r="C22" s="1"/>
      <c r="D22" s="23">
        <f>-'Profit Sharing'!D15</f>
        <v>147466</v>
      </c>
      <c r="E22" s="169" t="str">
        <f>'Profit Sharing'!E3</f>
        <v>Schedule C-9</v>
      </c>
      <c r="F22" s="1"/>
      <c r="G22" s="23"/>
    </row>
    <row r="23" spans="1:7" ht="15.75">
      <c r="A23" s="19">
        <v>13</v>
      </c>
      <c r="B23" s="1" t="str">
        <f>SERP!A4</f>
        <v>Supplemental Executive Retirment Plan Expense</v>
      </c>
      <c r="C23" s="1"/>
      <c r="D23" s="23">
        <f>-SERP!D15</f>
        <v>39444</v>
      </c>
      <c r="E23" s="169" t="str">
        <f>SERP!E3</f>
        <v>Schedule C-10</v>
      </c>
      <c r="F23" s="1"/>
      <c r="G23" s="1"/>
    </row>
    <row r="24" spans="1:7" ht="15.75">
      <c r="A24" s="19">
        <v>14</v>
      </c>
      <c r="B24" s="1" t="str">
        <f>ESPP!A4</f>
        <v xml:space="preserve">Employee Stock Purchase Plan </v>
      </c>
      <c r="C24" s="1"/>
      <c r="D24" s="23">
        <f>-ESPP!D15</f>
        <v>37064</v>
      </c>
      <c r="E24" s="169" t="str">
        <f>ESPP!E3</f>
        <v>Schedule C-11</v>
      </c>
      <c r="F24" s="1"/>
      <c r="G24" s="23"/>
    </row>
    <row r="25" spans="1:7" ht="15.75">
      <c r="A25" s="19">
        <v>15</v>
      </c>
      <c r="B25" s="69" t="str">
        <f>Dues!A4</f>
        <v>AGA Dues</v>
      </c>
      <c r="C25" s="1"/>
      <c r="D25" s="23">
        <f>-Dues!D15</f>
        <v>31031</v>
      </c>
      <c r="E25" s="169" t="str">
        <f>Dues!E3</f>
        <v>Schedule C-12</v>
      </c>
      <c r="F25" s="23"/>
      <c r="G25" s="85"/>
    </row>
    <row r="26" spans="1:7" ht="15.75">
      <c r="A26" s="19">
        <v>16</v>
      </c>
      <c r="B26" s="93" t="str">
        <f>'401(k)'!A4</f>
        <v>401(k) Expense</v>
      </c>
      <c r="C26" s="1"/>
      <c r="D26" s="23">
        <f>-'401(k)'!D11</f>
        <v>284207</v>
      </c>
      <c r="E26" s="169" t="str">
        <f>'401(k)'!E3</f>
        <v>Schedule C-13</v>
      </c>
      <c r="F26" s="23"/>
      <c r="G26" s="85"/>
    </row>
    <row r="27" spans="1:7" ht="15.75">
      <c r="A27" s="19">
        <v>17</v>
      </c>
      <c r="B27" s="69" t="str">
        <f>'Payroll Tax'!A4</f>
        <v>Payroll Tax</v>
      </c>
      <c r="C27" s="96"/>
      <c r="D27" s="97">
        <f>-'Payroll Tax'!D13</f>
        <v>220032.9478922486</v>
      </c>
      <c r="E27" s="169" t="str">
        <f>'Payroll Tax'!E3</f>
        <v>Schedule C-14</v>
      </c>
      <c r="G27" s="23"/>
    </row>
    <row r="28" spans="1:7" ht="15.75">
      <c r="A28" s="19">
        <v>18</v>
      </c>
      <c r="B28" s="69" t="str">
        <f>Benefits!A4</f>
        <v>Benefits</v>
      </c>
      <c r="C28" s="1"/>
      <c r="D28" s="97">
        <f>-Benefits!D13</f>
        <v>199884.65380775553</v>
      </c>
      <c r="E28" s="19" t="str">
        <f>Benefits!E3</f>
        <v>Schedule C-15</v>
      </c>
      <c r="G28" s="1"/>
    </row>
    <row r="29" spans="1:7" ht="15.75">
      <c r="A29" s="19">
        <v>19</v>
      </c>
      <c r="B29" s="69" t="str">
        <f>'Cus dep int'!A4</f>
        <v>Customer Deposit Interest</v>
      </c>
      <c r="C29" s="1"/>
      <c r="D29" s="97">
        <f>-'Cus dep int'!D15</f>
        <v>-71015.210000000006</v>
      </c>
      <c r="E29" s="19" t="str">
        <f>'Cus dep int'!E3</f>
        <v>Schedule C-16</v>
      </c>
      <c r="F29" s="85"/>
      <c r="G29" s="1"/>
    </row>
    <row r="30" spans="1:7" ht="30.75">
      <c r="A30" s="19">
        <v>20</v>
      </c>
      <c r="B30" s="69" t="str">
        <f>'Inc Tax'!A4</f>
        <v>Income Tax Expense</v>
      </c>
      <c r="C30" s="1"/>
      <c r="D30" s="100">
        <f ca="1">-'Inc Tax'!E26-'Int Sync'!E23</f>
        <v>-1102473.6079771509</v>
      </c>
      <c r="E30" s="169" t="s">
        <v>325</v>
      </c>
      <c r="F30" s="85"/>
      <c r="G30" s="23"/>
    </row>
    <row r="31" spans="1:7" ht="16.5" thickBot="1">
      <c r="A31" s="19">
        <v>21</v>
      </c>
      <c r="B31" s="27" t="s">
        <v>171</v>
      </c>
      <c r="C31" s="1"/>
      <c r="D31" s="101">
        <f ca="1">SUM(D10:D30)</f>
        <v>27355324.287722852</v>
      </c>
      <c r="E31" s="19"/>
      <c r="G31" s="23"/>
    </row>
    <row r="32" spans="1:7" ht="16.5" thickTop="1">
      <c r="A32" s="19"/>
      <c r="B32" s="26"/>
      <c r="C32" s="1"/>
      <c r="D32" s="1"/>
      <c r="E32" s="19"/>
      <c r="F32" s="1"/>
    </row>
    <row r="33" spans="1:6" ht="15.75">
      <c r="A33" s="1"/>
      <c r="B33" s="27"/>
      <c r="C33" s="1"/>
      <c r="D33" s="1"/>
      <c r="E33" s="1"/>
      <c r="F33" s="1"/>
    </row>
    <row r="34" spans="1:6" ht="15.75">
      <c r="A34" s="1"/>
      <c r="B34" s="26"/>
      <c r="C34" s="1"/>
      <c r="D34" s="1"/>
      <c r="E34" s="1"/>
      <c r="F34" s="1"/>
    </row>
    <row r="35" spans="1:6" ht="15.75">
      <c r="A35" s="1"/>
      <c r="B35" s="26"/>
      <c r="C35" s="1"/>
      <c r="D35" s="1"/>
      <c r="E35" s="1"/>
      <c r="F35" s="1"/>
    </row>
    <row r="36" spans="1:6" ht="15.75">
      <c r="A36" s="1"/>
      <c r="B36" s="27"/>
      <c r="C36" s="1"/>
      <c r="D36" s="1"/>
      <c r="E36" s="1"/>
      <c r="F36" s="1"/>
    </row>
    <row r="37" spans="1:6" ht="15.75">
      <c r="A37" s="1"/>
      <c r="B37" s="26"/>
      <c r="C37" s="1"/>
      <c r="D37" s="1"/>
      <c r="E37" s="1"/>
      <c r="F37" s="1"/>
    </row>
    <row r="38" spans="1:6" ht="15.75">
      <c r="A38" s="1"/>
      <c r="B38" s="27"/>
      <c r="C38" s="1"/>
      <c r="D38" s="1"/>
      <c r="E38" s="1"/>
      <c r="F38" s="1"/>
    </row>
    <row r="39" spans="1:6" ht="15.75">
      <c r="A39" s="1"/>
      <c r="B39" s="1"/>
      <c r="C39" s="1"/>
      <c r="D39" s="1"/>
      <c r="E39" s="1"/>
      <c r="F39" s="1"/>
    </row>
    <row r="40" spans="1:6" ht="15.75">
      <c r="A40" s="1"/>
      <c r="B40" s="1"/>
      <c r="C40" s="1"/>
      <c r="D40" s="1"/>
      <c r="E40" s="1"/>
      <c r="F40" s="1"/>
    </row>
    <row r="41" spans="1:6" ht="15.75">
      <c r="A41" s="1"/>
      <c r="B41" s="1"/>
      <c r="C41" s="1"/>
      <c r="D41" s="1"/>
      <c r="E41" s="1"/>
      <c r="F41" s="1"/>
    </row>
    <row r="42" spans="1:6" ht="15.75">
      <c r="A42" s="1"/>
      <c r="B42" s="1"/>
      <c r="C42" s="1"/>
      <c r="D42" s="1"/>
      <c r="E42" s="1"/>
      <c r="F42" s="1"/>
    </row>
    <row r="43" spans="1:6" ht="15.75">
      <c r="A43" s="1"/>
      <c r="B43" s="1"/>
      <c r="C43" s="23"/>
      <c r="D43" s="1"/>
      <c r="E43" s="1"/>
      <c r="F43" s="1"/>
    </row>
    <row r="44" spans="1:6" ht="15.75">
      <c r="A44" s="1"/>
      <c r="B44" s="1"/>
      <c r="C44" s="23"/>
      <c r="D44" s="1"/>
      <c r="E44" s="1"/>
      <c r="F44" s="1"/>
    </row>
    <row r="45" spans="1:6" ht="15.75">
      <c r="A45" s="1"/>
      <c r="B45" s="1"/>
      <c r="C45" s="1"/>
      <c r="D45" s="1"/>
      <c r="E45" s="1"/>
      <c r="F45" s="1"/>
    </row>
    <row r="46" spans="1:6" ht="15.75">
      <c r="A46" s="1"/>
      <c r="B46" s="1"/>
      <c r="C46" s="1"/>
      <c r="D46" s="1"/>
      <c r="E46" s="1"/>
      <c r="F46" s="1"/>
    </row>
    <row r="47" spans="1:6" ht="15.75">
      <c r="A47" s="1"/>
      <c r="B47" s="1"/>
      <c r="C47" s="1"/>
      <c r="D47" s="1"/>
      <c r="E47" s="1"/>
      <c r="F47" s="1"/>
    </row>
    <row r="48" spans="1:6" ht="15.75">
      <c r="A48" s="1"/>
      <c r="B48" s="1"/>
      <c r="C48" s="1"/>
      <c r="D48" s="1"/>
      <c r="E48" s="1"/>
      <c r="F48" s="1"/>
    </row>
    <row r="49" spans="1:6" ht="15.75">
      <c r="A49" s="1"/>
      <c r="B49" s="1"/>
      <c r="C49" s="1"/>
      <c r="D49" s="1"/>
      <c r="E49" s="1"/>
      <c r="F49" s="1"/>
    </row>
    <row r="50" spans="1:6" ht="15.75">
      <c r="A50" s="1"/>
      <c r="B50" s="1"/>
      <c r="C50" s="1"/>
      <c r="D50" s="1"/>
      <c r="E50" s="1"/>
      <c r="F50" s="1"/>
    </row>
    <row r="51" spans="1:6" ht="15.75">
      <c r="A51" s="1"/>
      <c r="B51" s="1"/>
      <c r="C51" s="1"/>
      <c r="D51" s="1"/>
      <c r="E51" s="1"/>
      <c r="F51" s="1"/>
    </row>
    <row r="52" spans="1:6" ht="15.75">
      <c r="A52" s="1"/>
      <c r="B52" s="1"/>
      <c r="C52" s="1"/>
      <c r="D52" s="1"/>
      <c r="E52" s="1"/>
      <c r="F52" s="1"/>
    </row>
  </sheetData>
  <pageMargins left="0.7" right="0.7" top="0.75" bottom="0.75" header="0.3" footer="0.3"/>
  <pageSetup scale="73" orientation="portrait" r:id="rId1"/>
  <ignoredErrors>
    <ignoredError sqref="B30 B18 B25:B29" unlockedFormula="1"/>
    <ignoredError sqref="D31:D32" evalError="1"/>
    <ignoredError sqref="B24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0D089-23EC-4D4A-988F-1EA180E5ADFE}">
  <sheetPr>
    <pageSetUpPr fitToPage="1"/>
  </sheetPr>
  <dimension ref="A1:E41"/>
  <sheetViews>
    <sheetView showGridLines="0" topLeftCell="A16" workbookViewId="0">
      <selection activeCell="E11" sqref="E11"/>
    </sheetView>
  </sheetViews>
  <sheetFormatPr defaultRowHeight="15"/>
  <cols>
    <col min="2" max="2" width="4" customWidth="1"/>
    <col min="3" max="3" width="43.42578125" customWidth="1"/>
    <col min="4" max="4" width="19.7109375" customWidth="1"/>
    <col min="5" max="5" width="26.42578125" customWidth="1"/>
  </cols>
  <sheetData>
    <row r="1" spans="1:5" ht="15.75">
      <c r="A1" s="1" t="str">
        <f>A!A1</f>
        <v>Columbia Gas of Kentucky, Inc.</v>
      </c>
      <c r="B1" s="1"/>
      <c r="C1" s="1"/>
      <c r="D1" s="1"/>
      <c r="E1" s="12" t="str">
        <f>A!H1</f>
        <v>Case No. 2026-00099</v>
      </c>
    </row>
    <row r="2" spans="1:5" ht="15.75">
      <c r="A2" s="1" t="str">
        <f>A!A2</f>
        <v>Forecasted Test Period: Twelve Months Ended December 31, 2027</v>
      </c>
      <c r="B2" s="1"/>
      <c r="C2" s="1"/>
      <c r="D2" s="1"/>
      <c r="E2" s="12" t="str">
        <f>A!H2</f>
        <v xml:space="preserve">Exhibit JD-1 </v>
      </c>
    </row>
    <row r="3" spans="1:5" ht="15.75">
      <c r="A3" s="1"/>
      <c r="B3" s="1"/>
      <c r="C3" s="1"/>
      <c r="D3" s="1"/>
      <c r="E3" s="12" t="s">
        <v>110</v>
      </c>
    </row>
    <row r="4" spans="1:5" ht="15.75">
      <c r="A4" s="50" t="s">
        <v>96</v>
      </c>
      <c r="B4" s="1"/>
      <c r="C4" s="1"/>
      <c r="D4" s="1"/>
      <c r="E4" s="12" t="s">
        <v>7</v>
      </c>
    </row>
    <row r="5" spans="1:5" ht="15.75">
      <c r="A5" s="1"/>
      <c r="B5" s="1"/>
      <c r="C5" s="1"/>
      <c r="D5" s="1"/>
      <c r="E5" s="1"/>
    </row>
    <row r="6" spans="1:5" ht="15.75">
      <c r="B6" s="50"/>
      <c r="C6" s="50"/>
      <c r="D6" s="50"/>
      <c r="E6" s="36"/>
    </row>
    <row r="7" spans="1:5" ht="15.75">
      <c r="A7" s="51"/>
      <c r="B7" s="50"/>
      <c r="C7" s="50"/>
      <c r="D7" s="50"/>
      <c r="E7" s="50"/>
    </row>
    <row r="8" spans="1:5" ht="15.75">
      <c r="A8" s="50"/>
      <c r="B8" s="50"/>
      <c r="C8" s="50"/>
      <c r="D8" s="50"/>
      <c r="E8" s="50"/>
    </row>
    <row r="9" spans="1:5" ht="15.75">
      <c r="A9" s="18" t="s">
        <v>29</v>
      </c>
      <c r="B9" s="1"/>
      <c r="C9" s="18" t="s">
        <v>13</v>
      </c>
      <c r="D9" s="22" t="s">
        <v>95</v>
      </c>
      <c r="E9" s="22" t="s">
        <v>31</v>
      </c>
    </row>
    <row r="10" spans="1:5" ht="15.75">
      <c r="A10" s="1"/>
      <c r="B10" s="1"/>
      <c r="C10" s="1"/>
      <c r="D10" s="19"/>
      <c r="E10" s="19"/>
    </row>
    <row r="11" spans="1:5" ht="15.75">
      <c r="A11" s="19">
        <v>1</v>
      </c>
      <c r="B11" s="1"/>
      <c r="C11" s="1" t="s">
        <v>91</v>
      </c>
      <c r="D11" s="23">
        <f>+D20</f>
        <v>1301328</v>
      </c>
      <c r="E11" s="139" t="s">
        <v>97</v>
      </c>
    </row>
    <row r="12" spans="1:5" ht="15.75">
      <c r="A12" s="19"/>
      <c r="B12" s="1"/>
      <c r="C12" s="1"/>
      <c r="D12" s="23"/>
      <c r="E12" s="139"/>
    </row>
    <row r="13" spans="1:5" ht="15.75">
      <c r="A13" s="19">
        <v>2</v>
      </c>
      <c r="B13" s="1"/>
      <c r="C13" s="1" t="s">
        <v>168</v>
      </c>
      <c r="D13" s="24">
        <f>D22</f>
        <v>433776</v>
      </c>
      <c r="E13" s="139" t="s">
        <v>98</v>
      </c>
    </row>
    <row r="14" spans="1:5" ht="15.75">
      <c r="A14" s="19"/>
      <c r="B14" s="1"/>
      <c r="C14" s="1"/>
      <c r="D14" s="23"/>
      <c r="E14" s="139"/>
    </row>
    <row r="15" spans="1:5" ht="16.5" thickBot="1">
      <c r="A15" s="19">
        <v>3</v>
      </c>
      <c r="B15" s="1"/>
      <c r="C15" s="1" t="s">
        <v>169</v>
      </c>
      <c r="D15" s="28">
        <f>D13-D11</f>
        <v>-867552</v>
      </c>
      <c r="E15" s="139" t="s">
        <v>99</v>
      </c>
    </row>
    <row r="16" spans="1:5" ht="16.5" thickTop="1">
      <c r="A16" s="19"/>
      <c r="B16" s="1"/>
      <c r="C16" s="1"/>
      <c r="D16" s="1"/>
      <c r="E16" s="1"/>
    </row>
    <row r="17" spans="1:5" ht="15.75">
      <c r="A17" s="45"/>
      <c r="B17" s="50"/>
      <c r="C17" s="50"/>
      <c r="D17" s="50"/>
      <c r="E17" s="48"/>
    </row>
    <row r="18" spans="1:5" ht="15.75">
      <c r="A18" s="45"/>
      <c r="B18" s="50"/>
      <c r="C18" s="50"/>
      <c r="D18" s="50"/>
      <c r="E18" s="48"/>
    </row>
    <row r="19" spans="1:5" ht="15.75">
      <c r="A19" s="45"/>
      <c r="B19" s="50"/>
      <c r="C19" s="50"/>
      <c r="D19" s="50"/>
      <c r="E19" s="48"/>
    </row>
    <row r="20" spans="1:5" ht="45">
      <c r="A20" s="45">
        <v>4</v>
      </c>
      <c r="B20" s="50"/>
      <c r="C20" s="50" t="s">
        <v>100</v>
      </c>
      <c r="D20" s="49">
        <v>1301328</v>
      </c>
      <c r="E20" s="137" t="s">
        <v>335</v>
      </c>
    </row>
    <row r="21" spans="1:5" ht="15.75">
      <c r="A21" s="19">
        <v>5</v>
      </c>
      <c r="C21" s="1" t="s">
        <v>173</v>
      </c>
      <c r="D21" s="24">
        <v>3</v>
      </c>
      <c r="E21" s="1" t="s">
        <v>155</v>
      </c>
    </row>
    <row r="22" spans="1:5" ht="15.75">
      <c r="A22" s="19">
        <v>6</v>
      </c>
      <c r="C22" s="1" t="s">
        <v>172</v>
      </c>
      <c r="D22" s="23">
        <f>+D20/D21</f>
        <v>433776</v>
      </c>
      <c r="E22" s="1" t="s">
        <v>146</v>
      </c>
    </row>
    <row r="23" spans="1:5" ht="15.75">
      <c r="A23" s="19"/>
    </row>
    <row r="28" spans="1:5">
      <c r="A28" s="43">
        <v>7</v>
      </c>
      <c r="C28" s="83" t="s">
        <v>101</v>
      </c>
      <c r="D28" s="83" t="s">
        <v>102</v>
      </c>
      <c r="E28" s="84" t="s">
        <v>103</v>
      </c>
    </row>
    <row r="29" spans="1:5" ht="15.75">
      <c r="A29" s="19">
        <v>8</v>
      </c>
      <c r="C29" s="43" t="s">
        <v>104</v>
      </c>
      <c r="D29" s="175">
        <v>39934</v>
      </c>
      <c r="E29" s="36"/>
    </row>
    <row r="30" spans="1:5" ht="15.75">
      <c r="A30" s="19">
        <v>9</v>
      </c>
      <c r="C30" s="43" t="s">
        <v>105</v>
      </c>
      <c r="D30" s="175">
        <v>41423</v>
      </c>
      <c r="E30" s="36">
        <v>4</v>
      </c>
    </row>
    <row r="31" spans="1:5" ht="15.75">
      <c r="A31" s="19">
        <v>10</v>
      </c>
      <c r="C31" s="43" t="s">
        <v>106</v>
      </c>
      <c r="D31" s="175">
        <v>42517</v>
      </c>
      <c r="E31" s="36">
        <v>3</v>
      </c>
    </row>
    <row r="32" spans="1:5" ht="15.75">
      <c r="A32" s="19">
        <v>11</v>
      </c>
      <c r="C32" s="43" t="s">
        <v>107</v>
      </c>
      <c r="D32" s="175">
        <v>44344</v>
      </c>
      <c r="E32" s="36">
        <v>5</v>
      </c>
    </row>
    <row r="33" spans="1:5" ht="15.75">
      <c r="A33" s="19">
        <v>12</v>
      </c>
      <c r="C33" s="43" t="s">
        <v>108</v>
      </c>
      <c r="D33" s="175">
        <v>45428</v>
      </c>
      <c r="E33" s="41">
        <v>3</v>
      </c>
    </row>
    <row r="34" spans="1:5" ht="15.75">
      <c r="A34" s="19"/>
      <c r="C34" s="43" t="s">
        <v>238</v>
      </c>
      <c r="D34" s="175">
        <v>46162</v>
      </c>
      <c r="E34" s="36">
        <v>2</v>
      </c>
    </row>
    <row r="35" spans="1:5" ht="16.5" thickBot="1">
      <c r="A35" s="19">
        <v>13</v>
      </c>
      <c r="C35" s="36"/>
      <c r="D35" s="176" t="s">
        <v>109</v>
      </c>
      <c r="E35" s="82">
        <f>AVERAGE(E29:E34)</f>
        <v>3.4</v>
      </c>
    </row>
    <row r="36" spans="1:5" ht="16.5" thickTop="1">
      <c r="A36" s="19"/>
    </row>
    <row r="37" spans="1:5" ht="15.75">
      <c r="A37" s="19"/>
    </row>
    <row r="38" spans="1:5" ht="15.75">
      <c r="A38" s="13" t="s">
        <v>156</v>
      </c>
    </row>
    <row r="39" spans="1:5" ht="15.75">
      <c r="A39" s="13" t="s">
        <v>157</v>
      </c>
    </row>
    <row r="41" spans="1:5" ht="15.75">
      <c r="B41" s="1"/>
      <c r="C41" s="23"/>
    </row>
  </sheetData>
  <pageMargins left="0.7" right="0.7" top="0.75" bottom="0.75" header="0.3" footer="0.3"/>
  <pageSetup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3</vt:i4>
      </vt:variant>
    </vt:vector>
  </HeadingPairs>
  <TitlesOfParts>
    <vt:vector size="31" baseType="lpstr">
      <vt:lpstr>TOC</vt:lpstr>
      <vt:lpstr>A</vt:lpstr>
      <vt:lpstr>A-1</vt:lpstr>
      <vt:lpstr>B</vt:lpstr>
      <vt:lpstr>B-1</vt:lpstr>
      <vt:lpstr>B-2</vt:lpstr>
      <vt:lpstr>C</vt:lpstr>
      <vt:lpstr>Cp2</vt:lpstr>
      <vt:lpstr>Rate Case Exp</vt:lpstr>
      <vt:lpstr>Aircraft</vt:lpstr>
      <vt:lpstr>D&amp;O</vt:lpstr>
      <vt:lpstr>Investor Rel</vt:lpstr>
      <vt:lpstr>Severance</vt:lpstr>
      <vt:lpstr>Incentive Comp</vt:lpstr>
      <vt:lpstr>Payroll</vt:lpstr>
      <vt:lpstr>Lobby</vt:lpstr>
      <vt:lpstr>Profit Sharing</vt:lpstr>
      <vt:lpstr>SERP</vt:lpstr>
      <vt:lpstr>ESPP</vt:lpstr>
      <vt:lpstr>Dues</vt:lpstr>
      <vt:lpstr>401(k)</vt:lpstr>
      <vt:lpstr>Payroll Tax</vt:lpstr>
      <vt:lpstr>Benefits</vt:lpstr>
      <vt:lpstr>Cus dep int</vt:lpstr>
      <vt:lpstr>Inc Tax</vt:lpstr>
      <vt:lpstr>Int Sync</vt:lpstr>
      <vt:lpstr>D</vt:lpstr>
      <vt:lpstr>SummaryWP</vt:lpstr>
      <vt:lpstr>'B-1'!Print_Area</vt:lpstr>
      <vt:lpstr>'Cp2'!Print_Area</vt:lpstr>
      <vt:lpstr>SummaryWP!Print_Area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Miller</dc:creator>
  <cp:lastModifiedBy>Tina Miller</cp:lastModifiedBy>
  <cp:lastPrinted>2026-08-13T20:22:21Z</cp:lastPrinted>
  <dcterms:created xsi:type="dcterms:W3CDTF">2024-07-16T18:08:30Z</dcterms:created>
  <dcterms:modified xsi:type="dcterms:W3CDTF">2026-08-13T20:44:00Z</dcterms:modified>
</cp:coreProperties>
</file>