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Honaker Law Office\Clients\00890 - Columbia Gas (NiSource)\0009 - 2026 Rate Case\Drafts\Rebuttal testimony\Final to File\Excel to Upload\"/>
    </mc:Choice>
  </mc:AlternateContent>
  <xr:revisionPtr revIDLastSave="0" documentId="8_{5FD81B79-347B-43B1-BFBB-4D4E8FFE53B8}" xr6:coauthVersionLast="47" xr6:coauthVersionMax="47" xr10:uidLastSave="{00000000-0000-0000-0000-000000000000}"/>
  <bookViews>
    <workbookView xWindow="-120" yWindow="-120" windowWidth="29040" windowHeight="15840" tabRatio="603" xr2:uid="{00000000-000D-0000-FFFF-FFFF00000000}"/>
  </bookViews>
  <sheets>
    <sheet name="WACC-FairRateReturn" sheetId="8" r:id="rId1"/>
    <sheet name="RateSettCapStruc" sheetId="4" r:id="rId2"/>
    <sheet name="Embed. Cost of Debt" sheetId="7" r:id="rId3"/>
  </sheets>
  <definedNames>
    <definedName name="DATE">#REF!</definedName>
    <definedName name="NvsElapsedTime">0.000277777777228039</definedName>
    <definedName name="NvsEndTime">45362.5129976852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" i="7" l="1"/>
  <c r="G72" i="7"/>
  <c r="I41" i="7"/>
  <c r="G25" i="4" l="1"/>
  <c r="I52" i="7" l="1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G70" i="7" l="1"/>
  <c r="I51" i="7"/>
  <c r="I27" i="7"/>
  <c r="I26" i="7"/>
  <c r="I25" i="7"/>
  <c r="G28" i="7"/>
  <c r="I70" i="7" l="1"/>
  <c r="I74" i="7" s="1"/>
  <c r="E19" i="8" s="1"/>
  <c r="I71" i="7"/>
  <c r="I24" i="7" l="1"/>
  <c r="I23" i="7"/>
  <c r="I22" i="7"/>
  <c r="I21" i="7"/>
  <c r="I20" i="7"/>
  <c r="I19" i="7"/>
  <c r="O16" i="4" l="1"/>
  <c r="I32" i="7"/>
  <c r="I37" i="7" l="1"/>
  <c r="I38" i="7" l="1"/>
  <c r="I18" i="7"/>
  <c r="C16" i="4" l="1"/>
  <c r="G33" i="7"/>
  <c r="G16" i="4" s="1"/>
  <c r="C18" i="4" l="1"/>
  <c r="G39" i="7"/>
  <c r="K16" i="4" s="1"/>
  <c r="C26" i="4" l="1"/>
  <c r="I11" i="7" l="1"/>
  <c r="I12" i="7"/>
  <c r="I13" i="7"/>
  <c r="I14" i="7"/>
  <c r="I15" i="7"/>
  <c r="I16" i="7"/>
  <c r="I17" i="7"/>
  <c r="I28" i="7" l="1"/>
  <c r="O26" i="4"/>
  <c r="O18" i="4"/>
  <c r="K26" i="4"/>
  <c r="K18" i="4"/>
  <c r="G26" i="4"/>
  <c r="I33" i="7" l="1"/>
  <c r="I35" i="7" s="1"/>
  <c r="I30" i="7"/>
  <c r="O28" i="4"/>
  <c r="O32" i="4" s="1"/>
  <c r="K28" i="4"/>
  <c r="K32" i="4" s="1"/>
  <c r="C28" i="4"/>
  <c r="C32" i="4" s="1"/>
  <c r="E16" i="4" s="1"/>
  <c r="Q26" i="4" l="1"/>
  <c r="Q16" i="4"/>
  <c r="Q30" i="4"/>
  <c r="I39" i="7"/>
  <c r="M30" i="4"/>
  <c r="M17" i="4"/>
  <c r="E30" i="4"/>
  <c r="M26" i="4"/>
  <c r="M16" i="4"/>
  <c r="E17" i="4"/>
  <c r="E26" i="4"/>
  <c r="C23" i="8" l="1"/>
  <c r="C20" i="8"/>
  <c r="G20" i="8" s="1"/>
  <c r="M18" i="4"/>
  <c r="Q18" i="4"/>
  <c r="Q28" i="4" s="1"/>
  <c r="E18" i="4"/>
  <c r="C19" i="8" l="1"/>
  <c r="C26" i="8" s="1"/>
  <c r="Q32" i="4"/>
  <c r="M28" i="4"/>
  <c r="M32" i="4" s="1"/>
  <c r="E28" i="4"/>
  <c r="E32" i="4" s="1"/>
  <c r="G23" i="8" l="1"/>
  <c r="G19" i="8" l="1"/>
  <c r="G26" i="8" s="1"/>
  <c r="G18" i="4"/>
  <c r="G28" i="4" l="1"/>
  <c r="G32" i="4" s="1"/>
  <c r="I30" i="4" l="1"/>
  <c r="I17" i="4"/>
  <c r="I26" i="4"/>
  <c r="I16" i="4"/>
  <c r="I18" i="4" l="1"/>
  <c r="I28" i="4" l="1"/>
  <c r="I32" i="4" l="1"/>
</calcChain>
</file>

<file path=xl/sharedStrings.xml><?xml version="1.0" encoding="utf-8"?>
<sst xmlns="http://schemas.openxmlformats.org/spreadsheetml/2006/main" count="134" uniqueCount="75">
  <si>
    <t>Long-Term Debt</t>
  </si>
  <si>
    <t>Page 1 of 1</t>
  </si>
  <si>
    <t>Common Equity</t>
  </si>
  <si>
    <t xml:space="preserve">   Common Stock Issued</t>
  </si>
  <si>
    <t>Total Common Equity</t>
  </si>
  <si>
    <t>Ratesetting Capital Structure and Related Ratios</t>
  </si>
  <si>
    <t>Ratios</t>
  </si>
  <si>
    <t>Maturity</t>
  </si>
  <si>
    <t>Date</t>
  </si>
  <si>
    <t>Interest</t>
  </si>
  <si>
    <t>Rate</t>
  </si>
  <si>
    <t xml:space="preserve">Principal </t>
  </si>
  <si>
    <t>Value</t>
  </si>
  <si>
    <t>Expense</t>
  </si>
  <si>
    <t>Total Long-Term Debt</t>
  </si>
  <si>
    <t>Annual</t>
  </si>
  <si>
    <t>Cap. Struct.</t>
  </si>
  <si>
    <t>Weighted Average Cost of Capital and Fair Rate of Return</t>
  </si>
  <si>
    <t>Cost Rate</t>
  </si>
  <si>
    <t>Weighted</t>
  </si>
  <si>
    <t>Form of Capitalization</t>
  </si>
  <si>
    <t>Total Capitalization</t>
  </si>
  <si>
    <t xml:space="preserve"> Interest</t>
  </si>
  <si>
    <t>Embedded Cost of Long-Term Debt</t>
  </si>
  <si>
    <t>Debt Instrument</t>
  </si>
  <si>
    <t xml:space="preserve">   Long-Term Debt</t>
  </si>
  <si>
    <t xml:space="preserve">   Current Maturities - LT Debt</t>
  </si>
  <si>
    <t xml:space="preserve">   Additional Paid-In Capital</t>
  </si>
  <si>
    <t xml:space="preserve">   OCI</t>
  </si>
  <si>
    <t xml:space="preserve">   Retained Earnings</t>
  </si>
  <si>
    <t>Capital</t>
  </si>
  <si>
    <t>Structure</t>
  </si>
  <si>
    <t>Short-Term Debt</t>
  </si>
  <si>
    <t>Source:  Company provided information.</t>
  </si>
  <si>
    <t>Columbia Gas of Kentucky, Inc.</t>
  </si>
  <si>
    <t xml:space="preserve">(1)  13-month average short-term debt balance. </t>
  </si>
  <si>
    <t>Outstanding</t>
  </si>
  <si>
    <t>Amount</t>
  </si>
  <si>
    <t>Thirteen Month Average</t>
  </si>
  <si>
    <t>Total Permanent Capital</t>
  </si>
  <si>
    <t>Short-Term Debt (1)</t>
  </si>
  <si>
    <t>3.8425% Notes, due September 30, 2046</t>
  </si>
  <si>
    <t>4.6436% Notes, due December 31, 2048</t>
  </si>
  <si>
    <t>3.7485% Notes, due December 31, 2049</t>
  </si>
  <si>
    <t>4.4300% Notes, due December 16, 2044</t>
  </si>
  <si>
    <t>6.2000% Notes, due December 23, 2043</t>
  </si>
  <si>
    <t>5.7700% Notes, due January 7, 2043</t>
  </si>
  <si>
    <t>6.0200% Notes, due December 16, 2030</t>
  </si>
  <si>
    <t>3.1742% Notes, due June 30, 2050</t>
  </si>
  <si>
    <t>3.2720% Notes, due June 30, 2051</t>
  </si>
  <si>
    <t>3.2671% Notes, due December 31, 2051</t>
  </si>
  <si>
    <t>4.1243% Notes, due March 31, 2052</t>
  </si>
  <si>
    <t>5.0808% Notes, due June 30, 2052</t>
  </si>
  <si>
    <t>6.2618% Notes, due September 29, 2053</t>
  </si>
  <si>
    <t>Actual at February 28, 2026</t>
  </si>
  <si>
    <t>Projected at December 31, 2027</t>
  </si>
  <si>
    <t>Actual at February 28, 2026 and Projected at August 31, 2026 and December 31, 2027</t>
  </si>
  <si>
    <t>Thirteen Month Average through December 31, 2027</t>
  </si>
  <si>
    <t>Long-Term Debt at February 28, 2026</t>
  </si>
  <si>
    <t>Long-Term Debt at August 31, 2026</t>
  </si>
  <si>
    <t>Long-Term Debt at December 31, 2027</t>
  </si>
  <si>
    <t>5.9124% Notes, due June 28, 2054</t>
  </si>
  <si>
    <t>5.3762% Notes, due September 30, 2054</t>
  </si>
  <si>
    <t>5.9187% Notes, due December 31, 2054</t>
  </si>
  <si>
    <t>3.2777% Notes, due September 30, 2051</t>
  </si>
  <si>
    <t>6.5000% Notes, due June 30, 2056</t>
  </si>
  <si>
    <t>6.5000% Notes, due September 30, 2056</t>
  </si>
  <si>
    <t>6.5000% Notes, due March 31, 2057</t>
  </si>
  <si>
    <t>December 31, 2027</t>
  </si>
  <si>
    <t>Based on 13-Month Average Capital Sturcture through December 31, 2027</t>
  </si>
  <si>
    <t>Attachment Rebuttal VVR-5R</t>
  </si>
  <si>
    <t>Attachment Rebuttal VVR-2R</t>
  </si>
  <si>
    <t>Attachment Rebuttal VVR-6R</t>
  </si>
  <si>
    <t>Actual at August 31, 2026</t>
  </si>
  <si>
    <t>Actual at February 28, 2026 and Actual at August 31, 2026 and December 31,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</si>
</sst>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5" formatCode="&quot;$&quot;#,##0_);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0.0000%"/>
    <numFmt numFmtId="168" formatCode="&quot;Estimated at &quot;[$-409]mmmm\ d\,\ yyyy;@"/>
    <numFmt numFmtId="169" formatCode="0.000%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sto MT"/>
      <family val="1"/>
    </font>
    <font>
      <sz val="11"/>
      <name val="Calisto MT"/>
      <family val="1"/>
    </font>
    <font>
      <b/>
      <sz val="11"/>
      <name val="Calisto MT"/>
      <family val="1"/>
    </font>
    <font>
      <sz val="9"/>
      <name val="Calisto MT"/>
      <family val="1"/>
    </font>
    <font>
      <b/>
      <sz val="12"/>
      <name val="Calisto MT"/>
      <family val="1"/>
    </font>
    <font>
      <b/>
      <sz val="8"/>
      <name val="Calisto MT"/>
      <family val="1"/>
    </font>
    <font>
      <u/>
      <sz val="11"/>
      <name val="Calisto MT"/>
      <family val="1"/>
    </font>
    <font>
      <sz val="12"/>
      <name val="Calisto MT"/>
      <family val="1"/>
    </font>
    <font>
      <sz val="13"/>
      <name val="Calisto MT"/>
      <family val="1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164" fontId="3" fillId="0" borderId="0" xfId="1" applyNumberFormat="1" applyFont="1" applyBorder="1"/>
    <xf numFmtId="10" fontId="3" fillId="0" borderId="0" xfId="2" applyNumberFormat="1" applyFont="1" applyFill="1" applyBorder="1" applyAlignment="1">
      <alignment horizontal="right"/>
    </xf>
    <xf numFmtId="164" fontId="3" fillId="0" borderId="0" xfId="0" applyNumberFormat="1" applyFont="1"/>
    <xf numFmtId="164" fontId="3" fillId="0" borderId="1" xfId="0" applyNumberFormat="1" applyFont="1" applyBorder="1"/>
    <xf numFmtId="10" fontId="3" fillId="0" borderId="1" xfId="2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quotePrefix="1" applyFont="1"/>
    <xf numFmtId="164" fontId="5" fillId="0" borderId="0" xfId="1" applyNumberFormat="1" applyFont="1" applyBorder="1"/>
    <xf numFmtId="0" fontId="5" fillId="0" borderId="0" xfId="0" applyFont="1"/>
    <xf numFmtId="0" fontId="3" fillId="0" borderId="0" xfId="0" quotePrefix="1" applyFont="1"/>
    <xf numFmtId="164" fontId="3" fillId="0" borderId="0" xfId="1" applyNumberFormat="1" applyFont="1" applyFill="1" applyBorder="1"/>
    <xf numFmtId="166" fontId="3" fillId="0" borderId="0" xfId="3" applyNumberFormat="1" applyFont="1" applyFill="1" applyBorder="1"/>
    <xf numFmtId="165" fontId="3" fillId="0" borderId="0" xfId="1" applyNumberFormat="1" applyFont="1" applyFill="1"/>
    <xf numFmtId="164" fontId="3" fillId="0" borderId="0" xfId="1" applyNumberFormat="1" applyFont="1" applyFill="1"/>
    <xf numFmtId="43" fontId="3" fillId="0" borderId="0" xfId="1" applyFont="1" applyFill="1" applyBorder="1" applyAlignment="1">
      <alignment horizontal="right"/>
    </xf>
    <xf numFmtId="44" fontId="3" fillId="0" borderId="0" xfId="1" applyNumberFormat="1" applyFont="1" applyFill="1"/>
    <xf numFmtId="166" fontId="3" fillId="0" borderId="1" xfId="1" applyNumberFormat="1" applyFont="1" applyFill="1" applyBorder="1"/>
    <xf numFmtId="0" fontId="3" fillId="0" borderId="1" xfId="0" applyFont="1" applyBorder="1"/>
    <xf numFmtId="164" fontId="3" fillId="0" borderId="1" xfId="1" applyNumberFormat="1" applyFont="1" applyFill="1" applyBorder="1"/>
    <xf numFmtId="10" fontId="3" fillId="0" borderId="0" xfId="2" applyNumberFormat="1" applyFont="1" applyFill="1" applyBorder="1"/>
    <xf numFmtId="0" fontId="2" fillId="0" borderId="0" xfId="0" applyFont="1"/>
    <xf numFmtId="5" fontId="2" fillId="0" borderId="0" xfId="0" applyNumberFormat="1" applyFont="1" applyAlignment="1">
      <alignment horizontal="center"/>
    </xf>
    <xf numFmtId="14" fontId="2" fillId="0" borderId="0" xfId="0" applyNumberFormat="1" applyFont="1"/>
    <xf numFmtId="164" fontId="2" fillId="0" borderId="0" xfId="1" applyNumberFormat="1" applyFont="1" applyFill="1" applyAlignment="1">
      <alignment horizontal="center"/>
    </xf>
    <xf numFmtId="42" fontId="2" fillId="0" borderId="0" xfId="0" applyNumberFormat="1" applyFont="1"/>
    <xf numFmtId="0" fontId="11" fillId="0" borderId="0" xfId="0" applyFont="1"/>
    <xf numFmtId="5" fontId="11" fillId="0" borderId="0" xfId="0" applyNumberFormat="1" applyFont="1" applyAlignment="1">
      <alignment horizontal="center"/>
    </xf>
    <xf numFmtId="0" fontId="12" fillId="0" borderId="0" xfId="0" applyFont="1"/>
    <xf numFmtId="5" fontId="12" fillId="0" borderId="0" xfId="0" applyNumberFormat="1" applyFont="1" applyAlignment="1">
      <alignment horizontal="center"/>
    </xf>
    <xf numFmtId="164" fontId="2" fillId="0" borderId="0" xfId="0" applyNumberFormat="1" applyFont="1"/>
    <xf numFmtId="164" fontId="12" fillId="0" borderId="0" xfId="0" applyNumberFormat="1" applyFont="1"/>
    <xf numFmtId="43" fontId="3" fillId="0" borderId="0" xfId="0" applyNumberFormat="1" applyFont="1"/>
    <xf numFmtId="10" fontId="3" fillId="0" borderId="2" xfId="2" applyNumberFormat="1" applyFont="1" applyFill="1" applyBorder="1" applyAlignment="1">
      <alignment horizontal="right"/>
    </xf>
    <xf numFmtId="164" fontId="3" fillId="0" borderId="2" xfId="1" applyNumberFormat="1" applyFont="1" applyFill="1" applyBorder="1"/>
    <xf numFmtId="166" fontId="3" fillId="0" borderId="0" xfId="3" applyNumberFormat="1" applyFont="1" applyFill="1" applyBorder="1" applyAlignment="1">
      <alignment horizontal="center"/>
    </xf>
    <xf numFmtId="166" fontId="3" fillId="0" borderId="1" xfId="3" applyNumberFormat="1" applyFont="1" applyFill="1" applyBorder="1"/>
    <xf numFmtId="10" fontId="3" fillId="0" borderId="0" xfId="2" applyNumberFormat="1" applyFont="1" applyFill="1" applyAlignment="1">
      <alignment horizontal="right"/>
    </xf>
    <xf numFmtId="166" fontId="3" fillId="0" borderId="0" xfId="3" applyNumberFormat="1" applyFont="1" applyFill="1"/>
    <xf numFmtId="10" fontId="3" fillId="0" borderId="0" xfId="1" applyNumberFormat="1" applyFont="1" applyFill="1" applyBorder="1" applyAlignment="1">
      <alignment horizontal="right"/>
    </xf>
    <xf numFmtId="44" fontId="3" fillId="0" borderId="0" xfId="1" applyNumberFormat="1" applyFont="1" applyFill="1" applyBorder="1"/>
    <xf numFmtId="164" fontId="5" fillId="0" borderId="0" xfId="1" applyNumberFormat="1" applyFont="1" applyFill="1" applyBorder="1"/>
    <xf numFmtId="166" fontId="3" fillId="0" borderId="0" xfId="0" applyNumberFormat="1" applyFont="1" applyAlignment="1">
      <alignment horizontal="right"/>
    </xf>
    <xf numFmtId="164" fontId="5" fillId="0" borderId="0" xfId="0" applyNumberFormat="1" applyFont="1"/>
    <xf numFmtId="166" fontId="5" fillId="0" borderId="0" xfId="3" applyNumberFormat="1" applyFont="1" applyFill="1" applyBorder="1"/>
    <xf numFmtId="166" fontId="5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7" fontId="3" fillId="0" borderId="0" xfId="2" applyNumberFormat="1" applyFont="1" applyFill="1" applyBorder="1" applyAlignment="1">
      <alignment horizontal="right"/>
    </xf>
    <xf numFmtId="0" fontId="3" fillId="0" borderId="1" xfId="0" quotePrefix="1" applyFont="1" applyBorder="1"/>
    <xf numFmtId="166" fontId="3" fillId="0" borderId="1" xfId="3" applyNumberFormat="1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4" fontId="3" fillId="0" borderId="0" xfId="0" quotePrefix="1" applyNumberFormat="1" applyFont="1"/>
    <xf numFmtId="0" fontId="3" fillId="0" borderId="3" xfId="0" applyFont="1" applyBorder="1"/>
    <xf numFmtId="10" fontId="3" fillId="0" borderId="4" xfId="2" applyNumberFormat="1" applyFont="1" applyFill="1" applyBorder="1"/>
    <xf numFmtId="14" fontId="3" fillId="0" borderId="0" xfId="0" quotePrefix="1" applyNumberFormat="1" applyFont="1" applyAlignment="1">
      <alignment horizontal="right"/>
    </xf>
    <xf numFmtId="2" fontId="3" fillId="0" borderId="0" xfId="2" applyNumberFormat="1" applyFont="1" applyFill="1" applyBorder="1"/>
    <xf numFmtId="16" fontId="3" fillId="0" borderId="0" xfId="0" applyNumberFormat="1" applyFont="1"/>
    <xf numFmtId="0" fontId="5" fillId="0" borderId="0" xfId="0" applyFont="1" applyAlignment="1">
      <alignment horizontal="right"/>
    </xf>
    <xf numFmtId="43" fontId="3" fillId="0" borderId="0" xfId="1" applyFont="1" applyFill="1" applyBorder="1" applyAlignment="1">
      <alignment horizontal="center"/>
    </xf>
    <xf numFmtId="43" fontId="3" fillId="0" borderId="0" xfId="1" quotePrefix="1" applyFont="1" applyFill="1" applyBorder="1" applyAlignment="1">
      <alignment horizontal="center"/>
    </xf>
    <xf numFmtId="10" fontId="3" fillId="0" borderId="0" xfId="0" applyNumberFormat="1" applyFont="1"/>
    <xf numFmtId="0" fontId="10" fillId="0" borderId="0" xfId="0" applyFont="1"/>
    <xf numFmtId="43" fontId="3" fillId="0" borderId="0" xfId="1" applyFont="1" applyFill="1"/>
    <xf numFmtId="43" fontId="4" fillId="0" borderId="0" xfId="1" applyFont="1" applyFill="1" applyAlignment="1">
      <alignment horizontal="center"/>
    </xf>
    <xf numFmtId="10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0" fontId="3" fillId="0" borderId="0" xfId="0" applyNumberFormat="1" applyFont="1" applyAlignment="1">
      <alignment horizontal="right"/>
    </xf>
    <xf numFmtId="164" fontId="5" fillId="0" borderId="2" xfId="0" quotePrefix="1" applyNumberFormat="1" applyFont="1" applyBorder="1" applyAlignment="1">
      <alignment horizontal="center"/>
    </xf>
    <xf numFmtId="164" fontId="2" fillId="0" borderId="0" xfId="0" quotePrefix="1" applyNumberFormat="1" applyFont="1"/>
    <xf numFmtId="164" fontId="3" fillId="0" borderId="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center"/>
    </xf>
    <xf numFmtId="169" fontId="3" fillId="0" borderId="4" xfId="2" applyNumberFormat="1" applyFont="1" applyFill="1" applyBorder="1"/>
    <xf numFmtId="167" fontId="3" fillId="0" borderId="4" xfId="2" applyNumberFormat="1" applyFont="1" applyFill="1" applyBorder="1"/>
    <xf numFmtId="0" fontId="3" fillId="0" borderId="0" xfId="0" applyFont="1" applyAlignment="1">
      <alignment horizontal="center"/>
    </xf>
    <xf numFmtId="168" fontId="3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5" fontId="3" fillId="0" borderId="0" xfId="0" quotePrefix="1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168" fontId="9" fillId="0" borderId="0" xfId="0" applyNumberFormat="1" applyFont="1" applyAlignment="1">
      <alignment horizontal="center"/>
    </xf>
  </cellXfs>
  <cellStyles count="6">
    <cellStyle name="Comma" xfId="1" builtinId="3"/>
    <cellStyle name="Comma 6" xfId="5" xr:uid="{00000000-0005-0000-0000-000001000000}"/>
    <cellStyle name="Currency" xfId="3" builtinId="4"/>
    <cellStyle name="Normal" xfId="0" builtinId="0"/>
    <cellStyle name="Normal 8" xfId="4" xr:uid="{00000000-0005-0000-0000-000004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6"/>
  <sheetViews>
    <sheetView tabSelected="1" workbookViewId="0">
      <selection activeCell="C30" sqref="C30"/>
    </sheetView>
  </sheetViews>
  <sheetFormatPr defaultColWidth="9.140625" defaultRowHeight="14.25" x14ac:dyDescent="0.2"/>
  <cols>
    <col min="1" max="1" width="23" style="3" customWidth="1"/>
    <col min="2" max="2" width="3.140625" style="3" customWidth="1"/>
    <col min="3" max="3" width="12.28515625" style="3" customWidth="1"/>
    <col min="4" max="4" width="2.7109375" style="3" customWidth="1"/>
    <col min="5" max="5" width="12.140625" style="3" customWidth="1"/>
    <col min="6" max="6" width="4.140625" style="3" customWidth="1"/>
    <col min="7" max="7" width="14.7109375" style="3" bestFit="1" customWidth="1"/>
    <col min="8" max="8" width="13.7109375" style="3" customWidth="1"/>
    <col min="9" max="9" width="12.28515625" style="3" customWidth="1"/>
    <col min="10" max="16384" width="9.140625" style="3"/>
  </cols>
  <sheetData>
    <row r="1" spans="1:9" x14ac:dyDescent="0.2">
      <c r="G1" s="70" t="s">
        <v>71</v>
      </c>
    </row>
    <row r="2" spans="1:9" x14ac:dyDescent="0.2">
      <c r="G2" s="70" t="s">
        <v>1</v>
      </c>
    </row>
    <row r="3" spans="1:9" x14ac:dyDescent="0.2">
      <c r="G3" s="4"/>
    </row>
    <row r="4" spans="1:9" x14ac:dyDescent="0.2">
      <c r="G4" s="4"/>
    </row>
    <row r="5" spans="1:9" x14ac:dyDescent="0.2">
      <c r="I5" s="4"/>
    </row>
    <row r="6" spans="1:9" x14ac:dyDescent="0.2">
      <c r="A6" s="86" t="s">
        <v>34</v>
      </c>
      <c r="B6" s="86"/>
      <c r="C6" s="86"/>
      <c r="D6" s="86"/>
      <c r="E6" s="86"/>
      <c r="F6" s="86"/>
      <c r="G6" s="86"/>
      <c r="H6" s="5"/>
    </row>
    <row r="7" spans="1:9" x14ac:dyDescent="0.2">
      <c r="H7" s="5"/>
    </row>
    <row r="8" spans="1:9" x14ac:dyDescent="0.2">
      <c r="A8" s="86" t="s">
        <v>17</v>
      </c>
      <c r="B8" s="86"/>
      <c r="C8" s="86"/>
      <c r="D8" s="86"/>
      <c r="E8" s="86"/>
      <c r="F8" s="86"/>
      <c r="G8" s="86"/>
      <c r="H8" s="5"/>
      <c r="I8" s="5"/>
    </row>
    <row r="9" spans="1:9" x14ac:dyDescent="0.2">
      <c r="A9" s="87" t="s">
        <v>69</v>
      </c>
      <c r="B9" s="87"/>
      <c r="C9" s="87"/>
      <c r="D9" s="87"/>
      <c r="E9" s="87"/>
      <c r="F9" s="87"/>
      <c r="G9" s="87"/>
      <c r="H9" s="5"/>
      <c r="I9" s="5"/>
    </row>
    <row r="10" spans="1:9" ht="15.75" x14ac:dyDescent="0.25">
      <c r="A10" s="6"/>
      <c r="B10" s="6"/>
      <c r="C10" s="6"/>
      <c r="D10" s="6"/>
      <c r="E10" s="6"/>
      <c r="F10" s="6"/>
      <c r="G10" s="6"/>
    </row>
    <row r="11" spans="1:9" ht="15.75" x14ac:dyDescent="0.25">
      <c r="B11" s="6"/>
      <c r="C11" s="6"/>
      <c r="D11" s="6"/>
      <c r="E11" s="6"/>
      <c r="F11" s="6"/>
      <c r="G11" s="6"/>
    </row>
    <row r="12" spans="1:9" ht="15.75" x14ac:dyDescent="0.25">
      <c r="B12" s="6"/>
      <c r="C12" s="6"/>
      <c r="D12" s="6"/>
      <c r="E12" s="6"/>
      <c r="F12" s="6"/>
      <c r="G12" s="6"/>
    </row>
    <row r="13" spans="1:9" ht="15.75" x14ac:dyDescent="0.25">
      <c r="A13" s="7"/>
      <c r="B13" s="6"/>
      <c r="C13" s="6"/>
      <c r="D13" s="6"/>
      <c r="E13" s="6"/>
      <c r="F13" s="6"/>
      <c r="G13" s="6"/>
    </row>
    <row r="14" spans="1:9" ht="15.75" x14ac:dyDescent="0.25">
      <c r="A14" s="6"/>
      <c r="B14" s="6"/>
      <c r="C14" s="5"/>
      <c r="D14" s="6"/>
      <c r="E14" s="6"/>
      <c r="F14" s="6"/>
      <c r="G14" s="6"/>
    </row>
    <row r="15" spans="1:9" ht="15.75" x14ac:dyDescent="0.25">
      <c r="A15" s="8"/>
      <c r="B15" s="6"/>
      <c r="C15" s="5" t="s">
        <v>16</v>
      </c>
      <c r="D15" s="6"/>
      <c r="E15" s="5"/>
      <c r="F15" s="6"/>
      <c r="G15" s="5" t="s">
        <v>19</v>
      </c>
      <c r="I15" s="5"/>
    </row>
    <row r="16" spans="1:9" x14ac:dyDescent="0.2">
      <c r="A16" s="9" t="s">
        <v>20</v>
      </c>
      <c r="B16" s="9"/>
      <c r="C16" s="10" t="s">
        <v>6</v>
      </c>
      <c r="D16" s="11"/>
      <c r="E16" s="10" t="s">
        <v>18</v>
      </c>
      <c r="F16" s="10"/>
      <c r="G16" s="10" t="s">
        <v>18</v>
      </c>
      <c r="I16" s="5"/>
    </row>
    <row r="17" spans="1:9" x14ac:dyDescent="0.2">
      <c r="C17" s="5"/>
      <c r="D17" s="12"/>
      <c r="E17" s="5"/>
      <c r="F17" s="5"/>
      <c r="G17" s="5"/>
      <c r="I17" s="5"/>
    </row>
    <row r="18" spans="1:9" x14ac:dyDescent="0.2">
      <c r="C18" s="5"/>
      <c r="D18" s="12"/>
      <c r="E18" s="5"/>
      <c r="G18" s="5"/>
      <c r="I18" s="5"/>
    </row>
    <row r="19" spans="1:9" x14ac:dyDescent="0.2">
      <c r="A19" s="3" t="s">
        <v>0</v>
      </c>
      <c r="C19" s="14">
        <f>RateSettCapStruc!Q18</f>
        <v>0.46135100000000001</v>
      </c>
      <c r="D19" s="23"/>
      <c r="E19" s="14">
        <f>'Embed. Cost of Debt'!I74</f>
        <v>5.0410000000000003E-2</v>
      </c>
      <c r="F19" s="15"/>
      <c r="G19" s="14">
        <f>ROUND(C19*E19,5)</f>
        <v>2.3259999999999999E-2</v>
      </c>
      <c r="I19" s="5"/>
    </row>
    <row r="20" spans="1:9" x14ac:dyDescent="0.2">
      <c r="A20" s="9" t="s">
        <v>32</v>
      </c>
      <c r="B20" s="9"/>
      <c r="C20" s="77">
        <f>RateSettCapStruc!Q30</f>
        <v>1.2272E-2</v>
      </c>
      <c r="D20" s="9"/>
      <c r="E20" s="77">
        <v>0.05</v>
      </c>
      <c r="F20" s="9"/>
      <c r="G20" s="45">
        <f>ROUND(C20*E20,5)</f>
        <v>6.0999999999999997E-4</v>
      </c>
      <c r="I20" s="68"/>
    </row>
    <row r="21" spans="1:9" x14ac:dyDescent="0.2">
      <c r="C21" s="14"/>
      <c r="D21" s="23"/>
      <c r="E21" s="14"/>
      <c r="F21" s="15"/>
      <c r="G21" s="14"/>
      <c r="I21" s="32"/>
    </row>
    <row r="22" spans="1:9" x14ac:dyDescent="0.2">
      <c r="C22" s="14"/>
      <c r="D22" s="23"/>
      <c r="E22" s="78"/>
      <c r="F22" s="15"/>
      <c r="G22" s="79"/>
      <c r="I22" s="32"/>
    </row>
    <row r="23" spans="1:9" x14ac:dyDescent="0.2">
      <c r="A23" s="9" t="s">
        <v>4</v>
      </c>
      <c r="B23" s="9"/>
      <c r="C23" s="45">
        <f>RateSettCapStruc!Q26</f>
        <v>0.52637599999999996</v>
      </c>
      <c r="D23" s="46"/>
      <c r="E23" s="45">
        <v>0.1095</v>
      </c>
      <c r="F23" s="80"/>
      <c r="G23" s="45">
        <f>ROUND(C23*E23,5)</f>
        <v>5.7639999999999997E-2</v>
      </c>
      <c r="I23" s="32"/>
    </row>
    <row r="24" spans="1:9" x14ac:dyDescent="0.2">
      <c r="C24" s="14"/>
      <c r="D24" s="23"/>
      <c r="E24" s="14"/>
      <c r="F24" s="81"/>
      <c r="G24" s="14"/>
      <c r="I24" s="32"/>
    </row>
    <row r="25" spans="1:9" x14ac:dyDescent="0.2">
      <c r="C25" s="14"/>
      <c r="D25" s="23"/>
      <c r="E25" s="78"/>
      <c r="F25" s="81"/>
      <c r="G25" s="79"/>
      <c r="I25" s="32"/>
    </row>
    <row r="26" spans="1:9" x14ac:dyDescent="0.2">
      <c r="A26" s="30" t="s">
        <v>21</v>
      </c>
      <c r="B26" s="30"/>
      <c r="C26" s="17">
        <f>C19+C20+C23</f>
        <v>0.99999899999999997</v>
      </c>
      <c r="D26" s="31"/>
      <c r="E26" s="82"/>
      <c r="F26" s="16"/>
      <c r="G26" s="17">
        <f>ROUND(G19+G20+G23,5)</f>
        <v>8.1509999999999999E-2</v>
      </c>
      <c r="I26" s="32"/>
    </row>
    <row r="27" spans="1:9" x14ac:dyDescent="0.2">
      <c r="A27" s="18"/>
      <c r="C27" s="52"/>
      <c r="D27" s="23"/>
      <c r="E27" s="83"/>
      <c r="F27" s="15"/>
    </row>
    <row r="28" spans="1:9" x14ac:dyDescent="0.2">
      <c r="C28" s="23"/>
      <c r="D28" s="23"/>
      <c r="E28" s="15"/>
      <c r="F28" s="15"/>
    </row>
    <row r="29" spans="1:9" x14ac:dyDescent="0.2">
      <c r="A29" s="19"/>
      <c r="C29" s="23"/>
      <c r="D29" s="23"/>
      <c r="E29" s="15"/>
      <c r="F29" s="15"/>
    </row>
    <row r="30" spans="1:9" x14ac:dyDescent="0.2">
      <c r="B30" s="19"/>
      <c r="D30" s="53"/>
      <c r="E30" s="55"/>
      <c r="F30" s="55"/>
      <c r="G30" s="21"/>
      <c r="H30" s="21"/>
    </row>
    <row r="31" spans="1:9" x14ac:dyDescent="0.2">
      <c r="A31" s="21"/>
      <c r="B31" s="19"/>
      <c r="D31" s="53"/>
      <c r="E31" s="55"/>
      <c r="F31" s="55"/>
      <c r="G31" s="56"/>
      <c r="H31" s="21"/>
    </row>
    <row r="32" spans="1:9" x14ac:dyDescent="0.2">
      <c r="A32" s="18"/>
      <c r="B32" s="19"/>
      <c r="D32" s="53"/>
      <c r="E32" s="55"/>
      <c r="F32" s="55"/>
      <c r="G32" s="53"/>
      <c r="H32" s="21"/>
    </row>
    <row r="33" spans="1:8" x14ac:dyDescent="0.2">
      <c r="B33" s="19"/>
      <c r="D33" s="53"/>
      <c r="E33" s="55"/>
      <c r="F33" s="55"/>
      <c r="G33" s="53"/>
      <c r="H33" s="21"/>
    </row>
    <row r="34" spans="1:8" x14ac:dyDescent="0.2">
      <c r="B34" s="19"/>
      <c r="D34" s="53"/>
      <c r="E34" s="55"/>
      <c r="F34" s="55"/>
      <c r="G34" s="53"/>
      <c r="H34" s="21"/>
    </row>
    <row r="35" spans="1:8" x14ac:dyDescent="0.2">
      <c r="A35" s="18"/>
      <c r="B35" s="19"/>
      <c r="C35" s="21"/>
      <c r="D35" s="53"/>
      <c r="E35" s="55"/>
      <c r="F35" s="55"/>
      <c r="G35" s="57"/>
      <c r="H35" s="21"/>
    </row>
    <row r="36" spans="1:8" x14ac:dyDescent="0.2">
      <c r="C36" s="23"/>
      <c r="D36" s="23"/>
      <c r="E36" s="15"/>
      <c r="F36" s="15"/>
    </row>
    <row r="37" spans="1:8" x14ac:dyDescent="0.2">
      <c r="C37" s="23"/>
      <c r="D37" s="23"/>
      <c r="E37" s="15"/>
      <c r="F37" s="15"/>
    </row>
    <row r="38" spans="1:8" x14ac:dyDescent="0.2">
      <c r="C38" s="23"/>
      <c r="D38" s="23"/>
      <c r="E38" s="15"/>
      <c r="F38" s="15"/>
    </row>
    <row r="39" spans="1:8" x14ac:dyDescent="0.2">
      <c r="C39" s="23"/>
      <c r="D39" s="23"/>
      <c r="E39" s="15"/>
      <c r="F39" s="15"/>
    </row>
    <row r="40" spans="1:8" x14ac:dyDescent="0.2">
      <c r="C40" s="23"/>
      <c r="D40" s="23"/>
      <c r="E40" s="15"/>
      <c r="F40" s="15"/>
    </row>
    <row r="41" spans="1:8" x14ac:dyDescent="0.2">
      <c r="C41" s="23"/>
      <c r="D41" s="23"/>
      <c r="E41" s="15"/>
      <c r="F41" s="15"/>
    </row>
    <row r="42" spans="1:8" x14ac:dyDescent="0.2">
      <c r="A42" s="18"/>
      <c r="C42" s="23"/>
      <c r="D42" s="23"/>
      <c r="E42" s="15"/>
      <c r="F42" s="15"/>
    </row>
    <row r="43" spans="1:8" x14ac:dyDescent="0.2">
      <c r="A43" s="22"/>
      <c r="C43" s="23"/>
      <c r="D43" s="23"/>
      <c r="E43" s="15"/>
      <c r="F43" s="15"/>
    </row>
    <row r="44" spans="1:8" x14ac:dyDescent="0.2">
      <c r="C44" s="23"/>
      <c r="D44" s="23"/>
      <c r="E44" s="15"/>
      <c r="F44" s="15"/>
    </row>
    <row r="45" spans="1:8" x14ac:dyDescent="0.2">
      <c r="A45" s="22"/>
      <c r="C45" s="15"/>
      <c r="D45" s="15"/>
      <c r="E45" s="15"/>
      <c r="F45" s="15"/>
    </row>
    <row r="46" spans="1:8" x14ac:dyDescent="0.2">
      <c r="A46" s="22"/>
      <c r="C46" s="15"/>
      <c r="D46" s="15"/>
      <c r="E46" s="15"/>
      <c r="F46" s="15"/>
    </row>
    <row r="47" spans="1:8" x14ac:dyDescent="0.2">
      <c r="A47" s="22"/>
      <c r="C47" s="15"/>
      <c r="D47" s="15"/>
      <c r="E47" s="15"/>
      <c r="F47" s="15"/>
    </row>
    <row r="48" spans="1:8" x14ac:dyDescent="0.2">
      <c r="A48" s="22"/>
    </row>
    <row r="49" spans="1:1" x14ac:dyDescent="0.2">
      <c r="A49" s="22"/>
    </row>
    <row r="50" spans="1:1" x14ac:dyDescent="0.2">
      <c r="A50" s="22"/>
    </row>
    <row r="55" spans="1:1" x14ac:dyDescent="0.2">
      <c r="A55" s="22"/>
    </row>
    <row r="56" spans="1:1" x14ac:dyDescent="0.2">
      <c r="A56" s="22"/>
    </row>
  </sheetData>
  <mergeCells count="3">
    <mergeCell ref="A6:G6"/>
    <mergeCell ref="A8:G8"/>
    <mergeCell ref="A9:G9"/>
  </mergeCells>
  <pageMargins left="1.2" right="0.45" top="0.5" bottom="0.5" header="0.3" footer="0.3"/>
  <pageSetup orientation="portrait" r:id="rId1"/>
  <customProperties>
    <customPr name="WORKBKFUNCTIONCACH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64"/>
  <sheetViews>
    <sheetView zoomScaleNormal="100" zoomScaleSheetLayoutView="50" workbookViewId="0">
      <selection activeCell="G30" sqref="G30"/>
    </sheetView>
  </sheetViews>
  <sheetFormatPr defaultColWidth="9.140625" defaultRowHeight="14.25" x14ac:dyDescent="0.2"/>
  <cols>
    <col min="1" max="1" width="30" style="3" customWidth="1"/>
    <col min="2" max="2" width="4.42578125" style="3" customWidth="1"/>
    <col min="3" max="3" width="14.7109375" style="3" customWidth="1"/>
    <col min="4" max="4" width="3" style="3" customWidth="1"/>
    <col min="5" max="5" width="10.42578125" style="3" customWidth="1"/>
    <col min="6" max="6" width="4" style="3" customWidth="1"/>
    <col min="7" max="7" width="14.7109375" style="3" customWidth="1"/>
    <col min="8" max="8" width="3.140625" style="3" customWidth="1"/>
    <col min="9" max="9" width="10.140625" style="3" customWidth="1"/>
    <col min="10" max="10" width="4" style="3" customWidth="1"/>
    <col min="11" max="11" width="15.42578125" style="3" customWidth="1"/>
    <col min="12" max="12" width="3" style="3" customWidth="1"/>
    <col min="13" max="13" width="11.5703125" style="3" customWidth="1"/>
    <col min="14" max="14" width="3.7109375" style="3" customWidth="1"/>
    <col min="15" max="15" width="15.85546875" style="3" bestFit="1" customWidth="1"/>
    <col min="16" max="16" width="3.5703125" style="3" customWidth="1"/>
    <col min="17" max="17" width="11.85546875" style="3" customWidth="1"/>
    <col min="18" max="16384" width="9.140625" style="3"/>
  </cols>
  <sheetData>
    <row r="1" spans="1:17" x14ac:dyDescent="0.2">
      <c r="Q1" s="70" t="s">
        <v>70</v>
      </c>
    </row>
    <row r="2" spans="1:17" x14ac:dyDescent="0.2">
      <c r="Q2" s="70" t="s">
        <v>1</v>
      </c>
    </row>
    <row r="4" spans="1:17" ht="15.75" x14ac:dyDescent="0.25">
      <c r="A4" s="88" t="s">
        <v>34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</row>
    <row r="5" spans="1:17" ht="16.5" x14ac:dyDescent="0.25">
      <c r="A5" s="74"/>
    </row>
    <row r="6" spans="1:17" ht="15.75" x14ac:dyDescent="0.25">
      <c r="A6" s="88" t="s">
        <v>5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</row>
    <row r="7" spans="1:17" ht="15.75" x14ac:dyDescent="0.25">
      <c r="A7" s="91" t="s">
        <v>74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</row>
    <row r="8" spans="1:17" ht="15.75" x14ac:dyDescent="0.25">
      <c r="A8" s="6"/>
      <c r="B8" s="6"/>
      <c r="C8" s="6"/>
      <c r="D8" s="6"/>
    </row>
    <row r="9" spans="1:17" ht="15.75" x14ac:dyDescent="0.25">
      <c r="B9" s="6"/>
      <c r="C9" s="6"/>
      <c r="D9" s="6"/>
      <c r="O9" s="86" t="s">
        <v>38</v>
      </c>
      <c r="P9" s="86"/>
      <c r="Q9" s="86"/>
    </row>
    <row r="10" spans="1:17" ht="15.75" x14ac:dyDescent="0.25">
      <c r="A10" s="7"/>
      <c r="B10" s="6"/>
      <c r="C10" s="86" t="s">
        <v>54</v>
      </c>
      <c r="D10" s="86"/>
      <c r="E10" s="86"/>
      <c r="G10" s="86" t="s">
        <v>73</v>
      </c>
      <c r="H10" s="86"/>
      <c r="I10" s="86"/>
      <c r="K10" s="86" t="s">
        <v>55</v>
      </c>
      <c r="L10" s="86"/>
      <c r="M10" s="86"/>
      <c r="O10" s="89" t="s">
        <v>68</v>
      </c>
      <c r="P10" s="90"/>
      <c r="Q10" s="90"/>
    </row>
    <row r="11" spans="1:17" ht="15.75" x14ac:dyDescent="0.25">
      <c r="A11" s="6"/>
      <c r="B11" s="6"/>
      <c r="D11" s="6"/>
      <c r="E11" s="5" t="s">
        <v>30</v>
      </c>
      <c r="H11" s="6"/>
      <c r="I11" s="5" t="s">
        <v>30</v>
      </c>
      <c r="L11" s="6"/>
      <c r="M11" s="5" t="s">
        <v>30</v>
      </c>
      <c r="P11" s="6"/>
      <c r="Q11" s="5" t="s">
        <v>30</v>
      </c>
    </row>
    <row r="12" spans="1:17" ht="15.75" x14ac:dyDescent="0.25">
      <c r="A12" s="8"/>
      <c r="B12" s="6"/>
      <c r="C12" s="5" t="s">
        <v>37</v>
      </c>
      <c r="D12" s="6"/>
      <c r="E12" s="5" t="s">
        <v>31</v>
      </c>
      <c r="G12" s="5" t="s">
        <v>37</v>
      </c>
      <c r="H12" s="6"/>
      <c r="I12" s="5" t="s">
        <v>31</v>
      </c>
      <c r="K12" s="5" t="s">
        <v>37</v>
      </c>
      <c r="L12" s="6"/>
      <c r="M12" s="5" t="s">
        <v>31</v>
      </c>
      <c r="O12" s="5" t="s">
        <v>37</v>
      </c>
      <c r="P12" s="6"/>
      <c r="Q12" s="5" t="s">
        <v>31</v>
      </c>
    </row>
    <row r="13" spans="1:17" x14ac:dyDescent="0.2">
      <c r="A13" s="9" t="s">
        <v>20</v>
      </c>
      <c r="B13" s="9"/>
      <c r="C13" s="10" t="s">
        <v>36</v>
      </c>
      <c r="D13" s="11"/>
      <c r="E13" s="10" t="s">
        <v>6</v>
      </c>
      <c r="G13" s="10" t="s">
        <v>36</v>
      </c>
      <c r="H13" s="11"/>
      <c r="I13" s="10" t="s">
        <v>6</v>
      </c>
      <c r="K13" s="10" t="s">
        <v>36</v>
      </c>
      <c r="L13" s="11"/>
      <c r="M13" s="10" t="s">
        <v>6</v>
      </c>
      <c r="O13" s="10" t="s">
        <v>36</v>
      </c>
      <c r="P13" s="11"/>
      <c r="Q13" s="10" t="s">
        <v>6</v>
      </c>
    </row>
    <row r="14" spans="1:17" x14ac:dyDescent="0.2">
      <c r="C14" s="5"/>
      <c r="D14" s="12"/>
      <c r="E14" s="5"/>
      <c r="G14" s="5"/>
      <c r="H14" s="12"/>
      <c r="I14" s="5"/>
      <c r="K14" s="5"/>
      <c r="L14" s="12"/>
      <c r="M14" s="5"/>
      <c r="O14" s="5"/>
      <c r="P14" s="12"/>
      <c r="Q14" s="5"/>
    </row>
    <row r="15" spans="1:17" x14ac:dyDescent="0.2">
      <c r="C15" s="5"/>
      <c r="D15" s="12"/>
      <c r="E15" s="5"/>
      <c r="G15" s="5"/>
      <c r="H15" s="12"/>
      <c r="I15" s="5"/>
      <c r="K15" s="5"/>
      <c r="L15" s="12"/>
      <c r="M15" s="5"/>
      <c r="O15" s="5"/>
      <c r="P15" s="12"/>
      <c r="Q15" s="5"/>
    </row>
    <row r="16" spans="1:17" x14ac:dyDescent="0.2">
      <c r="A16" s="22" t="s">
        <v>25</v>
      </c>
      <c r="C16" s="47">
        <f>'Embed. Cost of Debt'!G28</f>
        <v>278000000</v>
      </c>
      <c r="D16" s="12"/>
      <c r="E16" s="14">
        <f>ROUND(C16/C$32,5)</f>
        <v>0.44014999999999999</v>
      </c>
      <c r="G16" s="47">
        <f>'Embed. Cost of Debt'!G33</f>
        <v>288000000</v>
      </c>
      <c r="H16" s="12"/>
      <c r="I16" s="14">
        <f>ROUND(G16/G$32,5)</f>
        <v>0.44613999999999998</v>
      </c>
      <c r="K16" s="47">
        <f>'Embed. Cost of Debt'!G39-K17</f>
        <v>343000000</v>
      </c>
      <c r="L16" s="12"/>
      <c r="M16" s="14">
        <f>ROUND(K16/K$32,5)</f>
        <v>0.46179999999999999</v>
      </c>
      <c r="O16" s="47">
        <f>'Embed. Cost of Debt'!G72-O17</f>
        <v>333461538</v>
      </c>
      <c r="P16" s="12"/>
      <c r="Q16" s="14">
        <f>ROUND(O16/O$32,6)</f>
        <v>0.46135100000000001</v>
      </c>
    </row>
    <row r="17" spans="1:17" x14ac:dyDescent="0.2">
      <c r="A17" s="22" t="s">
        <v>26</v>
      </c>
      <c r="C17" s="1">
        <v>0</v>
      </c>
      <c r="D17" s="12"/>
      <c r="E17" s="27">
        <f>ROUND(C17/C$32,5)</f>
        <v>0</v>
      </c>
      <c r="F17" s="75"/>
      <c r="G17" s="71">
        <v>0</v>
      </c>
      <c r="H17" s="76"/>
      <c r="I17" s="27">
        <f>ROUND(G17/G$32,5)</f>
        <v>0</v>
      </c>
      <c r="J17" s="75"/>
      <c r="K17" s="72">
        <v>0</v>
      </c>
      <c r="L17" s="76"/>
      <c r="M17" s="27">
        <f>ROUND(K17/K$32,5)</f>
        <v>0</v>
      </c>
      <c r="N17" s="75"/>
      <c r="O17" s="71">
        <v>0</v>
      </c>
      <c r="P17" s="76"/>
      <c r="Q17" s="51"/>
    </row>
    <row r="18" spans="1:17" x14ac:dyDescent="0.2">
      <c r="A18" s="30" t="s">
        <v>14</v>
      </c>
      <c r="B18" s="30"/>
      <c r="C18" s="48">
        <f>SUM(C16:C17)</f>
        <v>278000000</v>
      </c>
      <c r="D18" s="31"/>
      <c r="E18" s="17">
        <f>SUM(E16:E17)</f>
        <v>0.44014999999999999</v>
      </c>
      <c r="F18" s="30"/>
      <c r="G18" s="48">
        <f>SUM(G16:G17)</f>
        <v>288000000</v>
      </c>
      <c r="H18" s="31"/>
      <c r="I18" s="17">
        <f>SUM(I16:I17)</f>
        <v>0.44613999999999998</v>
      </c>
      <c r="J18" s="30"/>
      <c r="K18" s="48">
        <f>SUM(K16:K17)</f>
        <v>343000000</v>
      </c>
      <c r="L18" s="31"/>
      <c r="M18" s="17">
        <f>SUM(M16:M17)</f>
        <v>0.46179999999999999</v>
      </c>
      <c r="N18" s="30"/>
      <c r="O18" s="48">
        <f>SUM(O16:O17)</f>
        <v>333461538</v>
      </c>
      <c r="P18" s="31"/>
      <c r="Q18" s="17">
        <f>SUM(Q16:Q17)</f>
        <v>0.46135100000000001</v>
      </c>
    </row>
    <row r="19" spans="1:17" x14ac:dyDescent="0.2">
      <c r="C19" s="24"/>
      <c r="D19" s="23"/>
      <c r="E19" s="14"/>
      <c r="G19" s="24"/>
      <c r="H19" s="23"/>
      <c r="I19" s="14"/>
      <c r="K19" s="24"/>
      <c r="L19" s="23"/>
      <c r="M19" s="14"/>
      <c r="O19" s="24"/>
      <c r="P19" s="23"/>
      <c r="Q19" s="14"/>
    </row>
    <row r="20" spans="1:17" x14ac:dyDescent="0.2">
      <c r="C20" s="25"/>
      <c r="D20" s="26"/>
      <c r="E20" s="49"/>
      <c r="G20" s="25"/>
      <c r="H20" s="26"/>
      <c r="I20" s="49"/>
      <c r="K20" s="25"/>
      <c r="L20" s="26"/>
      <c r="M20" s="49"/>
      <c r="O20" s="47"/>
      <c r="P20" s="26"/>
      <c r="Q20" s="49"/>
    </row>
    <row r="21" spans="1:17" x14ac:dyDescent="0.2">
      <c r="A21" s="3" t="s">
        <v>2</v>
      </c>
      <c r="C21" s="25"/>
      <c r="D21" s="26"/>
      <c r="E21" s="49"/>
      <c r="G21" s="25"/>
      <c r="H21" s="26"/>
      <c r="I21" s="49"/>
      <c r="K21" s="25"/>
      <c r="L21" s="26"/>
      <c r="M21" s="49"/>
      <c r="O21" s="25"/>
      <c r="P21" s="26"/>
      <c r="Q21" s="49"/>
    </row>
    <row r="22" spans="1:17" x14ac:dyDescent="0.2">
      <c r="A22" s="22" t="s">
        <v>3</v>
      </c>
      <c r="C22" s="50">
        <v>23806200</v>
      </c>
      <c r="D22" s="26"/>
      <c r="E22" s="27"/>
      <c r="G22" s="50">
        <v>23806200</v>
      </c>
      <c r="H22" s="26"/>
      <c r="I22" s="27"/>
      <c r="K22" s="50">
        <v>23806200</v>
      </c>
      <c r="L22" s="26"/>
      <c r="M22" s="27"/>
      <c r="O22" s="50">
        <v>23806200.000000007</v>
      </c>
      <c r="P22" s="26"/>
      <c r="Q22" s="51"/>
    </row>
    <row r="23" spans="1:17" x14ac:dyDescent="0.2">
      <c r="A23" s="22" t="s">
        <v>27</v>
      </c>
      <c r="C23" s="26">
        <v>58018523.640000001</v>
      </c>
      <c r="D23" s="26"/>
      <c r="E23" s="27"/>
      <c r="G23" s="26">
        <v>58018523.640000001</v>
      </c>
      <c r="H23" s="26"/>
      <c r="I23" s="27"/>
      <c r="K23" s="26">
        <v>58018523.640000001</v>
      </c>
      <c r="L23" s="26"/>
      <c r="M23" s="27"/>
      <c r="O23" s="26">
        <v>58018523.640000001</v>
      </c>
      <c r="P23" s="26"/>
      <c r="Q23" s="51"/>
    </row>
    <row r="24" spans="1:17" x14ac:dyDescent="0.2">
      <c r="A24" s="22" t="s">
        <v>28</v>
      </c>
      <c r="C24" s="26">
        <v>0</v>
      </c>
      <c r="D24" s="26"/>
      <c r="E24" s="27"/>
      <c r="G24" s="26">
        <v>0</v>
      </c>
      <c r="H24" s="26"/>
      <c r="I24" s="27"/>
      <c r="K24" s="26">
        <v>0</v>
      </c>
      <c r="L24" s="26"/>
      <c r="M24" s="27"/>
      <c r="O24" s="26">
        <v>0</v>
      </c>
      <c r="P24" s="26"/>
      <c r="Q24" s="51"/>
    </row>
    <row r="25" spans="1:17" x14ac:dyDescent="0.2">
      <c r="A25" s="22" t="s">
        <v>29</v>
      </c>
      <c r="C25" s="26">
        <v>271497255</v>
      </c>
      <c r="D25" s="26"/>
      <c r="E25" s="27"/>
      <c r="G25" s="26">
        <f>254286635.51+20219454.75</f>
        <v>274506090.25999999</v>
      </c>
      <c r="H25" s="26"/>
      <c r="I25" s="27"/>
      <c r="K25" s="26">
        <v>309058554.0200513</v>
      </c>
      <c r="L25" s="26"/>
      <c r="M25" s="27"/>
      <c r="O25" s="26">
        <v>298636445.539451</v>
      </c>
      <c r="P25" s="26"/>
      <c r="Q25" s="51"/>
    </row>
    <row r="26" spans="1:17" x14ac:dyDescent="0.2">
      <c r="A26" s="30" t="s">
        <v>4</v>
      </c>
      <c r="B26" s="30"/>
      <c r="C26" s="48">
        <f>SUM(C22:C25)</f>
        <v>353321978.63999999</v>
      </c>
      <c r="D26" s="31"/>
      <c r="E26" s="17">
        <f>ROUND(C26/C$32,5)</f>
        <v>0.55940000000000001</v>
      </c>
      <c r="F26" s="30"/>
      <c r="G26" s="48">
        <f>SUM(G22:G25)</f>
        <v>356330813.89999998</v>
      </c>
      <c r="H26" s="31"/>
      <c r="I26" s="17">
        <f>ROUND(G26/G$32,5)</f>
        <v>0.55198999999999998</v>
      </c>
      <c r="J26" s="30"/>
      <c r="K26" s="48">
        <f>SUM(K22:K25)</f>
        <v>390883277.66005129</v>
      </c>
      <c r="L26" s="31"/>
      <c r="M26" s="17">
        <f>ROUND(K26/K$32,5)</f>
        <v>0.52625999999999995</v>
      </c>
      <c r="N26" s="30"/>
      <c r="O26" s="48">
        <f>SUM(O22:O25)</f>
        <v>380461169.17945099</v>
      </c>
      <c r="P26" s="31"/>
      <c r="Q26" s="17">
        <f>ROUND(O26/O$32,6)</f>
        <v>0.52637599999999996</v>
      </c>
    </row>
    <row r="27" spans="1:17" x14ac:dyDescent="0.2">
      <c r="C27" s="24"/>
      <c r="D27" s="23"/>
      <c r="E27" s="14"/>
      <c r="G27" s="24"/>
      <c r="H27" s="23"/>
      <c r="I27" s="14"/>
      <c r="K27" s="24"/>
      <c r="L27" s="23"/>
      <c r="M27" s="14"/>
      <c r="O27" s="24"/>
      <c r="P27" s="23"/>
      <c r="Q27" s="14"/>
    </row>
    <row r="28" spans="1:17" ht="13.9" customHeight="1" x14ac:dyDescent="0.2">
      <c r="A28" s="30" t="s">
        <v>39</v>
      </c>
      <c r="B28" s="30"/>
      <c r="C28" s="48">
        <f>C18+C26</f>
        <v>631321978.63999999</v>
      </c>
      <c r="D28" s="31"/>
      <c r="E28" s="17">
        <f>E18+E26</f>
        <v>0.99954999999999994</v>
      </c>
      <c r="F28" s="30"/>
      <c r="G28" s="48">
        <f>G18+G26</f>
        <v>644330813.89999998</v>
      </c>
      <c r="H28" s="31"/>
      <c r="I28" s="17">
        <f>I18+I26</f>
        <v>0.99812999999999996</v>
      </c>
      <c r="J28" s="30"/>
      <c r="K28" s="48">
        <f>K18+K26</f>
        <v>733883277.66005135</v>
      </c>
      <c r="L28" s="31"/>
      <c r="M28" s="17">
        <f>M18+M26</f>
        <v>0.98805999999999994</v>
      </c>
      <c r="N28" s="30"/>
      <c r="O28" s="48">
        <f>O18+O26</f>
        <v>713922707.17945099</v>
      </c>
      <c r="P28" s="31"/>
      <c r="Q28" s="17">
        <f>Q18+Q26</f>
        <v>0.98772700000000002</v>
      </c>
    </row>
    <row r="29" spans="1:17" x14ac:dyDescent="0.2">
      <c r="C29" s="24"/>
      <c r="D29" s="23"/>
      <c r="E29" s="14"/>
      <c r="G29" s="24"/>
      <c r="H29" s="23"/>
      <c r="I29" s="14"/>
      <c r="K29" s="24"/>
      <c r="L29" s="23"/>
      <c r="M29" s="14"/>
      <c r="O29" s="24"/>
      <c r="P29" s="23"/>
      <c r="Q29" s="14"/>
    </row>
    <row r="30" spans="1:17" x14ac:dyDescent="0.2">
      <c r="A30" s="22" t="s">
        <v>40</v>
      </c>
      <c r="C30" s="24">
        <v>287984</v>
      </c>
      <c r="D30" s="23"/>
      <c r="E30" s="14">
        <f>ROUND(C30/C$32,5)</f>
        <v>4.6000000000000001E-4</v>
      </c>
      <c r="G30" s="24">
        <v>1209760</v>
      </c>
      <c r="H30" s="23"/>
      <c r="I30" s="14">
        <f>ROUND(G30/G$32,5)</f>
        <v>1.8699999999999999E-3</v>
      </c>
      <c r="K30" s="24">
        <v>8870145</v>
      </c>
      <c r="L30" s="23"/>
      <c r="M30" s="14">
        <f>ROUND(K30/K$32,5)</f>
        <v>1.1939999999999999E-2</v>
      </c>
      <c r="O30" s="24">
        <v>8870145</v>
      </c>
      <c r="P30" s="23"/>
      <c r="Q30" s="14">
        <f>ROUND(O30/O$32,6)</f>
        <v>1.2272E-2</v>
      </c>
    </row>
    <row r="31" spans="1:17" x14ac:dyDescent="0.2">
      <c r="C31" s="28"/>
      <c r="D31" s="26"/>
      <c r="E31" s="51"/>
      <c r="G31" s="28"/>
      <c r="H31" s="26"/>
      <c r="I31" s="51"/>
      <c r="K31" s="28"/>
      <c r="L31" s="26"/>
      <c r="M31" s="51"/>
      <c r="O31" s="28"/>
      <c r="P31" s="26"/>
      <c r="Q31" s="51"/>
    </row>
    <row r="32" spans="1:17" x14ac:dyDescent="0.2">
      <c r="A32" s="30" t="s">
        <v>21</v>
      </c>
      <c r="B32" s="30"/>
      <c r="C32" s="29">
        <f>C28+C30</f>
        <v>631609962.63999999</v>
      </c>
      <c r="D32" s="31"/>
      <c r="E32" s="17">
        <f>E28+E30</f>
        <v>1.0000099999999998</v>
      </c>
      <c r="F32" s="30"/>
      <c r="G32" s="29">
        <f>G28+G30</f>
        <v>645540573.89999998</v>
      </c>
      <c r="H32" s="31"/>
      <c r="I32" s="17">
        <f>I28+I30</f>
        <v>1</v>
      </c>
      <c r="J32" s="30"/>
      <c r="K32" s="29">
        <f>K28+K30</f>
        <v>742753422.66005135</v>
      </c>
      <c r="L32" s="31"/>
      <c r="M32" s="17">
        <f>M28+M30</f>
        <v>0.99999999999999989</v>
      </c>
      <c r="N32" s="30"/>
      <c r="O32" s="29">
        <f>O28+O30</f>
        <v>722792852.17945099</v>
      </c>
      <c r="P32" s="31"/>
      <c r="Q32" s="17">
        <f>Q28+Q30</f>
        <v>0.99999899999999997</v>
      </c>
    </row>
    <row r="33" spans="1:17" x14ac:dyDescent="0.2">
      <c r="A33" s="18"/>
      <c r="C33" s="52"/>
      <c r="D33" s="23"/>
      <c r="G33" s="52"/>
      <c r="H33" s="23"/>
    </row>
    <row r="34" spans="1:17" x14ac:dyDescent="0.2">
      <c r="C34" s="23"/>
      <c r="D34" s="23"/>
      <c r="Q34" s="73"/>
    </row>
    <row r="35" spans="1:17" x14ac:dyDescent="0.2">
      <c r="A35" s="19" t="s">
        <v>35</v>
      </c>
      <c r="C35" s="23"/>
      <c r="D35" s="23"/>
    </row>
    <row r="36" spans="1:17" x14ac:dyDescent="0.2">
      <c r="A36" s="21" t="s">
        <v>33</v>
      </c>
      <c r="C36" s="23"/>
      <c r="D36" s="23"/>
    </row>
    <row r="37" spans="1:17" x14ac:dyDescent="0.2">
      <c r="A37" s="19"/>
      <c r="C37" s="23"/>
      <c r="D37" s="23"/>
    </row>
    <row r="38" spans="1:17" x14ac:dyDescent="0.2">
      <c r="B38" s="19"/>
      <c r="D38" s="53"/>
    </row>
    <row r="39" spans="1:17" x14ac:dyDescent="0.2">
      <c r="B39" s="19"/>
      <c r="D39" s="53"/>
    </row>
    <row r="40" spans="1:17" x14ac:dyDescent="0.2">
      <c r="A40" s="18"/>
      <c r="B40" s="19"/>
      <c r="D40" s="20"/>
    </row>
    <row r="41" spans="1:17" x14ac:dyDescent="0.2">
      <c r="B41" s="19"/>
      <c r="D41" s="20"/>
    </row>
    <row r="42" spans="1:17" x14ac:dyDescent="0.2">
      <c r="B42" s="19"/>
      <c r="D42" s="20"/>
    </row>
    <row r="43" spans="1:17" x14ac:dyDescent="0.2">
      <c r="A43" s="18"/>
      <c r="B43" s="19"/>
      <c r="C43" s="21"/>
      <c r="D43" s="20"/>
    </row>
    <row r="44" spans="1:17" x14ac:dyDescent="0.2">
      <c r="C44" s="13"/>
      <c r="D44" s="13"/>
    </row>
    <row r="45" spans="1:17" x14ac:dyDescent="0.2">
      <c r="C45" s="13"/>
      <c r="D45" s="13"/>
    </row>
    <row r="46" spans="1:17" x14ac:dyDescent="0.2">
      <c r="C46" s="13"/>
      <c r="D46" s="13"/>
    </row>
    <row r="47" spans="1:17" x14ac:dyDescent="0.2">
      <c r="C47" s="13"/>
      <c r="D47" s="13"/>
    </row>
    <row r="48" spans="1:17" x14ac:dyDescent="0.2">
      <c r="C48" s="13"/>
      <c r="D48" s="13"/>
    </row>
    <row r="49" spans="1:4" x14ac:dyDescent="0.2">
      <c r="C49" s="13"/>
      <c r="D49" s="13"/>
    </row>
    <row r="50" spans="1:4" x14ac:dyDescent="0.2">
      <c r="A50" s="18"/>
      <c r="C50" s="13"/>
      <c r="D50" s="13"/>
    </row>
    <row r="51" spans="1:4" x14ac:dyDescent="0.2">
      <c r="A51" s="22"/>
      <c r="C51" s="13"/>
      <c r="D51" s="13"/>
    </row>
    <row r="52" spans="1:4" x14ac:dyDescent="0.2">
      <c r="C52" s="13"/>
      <c r="D52" s="13"/>
    </row>
    <row r="53" spans="1:4" x14ac:dyDescent="0.2">
      <c r="A53" s="22"/>
      <c r="C53" s="15"/>
      <c r="D53" s="15"/>
    </row>
    <row r="54" spans="1:4" x14ac:dyDescent="0.2">
      <c r="A54" s="22"/>
      <c r="C54" s="15"/>
      <c r="D54" s="15"/>
    </row>
    <row r="55" spans="1:4" x14ac:dyDescent="0.2">
      <c r="A55" s="22"/>
      <c r="C55" s="15"/>
      <c r="D55" s="15"/>
    </row>
    <row r="56" spans="1:4" x14ac:dyDescent="0.2">
      <c r="A56" s="22"/>
    </row>
    <row r="57" spans="1:4" x14ac:dyDescent="0.2">
      <c r="A57" s="22"/>
    </row>
    <row r="58" spans="1:4" x14ac:dyDescent="0.2">
      <c r="A58" s="22"/>
    </row>
    <row r="63" spans="1:4" x14ac:dyDescent="0.2">
      <c r="A63" s="22"/>
    </row>
    <row r="64" spans="1:4" x14ac:dyDescent="0.2">
      <c r="A64" s="22"/>
    </row>
  </sheetData>
  <mergeCells count="8">
    <mergeCell ref="A4:Q4"/>
    <mergeCell ref="K10:M10"/>
    <mergeCell ref="O10:Q10"/>
    <mergeCell ref="O9:Q9"/>
    <mergeCell ref="A6:Q6"/>
    <mergeCell ref="A7:Q7"/>
    <mergeCell ref="C10:E10"/>
    <mergeCell ref="G10:I10"/>
  </mergeCells>
  <pageMargins left="0.95" right="0.7" top="1" bottom="0" header="0.3" footer="0.3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>
    <pageSetUpPr fitToPage="1"/>
  </sheetPr>
  <dimension ref="A1:N82"/>
  <sheetViews>
    <sheetView zoomScaleNormal="100" workbookViewId="0">
      <selection activeCell="I73" sqref="I73"/>
    </sheetView>
  </sheetViews>
  <sheetFormatPr defaultColWidth="9.140625" defaultRowHeight="14.25" x14ac:dyDescent="0.2"/>
  <cols>
    <col min="1" max="1" width="38" style="3" customWidth="1"/>
    <col min="2" max="2" width="2.7109375" style="3" customWidth="1"/>
    <col min="3" max="3" width="12.7109375" style="3" customWidth="1"/>
    <col min="4" max="4" width="5.140625" style="3" customWidth="1"/>
    <col min="5" max="5" width="10.140625" style="3" customWidth="1"/>
    <col min="6" max="6" width="5.42578125" style="3" customWidth="1"/>
    <col min="7" max="7" width="16" style="3" customWidth="1"/>
    <col min="8" max="8" width="5.140625" style="3" customWidth="1"/>
    <col min="9" max="9" width="14.5703125" style="3" customWidth="1"/>
    <col min="10" max="10" width="1.42578125" style="3" customWidth="1"/>
    <col min="11" max="11" width="13.85546875" style="3" bestFit="1" customWidth="1"/>
    <col min="12" max="16384" width="9.140625" style="3"/>
  </cols>
  <sheetData>
    <row r="1" spans="1:11" x14ac:dyDescent="0.2">
      <c r="K1" s="70" t="s">
        <v>72</v>
      </c>
    </row>
    <row r="2" spans="1:11" x14ac:dyDescent="0.2">
      <c r="A2" s="86" t="s">
        <v>34</v>
      </c>
      <c r="B2" s="86"/>
      <c r="C2" s="86"/>
      <c r="D2" s="86"/>
      <c r="E2" s="86"/>
      <c r="F2" s="86"/>
      <c r="G2" s="86"/>
      <c r="H2" s="86"/>
      <c r="I2" s="86"/>
      <c r="J2" s="86"/>
      <c r="K2" s="70" t="s">
        <v>1</v>
      </c>
    </row>
    <row r="4" spans="1:11" x14ac:dyDescent="0.2">
      <c r="A4" s="86" t="s">
        <v>56</v>
      </c>
      <c r="B4" s="86"/>
      <c r="C4" s="86"/>
      <c r="D4" s="86"/>
      <c r="E4" s="86"/>
      <c r="F4" s="86"/>
      <c r="G4" s="86"/>
      <c r="H4" s="86"/>
      <c r="I4" s="86"/>
      <c r="J4" s="86"/>
    </row>
    <row r="5" spans="1:11" x14ac:dyDescent="0.2">
      <c r="A5" s="87"/>
      <c r="B5" s="87"/>
      <c r="C5" s="87"/>
      <c r="D5" s="87"/>
      <c r="E5" s="87"/>
      <c r="F5" s="87"/>
      <c r="G5" s="87"/>
      <c r="H5" s="87"/>
      <c r="I5" s="87"/>
      <c r="J5" s="87"/>
    </row>
    <row r="6" spans="1:11" x14ac:dyDescent="0.2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 x14ac:dyDescent="0.2">
      <c r="A7" s="58"/>
      <c r="B7" s="12"/>
      <c r="C7" s="12"/>
      <c r="D7" s="12"/>
      <c r="E7" s="12"/>
      <c r="F7" s="12"/>
      <c r="G7" s="12"/>
      <c r="I7" s="5" t="s">
        <v>15</v>
      </c>
    </row>
    <row r="8" spans="1:11" x14ac:dyDescent="0.2">
      <c r="A8" s="59"/>
      <c r="B8" s="12"/>
      <c r="C8" s="5" t="s">
        <v>7</v>
      </c>
      <c r="D8" s="12"/>
      <c r="E8" s="5" t="s">
        <v>9</v>
      </c>
      <c r="F8" s="12"/>
      <c r="G8" s="5" t="s">
        <v>11</v>
      </c>
      <c r="I8" s="5" t="s">
        <v>22</v>
      </c>
      <c r="K8" s="5"/>
    </row>
    <row r="9" spans="1:11" x14ac:dyDescent="0.2">
      <c r="A9" s="10" t="s">
        <v>24</v>
      </c>
      <c r="B9" s="11"/>
      <c r="C9" s="10" t="s">
        <v>8</v>
      </c>
      <c r="D9" s="11"/>
      <c r="E9" s="10" t="s">
        <v>10</v>
      </c>
      <c r="F9" s="11"/>
      <c r="G9" s="10" t="s">
        <v>12</v>
      </c>
      <c r="H9" s="9"/>
      <c r="I9" s="10" t="s">
        <v>13</v>
      </c>
      <c r="J9" s="19"/>
      <c r="K9" s="5"/>
    </row>
    <row r="10" spans="1:11" x14ac:dyDescent="0.2">
      <c r="A10" s="8"/>
      <c r="B10" s="12"/>
      <c r="C10" s="5"/>
      <c r="D10" s="12"/>
      <c r="E10" s="5"/>
      <c r="F10" s="12"/>
      <c r="G10" s="5"/>
      <c r="I10" s="5"/>
    </row>
    <row r="11" spans="1:11" x14ac:dyDescent="0.2">
      <c r="A11" s="58" t="s">
        <v>47</v>
      </c>
      <c r="C11" s="67">
        <v>47833</v>
      </c>
      <c r="D11" s="23"/>
      <c r="E11" s="60">
        <v>6.0199999999999997E-2</v>
      </c>
      <c r="F11" s="15"/>
      <c r="G11" s="2">
        <v>10000000</v>
      </c>
      <c r="I11" s="2">
        <f t="shared" ref="I11:I16" si="0">ROUND(G11*E11,5)</f>
        <v>602000</v>
      </c>
      <c r="K11" s="2"/>
    </row>
    <row r="12" spans="1:11" x14ac:dyDescent="0.2">
      <c r="A12" s="58" t="s">
        <v>46</v>
      </c>
      <c r="C12" s="67">
        <v>52238</v>
      </c>
      <c r="D12" s="23"/>
      <c r="E12" s="60">
        <v>5.7700000000000001E-2</v>
      </c>
      <c r="F12" s="15"/>
      <c r="G12" s="2">
        <v>20000000</v>
      </c>
      <c r="I12" s="2">
        <f t="shared" si="0"/>
        <v>1154000</v>
      </c>
      <c r="K12" s="2"/>
    </row>
    <row r="13" spans="1:11" x14ac:dyDescent="0.2">
      <c r="A13" s="58" t="s">
        <v>45</v>
      </c>
      <c r="C13" s="67">
        <v>52588</v>
      </c>
      <c r="D13" s="23"/>
      <c r="E13" s="60">
        <v>6.2E-2</v>
      </c>
      <c r="F13" s="15"/>
      <c r="G13" s="2">
        <v>20000000</v>
      </c>
      <c r="I13" s="2">
        <f t="shared" si="0"/>
        <v>1240000</v>
      </c>
      <c r="K13" s="2"/>
    </row>
    <row r="14" spans="1:11" x14ac:dyDescent="0.2">
      <c r="A14" s="58" t="s">
        <v>44</v>
      </c>
      <c r="C14" s="67">
        <v>52947</v>
      </c>
      <c r="D14" s="23"/>
      <c r="E14" s="60">
        <v>4.4299999999999999E-2</v>
      </c>
      <c r="F14" s="15"/>
      <c r="G14" s="2">
        <v>5000000</v>
      </c>
      <c r="I14" s="2">
        <f t="shared" si="0"/>
        <v>221500</v>
      </c>
      <c r="K14" s="2"/>
    </row>
    <row r="15" spans="1:11" x14ac:dyDescent="0.2">
      <c r="A15" s="58" t="s">
        <v>41</v>
      </c>
      <c r="C15" s="67">
        <v>53600</v>
      </c>
      <c r="D15" s="23"/>
      <c r="E15" s="60">
        <v>3.8425000000000001E-2</v>
      </c>
      <c r="F15" s="15"/>
      <c r="G15" s="2">
        <v>31000000</v>
      </c>
      <c r="I15" s="2">
        <f t="shared" si="0"/>
        <v>1191175</v>
      </c>
      <c r="K15" s="2"/>
    </row>
    <row r="16" spans="1:11" x14ac:dyDescent="0.2">
      <c r="A16" s="58" t="s">
        <v>42</v>
      </c>
      <c r="C16" s="67">
        <v>54423</v>
      </c>
      <c r="D16" s="23"/>
      <c r="E16" s="60">
        <v>4.6435999999999998E-2</v>
      </c>
      <c r="F16" s="15"/>
      <c r="G16" s="2">
        <v>13000000</v>
      </c>
      <c r="I16" s="2">
        <f t="shared" si="0"/>
        <v>603668</v>
      </c>
      <c r="K16" s="2"/>
    </row>
    <row r="17" spans="1:11" x14ac:dyDescent="0.2">
      <c r="A17" s="58" t="s">
        <v>43</v>
      </c>
      <c r="C17" s="67">
        <v>54788</v>
      </c>
      <c r="D17" s="23"/>
      <c r="E17" s="60">
        <v>3.7484999999999997E-2</v>
      </c>
      <c r="F17" s="15"/>
      <c r="G17" s="2">
        <v>15000000</v>
      </c>
      <c r="I17" s="2">
        <f t="shared" ref="I17:I27" si="1">ROUND(G17*E17,5)</f>
        <v>562275</v>
      </c>
      <c r="K17" s="2"/>
    </row>
    <row r="18" spans="1:11" x14ac:dyDescent="0.2">
      <c r="A18" s="58" t="s">
        <v>48</v>
      </c>
      <c r="C18" s="67">
        <v>54969</v>
      </c>
      <c r="D18" s="23"/>
      <c r="E18" s="60">
        <v>3.1741999999999999E-2</v>
      </c>
      <c r="F18" s="15"/>
      <c r="G18" s="2">
        <v>12000000</v>
      </c>
      <c r="I18" s="2">
        <f t="shared" si="1"/>
        <v>380904</v>
      </c>
      <c r="K18" s="2"/>
    </row>
    <row r="19" spans="1:11" x14ac:dyDescent="0.2">
      <c r="A19" s="58" t="s">
        <v>49</v>
      </c>
      <c r="C19" s="67">
        <v>55334</v>
      </c>
      <c r="D19" s="23"/>
      <c r="E19" s="60">
        <v>3.2719999999999999E-2</v>
      </c>
      <c r="F19" s="15"/>
      <c r="G19" s="2">
        <v>22000000</v>
      </c>
      <c r="I19" s="2">
        <f t="shared" si="1"/>
        <v>719840</v>
      </c>
      <c r="K19" s="2"/>
    </row>
    <row r="20" spans="1:11" x14ac:dyDescent="0.2">
      <c r="A20" s="58" t="s">
        <v>64</v>
      </c>
      <c r="C20" s="67">
        <v>55426</v>
      </c>
      <c r="D20" s="23"/>
      <c r="E20" s="60">
        <v>3.2777000000000001E-2</v>
      </c>
      <c r="F20" s="15"/>
      <c r="G20" s="2">
        <v>22000000</v>
      </c>
      <c r="I20" s="2">
        <f t="shared" si="1"/>
        <v>721094</v>
      </c>
      <c r="K20" s="2"/>
    </row>
    <row r="21" spans="1:11" x14ac:dyDescent="0.2">
      <c r="A21" s="58" t="s">
        <v>50</v>
      </c>
      <c r="C21" s="67">
        <v>55518</v>
      </c>
      <c r="D21" s="23"/>
      <c r="E21" s="60">
        <v>3.2670999999999999E-2</v>
      </c>
      <c r="F21" s="15"/>
      <c r="G21" s="2">
        <v>10000000</v>
      </c>
      <c r="I21" s="2">
        <f t="shared" si="1"/>
        <v>326710</v>
      </c>
      <c r="K21" s="2"/>
    </row>
    <row r="22" spans="1:11" x14ac:dyDescent="0.2">
      <c r="A22" s="58" t="s">
        <v>51</v>
      </c>
      <c r="C22" s="67">
        <v>55609</v>
      </c>
      <c r="D22" s="23"/>
      <c r="E22" s="60">
        <v>4.1243000000000002E-2</v>
      </c>
      <c r="F22" s="15"/>
      <c r="G22" s="2">
        <v>8000000</v>
      </c>
      <c r="I22" s="2">
        <f t="shared" si="1"/>
        <v>329944</v>
      </c>
      <c r="K22" s="2"/>
    </row>
    <row r="23" spans="1:11" x14ac:dyDescent="0.2">
      <c r="A23" s="58" t="s">
        <v>52</v>
      </c>
      <c r="C23" s="67">
        <v>55700</v>
      </c>
      <c r="D23" s="23"/>
      <c r="E23" s="60">
        <v>5.0807999999999999E-2</v>
      </c>
      <c r="F23" s="15"/>
      <c r="G23" s="2">
        <v>18000000</v>
      </c>
      <c r="I23" s="2">
        <f t="shared" si="1"/>
        <v>914544</v>
      </c>
      <c r="K23" s="2"/>
    </row>
    <row r="24" spans="1:11" x14ac:dyDescent="0.2">
      <c r="A24" s="58" t="s">
        <v>53</v>
      </c>
      <c r="C24" s="67">
        <v>56156</v>
      </c>
      <c r="D24" s="23"/>
      <c r="E24" s="60">
        <v>6.2617999999999993E-2</v>
      </c>
      <c r="F24" s="15"/>
      <c r="G24" s="2">
        <v>33000000</v>
      </c>
      <c r="I24" s="2">
        <f t="shared" si="1"/>
        <v>2066394</v>
      </c>
      <c r="K24" s="2"/>
    </row>
    <row r="25" spans="1:11" x14ac:dyDescent="0.2">
      <c r="A25" s="58" t="s">
        <v>61</v>
      </c>
      <c r="C25" s="67">
        <v>56428</v>
      </c>
      <c r="D25" s="23"/>
      <c r="E25" s="60">
        <v>5.9124000000000003E-2</v>
      </c>
      <c r="F25" s="15"/>
      <c r="G25" s="2">
        <v>5000000</v>
      </c>
      <c r="I25" s="2">
        <f t="shared" si="1"/>
        <v>295620</v>
      </c>
      <c r="K25" s="2"/>
    </row>
    <row r="26" spans="1:11" x14ac:dyDescent="0.2">
      <c r="A26" s="58" t="s">
        <v>62</v>
      </c>
      <c r="C26" s="67">
        <v>56522</v>
      </c>
      <c r="D26" s="23"/>
      <c r="E26" s="60">
        <v>5.3761999999999997E-2</v>
      </c>
      <c r="F26" s="15"/>
      <c r="G26" s="2">
        <v>24000000</v>
      </c>
      <c r="I26" s="2">
        <f t="shared" si="1"/>
        <v>1290288</v>
      </c>
      <c r="K26" s="2"/>
    </row>
    <row r="27" spans="1:11" x14ac:dyDescent="0.2">
      <c r="A27" s="58" t="s">
        <v>63</v>
      </c>
      <c r="C27" s="67">
        <v>56614</v>
      </c>
      <c r="D27" s="23"/>
      <c r="E27" s="60">
        <v>5.9186999999999997E-2</v>
      </c>
      <c r="F27" s="15"/>
      <c r="G27" s="2">
        <v>10000000</v>
      </c>
      <c r="I27" s="2">
        <f t="shared" si="1"/>
        <v>591870</v>
      </c>
      <c r="K27" s="2"/>
    </row>
    <row r="28" spans="1:11" x14ac:dyDescent="0.2">
      <c r="A28" s="61" t="s">
        <v>58</v>
      </c>
      <c r="B28" s="30"/>
      <c r="C28" s="31"/>
      <c r="D28" s="31"/>
      <c r="E28" s="16"/>
      <c r="F28" s="16"/>
      <c r="G28" s="62">
        <f>SUM(G11:G27)</f>
        <v>278000000</v>
      </c>
      <c r="H28" s="30"/>
      <c r="I28" s="63">
        <f>SUM(I11:I27)</f>
        <v>13211826</v>
      </c>
      <c r="J28" s="54"/>
      <c r="K28" s="54"/>
    </row>
    <row r="29" spans="1:11" x14ac:dyDescent="0.2">
      <c r="C29" s="23"/>
      <c r="D29" s="23"/>
      <c r="E29" s="15"/>
      <c r="F29" s="64"/>
      <c r="G29" s="15"/>
      <c r="I29" s="32"/>
    </row>
    <row r="30" spans="1:11" x14ac:dyDescent="0.2">
      <c r="C30" s="23"/>
      <c r="D30" s="23"/>
      <c r="E30" s="65" t="s">
        <v>23</v>
      </c>
      <c r="F30" s="30"/>
      <c r="G30" s="30"/>
      <c r="H30" s="30"/>
      <c r="I30" s="66">
        <f>ROUND(I28/G28,5)</f>
        <v>4.752E-2</v>
      </c>
    </row>
    <row r="31" spans="1:11" x14ac:dyDescent="0.2">
      <c r="C31" s="23"/>
      <c r="D31" s="23"/>
      <c r="I31" s="32"/>
    </row>
    <row r="32" spans="1:11" x14ac:dyDescent="0.2">
      <c r="A32" s="58" t="s">
        <v>65</v>
      </c>
      <c r="C32" s="67">
        <v>57161</v>
      </c>
      <c r="D32" s="23"/>
      <c r="E32" s="60">
        <v>5.9459999999999999E-2</v>
      </c>
      <c r="F32" s="15"/>
      <c r="G32" s="2">
        <v>10000000</v>
      </c>
      <c r="I32" s="2">
        <f>ROUND(G32*E32,5)</f>
        <v>594600</v>
      </c>
      <c r="K32" s="2"/>
    </row>
    <row r="33" spans="1:11" x14ac:dyDescent="0.2">
      <c r="A33" s="61" t="s">
        <v>59</v>
      </c>
      <c r="B33" s="30"/>
      <c r="C33" s="31"/>
      <c r="D33" s="31"/>
      <c r="E33" s="16"/>
      <c r="F33" s="16"/>
      <c r="G33" s="62">
        <f>G28+G32</f>
        <v>288000000</v>
      </c>
      <c r="H33" s="30"/>
      <c r="I33" s="62">
        <f>I28+SUM(I32:I32)</f>
        <v>13806426</v>
      </c>
      <c r="J33" s="54"/>
      <c r="K33" s="54"/>
    </row>
    <row r="34" spans="1:11" x14ac:dyDescent="0.2">
      <c r="A34" s="18"/>
      <c r="C34" s="23"/>
      <c r="D34" s="23"/>
      <c r="E34" s="15"/>
      <c r="F34" s="15"/>
    </row>
    <row r="35" spans="1:11" x14ac:dyDescent="0.2">
      <c r="C35" s="23"/>
      <c r="D35" s="23"/>
      <c r="E35" s="65" t="s">
        <v>23</v>
      </c>
      <c r="F35" s="30"/>
      <c r="G35" s="30"/>
      <c r="H35" s="30"/>
      <c r="I35" s="85">
        <f>ROUND(I33/G33,5)</f>
        <v>4.7940000000000003E-2</v>
      </c>
    </row>
    <row r="36" spans="1:11" x14ac:dyDescent="0.2">
      <c r="A36" s="18"/>
      <c r="C36" s="23"/>
      <c r="D36" s="23"/>
      <c r="E36" s="15"/>
      <c r="F36" s="15"/>
    </row>
    <row r="37" spans="1:11" x14ac:dyDescent="0.2">
      <c r="A37" s="58" t="s">
        <v>66</v>
      </c>
      <c r="C37" s="67">
        <v>57253</v>
      </c>
      <c r="D37" s="23"/>
      <c r="E37" s="60">
        <v>6.6994999999999999E-2</v>
      </c>
      <c r="F37" s="15"/>
      <c r="G37" s="2">
        <v>24000000</v>
      </c>
      <c r="I37" s="2">
        <f>ROUND(G37*E37,5)</f>
        <v>1607880</v>
      </c>
      <c r="K37" s="2"/>
    </row>
    <row r="38" spans="1:11" x14ac:dyDescent="0.2">
      <c r="A38" s="58" t="s">
        <v>67</v>
      </c>
      <c r="C38" s="67">
        <v>57435</v>
      </c>
      <c r="D38" s="23"/>
      <c r="E38" s="60">
        <v>6.5000000000000002E-2</v>
      </c>
      <c r="F38" s="15"/>
      <c r="G38" s="2">
        <v>31000000</v>
      </c>
      <c r="I38" s="2">
        <f>ROUND(G38*E38,5)</f>
        <v>2015000</v>
      </c>
      <c r="K38" s="2"/>
    </row>
    <row r="39" spans="1:11" x14ac:dyDescent="0.2">
      <c r="A39" s="61" t="s">
        <v>60</v>
      </c>
      <c r="B39" s="30"/>
      <c r="C39" s="31"/>
      <c r="D39" s="31"/>
      <c r="E39" s="16"/>
      <c r="F39" s="16"/>
      <c r="G39" s="62">
        <f>G33+SUM(G37:G38)</f>
        <v>343000000</v>
      </c>
      <c r="H39" s="30"/>
      <c r="I39" s="62">
        <f>I33+SUM(I37:I38)</f>
        <v>17429306</v>
      </c>
    </row>
    <row r="40" spans="1:11" x14ac:dyDescent="0.2">
      <c r="A40" s="18"/>
      <c r="C40" s="23"/>
      <c r="D40" s="23"/>
      <c r="E40" s="15"/>
      <c r="F40" s="15"/>
    </row>
    <row r="41" spans="1:11" x14ac:dyDescent="0.2">
      <c r="A41" s="18"/>
      <c r="C41" s="23"/>
      <c r="D41" s="23"/>
      <c r="E41" s="65" t="s">
        <v>23</v>
      </c>
      <c r="F41" s="30"/>
      <c r="G41" s="30"/>
      <c r="H41" s="30"/>
      <c r="I41" s="84">
        <f>ROUND(I39/G39,5)</f>
        <v>5.0810000000000001E-2</v>
      </c>
    </row>
    <row r="42" spans="1:11" x14ac:dyDescent="0.2">
      <c r="A42" s="18"/>
      <c r="C42" s="23"/>
      <c r="D42" s="23"/>
      <c r="E42" s="15"/>
      <c r="F42" s="15"/>
    </row>
    <row r="43" spans="1:11" x14ac:dyDescent="0.2">
      <c r="A43" s="18"/>
      <c r="C43" s="23"/>
      <c r="D43" s="23"/>
      <c r="E43" s="15"/>
      <c r="F43" s="15"/>
    </row>
    <row r="44" spans="1:11" x14ac:dyDescent="0.2">
      <c r="A44" s="86" t="s">
        <v>34</v>
      </c>
      <c r="B44" s="86"/>
      <c r="C44" s="86"/>
      <c r="D44" s="86"/>
      <c r="E44" s="86"/>
      <c r="F44" s="86"/>
      <c r="G44" s="86"/>
      <c r="H44" s="86"/>
      <c r="I44" s="86"/>
      <c r="J44" s="86"/>
      <c r="K44" s="70"/>
    </row>
    <row r="45" spans="1:11" x14ac:dyDescent="0.2">
      <c r="A45" s="86" t="s">
        <v>57</v>
      </c>
      <c r="B45" s="86"/>
      <c r="C45" s="86"/>
      <c r="D45" s="86"/>
      <c r="E45" s="86"/>
      <c r="F45" s="86"/>
      <c r="G45" s="86"/>
      <c r="H45" s="86"/>
      <c r="I45" s="86"/>
      <c r="J45" s="86"/>
    </row>
    <row r="46" spans="1:1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1" x14ac:dyDescent="0.2">
      <c r="A47" s="58"/>
      <c r="B47" s="12"/>
      <c r="C47" s="12"/>
      <c r="D47" s="12"/>
      <c r="E47" s="12"/>
      <c r="F47" s="12"/>
      <c r="G47" s="12"/>
      <c r="I47" s="5" t="s">
        <v>15</v>
      </c>
    </row>
    <row r="48" spans="1:11" x14ac:dyDescent="0.2">
      <c r="A48" s="59"/>
      <c r="B48" s="12"/>
      <c r="C48" s="5" t="s">
        <v>7</v>
      </c>
      <c r="D48" s="12"/>
      <c r="E48" s="5" t="s">
        <v>9</v>
      </c>
      <c r="F48" s="12"/>
      <c r="G48" s="5" t="s">
        <v>11</v>
      </c>
      <c r="I48" s="5" t="s">
        <v>22</v>
      </c>
      <c r="K48" s="5"/>
    </row>
    <row r="49" spans="1:11" x14ac:dyDescent="0.2">
      <c r="A49" s="10" t="s">
        <v>24</v>
      </c>
      <c r="B49" s="11"/>
      <c r="C49" s="10" t="s">
        <v>8</v>
      </c>
      <c r="D49" s="11"/>
      <c r="E49" s="10" t="s">
        <v>10</v>
      </c>
      <c r="F49" s="11"/>
      <c r="G49" s="10" t="s">
        <v>12</v>
      </c>
      <c r="H49" s="9"/>
      <c r="I49" s="10" t="s">
        <v>13</v>
      </c>
      <c r="J49" s="19"/>
      <c r="K49" s="5"/>
    </row>
    <row r="50" spans="1:11" x14ac:dyDescent="0.2">
      <c r="A50" s="8"/>
      <c r="B50" s="12"/>
      <c r="C50" s="5"/>
      <c r="D50" s="12"/>
      <c r="E50" s="5"/>
      <c r="F50" s="12"/>
      <c r="G50" s="5"/>
      <c r="I50" s="5"/>
    </row>
    <row r="51" spans="1:11" x14ac:dyDescent="0.2">
      <c r="A51" s="58" t="s">
        <v>47</v>
      </c>
      <c r="C51" s="67">
        <v>47833</v>
      </c>
      <c r="D51" s="23"/>
      <c r="E51" s="60">
        <v>6.0199999999999997E-2</v>
      </c>
      <c r="F51" s="15"/>
      <c r="G51" s="2">
        <v>10000000</v>
      </c>
      <c r="I51" s="2">
        <f t="shared" ref="I51:I70" si="2">ROUND(G51*E51,5)</f>
        <v>602000</v>
      </c>
      <c r="K51" s="2"/>
    </row>
    <row r="52" spans="1:11" x14ac:dyDescent="0.2">
      <c r="A52" s="58" t="s">
        <v>46</v>
      </c>
      <c r="C52" s="67">
        <v>52238</v>
      </c>
      <c r="D52" s="23"/>
      <c r="E52" s="60">
        <v>5.7700000000000001E-2</v>
      </c>
      <c r="F52" s="15"/>
      <c r="G52" s="2">
        <v>20000000</v>
      </c>
      <c r="I52" s="2">
        <f t="shared" si="2"/>
        <v>1154000</v>
      </c>
      <c r="K52" s="2"/>
    </row>
    <row r="53" spans="1:11" x14ac:dyDescent="0.2">
      <c r="A53" s="58" t="s">
        <v>45</v>
      </c>
      <c r="C53" s="67">
        <v>52588</v>
      </c>
      <c r="D53" s="23"/>
      <c r="E53" s="60">
        <v>6.2E-2</v>
      </c>
      <c r="F53" s="15"/>
      <c r="G53" s="2">
        <v>20000000</v>
      </c>
      <c r="I53" s="2">
        <f t="shared" si="2"/>
        <v>1240000</v>
      </c>
      <c r="K53" s="2"/>
    </row>
    <row r="54" spans="1:11" x14ac:dyDescent="0.2">
      <c r="A54" s="58" t="s">
        <v>44</v>
      </c>
      <c r="C54" s="67">
        <v>52947</v>
      </c>
      <c r="D54" s="23"/>
      <c r="E54" s="60">
        <v>4.4299999999999999E-2</v>
      </c>
      <c r="F54" s="15"/>
      <c r="G54" s="2">
        <v>5000000</v>
      </c>
      <c r="I54" s="2">
        <f t="shared" si="2"/>
        <v>221500</v>
      </c>
      <c r="K54" s="2"/>
    </row>
    <row r="55" spans="1:11" x14ac:dyDescent="0.2">
      <c r="A55" s="58" t="s">
        <v>41</v>
      </c>
      <c r="C55" s="67">
        <v>53600</v>
      </c>
      <c r="D55" s="23"/>
      <c r="E55" s="60">
        <v>3.8425000000000001E-2</v>
      </c>
      <c r="F55" s="15"/>
      <c r="G55" s="2">
        <v>31000000</v>
      </c>
      <c r="I55" s="2">
        <f t="shared" si="2"/>
        <v>1191175</v>
      </c>
      <c r="K55" s="2"/>
    </row>
    <row r="56" spans="1:11" x14ac:dyDescent="0.2">
      <c r="A56" s="58" t="s">
        <v>42</v>
      </c>
      <c r="C56" s="67">
        <v>54423</v>
      </c>
      <c r="D56" s="23"/>
      <c r="E56" s="60">
        <v>4.6435999999999998E-2</v>
      </c>
      <c r="F56" s="15"/>
      <c r="G56" s="2">
        <v>13000000</v>
      </c>
      <c r="I56" s="2">
        <f t="shared" si="2"/>
        <v>603668</v>
      </c>
      <c r="K56" s="2"/>
    </row>
    <row r="57" spans="1:11" x14ac:dyDescent="0.2">
      <c r="A57" s="58" t="s">
        <v>43</v>
      </c>
      <c r="C57" s="67">
        <v>54788</v>
      </c>
      <c r="D57" s="23"/>
      <c r="E57" s="60">
        <v>3.7484999999999997E-2</v>
      </c>
      <c r="F57" s="15"/>
      <c r="G57" s="2">
        <v>15000000</v>
      </c>
      <c r="I57" s="2">
        <f t="shared" si="2"/>
        <v>562275</v>
      </c>
      <c r="K57" s="2"/>
    </row>
    <row r="58" spans="1:11" x14ac:dyDescent="0.2">
      <c r="A58" s="58" t="s">
        <v>48</v>
      </c>
      <c r="C58" s="67">
        <v>54969</v>
      </c>
      <c r="D58" s="23"/>
      <c r="E58" s="60">
        <v>3.1741999999999999E-2</v>
      </c>
      <c r="F58" s="15"/>
      <c r="G58" s="2">
        <v>12000000</v>
      </c>
      <c r="I58" s="2">
        <f t="shared" si="2"/>
        <v>380904</v>
      </c>
      <c r="K58" s="2"/>
    </row>
    <row r="59" spans="1:11" x14ac:dyDescent="0.2">
      <c r="A59" s="58" t="s">
        <v>49</v>
      </c>
      <c r="C59" s="67">
        <v>55334</v>
      </c>
      <c r="D59" s="23"/>
      <c r="E59" s="60">
        <v>3.2719999999999999E-2</v>
      </c>
      <c r="F59" s="15"/>
      <c r="G59" s="2">
        <v>22000000</v>
      </c>
      <c r="I59" s="2">
        <f t="shared" si="2"/>
        <v>719840</v>
      </c>
      <c r="K59" s="2"/>
    </row>
    <row r="60" spans="1:11" x14ac:dyDescent="0.2">
      <c r="A60" s="58" t="s">
        <v>64</v>
      </c>
      <c r="C60" s="67">
        <v>55426</v>
      </c>
      <c r="D60" s="23"/>
      <c r="E60" s="60">
        <v>3.2777000000000001E-2</v>
      </c>
      <c r="F60" s="15"/>
      <c r="G60" s="2">
        <v>22000000</v>
      </c>
      <c r="I60" s="2">
        <f t="shared" si="2"/>
        <v>721094</v>
      </c>
      <c r="K60" s="2"/>
    </row>
    <row r="61" spans="1:11" x14ac:dyDescent="0.2">
      <c r="A61" s="58" t="s">
        <v>50</v>
      </c>
      <c r="C61" s="67">
        <v>55518</v>
      </c>
      <c r="D61" s="23"/>
      <c r="E61" s="60">
        <v>3.2670999999999999E-2</v>
      </c>
      <c r="F61" s="15"/>
      <c r="G61" s="2">
        <v>10000000</v>
      </c>
      <c r="I61" s="2">
        <f t="shared" si="2"/>
        <v>326710</v>
      </c>
      <c r="K61" s="2"/>
    </row>
    <row r="62" spans="1:11" x14ac:dyDescent="0.2">
      <c r="A62" s="58" t="s">
        <v>51</v>
      </c>
      <c r="C62" s="67">
        <v>55609</v>
      </c>
      <c r="D62" s="23"/>
      <c r="E62" s="60">
        <v>4.1243000000000002E-2</v>
      </c>
      <c r="F62" s="15"/>
      <c r="G62" s="2">
        <v>8000000</v>
      </c>
      <c r="I62" s="2">
        <f t="shared" si="2"/>
        <v>329944</v>
      </c>
      <c r="K62" s="2"/>
    </row>
    <row r="63" spans="1:11" x14ac:dyDescent="0.2">
      <c r="A63" s="58" t="s">
        <v>52</v>
      </c>
      <c r="C63" s="67">
        <v>55700</v>
      </c>
      <c r="D63" s="23"/>
      <c r="E63" s="60">
        <v>5.0807999999999999E-2</v>
      </c>
      <c r="F63" s="15"/>
      <c r="G63" s="2">
        <v>18000000</v>
      </c>
      <c r="I63" s="2">
        <f t="shared" si="2"/>
        <v>914544</v>
      </c>
      <c r="K63" s="2"/>
    </row>
    <row r="64" spans="1:11" x14ac:dyDescent="0.2">
      <c r="A64" s="58" t="s">
        <v>53</v>
      </c>
      <c r="C64" s="67">
        <v>56156</v>
      </c>
      <c r="D64" s="23"/>
      <c r="E64" s="60">
        <v>6.2617999999999993E-2</v>
      </c>
      <c r="F64" s="15"/>
      <c r="G64" s="2">
        <v>33000000</v>
      </c>
      <c r="I64" s="2">
        <f t="shared" si="2"/>
        <v>2066394</v>
      </c>
      <c r="K64" s="2"/>
    </row>
    <row r="65" spans="1:14" x14ac:dyDescent="0.2">
      <c r="A65" s="58" t="s">
        <v>61</v>
      </c>
      <c r="C65" s="67">
        <v>56428</v>
      </c>
      <c r="D65" s="23"/>
      <c r="E65" s="60">
        <v>5.9124000000000003E-2</v>
      </c>
      <c r="F65" s="15"/>
      <c r="G65" s="2">
        <v>5000000</v>
      </c>
      <c r="I65" s="2">
        <f t="shared" si="2"/>
        <v>295620</v>
      </c>
      <c r="K65" s="2"/>
    </row>
    <row r="66" spans="1:14" x14ac:dyDescent="0.2">
      <c r="A66" s="58" t="s">
        <v>62</v>
      </c>
      <c r="C66" s="67">
        <v>56522</v>
      </c>
      <c r="D66" s="23"/>
      <c r="E66" s="60">
        <v>5.3761999999999997E-2</v>
      </c>
      <c r="F66" s="15"/>
      <c r="G66" s="2">
        <v>24000000</v>
      </c>
      <c r="I66" s="2">
        <f t="shared" si="2"/>
        <v>1290288</v>
      </c>
      <c r="K66" s="2"/>
    </row>
    <row r="67" spans="1:14" x14ac:dyDescent="0.2">
      <c r="A67" s="58" t="s">
        <v>63</v>
      </c>
      <c r="C67" s="67">
        <v>56614</v>
      </c>
      <c r="D67" s="23"/>
      <c r="E67" s="60">
        <v>5.9186999999999997E-2</v>
      </c>
      <c r="F67" s="15"/>
      <c r="G67" s="2">
        <v>10000000</v>
      </c>
      <c r="I67" s="2">
        <f t="shared" si="2"/>
        <v>591870</v>
      </c>
      <c r="K67" s="2"/>
      <c r="N67" s="69"/>
    </row>
    <row r="68" spans="1:14" x14ac:dyDescent="0.2">
      <c r="A68" s="58" t="s">
        <v>65</v>
      </c>
      <c r="C68" s="67">
        <v>57161</v>
      </c>
      <c r="D68" s="23"/>
      <c r="E68" s="60">
        <v>5.9459999999999999E-2</v>
      </c>
      <c r="F68" s="15"/>
      <c r="G68" s="2">
        <v>10000000</v>
      </c>
      <c r="I68" s="2">
        <f t="shared" si="2"/>
        <v>594600</v>
      </c>
      <c r="K68" s="2"/>
      <c r="N68" s="69"/>
    </row>
    <row r="69" spans="1:14" x14ac:dyDescent="0.2">
      <c r="A69" s="58" t="s">
        <v>66</v>
      </c>
      <c r="C69" s="67">
        <v>57253</v>
      </c>
      <c r="D69" s="23"/>
      <c r="E69" s="60">
        <v>6.6994999999999999E-2</v>
      </c>
      <c r="F69" s="15"/>
      <c r="G69" s="2">
        <v>24000000</v>
      </c>
      <c r="I69" s="2">
        <f t="shared" si="2"/>
        <v>1607880</v>
      </c>
      <c r="K69" s="2"/>
      <c r="N69" s="69"/>
    </row>
    <row r="70" spans="1:14" x14ac:dyDescent="0.2">
      <c r="A70" s="58" t="s">
        <v>67</v>
      </c>
      <c r="C70" s="67">
        <v>57435</v>
      </c>
      <c r="D70" s="23"/>
      <c r="E70" s="60">
        <v>6.5000000000000002E-2</v>
      </c>
      <c r="F70" s="15"/>
      <c r="G70" s="2">
        <f>31000000*9/13</f>
        <v>21461538.46153846</v>
      </c>
      <c r="I70" s="2">
        <f t="shared" si="2"/>
        <v>1395000</v>
      </c>
      <c r="K70" s="2"/>
      <c r="N70" s="69"/>
    </row>
    <row r="71" spans="1:14" x14ac:dyDescent="0.2">
      <c r="A71" s="58"/>
      <c r="C71" s="67"/>
      <c r="D71" s="23"/>
      <c r="E71" s="60"/>
      <c r="F71" s="15"/>
      <c r="G71" s="2"/>
      <c r="I71" s="2">
        <f>ROUND(G71*E71,5)</f>
        <v>0</v>
      </c>
      <c r="K71" s="2"/>
    </row>
    <row r="72" spans="1:14" x14ac:dyDescent="0.2">
      <c r="A72" s="61" t="s">
        <v>57</v>
      </c>
      <c r="B72" s="30"/>
      <c r="C72" s="31"/>
      <c r="D72" s="31"/>
      <c r="E72" s="16"/>
      <c r="F72" s="16"/>
      <c r="G72" s="62">
        <f>ROUND(SUM(G51:G70),0)</f>
        <v>333461538</v>
      </c>
      <c r="H72" s="30"/>
      <c r="I72" s="63">
        <f>SUM(I51:I70)</f>
        <v>16809306</v>
      </c>
      <c r="J72" s="54"/>
      <c r="K72" s="54"/>
    </row>
    <row r="73" spans="1:14" x14ac:dyDescent="0.2">
      <c r="C73" s="23"/>
      <c r="D73" s="23"/>
      <c r="E73" s="15"/>
      <c r="F73" s="64"/>
      <c r="G73" s="15"/>
      <c r="I73" s="32"/>
    </row>
    <row r="74" spans="1:14" x14ac:dyDescent="0.2">
      <c r="C74" s="23"/>
      <c r="D74" s="23"/>
      <c r="E74" s="65" t="s">
        <v>23</v>
      </c>
      <c r="F74" s="30"/>
      <c r="G74" s="30"/>
      <c r="H74" s="30"/>
      <c r="I74" s="66">
        <f>ROUND(I72/G72,5)</f>
        <v>5.0410000000000003E-2</v>
      </c>
    </row>
    <row r="75" spans="1:14" x14ac:dyDescent="0.2">
      <c r="A75" s="18"/>
      <c r="C75" s="23"/>
      <c r="D75" s="23"/>
      <c r="E75" s="15"/>
      <c r="F75" s="15"/>
    </row>
    <row r="76" spans="1:14" x14ac:dyDescent="0.2">
      <c r="B76" s="33"/>
      <c r="C76" s="35"/>
      <c r="D76" s="35"/>
      <c r="G76" s="36"/>
      <c r="H76" s="34"/>
      <c r="I76" s="37"/>
      <c r="J76" s="33"/>
      <c r="L76" s="21"/>
    </row>
    <row r="77" spans="1:14" x14ac:dyDescent="0.2">
      <c r="A77" s="33"/>
      <c r="B77" s="33"/>
      <c r="C77" s="42"/>
      <c r="D77" s="33"/>
      <c r="G77" s="34"/>
      <c r="H77" s="34"/>
      <c r="I77" s="33"/>
      <c r="J77" s="33"/>
      <c r="L77" s="21"/>
    </row>
    <row r="78" spans="1:14" x14ac:dyDescent="0.2">
      <c r="A78" s="38"/>
      <c r="B78" s="38"/>
      <c r="C78" s="38"/>
      <c r="D78" s="38"/>
      <c r="G78" s="39"/>
      <c r="H78" s="39"/>
      <c r="I78" s="38"/>
      <c r="J78" s="38"/>
    </row>
    <row r="79" spans="1:14" ht="15" x14ac:dyDescent="0.25">
      <c r="C79" s="40"/>
      <c r="D79" s="40"/>
      <c r="E79" s="40"/>
      <c r="G79" s="40"/>
      <c r="K79" s="33"/>
    </row>
    <row r="80" spans="1:14" ht="15" x14ac:dyDescent="0.25">
      <c r="C80" s="43"/>
      <c r="D80" s="40"/>
      <c r="E80" s="40"/>
      <c r="F80" s="40"/>
      <c r="G80" s="43"/>
      <c r="H80" s="41"/>
      <c r="I80" s="40"/>
      <c r="J80" s="40"/>
    </row>
    <row r="82" spans="3:7" x14ac:dyDescent="0.2">
      <c r="C82" s="44"/>
      <c r="G82" s="44"/>
    </row>
  </sheetData>
  <mergeCells count="5">
    <mergeCell ref="A4:J4"/>
    <mergeCell ref="A5:J5"/>
    <mergeCell ref="A2:J2"/>
    <mergeCell ref="A44:J44"/>
    <mergeCell ref="A45:J45"/>
  </mergeCells>
  <pageMargins left="1.2" right="0.2" top="0.5" bottom="0.5" header="0.3" footer="0.3"/>
  <pageSetup scale="6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c5ae62-a55a-440d-a0f2-09563c684693">
      <Terms xmlns="http://schemas.microsoft.com/office/infopath/2007/PartnerControls"/>
    </lcf76f155ced4ddcb4097134ff3c332f>
    <TaxCatchAll xmlns="16da5b74-d710-458d-80a0-fdf84c709c5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43B0754F3EA84BA41CDFEDEE7BEB48" ma:contentTypeVersion="10" ma:contentTypeDescription="Create a new document." ma:contentTypeScope="" ma:versionID="b88a2134457fe9ee1297367313618a7d">
  <xsd:schema xmlns:xsd="http://www.w3.org/2001/XMLSchema" xmlns:xs="http://www.w3.org/2001/XMLSchema" xmlns:p="http://schemas.microsoft.com/office/2006/metadata/properties" xmlns:ns2="a4c5ae62-a55a-440d-a0f2-09563c684693" xmlns:ns3="16da5b74-d710-458d-80a0-fdf84c709c57" targetNamespace="http://schemas.microsoft.com/office/2006/metadata/properties" ma:root="true" ma:fieldsID="d0ffbf2c57512769883681e23af7251b" ns2:_="" ns3:_="">
    <xsd:import namespace="a4c5ae62-a55a-440d-a0f2-09563c684693"/>
    <xsd:import namespace="16da5b74-d710-458d-80a0-fdf84c709c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5ae62-a55a-440d-a0f2-09563c6846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fde892d-7822-47be-a147-f7ef0365b8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a5b74-d710-458d-80a0-fdf84c709c5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ad67da4-8c51-43ab-8a02-f88fa09c5d48}" ma:internalName="TaxCatchAll" ma:showField="CatchAllData" ma:web="16da5b74-d710-458d-80a0-fdf84c709c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C405E0-0DD2-46E8-A64C-F8CC601D7761}">
  <ds:schemaRefs>
    <ds:schemaRef ds:uri="http://schemas.microsoft.com/office/2006/metadata/properties"/>
    <ds:schemaRef ds:uri="http://schemas.microsoft.com/office/infopath/2007/PartnerControls"/>
    <ds:schemaRef ds:uri="a4c5ae62-a55a-440d-a0f2-09563c684693"/>
    <ds:schemaRef ds:uri="16da5b74-d710-458d-80a0-fdf84c709c57"/>
  </ds:schemaRefs>
</ds:datastoreItem>
</file>

<file path=customXml/itemProps2.xml><?xml version="1.0" encoding="utf-8"?>
<ds:datastoreItem xmlns:ds="http://schemas.openxmlformats.org/officeDocument/2006/customXml" ds:itemID="{19742D63-C894-416B-9B12-06D563A94D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E86567-EC40-49E4-B92D-BA4794AE9C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c5ae62-a55a-440d-a0f2-09563c684693"/>
    <ds:schemaRef ds:uri="16da5b74-d710-458d-80a0-fdf84c709c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WACC-FairRateReturn</vt:lpstr>
      <vt:lpstr>RateSettCapStruc</vt:lpstr>
      <vt:lpstr>Embed. Cost of Debt</vt:lpstr>
    </vt:vector>
  </TitlesOfParts>
  <Company>NiSource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Rea \ Vincent \ V</dc:creator>
  <cp:lastModifiedBy>Allyson  Honaker</cp:lastModifiedBy>
  <cp:lastPrinted>2026-09-24T15:51:05Z</cp:lastPrinted>
  <dcterms:created xsi:type="dcterms:W3CDTF">2011-09-08T18:10:45Z</dcterms:created>
  <dcterms:modified xsi:type="dcterms:W3CDTF">2026-10-08T00:26:00Z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MSIP_Label_947a1fde-c8be-4c20-8c7b-f454003857ee_Enabled">
    <vt:lpwstr>true</vt:lpwstr>
  </property>
  <property fmtid="{D5CDD505-2E9C-101B-9397-08002B2CF9AE}" pid="5" name="MSIP_Label_947a1fde-c8be-4c20-8c7b-f454003857ee_SetDate">
    <vt:lpwstr>2026-01-29T17:54:46Z</vt:lpwstr>
  </property>
  <property fmtid="{D5CDD505-2E9C-101B-9397-08002B2CF9AE}" pid="6" name="MSIP_Label_947a1fde-c8be-4c20-8c7b-f454003857ee_Method">
    <vt:lpwstr>Privileged</vt:lpwstr>
  </property>
  <property fmtid="{D5CDD505-2E9C-101B-9397-08002B2CF9AE}" pid="7" name="MSIP_Label_947a1fde-c8be-4c20-8c7b-f454003857ee_Name">
    <vt:lpwstr>CONFIDENTIAL</vt:lpwstr>
  </property>
  <property fmtid="{D5CDD505-2E9C-101B-9397-08002B2CF9AE}" pid="8" name="MSIP_Label_947a1fde-c8be-4c20-8c7b-f454003857ee_SiteId">
    <vt:lpwstr>179d26d3-3e59-4051-9377-05d3820e617c</vt:lpwstr>
  </property>
  <property fmtid="{D5CDD505-2E9C-101B-9397-08002B2CF9AE}" pid="9" name="MSIP_Label_947a1fde-c8be-4c20-8c7b-f454003857ee_ActionId">
    <vt:lpwstr>1e716947-b70c-43b8-a533-10aaa06e307f</vt:lpwstr>
  </property>
  <property fmtid="{D5CDD505-2E9C-101B-9397-08002B2CF9AE}" pid="10" name="MSIP_Label_947a1fde-c8be-4c20-8c7b-f454003857ee_ContentBits">
    <vt:lpwstr>0</vt:lpwstr>
  </property>
  <property fmtid="{D5CDD505-2E9C-101B-9397-08002B2CF9AE}" pid="11" name="MSIP_Label_947a1fde-c8be-4c20-8c7b-f454003857ee_Tag">
    <vt:lpwstr>10, 0, 1, 1</vt:lpwstr>
  </property>
  <property fmtid="{D5CDD505-2E9C-101B-9397-08002B2CF9AE}" pid="12" name="ContentTypeId">
    <vt:lpwstr>0x0101002643B0754F3EA84BA41CDFEDEE7BEB48</vt:lpwstr>
  </property>
</Properties>
</file>