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onaker Law Office\Clients\00890 - Columbia Gas (NiSource)\0009 - 2026 Rate Case\Drafts\Rebuttal testimony\Final to File\Excel to Upload\"/>
    </mc:Choice>
  </mc:AlternateContent>
  <xr:revisionPtr revIDLastSave="0" documentId="8_{C6EE51F4-F350-446B-BE9A-B224153D8C65}" xr6:coauthVersionLast="47" xr6:coauthVersionMax="47" xr10:uidLastSave="{00000000-0000-0000-0000-000000000000}"/>
  <bookViews>
    <workbookView xWindow="-120" yWindow="-120" windowWidth="29040" windowHeight="15840" activeTab="1" xr2:uid="{C870A1EA-87F3-49E1-B61C-807A1E94D7E6}"/>
  </bookViews>
  <sheets>
    <sheet name="Closing Price" sheetId="1" r:id="rId1"/>
    <sheet name="LTM Average" sheetId="2" r:id="rId2"/>
  </sheets>
  <definedNames>
    <definedName name="_xlnm.Print_Area" localSheetId="0">'Closing Price'!$A$1:$G$34</definedName>
    <definedName name="_xlnm.Print_Area" localSheetId="1">'LTM Average'!$A$1:$G$34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G10" i="2" s="1"/>
  <c r="F11" i="2"/>
  <c r="G11" i="2" s="1"/>
  <c r="F25" i="2" s="1"/>
  <c r="F12" i="2"/>
  <c r="F13" i="2"/>
  <c r="F14" i="2"/>
  <c r="F15" i="2"/>
  <c r="F9" i="2"/>
  <c r="G9" i="2" s="1"/>
  <c r="F23" i="2" s="1"/>
  <c r="F10" i="1"/>
  <c r="F11" i="1"/>
  <c r="F12" i="1"/>
  <c r="F13" i="1"/>
  <c r="F14" i="1"/>
  <c r="F15" i="1"/>
  <c r="F9" i="1"/>
  <c r="E30" i="2"/>
  <c r="D30" i="2"/>
  <c r="C30" i="2"/>
  <c r="B30" i="2"/>
  <c r="F28" i="2"/>
  <c r="G28" i="2" s="1"/>
  <c r="E16" i="2"/>
  <c r="C16" i="2"/>
  <c r="B16" i="2"/>
  <c r="G15" i="2"/>
  <c r="D15" i="2"/>
  <c r="G14" i="2"/>
  <c r="D14" i="2"/>
  <c r="G13" i="2"/>
  <c r="D13" i="2"/>
  <c r="G12" i="2"/>
  <c r="D12" i="2"/>
  <c r="D11" i="2"/>
  <c r="D10" i="2"/>
  <c r="D9" i="2"/>
  <c r="F28" i="1"/>
  <c r="G28" i="1" s="1"/>
  <c r="C30" i="1"/>
  <c r="D30" i="1"/>
  <c r="E30" i="1"/>
  <c r="B30" i="1"/>
  <c r="G14" i="1"/>
  <c r="G10" i="1"/>
  <c r="F24" i="1" s="1"/>
  <c r="G24" i="1" s="1"/>
  <c r="G11" i="1"/>
  <c r="F25" i="1" s="1"/>
  <c r="G25" i="1" s="1"/>
  <c r="G12" i="1"/>
  <c r="F26" i="1" s="1"/>
  <c r="G26" i="1" s="1"/>
  <c r="G13" i="1"/>
  <c r="F27" i="1" s="1"/>
  <c r="G27" i="1" s="1"/>
  <c r="G15" i="1"/>
  <c r="F29" i="1" s="1"/>
  <c r="G29" i="1" s="1"/>
  <c r="G9" i="1"/>
  <c r="F23" i="1" s="1"/>
  <c r="G23" i="1" s="1"/>
  <c r="E16" i="1"/>
  <c r="D10" i="1"/>
  <c r="D11" i="1"/>
  <c r="D12" i="1"/>
  <c r="D13" i="1"/>
  <c r="D14" i="1"/>
  <c r="D15" i="1"/>
  <c r="D9" i="1"/>
  <c r="C16" i="1"/>
  <c r="B16" i="1"/>
  <c r="F26" i="2" l="1"/>
  <c r="G26" i="2" s="1"/>
  <c r="F27" i="2"/>
  <c r="G27" i="2" s="1"/>
  <c r="F16" i="1"/>
  <c r="F24" i="2"/>
  <c r="G24" i="2" s="1"/>
  <c r="F29" i="2"/>
  <c r="G29" i="2" s="1"/>
  <c r="G25" i="2"/>
  <c r="G16" i="2"/>
  <c r="F16" i="2"/>
  <c r="D16" i="2"/>
  <c r="F30" i="2"/>
  <c r="G23" i="2"/>
  <c r="D16" i="1"/>
  <c r="G30" i="1"/>
  <c r="F30" i="1"/>
  <c r="G16" i="1"/>
  <c r="G30" i="2" l="1"/>
</calcChain>
</file>

<file path=xl/sharedStrings.xml><?xml version="1.0" encoding="utf-8"?>
<sst xmlns="http://schemas.openxmlformats.org/spreadsheetml/2006/main" count="86" uniqueCount="33">
  <si>
    <t>Atmos</t>
  </si>
  <si>
    <t>NiSource</t>
  </si>
  <si>
    <t>One Gas</t>
  </si>
  <si>
    <t>Southwest Gas</t>
  </si>
  <si>
    <t>Spire</t>
  </si>
  <si>
    <t>Closing Stock Price</t>
  </si>
  <si>
    <t>CGR</t>
  </si>
  <si>
    <t>Average</t>
  </si>
  <si>
    <t>Rothschild</t>
  </si>
  <si>
    <t>Value Line</t>
  </si>
  <si>
    <t>23-25 to 29-31</t>
  </si>
  <si>
    <t>n/a</t>
  </si>
  <si>
    <t>Value Line EPS Growth</t>
  </si>
  <si>
    <t>`</t>
  </si>
  <si>
    <t>IRR/DCF</t>
  </si>
  <si>
    <t>Company</t>
  </si>
  <si>
    <t>Rothschild Growth Rates</t>
  </si>
  <si>
    <t>n/a - data not reported by Value Line.</t>
  </si>
  <si>
    <t>EPS Growth (1)</t>
  </si>
  <si>
    <t>(1)  Source of Data:  Value Line Ratings and Reports, August 21, 2026 Edition.</t>
  </si>
  <si>
    <t>Based on Value Line Forecasts and LTM Average Stock Price</t>
  </si>
  <si>
    <t>LTM Average Stock Price</t>
  </si>
  <si>
    <t>New Jersey Res.</t>
  </si>
  <si>
    <t>Northwest Nat.</t>
  </si>
  <si>
    <t>Correction to Rothschild Non-Constant Growth DCF Analysis</t>
  </si>
  <si>
    <t>Rothschild Estimate</t>
  </si>
  <si>
    <t>-</t>
  </si>
  <si>
    <t>Based on Value Line Forecasts and Closing Stock Prices</t>
  </si>
  <si>
    <t>Cash Flow Impacts (at Average Price)</t>
  </si>
  <si>
    <t>Cash Flow Impacts (at Closing Price)</t>
  </si>
  <si>
    <t>Attachment Rebuttal VVR-4R</t>
  </si>
  <si>
    <t>Page 1 of 2</t>
  </si>
  <si>
    <t>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</si>
</sst>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sz val="10"/>
      <color theme="1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14" fontId="2" fillId="0" borderId="1" xfId="0" applyNumberFormat="1" applyFont="1" applyBorder="1"/>
    <xf numFmtId="0" fontId="2" fillId="2" borderId="3" xfId="0" applyFont="1" applyFill="1" applyBorder="1" applyAlignment="1">
      <alignment horizontal="center"/>
    </xf>
    <xf numFmtId="164" fontId="2" fillId="2" borderId="2" xfId="2" applyNumberFormat="1" applyFont="1" applyFill="1" applyBorder="1"/>
    <xf numFmtId="0" fontId="2" fillId="0" borderId="4" xfId="0" applyFont="1" applyBorder="1"/>
    <xf numFmtId="2" fontId="2" fillId="0" borderId="4" xfId="0" applyNumberFormat="1" applyFont="1" applyBorder="1"/>
    <xf numFmtId="164" fontId="2" fillId="2" borderId="5" xfId="2" applyNumberFormat="1" applyFont="1" applyFill="1" applyBorder="1"/>
    <xf numFmtId="43" fontId="2" fillId="0" borderId="4" xfId="1" applyFont="1" applyBorder="1"/>
    <xf numFmtId="0" fontId="2" fillId="0" borderId="6" xfId="0" applyFont="1" applyBorder="1"/>
    <xf numFmtId="0" fontId="2" fillId="2" borderId="8" xfId="0" applyFont="1" applyFill="1" applyBorder="1"/>
    <xf numFmtId="0" fontId="2" fillId="0" borderId="9" xfId="0" applyFont="1" applyBorder="1"/>
    <xf numFmtId="0" fontId="2" fillId="0" borderId="10" xfId="0" applyFont="1" applyBorder="1"/>
    <xf numFmtId="14" fontId="2" fillId="0" borderId="0" xfId="0" applyNumberFormat="1" applyFont="1"/>
    <xf numFmtId="0" fontId="2" fillId="0" borderId="11" xfId="0" applyFont="1" applyBorder="1"/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quotePrefix="1" applyFont="1" applyFill="1" applyBorder="1" applyAlignment="1">
      <alignment horizontal="center"/>
    </xf>
    <xf numFmtId="14" fontId="2" fillId="0" borderId="3" xfId="0" applyNumberFormat="1" applyFont="1" applyBorder="1"/>
    <xf numFmtId="0" fontId="2" fillId="2" borderId="9" xfId="0" applyFont="1" applyFill="1" applyBorder="1"/>
    <xf numFmtId="14" fontId="2" fillId="0" borderId="2" xfId="0" applyNumberFormat="1" applyFont="1" applyBorder="1"/>
    <xf numFmtId="164" fontId="2" fillId="2" borderId="9" xfId="2" applyNumberFormat="1" applyFont="1" applyFill="1" applyBorder="1"/>
    <xf numFmtId="2" fontId="2" fillId="0" borderId="2" xfId="0" applyNumberFormat="1" applyFont="1" applyBorder="1"/>
    <xf numFmtId="164" fontId="2" fillId="2" borderId="9" xfId="2" quotePrefix="1" applyNumberFormat="1" applyFont="1" applyFill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164" fontId="2" fillId="2" borderId="11" xfId="2" applyNumberFormat="1" applyFont="1" applyFill="1" applyBorder="1"/>
    <xf numFmtId="2" fontId="2" fillId="0" borderId="5" xfId="0" applyNumberFormat="1" applyFont="1" applyBorder="1"/>
    <xf numFmtId="0" fontId="2" fillId="2" borderId="5" xfId="0" applyFont="1" applyFill="1" applyBorder="1" applyAlignment="1">
      <alignment horizontal="center"/>
    </xf>
    <xf numFmtId="43" fontId="2" fillId="0" borderId="0" xfId="1" applyFont="1" applyBorder="1"/>
    <xf numFmtId="2" fontId="2" fillId="0" borderId="0" xfId="0" applyNumberFormat="1" applyFont="1"/>
    <xf numFmtId="10" fontId="2" fillId="2" borderId="2" xfId="0" applyNumberFormat="1" applyFont="1" applyFill="1" applyBorder="1"/>
    <xf numFmtId="2" fontId="2" fillId="0" borderId="0" xfId="0" applyNumberFormat="1" applyFont="1" applyAlignment="1">
      <alignment horizontal="right"/>
    </xf>
    <xf numFmtId="10" fontId="2" fillId="2" borderId="2" xfId="0" applyNumberFormat="1" applyFont="1" applyFill="1" applyBorder="1" applyAlignment="1">
      <alignment horizontal="right"/>
    </xf>
    <xf numFmtId="10" fontId="2" fillId="2" borderId="5" xfId="2" applyNumberFormat="1" applyFont="1" applyFill="1" applyBorder="1"/>
    <xf numFmtId="0" fontId="3" fillId="0" borderId="0" xfId="0" applyFont="1"/>
    <xf numFmtId="0" fontId="3" fillId="0" borderId="0" xfId="0" quotePrefix="1" applyFont="1"/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437C5-B47A-411D-B5DF-8E852585FA19}">
  <dimension ref="A1:K34"/>
  <sheetViews>
    <sheetView workbookViewId="0">
      <selection activeCell="G1" sqref="G1:G2"/>
    </sheetView>
  </sheetViews>
  <sheetFormatPr defaultRowHeight="15" x14ac:dyDescent="0.25"/>
  <cols>
    <col min="1" max="1" width="19.28515625" customWidth="1"/>
    <col min="2" max="2" width="13.7109375" customWidth="1"/>
    <col min="3" max="3" width="13.28515625" customWidth="1"/>
    <col min="4" max="4" width="13" customWidth="1"/>
    <col min="5" max="5" width="14.5703125" customWidth="1"/>
    <col min="6" max="6" width="13.140625" customWidth="1"/>
    <col min="7" max="7" width="13.7109375" customWidth="1"/>
  </cols>
  <sheetData>
    <row r="1" spans="1:9" ht="16.5" x14ac:dyDescent="0.3">
      <c r="A1" s="1" t="s">
        <v>24</v>
      </c>
      <c r="B1" s="1"/>
      <c r="C1" s="1"/>
      <c r="D1" s="1"/>
      <c r="E1" s="1"/>
      <c r="F1" s="1"/>
      <c r="G1" s="39" t="s">
        <v>30</v>
      </c>
      <c r="H1" s="1"/>
      <c r="I1" s="1"/>
    </row>
    <row r="2" spans="1:9" ht="16.5" x14ac:dyDescent="0.3">
      <c r="A2" s="1" t="s">
        <v>27</v>
      </c>
      <c r="B2" s="1"/>
      <c r="C2" s="1"/>
      <c r="D2" s="1"/>
      <c r="E2" s="1"/>
      <c r="F2" s="1"/>
      <c r="G2" s="39" t="s">
        <v>31</v>
      </c>
      <c r="H2" s="1"/>
      <c r="I2" s="1"/>
    </row>
    <row r="3" spans="1:9" ht="16.5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16.5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6.5" x14ac:dyDescent="0.3">
      <c r="A5" s="11"/>
      <c r="B5" s="40" t="s">
        <v>5</v>
      </c>
      <c r="C5" s="40"/>
      <c r="D5" s="12"/>
      <c r="E5" s="17" t="s">
        <v>9</v>
      </c>
      <c r="F5" s="40" t="s">
        <v>5</v>
      </c>
      <c r="G5" s="41"/>
      <c r="H5" s="1"/>
      <c r="I5" s="1"/>
    </row>
    <row r="6" spans="1:9" ht="16.5" x14ac:dyDescent="0.3">
      <c r="A6" s="13"/>
      <c r="B6" s="42" t="s">
        <v>16</v>
      </c>
      <c r="C6" s="42"/>
      <c r="D6" s="3" t="s">
        <v>8</v>
      </c>
      <c r="E6" s="18" t="s">
        <v>18</v>
      </c>
      <c r="F6" s="42" t="s">
        <v>12</v>
      </c>
      <c r="G6" s="43"/>
      <c r="H6" s="1"/>
      <c r="I6" s="1"/>
    </row>
    <row r="7" spans="1:9" ht="16.5" x14ac:dyDescent="0.3">
      <c r="A7" s="14" t="s">
        <v>15</v>
      </c>
      <c r="B7" s="4">
        <v>46203</v>
      </c>
      <c r="C7" s="4">
        <v>47664</v>
      </c>
      <c r="D7" s="5" t="s">
        <v>6</v>
      </c>
      <c r="E7" s="19" t="s">
        <v>10</v>
      </c>
      <c r="F7" s="4">
        <v>46203</v>
      </c>
      <c r="G7" s="20">
        <v>47664</v>
      </c>
      <c r="H7" s="1"/>
      <c r="I7" s="1"/>
    </row>
    <row r="8" spans="1:9" ht="16.5" x14ac:dyDescent="0.3">
      <c r="A8" s="13"/>
      <c r="B8" s="15"/>
      <c r="C8" s="15"/>
      <c r="D8" s="2"/>
      <c r="E8" s="21"/>
      <c r="F8" s="15"/>
      <c r="G8" s="22"/>
      <c r="H8" s="1"/>
      <c r="I8" s="1"/>
    </row>
    <row r="9" spans="1:9" ht="16.5" x14ac:dyDescent="0.3">
      <c r="A9" s="13" t="s">
        <v>0</v>
      </c>
      <c r="B9" s="1">
        <v>172.27</v>
      </c>
      <c r="C9" s="1">
        <v>213.77</v>
      </c>
      <c r="D9" s="6">
        <f>(C9/B9)^0.25-1</f>
        <v>5.5441765451631264E-2</v>
      </c>
      <c r="E9" s="23">
        <v>8.5000000000000006E-2</v>
      </c>
      <c r="F9" s="1">
        <f>B9</f>
        <v>172.27</v>
      </c>
      <c r="G9" s="24">
        <f>(E9+1)^4*F9</f>
        <v>238.74187835666874</v>
      </c>
      <c r="H9" s="1"/>
      <c r="I9" s="1"/>
    </row>
    <row r="10" spans="1:9" ht="16.5" x14ac:dyDescent="0.3">
      <c r="A10" s="13" t="s">
        <v>22</v>
      </c>
      <c r="B10" s="1">
        <v>56.04</v>
      </c>
      <c r="C10" s="1">
        <v>72.540000000000006</v>
      </c>
      <c r="D10" s="6">
        <f t="shared" ref="D10:D15" si="0">(C10/B10)^0.25-1</f>
        <v>6.6644887645187278E-2</v>
      </c>
      <c r="E10" s="23">
        <v>0.06</v>
      </c>
      <c r="F10" s="1">
        <f t="shared" ref="F10:F15" si="1">B10</f>
        <v>56.04</v>
      </c>
      <c r="G10" s="24">
        <f t="shared" ref="G10:G15" si="2">(E10+1)^4*F10</f>
        <v>70.749208838400023</v>
      </c>
      <c r="H10" s="1"/>
      <c r="I10" s="1"/>
    </row>
    <row r="11" spans="1:9" ht="16.5" x14ac:dyDescent="0.3">
      <c r="A11" s="13" t="s">
        <v>1</v>
      </c>
      <c r="B11" s="1">
        <v>47.55</v>
      </c>
      <c r="C11" s="1">
        <v>75.11</v>
      </c>
      <c r="D11" s="6">
        <f t="shared" si="0"/>
        <v>0.12108053002449304</v>
      </c>
      <c r="E11" s="23">
        <v>0.09</v>
      </c>
      <c r="F11" s="1">
        <f t="shared" si="1"/>
        <v>47.55</v>
      </c>
      <c r="G11" s="24">
        <f t="shared" si="2"/>
        <v>67.12070555550001</v>
      </c>
      <c r="H11" s="1"/>
      <c r="I11" s="1"/>
    </row>
    <row r="12" spans="1:9" ht="16.5" x14ac:dyDescent="0.3">
      <c r="A12" s="13" t="s">
        <v>23</v>
      </c>
      <c r="B12" s="1">
        <v>49.06</v>
      </c>
      <c r="C12" s="1">
        <v>53.32</v>
      </c>
      <c r="D12" s="6">
        <f t="shared" si="0"/>
        <v>2.1035046362679166E-2</v>
      </c>
      <c r="E12" s="23">
        <v>0.06</v>
      </c>
      <c r="F12" s="1">
        <f t="shared" si="1"/>
        <v>49.06</v>
      </c>
      <c r="G12" s="24">
        <f t="shared" si="2"/>
        <v>61.937119657600022</v>
      </c>
      <c r="H12" s="1"/>
      <c r="I12" s="1"/>
    </row>
    <row r="13" spans="1:9" ht="16.5" x14ac:dyDescent="0.3">
      <c r="A13" s="13" t="s">
        <v>2</v>
      </c>
      <c r="B13" s="1">
        <v>77.069999999999993</v>
      </c>
      <c r="C13" s="1">
        <v>80.61</v>
      </c>
      <c r="D13" s="6">
        <f t="shared" si="0"/>
        <v>1.1290413882587558E-2</v>
      </c>
      <c r="E13" s="23">
        <v>7.0000000000000007E-2</v>
      </c>
      <c r="F13" s="1">
        <f t="shared" si="1"/>
        <v>77.069999999999993</v>
      </c>
      <c r="G13" s="24">
        <f t="shared" si="2"/>
        <v>101.02304849069999</v>
      </c>
      <c r="H13" s="1"/>
      <c r="I13" s="1"/>
    </row>
    <row r="14" spans="1:9" ht="16.5" x14ac:dyDescent="0.3">
      <c r="A14" s="13" t="s">
        <v>3</v>
      </c>
      <c r="B14" s="1">
        <v>88.68</v>
      </c>
      <c r="C14" s="1">
        <v>104.6</v>
      </c>
      <c r="D14" s="6">
        <f t="shared" si="0"/>
        <v>4.2141042566588682E-2</v>
      </c>
      <c r="E14" s="25" t="s">
        <v>11</v>
      </c>
      <c r="F14" s="1">
        <f t="shared" si="1"/>
        <v>88.68</v>
      </c>
      <c r="G14" s="26" t="str">
        <f>E14</f>
        <v>n/a</v>
      </c>
      <c r="H14" s="1"/>
      <c r="I14" s="1"/>
    </row>
    <row r="15" spans="1:9" ht="16.5" x14ac:dyDescent="0.3">
      <c r="A15" s="13" t="s">
        <v>4</v>
      </c>
      <c r="B15" s="1">
        <v>78.09</v>
      </c>
      <c r="C15" s="1">
        <v>89.91</v>
      </c>
      <c r="D15" s="6">
        <f t="shared" si="0"/>
        <v>3.5864962827448332E-2</v>
      </c>
      <c r="E15" s="23">
        <v>8.5000000000000006E-2</v>
      </c>
      <c r="F15" s="1">
        <f t="shared" si="1"/>
        <v>78.09</v>
      </c>
      <c r="G15" s="24">
        <f t="shared" si="2"/>
        <v>108.22170593180624</v>
      </c>
      <c r="H15" s="1"/>
      <c r="I15" s="1"/>
    </row>
    <row r="16" spans="1:9" ht="16.5" x14ac:dyDescent="0.3">
      <c r="A16" s="16" t="s">
        <v>7</v>
      </c>
      <c r="B16" s="8">
        <f t="shared" ref="B16:G16" si="3">AVERAGE(B9:B15)</f>
        <v>81.251428571428576</v>
      </c>
      <c r="C16" s="8">
        <f t="shared" si="3"/>
        <v>98.551428571428573</v>
      </c>
      <c r="D16" s="9">
        <f t="shared" si="3"/>
        <v>5.0499806965802189E-2</v>
      </c>
      <c r="E16" s="27">
        <f t="shared" si="3"/>
        <v>7.5000000000000011E-2</v>
      </c>
      <c r="F16" s="8">
        <f t="shared" si="3"/>
        <v>81.251428571428576</v>
      </c>
      <c r="G16" s="28">
        <f t="shared" si="3"/>
        <v>107.96561113844585</v>
      </c>
      <c r="H16" s="1"/>
      <c r="I16" s="1"/>
    </row>
    <row r="17" spans="1:11" ht="16.5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11" ht="16.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11" ht="16.5" x14ac:dyDescent="0.3">
      <c r="A19" s="1" t="s">
        <v>29</v>
      </c>
      <c r="B19" s="1"/>
      <c r="C19" s="1"/>
      <c r="D19" s="1"/>
      <c r="E19" s="1"/>
      <c r="F19" s="1"/>
      <c r="G19" s="1"/>
      <c r="H19" s="1"/>
      <c r="I19" s="1"/>
    </row>
    <row r="20" spans="1:11" ht="16.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11" ht="16.5" x14ac:dyDescent="0.3">
      <c r="A21" s="16" t="s">
        <v>15</v>
      </c>
      <c r="B21" s="7">
        <v>2026</v>
      </c>
      <c r="C21" s="7">
        <v>2027</v>
      </c>
      <c r="D21" s="7">
        <v>2028</v>
      </c>
      <c r="E21" s="7">
        <v>2029</v>
      </c>
      <c r="F21" s="7">
        <v>2030</v>
      </c>
      <c r="G21" s="29" t="s">
        <v>14</v>
      </c>
      <c r="H21" s="1"/>
      <c r="I21" s="1"/>
      <c r="K21" t="s">
        <v>13</v>
      </c>
    </row>
    <row r="22" spans="1:11" ht="16.5" x14ac:dyDescent="0.3">
      <c r="A22" s="13"/>
      <c r="B22" s="1"/>
      <c r="C22" s="1"/>
      <c r="D22" s="1"/>
      <c r="E22" s="1"/>
      <c r="F22" s="1"/>
      <c r="G22" s="2"/>
      <c r="H22" s="1"/>
      <c r="I22" s="1"/>
    </row>
    <row r="23" spans="1:11" ht="16.5" x14ac:dyDescent="0.3">
      <c r="A23" s="13" t="s">
        <v>0</v>
      </c>
      <c r="B23" s="30">
        <v>-170.27</v>
      </c>
      <c r="C23" s="30">
        <v>4.24</v>
      </c>
      <c r="D23" s="1">
        <v>4.49</v>
      </c>
      <c r="E23" s="1">
        <v>4.76</v>
      </c>
      <c r="F23" s="31">
        <f>216.3-213.77+G9</f>
        <v>241.27187835666874</v>
      </c>
      <c r="G23" s="32">
        <f>IRR(B23:F23)</f>
        <v>0.10933852980839931</v>
      </c>
      <c r="H23" s="1"/>
      <c r="I23" s="1"/>
    </row>
    <row r="24" spans="1:11" ht="16.5" x14ac:dyDescent="0.3">
      <c r="A24" s="13" t="s">
        <v>22</v>
      </c>
      <c r="B24" s="30">
        <v>-55.09</v>
      </c>
      <c r="C24" s="30">
        <v>2</v>
      </c>
      <c r="D24" s="1">
        <v>2.13</v>
      </c>
      <c r="E24" s="1">
        <v>2.2599999999999998</v>
      </c>
      <c r="F24" s="31">
        <f>73.74-72.54+G10</f>
        <v>71.949208838400011</v>
      </c>
      <c r="G24" s="32">
        <f t="shared" ref="G24:G29" si="4">IRR(B24:F24)</f>
        <v>9.6461221807192521E-2</v>
      </c>
      <c r="H24" s="1"/>
      <c r="I24" s="1"/>
    </row>
    <row r="25" spans="1:11" ht="16.5" x14ac:dyDescent="0.3">
      <c r="A25" s="13" t="s">
        <v>1</v>
      </c>
      <c r="B25" s="30">
        <v>-46.95</v>
      </c>
      <c r="C25" s="30">
        <v>1.28</v>
      </c>
      <c r="D25" s="1">
        <v>1.36</v>
      </c>
      <c r="E25" s="1">
        <v>1.44</v>
      </c>
      <c r="F25" s="31">
        <f>75.87-75.11+G11</f>
        <v>67.880705555500015</v>
      </c>
      <c r="G25" s="32">
        <f t="shared" si="4"/>
        <v>0.11653058253730086</v>
      </c>
      <c r="H25" s="1"/>
      <c r="I25" s="1"/>
    </row>
    <row r="26" spans="1:11" ht="16.5" x14ac:dyDescent="0.3">
      <c r="A26" s="13" t="s">
        <v>23</v>
      </c>
      <c r="B26" s="30">
        <v>-48.08</v>
      </c>
      <c r="C26" s="30">
        <v>1.98</v>
      </c>
      <c r="D26" s="1">
        <v>1.99</v>
      </c>
      <c r="E26" s="1">
        <v>1.99</v>
      </c>
      <c r="F26" s="31">
        <f>54.32-53.32+G12</f>
        <v>62.937119657600022</v>
      </c>
      <c r="G26" s="32">
        <f t="shared" si="4"/>
        <v>9.9072606551245723E-2</v>
      </c>
      <c r="H26" s="1"/>
      <c r="I26" s="1"/>
    </row>
    <row r="27" spans="1:11" ht="16.5" x14ac:dyDescent="0.3">
      <c r="A27" s="13" t="s">
        <v>2</v>
      </c>
      <c r="B27" s="30">
        <v>-75.709999999999994</v>
      </c>
      <c r="C27" s="30">
        <v>2.76</v>
      </c>
      <c r="D27" s="1">
        <v>2.82</v>
      </c>
      <c r="E27" s="1">
        <v>2.89</v>
      </c>
      <c r="F27" s="31">
        <f>82.09-80.61+G13</f>
        <v>102.5030484907</v>
      </c>
      <c r="G27" s="32">
        <f t="shared" si="4"/>
        <v>0.10496783573367141</v>
      </c>
      <c r="H27" s="1"/>
      <c r="I27" s="1"/>
    </row>
    <row r="28" spans="1:11" ht="16.5" x14ac:dyDescent="0.3">
      <c r="A28" s="13" t="s">
        <v>3</v>
      </c>
      <c r="B28" s="30">
        <v>-87.41</v>
      </c>
      <c r="C28" s="30">
        <v>2.5499999999999998</v>
      </c>
      <c r="D28" s="1">
        <v>2.64</v>
      </c>
      <c r="E28" s="1">
        <v>2.74</v>
      </c>
      <c r="F28" s="33" t="str">
        <f>E14</f>
        <v>n/a</v>
      </c>
      <c r="G28" s="34" t="str">
        <f>F28</f>
        <v>n/a</v>
      </c>
      <c r="H28" s="1"/>
      <c r="I28" s="1"/>
    </row>
    <row r="29" spans="1:11" ht="16.5" x14ac:dyDescent="0.3">
      <c r="A29" s="13" t="s">
        <v>4</v>
      </c>
      <c r="B29" s="30">
        <v>-76.44</v>
      </c>
      <c r="C29" s="30">
        <v>3.46</v>
      </c>
      <c r="D29" s="1">
        <v>3.63</v>
      </c>
      <c r="E29" s="1">
        <v>3.81</v>
      </c>
      <c r="F29" s="31">
        <f>91.91-89.91+G15</f>
        <v>110.22170593180624</v>
      </c>
      <c r="G29" s="32">
        <f t="shared" si="4"/>
        <v>0.12884691056234709</v>
      </c>
      <c r="H29" s="1"/>
      <c r="I29" s="1"/>
    </row>
    <row r="30" spans="1:11" ht="16.5" x14ac:dyDescent="0.3">
      <c r="A30" s="16" t="s">
        <v>7</v>
      </c>
      <c r="B30" s="10">
        <f>AVERAGE(B23:B29)</f>
        <v>-79.992857142857147</v>
      </c>
      <c r="C30" s="10">
        <f t="shared" ref="C30:G30" si="5">AVERAGE(C23:C29)</f>
        <v>2.61</v>
      </c>
      <c r="D30" s="10">
        <f t="shared" si="5"/>
        <v>2.7228571428571433</v>
      </c>
      <c r="E30" s="10">
        <f t="shared" si="5"/>
        <v>2.8414285714285712</v>
      </c>
      <c r="F30" s="10">
        <f t="shared" si="5"/>
        <v>109.46061113844586</v>
      </c>
      <c r="G30" s="35">
        <f t="shared" si="5"/>
        <v>0.10920294783335949</v>
      </c>
      <c r="H30" s="1"/>
      <c r="I30" s="1"/>
    </row>
    <row r="31" spans="1:11" ht="16.5" x14ac:dyDescent="0.3">
      <c r="A31" s="7" t="s">
        <v>25</v>
      </c>
      <c r="B31" s="38" t="s">
        <v>26</v>
      </c>
      <c r="C31" s="38" t="s">
        <v>26</v>
      </c>
      <c r="D31" s="38" t="s">
        <v>26</v>
      </c>
      <c r="E31" s="38" t="s">
        <v>26</v>
      </c>
      <c r="F31" s="38" t="s">
        <v>26</v>
      </c>
      <c r="G31" s="35">
        <v>8.4699999999999998E-2</v>
      </c>
      <c r="H31" s="1"/>
      <c r="I31" s="1"/>
    </row>
    <row r="32" spans="1:11" ht="16.5" x14ac:dyDescent="0.3">
      <c r="B32" s="1"/>
      <c r="C32" s="1"/>
      <c r="D32" s="1"/>
      <c r="E32" s="1"/>
      <c r="F32" s="1"/>
      <c r="G32" s="1"/>
      <c r="H32" s="1"/>
      <c r="I32" s="1"/>
    </row>
    <row r="33" spans="1:9" ht="16.5" x14ac:dyDescent="0.3">
      <c r="A33" s="36" t="s">
        <v>19</v>
      </c>
      <c r="B33" s="1"/>
      <c r="C33" s="1"/>
      <c r="D33" s="1"/>
      <c r="E33" s="1"/>
      <c r="F33" s="1"/>
      <c r="G33" s="1"/>
      <c r="H33" s="1"/>
      <c r="I33" s="1"/>
    </row>
    <row r="34" spans="1:9" ht="16.5" x14ac:dyDescent="0.3">
      <c r="A34" s="37" t="s">
        <v>17</v>
      </c>
      <c r="B34" s="1"/>
      <c r="C34" s="1"/>
      <c r="D34" s="1"/>
      <c r="E34" s="1"/>
      <c r="F34" s="1"/>
      <c r="G34" s="1"/>
      <c r="H34" s="1"/>
      <c r="I34" s="1"/>
    </row>
  </sheetData>
  <mergeCells count="4">
    <mergeCell ref="B5:C5"/>
    <mergeCell ref="F5:G5"/>
    <mergeCell ref="F6:G6"/>
    <mergeCell ref="B6:C6"/>
  </mergeCells>
  <pageMargins left="1.2" right="0.7" top="0.75" bottom="0.25" header="0.3" footer="0.3"/>
  <pageSetup orientation="landscape" r:id="rId1"/>
  <ignoredErrors>
    <ignoredError sqref="G14 G2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4397-2588-4AF9-8EF7-987F3562ADB1}">
  <dimension ref="A1:K34"/>
  <sheetViews>
    <sheetView tabSelected="1" workbookViewId="0">
      <selection activeCell="M12" sqref="M12"/>
    </sheetView>
  </sheetViews>
  <sheetFormatPr defaultRowHeight="15" x14ac:dyDescent="0.25"/>
  <cols>
    <col min="1" max="1" width="19.28515625" customWidth="1"/>
    <col min="2" max="2" width="13.7109375" customWidth="1"/>
    <col min="3" max="3" width="13.28515625" customWidth="1"/>
    <col min="4" max="4" width="13" customWidth="1"/>
    <col min="5" max="5" width="14.5703125" customWidth="1"/>
    <col min="6" max="6" width="13.140625" customWidth="1"/>
    <col min="7" max="7" width="13.7109375" customWidth="1"/>
  </cols>
  <sheetData>
    <row r="1" spans="1:9" ht="16.5" x14ac:dyDescent="0.3">
      <c r="A1" s="1" t="s">
        <v>24</v>
      </c>
      <c r="B1" s="1"/>
      <c r="C1" s="1"/>
      <c r="D1" s="1"/>
      <c r="E1" s="1"/>
      <c r="F1" s="1"/>
      <c r="G1" s="39" t="s">
        <v>30</v>
      </c>
      <c r="H1" s="1"/>
      <c r="I1" s="1"/>
    </row>
    <row r="2" spans="1:9" ht="16.5" x14ac:dyDescent="0.3">
      <c r="A2" s="1" t="s">
        <v>20</v>
      </c>
      <c r="B2" s="1"/>
      <c r="C2" s="1"/>
      <c r="D2" s="1"/>
      <c r="E2" s="1"/>
      <c r="F2" s="1"/>
      <c r="G2" s="39" t="s">
        <v>32</v>
      </c>
      <c r="H2" s="1"/>
      <c r="I2" s="1"/>
    </row>
    <row r="3" spans="1:9" ht="16.5" x14ac:dyDescent="0.3">
      <c r="A3" s="1"/>
      <c r="B3" s="1"/>
      <c r="C3" s="1"/>
      <c r="D3" s="1"/>
      <c r="E3" s="1"/>
      <c r="F3" s="1"/>
      <c r="G3" s="1"/>
      <c r="H3" s="1"/>
      <c r="I3" s="1"/>
    </row>
    <row r="4" spans="1:9" ht="16.5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6.5" x14ac:dyDescent="0.3">
      <c r="A5" s="11"/>
      <c r="B5" s="40" t="s">
        <v>21</v>
      </c>
      <c r="C5" s="40"/>
      <c r="D5" s="12"/>
      <c r="E5" s="17" t="s">
        <v>9</v>
      </c>
      <c r="F5" s="40" t="s">
        <v>21</v>
      </c>
      <c r="G5" s="41"/>
      <c r="H5" s="1"/>
      <c r="I5" s="1"/>
    </row>
    <row r="6" spans="1:9" ht="16.5" x14ac:dyDescent="0.3">
      <c r="A6" s="13"/>
      <c r="B6" s="42" t="s">
        <v>16</v>
      </c>
      <c r="C6" s="42"/>
      <c r="D6" s="3" t="s">
        <v>8</v>
      </c>
      <c r="E6" s="18" t="s">
        <v>18</v>
      </c>
      <c r="F6" s="42" t="s">
        <v>12</v>
      </c>
      <c r="G6" s="43"/>
      <c r="H6" s="1"/>
      <c r="I6" s="1"/>
    </row>
    <row r="7" spans="1:9" ht="16.5" x14ac:dyDescent="0.3">
      <c r="A7" s="14" t="s">
        <v>15</v>
      </c>
      <c r="B7" s="4">
        <v>46203</v>
      </c>
      <c r="C7" s="4">
        <v>47664</v>
      </c>
      <c r="D7" s="5" t="s">
        <v>6</v>
      </c>
      <c r="E7" s="19" t="s">
        <v>10</v>
      </c>
      <c r="F7" s="4">
        <v>46203</v>
      </c>
      <c r="G7" s="20">
        <v>47664</v>
      </c>
      <c r="H7" s="1"/>
      <c r="I7" s="1"/>
    </row>
    <row r="8" spans="1:9" ht="16.5" x14ac:dyDescent="0.3">
      <c r="A8" s="13"/>
      <c r="B8" s="15"/>
      <c r="C8" s="15"/>
      <c r="D8" s="2"/>
      <c r="E8" s="21"/>
      <c r="F8" s="15"/>
      <c r="G8" s="22"/>
      <c r="H8" s="1"/>
      <c r="I8" s="1"/>
    </row>
    <row r="9" spans="1:9" ht="16.5" x14ac:dyDescent="0.3">
      <c r="A9" s="13" t="s">
        <v>0</v>
      </c>
      <c r="B9" s="1">
        <v>171.25</v>
      </c>
      <c r="C9" s="31">
        <v>212.5</v>
      </c>
      <c r="D9" s="6">
        <f>(C9/B9)^0.25-1</f>
        <v>5.5436449729722836E-2</v>
      </c>
      <c r="E9" s="23">
        <v>8.5000000000000006E-2</v>
      </c>
      <c r="F9" s="1">
        <f>B9</f>
        <v>171.25</v>
      </c>
      <c r="G9" s="24">
        <f>(E9+1)^4*F9</f>
        <v>237.32830248203123</v>
      </c>
      <c r="H9" s="1"/>
      <c r="I9" s="1"/>
    </row>
    <row r="10" spans="1:9" ht="16.5" x14ac:dyDescent="0.3">
      <c r="A10" s="13" t="s">
        <v>22</v>
      </c>
      <c r="B10" s="1">
        <v>51.02</v>
      </c>
      <c r="C10" s="1">
        <v>66.040000000000006</v>
      </c>
      <c r="D10" s="6">
        <f t="shared" ref="D10:D15" si="0">(C10/B10)^0.25-1</f>
        <v>6.6637019555476629E-2</v>
      </c>
      <c r="E10" s="23">
        <v>0.06</v>
      </c>
      <c r="F10" s="1">
        <f t="shared" ref="F10:F15" si="1">B10</f>
        <v>51.02</v>
      </c>
      <c r="G10" s="24">
        <f t="shared" ref="G10:G15" si="2">(E10+1)^4*F10</f>
        <v>64.411574499200015</v>
      </c>
      <c r="H10" s="1"/>
      <c r="I10" s="1"/>
    </row>
    <row r="11" spans="1:9" ht="16.5" x14ac:dyDescent="0.3">
      <c r="A11" s="13" t="s">
        <v>1</v>
      </c>
      <c r="B11" s="1">
        <v>43.83</v>
      </c>
      <c r="C11" s="1">
        <v>69.239999999999995</v>
      </c>
      <c r="D11" s="6">
        <f t="shared" si="0"/>
        <v>0.12110527791793602</v>
      </c>
      <c r="E11" s="23">
        <v>0.09</v>
      </c>
      <c r="F11" s="1">
        <f t="shared" si="1"/>
        <v>43.83</v>
      </c>
      <c r="G11" s="24">
        <f t="shared" si="2"/>
        <v>61.869621966300009</v>
      </c>
      <c r="H11" s="1"/>
      <c r="I11" s="1"/>
    </row>
    <row r="12" spans="1:9" ht="16.5" x14ac:dyDescent="0.3">
      <c r="A12" s="13" t="s">
        <v>23</v>
      </c>
      <c r="B12" s="1">
        <v>47.64</v>
      </c>
      <c r="C12" s="1">
        <v>51.78</v>
      </c>
      <c r="D12" s="6">
        <f t="shared" si="0"/>
        <v>2.1051325200355908E-2</v>
      </c>
      <c r="E12" s="23">
        <v>0.06</v>
      </c>
      <c r="F12" s="1">
        <f t="shared" si="1"/>
        <v>47.64</v>
      </c>
      <c r="G12" s="24">
        <f t="shared" si="2"/>
        <v>60.144402374400016</v>
      </c>
      <c r="H12" s="1"/>
      <c r="I12" s="1"/>
    </row>
    <row r="13" spans="1:9" ht="16.5" x14ac:dyDescent="0.3">
      <c r="A13" s="13" t="s">
        <v>2</v>
      </c>
      <c r="B13" s="1">
        <v>80.88</v>
      </c>
      <c r="C13" s="1">
        <v>84.59</v>
      </c>
      <c r="D13" s="6">
        <f t="shared" si="0"/>
        <v>1.1275464617340081E-2</v>
      </c>
      <c r="E13" s="23">
        <v>7.0000000000000007E-2</v>
      </c>
      <c r="F13" s="1">
        <f t="shared" si="1"/>
        <v>80.88</v>
      </c>
      <c r="G13" s="24">
        <f t="shared" si="2"/>
        <v>106.01718128879999</v>
      </c>
      <c r="H13" s="1"/>
      <c r="I13" s="1"/>
    </row>
    <row r="14" spans="1:9" ht="16.5" x14ac:dyDescent="0.3">
      <c r="A14" s="13" t="s">
        <v>3</v>
      </c>
      <c r="B14" s="1">
        <v>83.43</v>
      </c>
      <c r="C14" s="1">
        <v>98.41</v>
      </c>
      <c r="D14" s="6">
        <f t="shared" si="0"/>
        <v>4.2147634419818614E-2</v>
      </c>
      <c r="E14" s="25" t="s">
        <v>11</v>
      </c>
      <c r="F14" s="1">
        <f t="shared" si="1"/>
        <v>83.43</v>
      </c>
      <c r="G14" s="26" t="str">
        <f>E14</f>
        <v>n/a</v>
      </c>
      <c r="H14" s="1"/>
      <c r="I14" s="1"/>
    </row>
    <row r="15" spans="1:9" ht="16.5" x14ac:dyDescent="0.3">
      <c r="A15" s="13" t="s">
        <v>4</v>
      </c>
      <c r="B15" s="1">
        <v>83.28</v>
      </c>
      <c r="C15" s="1">
        <v>95.88</v>
      </c>
      <c r="D15" s="6">
        <f t="shared" si="0"/>
        <v>3.5849897041804857E-2</v>
      </c>
      <c r="E15" s="23">
        <v>8.5000000000000006E-2</v>
      </c>
      <c r="F15" s="1">
        <f t="shared" si="1"/>
        <v>83.28</v>
      </c>
      <c r="G15" s="24">
        <f t="shared" si="2"/>
        <v>115.41431258804998</v>
      </c>
      <c r="H15" s="1"/>
      <c r="I15" s="1"/>
    </row>
    <row r="16" spans="1:9" ht="16.5" x14ac:dyDescent="0.3">
      <c r="A16" s="16" t="s">
        <v>7</v>
      </c>
      <c r="B16" s="8">
        <f t="shared" ref="B16:G16" si="3">AVERAGE(B9:B15)</f>
        <v>80.190000000000012</v>
      </c>
      <c r="C16" s="8">
        <f t="shared" si="3"/>
        <v>96.92</v>
      </c>
      <c r="D16" s="9">
        <f t="shared" si="3"/>
        <v>5.0500438354636419E-2</v>
      </c>
      <c r="E16" s="27">
        <f t="shared" si="3"/>
        <v>7.5000000000000011E-2</v>
      </c>
      <c r="F16" s="8">
        <f t="shared" si="3"/>
        <v>80.190000000000012</v>
      </c>
      <c r="G16" s="28">
        <f t="shared" si="3"/>
        <v>107.53089919979686</v>
      </c>
      <c r="H16" s="1"/>
      <c r="I16" s="1"/>
    </row>
    <row r="17" spans="1:11" ht="16.5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11" ht="16.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11" ht="16.5" x14ac:dyDescent="0.3">
      <c r="A19" s="1" t="s">
        <v>28</v>
      </c>
      <c r="B19" s="1"/>
      <c r="C19" s="1"/>
      <c r="D19" s="1"/>
      <c r="E19" s="1"/>
      <c r="F19" s="1"/>
      <c r="G19" s="1"/>
      <c r="H19" s="1"/>
      <c r="I19" s="1"/>
    </row>
    <row r="20" spans="1:11" ht="16.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11" ht="16.5" x14ac:dyDescent="0.3">
      <c r="A21" s="16" t="s">
        <v>15</v>
      </c>
      <c r="B21" s="7">
        <v>2026</v>
      </c>
      <c r="C21" s="7">
        <v>2027</v>
      </c>
      <c r="D21" s="7">
        <v>2028</v>
      </c>
      <c r="E21" s="7">
        <v>2029</v>
      </c>
      <c r="F21" s="7">
        <v>2030</v>
      </c>
      <c r="G21" s="29" t="s">
        <v>14</v>
      </c>
      <c r="H21" s="1"/>
      <c r="I21" s="1"/>
      <c r="K21" t="s">
        <v>13</v>
      </c>
    </row>
    <row r="22" spans="1:11" ht="16.5" x14ac:dyDescent="0.3">
      <c r="A22" s="13"/>
      <c r="B22" s="1"/>
      <c r="C22" s="1"/>
      <c r="D22" s="1"/>
      <c r="E22" s="1"/>
      <c r="F22" s="1"/>
      <c r="G22" s="2"/>
      <c r="H22" s="1"/>
      <c r="I22" s="1"/>
    </row>
    <row r="23" spans="1:11" ht="16.5" x14ac:dyDescent="0.3">
      <c r="A23" s="13" t="s">
        <v>0</v>
      </c>
      <c r="B23" s="30">
        <v>-169.25</v>
      </c>
      <c r="C23" s="30">
        <v>4.24</v>
      </c>
      <c r="D23" s="1">
        <v>4.49</v>
      </c>
      <c r="E23" s="1">
        <v>4.76</v>
      </c>
      <c r="F23" s="31">
        <f>215.03-212.5+G9</f>
        <v>239.85830248203123</v>
      </c>
      <c r="G23" s="32">
        <f>IRR(B23:F23)</f>
        <v>0.10948524440025675</v>
      </c>
      <c r="H23" s="1"/>
      <c r="I23" s="1"/>
    </row>
    <row r="24" spans="1:11" ht="16.5" x14ac:dyDescent="0.3">
      <c r="A24" s="13" t="s">
        <v>22</v>
      </c>
      <c r="B24" s="30">
        <v>-50.07</v>
      </c>
      <c r="C24" s="30">
        <v>2</v>
      </c>
      <c r="D24" s="1">
        <v>2.13</v>
      </c>
      <c r="E24" s="1">
        <v>2.2599999999999998</v>
      </c>
      <c r="F24" s="31">
        <f>67.24-66.04+G10</f>
        <v>65.611574499200003</v>
      </c>
      <c r="G24" s="32">
        <f t="shared" ref="G24:G29" si="4">IRR(B24:F24)</f>
        <v>0.10011642856188674</v>
      </c>
      <c r="H24" s="1"/>
      <c r="I24" s="1"/>
    </row>
    <row r="25" spans="1:11" ht="16.5" x14ac:dyDescent="0.3">
      <c r="A25" s="13" t="s">
        <v>1</v>
      </c>
      <c r="B25" s="30">
        <v>-43.23</v>
      </c>
      <c r="C25" s="30">
        <v>1.28</v>
      </c>
      <c r="D25" s="1">
        <v>1.36</v>
      </c>
      <c r="E25" s="1">
        <v>1.44</v>
      </c>
      <c r="F25" s="31">
        <f>70-69.24+G11</f>
        <v>62.629621966300014</v>
      </c>
      <c r="G25" s="32">
        <f t="shared" si="4"/>
        <v>0.118814497280612</v>
      </c>
      <c r="H25" s="1"/>
      <c r="I25" s="1"/>
    </row>
    <row r="26" spans="1:11" ht="16.5" x14ac:dyDescent="0.3">
      <c r="A26" s="13" t="s">
        <v>23</v>
      </c>
      <c r="B26" s="30">
        <v>-46.66</v>
      </c>
      <c r="C26" s="30">
        <v>1.98</v>
      </c>
      <c r="D26" s="1">
        <v>1.99</v>
      </c>
      <c r="E26" s="1">
        <v>1.99</v>
      </c>
      <c r="F26" s="31">
        <f>52.78-51.78+G12</f>
        <v>61.144402374400016</v>
      </c>
      <c r="G26" s="32">
        <f t="shared" si="4"/>
        <v>0.10026293493540761</v>
      </c>
      <c r="H26" s="1"/>
      <c r="I26" s="1"/>
    </row>
    <row r="27" spans="1:11" ht="16.5" x14ac:dyDescent="0.3">
      <c r="A27" s="13" t="s">
        <v>2</v>
      </c>
      <c r="B27" s="30">
        <v>-79.52</v>
      </c>
      <c r="C27" s="30">
        <v>2.76</v>
      </c>
      <c r="D27" s="1">
        <v>2.82</v>
      </c>
      <c r="E27" s="1">
        <v>2.89</v>
      </c>
      <c r="F27" s="31">
        <f>86.07-84.59+G13</f>
        <v>107.49718128879998</v>
      </c>
      <c r="G27" s="32">
        <f t="shared" si="4"/>
        <v>0.10329144388437728</v>
      </c>
      <c r="H27" s="1"/>
      <c r="I27" s="1"/>
    </row>
    <row r="28" spans="1:11" ht="16.5" x14ac:dyDescent="0.3">
      <c r="A28" s="13" t="s">
        <v>3</v>
      </c>
      <c r="B28" s="30">
        <v>-82.16</v>
      </c>
      <c r="C28" s="30">
        <v>2.5499999999999998</v>
      </c>
      <c r="D28" s="1">
        <v>2.64</v>
      </c>
      <c r="E28" s="1">
        <v>2.74</v>
      </c>
      <c r="F28" s="33" t="str">
        <f>E14</f>
        <v>n/a</v>
      </c>
      <c r="G28" s="34" t="str">
        <f>F28</f>
        <v>n/a</v>
      </c>
      <c r="H28" s="1"/>
      <c r="I28" s="1"/>
    </row>
    <row r="29" spans="1:11" ht="16.5" x14ac:dyDescent="0.3">
      <c r="A29" s="13" t="s">
        <v>4</v>
      </c>
      <c r="B29" s="30">
        <v>-81.63</v>
      </c>
      <c r="C29" s="30">
        <v>3.46</v>
      </c>
      <c r="D29" s="1">
        <v>3.63</v>
      </c>
      <c r="E29" s="1">
        <v>3.81</v>
      </c>
      <c r="F29" s="31">
        <f>97.88-95.88+G15</f>
        <v>117.41431258804998</v>
      </c>
      <c r="G29" s="32">
        <f t="shared" si="4"/>
        <v>0.12605748241202974</v>
      </c>
      <c r="H29" s="1"/>
      <c r="I29" s="1"/>
    </row>
    <row r="30" spans="1:11" ht="16.5" x14ac:dyDescent="0.3">
      <c r="A30" s="16" t="s">
        <v>7</v>
      </c>
      <c r="B30" s="10">
        <f>AVERAGE(B23:B29)</f>
        <v>-78.931428571428569</v>
      </c>
      <c r="C30" s="10">
        <f t="shared" ref="C30:G30" si="5">AVERAGE(C23:C29)</f>
        <v>2.61</v>
      </c>
      <c r="D30" s="10">
        <f t="shared" si="5"/>
        <v>2.7228571428571433</v>
      </c>
      <c r="E30" s="10">
        <f t="shared" si="5"/>
        <v>2.8414285714285712</v>
      </c>
      <c r="F30" s="10">
        <f t="shared" si="5"/>
        <v>109.02589919979687</v>
      </c>
      <c r="G30" s="35">
        <f t="shared" si="5"/>
        <v>0.10967133857909502</v>
      </c>
      <c r="H30" s="1"/>
      <c r="I30" s="1"/>
    </row>
    <row r="31" spans="1:11" ht="16.5" x14ac:dyDescent="0.3">
      <c r="A31" s="7" t="s">
        <v>25</v>
      </c>
      <c r="B31" s="38" t="s">
        <v>26</v>
      </c>
      <c r="C31" s="38" t="s">
        <v>26</v>
      </c>
      <c r="D31" s="38" t="s">
        <v>26</v>
      </c>
      <c r="E31" s="38" t="s">
        <v>26</v>
      </c>
      <c r="F31" s="38" t="s">
        <v>26</v>
      </c>
      <c r="G31" s="35">
        <v>8.5300000000000001E-2</v>
      </c>
      <c r="H31" s="1"/>
      <c r="I31" s="1"/>
    </row>
    <row r="32" spans="1:11" ht="16.5" x14ac:dyDescent="0.3">
      <c r="B32" s="1"/>
      <c r="C32" s="1"/>
      <c r="D32" s="1"/>
      <c r="E32" s="1"/>
      <c r="F32" s="1"/>
      <c r="G32" s="1"/>
      <c r="H32" s="1"/>
      <c r="I32" s="1"/>
    </row>
    <row r="33" spans="1:9" ht="16.5" x14ac:dyDescent="0.3">
      <c r="A33" s="36" t="s">
        <v>19</v>
      </c>
      <c r="B33" s="1"/>
      <c r="C33" s="1"/>
      <c r="D33" s="1"/>
      <c r="E33" s="1"/>
      <c r="F33" s="1"/>
      <c r="G33" s="1"/>
      <c r="H33" s="1"/>
      <c r="I33" s="1"/>
    </row>
    <row r="34" spans="1:9" ht="16.5" x14ac:dyDescent="0.3">
      <c r="A34" s="37" t="s">
        <v>17</v>
      </c>
      <c r="B34" s="1"/>
      <c r="C34" s="1"/>
      <c r="D34" s="1"/>
      <c r="E34" s="1"/>
      <c r="F34" s="1"/>
      <c r="G34" s="1"/>
      <c r="H34" s="1"/>
      <c r="I34" s="1"/>
    </row>
  </sheetData>
  <mergeCells count="4">
    <mergeCell ref="B5:C5"/>
    <mergeCell ref="F5:G5"/>
    <mergeCell ref="B6:C6"/>
    <mergeCell ref="F6:G6"/>
  </mergeCells>
  <pageMargins left="1.2" right="0.7" top="0.75" bottom="0.25" header="0.3" footer="0.3"/>
  <pageSetup orientation="landscape" r:id="rId1"/>
  <ignoredErrors>
    <ignoredError sqref="G14 G28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43B0754F3EA84BA41CDFEDEE7BEB48" ma:contentTypeVersion="10" ma:contentTypeDescription="Create a new document." ma:contentTypeScope="" ma:versionID="b88a2134457fe9ee1297367313618a7d">
  <xsd:schema xmlns:xsd="http://www.w3.org/2001/XMLSchema" xmlns:xs="http://www.w3.org/2001/XMLSchema" xmlns:p="http://schemas.microsoft.com/office/2006/metadata/properties" xmlns:ns2="a4c5ae62-a55a-440d-a0f2-09563c684693" xmlns:ns3="16da5b74-d710-458d-80a0-fdf84c709c57" targetNamespace="http://schemas.microsoft.com/office/2006/metadata/properties" ma:root="true" ma:fieldsID="d0ffbf2c57512769883681e23af7251b" ns2:_="" ns3:_="">
    <xsd:import namespace="a4c5ae62-a55a-440d-a0f2-09563c684693"/>
    <xsd:import namespace="16da5b74-d710-458d-80a0-fdf84c709c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5ae62-a55a-440d-a0f2-09563c6846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fde892d-7822-47be-a147-f7ef0365b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a5b74-d710-458d-80a0-fdf84c709c5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ad67da4-8c51-43ab-8a02-f88fa09c5d48}" ma:internalName="TaxCatchAll" ma:showField="CatchAllData" ma:web="16da5b74-d710-458d-80a0-fdf84c709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c5ae62-a55a-440d-a0f2-09563c684693">
      <Terms xmlns="http://schemas.microsoft.com/office/infopath/2007/PartnerControls"/>
    </lcf76f155ced4ddcb4097134ff3c332f>
    <TaxCatchAll xmlns="16da5b74-d710-458d-80a0-fdf84c709c5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87BE37-FDDB-48E4-BD46-CE5F83CDC5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c5ae62-a55a-440d-a0f2-09563c684693"/>
    <ds:schemaRef ds:uri="16da5b74-d710-458d-80a0-fdf84c709c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FAE960-5F4F-4E48-A148-132841D885A7}">
  <ds:schemaRefs>
    <ds:schemaRef ds:uri="http://schemas.microsoft.com/office/2006/metadata/properties"/>
    <ds:schemaRef ds:uri="http://schemas.microsoft.com/office/infopath/2007/PartnerControls"/>
    <ds:schemaRef ds:uri="a4c5ae62-a55a-440d-a0f2-09563c684693"/>
    <ds:schemaRef ds:uri="16da5b74-d710-458d-80a0-fdf84c709c57"/>
  </ds:schemaRefs>
</ds:datastoreItem>
</file>

<file path=customXml/itemProps3.xml><?xml version="1.0" encoding="utf-8"?>
<ds:datastoreItem xmlns:ds="http://schemas.openxmlformats.org/officeDocument/2006/customXml" ds:itemID="{E2BFAD3B-53D7-4F9F-8F45-4E5E54ED1E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Closing Price</vt:lpstr>
      <vt:lpstr>LTM Average</vt:lpstr>
      <vt:lpstr>'Closing Price'!Print_Area</vt:lpstr>
      <vt:lpstr>'LTM Average'!Print_Area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Rea</dc:creator>
  <cp:lastModifiedBy>Allyson  Honaker</cp:lastModifiedBy>
  <cp:lastPrinted>2026-09-24T20:15:02Z</cp:lastPrinted>
  <dcterms:created xsi:type="dcterms:W3CDTF">2026-08-23T18:56:30Z</dcterms:created>
  <dcterms:modified xsi:type="dcterms:W3CDTF">2026-10-08T00:24:56Z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0x0101002643B0754F3EA84BA41CDFEDEE7BEB48</vt:lpwstr>
  </property>
</Properties>
</file>