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cct-Supervisor\PSC CASES\PSC CASE 2026-00098 CPCN FILING HEADQUARTERS\FIRST DATA REQUEST\Walters Responses\"/>
    </mc:Choice>
  </mc:AlternateContent>
  <xr:revisionPtr revIDLastSave="0" documentId="13_ncr:1_{923C362E-E715-4F84-A738-8C0E516E1B9D}" xr6:coauthVersionLast="47" xr6:coauthVersionMax="47" xr10:uidLastSave="{00000000-0000-0000-0000-000000000000}"/>
  <bookViews>
    <workbookView xWindow="28680" yWindow="-120" windowWidth="29040" windowHeight="15720" xr2:uid="{99E4AF14-69E7-462D-A949-13699EFA47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4" i="1" l="1"/>
  <c r="F18" i="1"/>
  <c r="F17" i="1"/>
  <c r="Q32" i="1"/>
  <c r="N32" i="1"/>
  <c r="M32" i="1"/>
  <c r="L32" i="1"/>
  <c r="K32" i="1"/>
  <c r="J32" i="1"/>
  <c r="I32" i="1"/>
  <c r="H32" i="1"/>
  <c r="G32" i="1"/>
  <c r="F32" i="1"/>
  <c r="Q31" i="1"/>
  <c r="N31" i="1"/>
  <c r="M31" i="1"/>
  <c r="L31" i="1"/>
  <c r="K31" i="1"/>
  <c r="J31" i="1"/>
  <c r="I31" i="1"/>
  <c r="H31" i="1"/>
  <c r="G31" i="1"/>
  <c r="F31" i="1"/>
  <c r="N26" i="1"/>
  <c r="M26" i="1"/>
  <c r="L26" i="1"/>
  <c r="K26" i="1"/>
  <c r="J26" i="1"/>
  <c r="I26" i="1"/>
  <c r="H26" i="1"/>
  <c r="E25" i="1"/>
  <c r="E33" i="1" s="1"/>
  <c r="E34" i="1" s="1"/>
  <c r="Q24" i="1"/>
  <c r="N24" i="1"/>
  <c r="M24" i="1"/>
  <c r="L24" i="1"/>
  <c r="K24" i="1"/>
  <c r="J24" i="1"/>
  <c r="I24" i="1"/>
  <c r="H24" i="1"/>
  <c r="G24" i="1"/>
  <c r="Q21" i="1"/>
  <c r="N21" i="1"/>
  <c r="M21" i="1"/>
  <c r="L21" i="1"/>
  <c r="K21" i="1"/>
  <c r="J21" i="1"/>
  <c r="I21" i="1"/>
  <c r="H21" i="1"/>
  <c r="G21" i="1"/>
  <c r="F21" i="1"/>
  <c r="Q20" i="1"/>
  <c r="N20" i="1"/>
  <c r="M20" i="1"/>
  <c r="L20" i="1"/>
  <c r="K20" i="1"/>
  <c r="J20" i="1"/>
  <c r="I20" i="1"/>
  <c r="H20" i="1"/>
  <c r="G20" i="1"/>
  <c r="F20" i="1"/>
  <c r="Q18" i="1"/>
  <c r="N18" i="1"/>
  <c r="M18" i="1"/>
  <c r="L18" i="1"/>
  <c r="K18" i="1"/>
  <c r="J18" i="1"/>
  <c r="I18" i="1"/>
  <c r="H18" i="1"/>
  <c r="G18" i="1"/>
  <c r="Q17" i="1"/>
  <c r="N17" i="1"/>
  <c r="M17" i="1"/>
  <c r="L17" i="1"/>
  <c r="K17" i="1"/>
  <c r="J17" i="1"/>
  <c r="I17" i="1"/>
  <c r="H17" i="1"/>
  <c r="G17" i="1"/>
  <c r="F13" i="1"/>
  <c r="E13" i="1"/>
  <c r="N10" i="1"/>
  <c r="N13" i="1" s="1"/>
  <c r="M10" i="1"/>
  <c r="M13" i="1" s="1"/>
  <c r="L10" i="1"/>
  <c r="L13" i="1" s="1"/>
  <c r="K10" i="1"/>
  <c r="K13" i="1" s="1"/>
  <c r="J10" i="1"/>
  <c r="J13" i="1" s="1"/>
  <c r="I10" i="1"/>
  <c r="I13" i="1" s="1"/>
  <c r="H10" i="1"/>
  <c r="H13" i="1" s="1"/>
  <c r="G10" i="1"/>
  <c r="G13" i="1" s="1"/>
  <c r="H25" i="1" l="1"/>
  <c r="H33" i="1" s="1"/>
  <c r="H34" i="1" s="1"/>
  <c r="M25" i="1"/>
  <c r="M33" i="1" s="1"/>
  <c r="M34" i="1" s="1"/>
  <c r="L25" i="1"/>
  <c r="L33" i="1" s="1"/>
  <c r="L34" i="1" s="1"/>
  <c r="K25" i="1"/>
  <c r="K33" i="1" s="1"/>
  <c r="K34" i="1" s="1"/>
  <c r="J25" i="1"/>
  <c r="J33" i="1" s="1"/>
  <c r="J34" i="1" s="1"/>
  <c r="I25" i="1"/>
  <c r="I33" i="1" s="1"/>
  <c r="I34" i="1" s="1"/>
  <c r="G25" i="1"/>
  <c r="G33" i="1" s="1"/>
  <c r="G34" i="1" s="1"/>
  <c r="F25" i="1"/>
  <c r="F33" i="1" s="1"/>
  <c r="F34" i="1" s="1"/>
  <c r="N25" i="1"/>
  <c r="N33" i="1" s="1"/>
  <c r="N34" i="1" s="1"/>
  <c r="E44" i="1"/>
  <c r="E46" i="1"/>
  <c r="G44" i="1"/>
  <c r="G46" i="1"/>
  <c r="F44" i="1"/>
  <c r="F46" i="1"/>
  <c r="N44" i="1"/>
  <c r="N46" i="1"/>
  <c r="H44" i="1" l="1"/>
  <c r="H47" i="1" s="1"/>
  <c r="H46" i="1"/>
  <c r="M44" i="1"/>
  <c r="M47" i="1" s="1"/>
  <c r="M46" i="1"/>
  <c r="L44" i="1"/>
  <c r="L46" i="1"/>
  <c r="K44" i="1"/>
  <c r="K47" i="1" s="1"/>
  <c r="K46" i="1"/>
  <c r="J44" i="1"/>
  <c r="J46" i="1"/>
  <c r="I44" i="1"/>
  <c r="I46" i="1"/>
  <c r="E47" i="1"/>
  <c r="J47" i="1"/>
  <c r="I47" i="1"/>
  <c r="G47" i="1"/>
  <c r="F47" i="1"/>
  <c r="N47" i="1"/>
  <c r="L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Patsy</author>
  </authors>
  <commentList>
    <comment ref="G6" authorId="0" shapeId="0" xr:uid="{6765CFA9-F4DE-4D6D-8BFE-19500713A869}">
      <text>
        <r>
          <rPr>
            <b/>
            <sz val="9"/>
            <color indexed="81"/>
            <rFont val="Tahoma"/>
            <family val="2"/>
          </rPr>
          <t>Patsy:</t>
        </r>
        <r>
          <rPr>
            <sz val="9"/>
            <color indexed="81"/>
            <rFont val="Tahoma"/>
            <family val="2"/>
          </rPr>
          <t xml:space="preserve">
Rate Case Filed last 2026 to have rates in effect 2028
</t>
        </r>
      </text>
    </comment>
    <comment ref="I6" authorId="0" shapeId="0" xr:uid="{B3A40F35-24C1-4AFC-9704-250409983ABB}">
      <text>
        <r>
          <rPr>
            <b/>
            <sz val="9"/>
            <color indexed="81"/>
            <rFont val="Tahoma"/>
            <charset val="1"/>
          </rPr>
          <t>Patsy:</t>
        </r>
        <r>
          <rPr>
            <sz val="9"/>
            <color indexed="81"/>
            <rFont val="Tahoma"/>
            <charset val="1"/>
          </rPr>
          <t xml:space="preserve">
New Headquarters
</t>
        </r>
      </text>
    </comment>
    <comment ref="E8" authorId="0" shapeId="0" xr:uid="{30282642-4762-4CA4-A6EA-FA43F324D53D}">
      <text>
        <r>
          <rPr>
            <b/>
            <sz val="9"/>
            <color indexed="81"/>
            <rFont val="Tahoma"/>
            <family val="2"/>
          </rPr>
          <t>Patsy:</t>
        </r>
        <r>
          <rPr>
            <sz val="9"/>
            <color indexed="81"/>
            <rFont val="Tahoma"/>
            <family val="2"/>
          </rPr>
          <t xml:space="preserve">
2026 Budget
</t>
        </r>
      </text>
    </comment>
    <comment ref="Q8" authorId="0" shapeId="0" xr:uid="{09E89805-F660-490C-99BA-AC2A5CB1228F}">
      <text>
        <r>
          <rPr>
            <b/>
            <sz val="9"/>
            <color indexed="81"/>
            <rFont val="Tahoma"/>
            <family val="2"/>
          </rPr>
          <t>Patsy:</t>
        </r>
        <r>
          <rPr>
            <sz val="9"/>
            <color indexed="81"/>
            <rFont val="Tahoma"/>
            <family val="2"/>
          </rPr>
          <t xml:space="preserve">
2026 Budget
</t>
        </r>
      </text>
    </comment>
  </commentList>
</comments>
</file>

<file path=xl/sharedStrings.xml><?xml version="1.0" encoding="utf-8"?>
<sst xmlns="http://schemas.openxmlformats.org/spreadsheetml/2006/main" count="50" uniqueCount="41">
  <si>
    <t>TAYLOR COUNTY RECC</t>
  </si>
  <si>
    <t>Statement of Operations</t>
  </si>
  <si>
    <t xml:space="preserve">  -----------</t>
  </si>
  <si>
    <t>Operating Revenue and Patronage Capital</t>
  </si>
  <si>
    <t>Power Production Expense</t>
  </si>
  <si>
    <t>Cost of Purchased Power</t>
  </si>
  <si>
    <t>C</t>
  </si>
  <si>
    <t>OPER. REV. LESS COST OF POWER</t>
  </si>
  <si>
    <t>Transmission Expense</t>
  </si>
  <si>
    <t>Regional Market Expense</t>
  </si>
  <si>
    <t>Distribution Expense - Operation</t>
  </si>
  <si>
    <t>Distribution Expense - Maintenance</t>
  </si>
  <si>
    <t>Customer Accounts Expense</t>
  </si>
  <si>
    <t>Customer Service and Informational Expense</t>
  </si>
  <si>
    <t>Sales Expense</t>
  </si>
  <si>
    <t>Adminstrative and General Expense</t>
  </si>
  <si>
    <t>TOTAL OPERATION &amp; MAINTENANCE EXPENSE (2 thru 10)</t>
  </si>
  <si>
    <t>Depreciation &amp; Amortization Expense</t>
  </si>
  <si>
    <t>Tax Expense - Property &amp; Gross Receipts</t>
  </si>
  <si>
    <t>Tax Expense - Other</t>
  </si>
  <si>
    <t>Interest on Long-Term Debt</t>
  </si>
  <si>
    <t>Interest Charged to Construction - Credit</t>
  </si>
  <si>
    <t>Interest Expense - Other</t>
  </si>
  <si>
    <t>Other Deductions</t>
  </si>
  <si>
    <t>TOTAL COST OF ELECTRIC SERVICE (11 thru 18)</t>
  </si>
  <si>
    <t>PATRONAGE CAPITAL &amp; OPERATING MARGINS (1 minus 19)</t>
  </si>
  <si>
    <t>Non Operating Margins - Interest</t>
  </si>
  <si>
    <t>Allowance for Funds Used During Construction</t>
  </si>
  <si>
    <t>Income (Loss) from Equity Investments</t>
  </si>
  <si>
    <t>Non Operating Margins - Other</t>
  </si>
  <si>
    <t>Generation and Transmission Capital Credits</t>
  </si>
  <si>
    <t>Other Capital Credits and Patronage Dividends</t>
  </si>
  <si>
    <t>Extraordinary Items</t>
  </si>
  <si>
    <t>PATRONAGE CAPITAL OR MARGINS (20 thru 27)</t>
  </si>
  <si>
    <t>OPERATING TIER (1.10)</t>
  </si>
  <si>
    <t>TIER (1.25)</t>
  </si>
  <si>
    <t>RUS 10 YEAR FORECAST &lt;NEW HEADQUARTERS&gt;</t>
  </si>
  <si>
    <t>Estimated % Increase in Rates</t>
  </si>
  <si>
    <t>EXHIBIT PRW-3</t>
  </si>
  <si>
    <t xml:space="preserve"> </t>
  </si>
  <si>
    <t>RUS Forecast combines the following highlighted line items - Breakout to reflect Form 7 Part A Format.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</si>
</sst>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 applyAlignment="1">
      <alignment horizontal="right"/>
    </xf>
    <xf numFmtId="0" fontId="0" fillId="2" borderId="0" xfId="0" applyFill="1"/>
    <xf numFmtId="10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7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2" xfId="0" applyBorder="1"/>
    <xf numFmtId="37" fontId="0" fillId="0" borderId="2" xfId="0" applyNumberFormat="1" applyBorder="1"/>
    <xf numFmtId="37" fontId="0" fillId="0" borderId="3" xfId="0" applyNumberFormat="1" applyBorder="1"/>
    <xf numFmtId="0" fontId="1" fillId="0" borderId="0" xfId="0" applyFont="1"/>
    <xf numFmtId="164" fontId="0" fillId="0" borderId="0" xfId="0" applyNumberFormat="1"/>
    <xf numFmtId="0" fontId="5" fillId="0" borderId="0" xfId="0" applyFont="1"/>
    <xf numFmtId="0" fontId="0" fillId="3" borderId="0" xfId="0" applyFill="1"/>
    <xf numFmtId="0" fontId="0" fillId="3" borderId="0" xfId="0" applyFill="1" applyAlignment="1">
      <alignment horizontal="left"/>
    </xf>
    <xf numFmtId="37" fontId="0" fillId="3" borderId="0" xfId="0" applyNumberFormat="1" applyFill="1"/>
    <xf numFmtId="0" fontId="0" fillId="4" borderId="0" xfId="0" applyFill="1"/>
    <xf numFmtId="0" fontId="0" fillId="4" borderId="0" xfId="0" applyFill="1" applyAlignment="1">
      <alignment horizontal="left"/>
    </xf>
    <xf numFmtId="37" fontId="0" fillId="4" borderId="0" xfId="0" applyNumberFormat="1" applyFill="1"/>
    <xf numFmtId="0" fontId="0" fillId="5" borderId="0" xfId="0" applyFill="1"/>
    <xf numFmtId="0" fontId="0" fillId="5" borderId="0" xfId="0" applyFill="1" applyAlignment="1">
      <alignment horizontal="left"/>
    </xf>
    <xf numFmtId="37" fontId="0" fillId="5" borderId="0" xfId="0" applyNumberFormat="1" applyFill="1"/>
    <xf numFmtId="10" fontId="0" fillId="2" borderId="4" xfId="0" applyNumberFormat="1" applyFill="1" applyBorder="1"/>
    <xf numFmtId="0" fontId="4" fillId="0" borderId="0" xfId="0" applyFont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8" xfId="0" applyFill="1" applyBorder="1"/>
    <xf numFmtId="0" fontId="0" fillId="3" borderId="0" xfId="0" applyFill="1" applyBorder="1"/>
    <xf numFmtId="0" fontId="0" fillId="3" borderId="9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0" fillId="5" borderId="8" xfId="0" applyFill="1" applyBorder="1"/>
    <xf numFmtId="0" fontId="0" fillId="5" borderId="0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C7A4F-8765-427C-BB5E-6F4987BBE159}">
  <dimension ref="A1:Z51"/>
  <sheetViews>
    <sheetView tabSelected="1" workbookViewId="0">
      <selection activeCell="M50" sqref="M50"/>
    </sheetView>
  </sheetViews>
  <sheetFormatPr defaultRowHeight="15" x14ac:dyDescent="0.25"/>
  <cols>
    <col min="2" max="2" width="55.28515625" customWidth="1"/>
    <col min="5" max="5" width="10.85546875" bestFit="1" customWidth="1"/>
    <col min="6" max="14" width="11.5703125" customWidth="1"/>
  </cols>
  <sheetData>
    <row r="1" spans="1:26" ht="15.75" x14ac:dyDescent="0.25">
      <c r="B1" s="14" t="s">
        <v>0</v>
      </c>
      <c r="M1" s="25" t="s">
        <v>38</v>
      </c>
      <c r="N1" s="25"/>
    </row>
    <row r="2" spans="1:26" ht="15.75" x14ac:dyDescent="0.25">
      <c r="B2" s="14" t="s">
        <v>36</v>
      </c>
    </row>
    <row r="5" spans="1:26" ht="15.75" thickBot="1" x14ac:dyDescent="0.3"/>
    <row r="6" spans="1:26" ht="15.75" thickBot="1" x14ac:dyDescent="0.3">
      <c r="B6" s="1" t="s">
        <v>37</v>
      </c>
      <c r="C6" s="2"/>
      <c r="D6" s="2"/>
      <c r="E6" s="2"/>
      <c r="F6" s="3"/>
      <c r="G6" s="24">
        <v>8.5000000000000006E-2</v>
      </c>
      <c r="H6" s="2"/>
      <c r="I6" s="24">
        <v>7.0000000000000007E-2</v>
      </c>
      <c r="J6" s="2"/>
      <c r="K6" s="3"/>
      <c r="L6" s="3"/>
      <c r="M6" s="2"/>
      <c r="N6" s="2"/>
      <c r="Q6" s="26" t="s">
        <v>40</v>
      </c>
      <c r="R6" s="27"/>
      <c r="S6" s="27"/>
      <c r="T6" s="27"/>
      <c r="U6" s="27"/>
      <c r="V6" s="27"/>
      <c r="W6" s="27"/>
      <c r="X6" s="27"/>
      <c r="Y6" s="27"/>
      <c r="Z6" s="28"/>
    </row>
    <row r="7" spans="1:26" x14ac:dyDescent="0.25">
      <c r="B7" t="s">
        <v>1</v>
      </c>
      <c r="Q7" s="29"/>
      <c r="R7" s="30"/>
      <c r="S7" s="30"/>
      <c r="T7" s="30"/>
      <c r="U7" s="30"/>
      <c r="V7" s="30"/>
      <c r="W7" s="30"/>
      <c r="X7" s="30"/>
      <c r="Y7" s="30"/>
      <c r="Z7" s="31"/>
    </row>
    <row r="8" spans="1:26" x14ac:dyDescent="0.25">
      <c r="E8" s="4">
        <v>2026</v>
      </c>
      <c r="F8" s="4">
        <v>2027</v>
      </c>
      <c r="G8" s="4">
        <v>2028</v>
      </c>
      <c r="H8" s="4">
        <v>2029</v>
      </c>
      <c r="I8" s="4">
        <v>2030</v>
      </c>
      <c r="J8" s="4">
        <v>2031</v>
      </c>
      <c r="K8" s="4">
        <v>2032</v>
      </c>
      <c r="L8" s="4">
        <v>2033</v>
      </c>
      <c r="M8" s="4">
        <v>2034</v>
      </c>
      <c r="N8" s="4">
        <v>2035</v>
      </c>
      <c r="Q8" s="32">
        <v>2026</v>
      </c>
      <c r="R8" s="33">
        <v>2027</v>
      </c>
      <c r="S8" s="33">
        <v>2028</v>
      </c>
      <c r="T8" s="33">
        <v>2029</v>
      </c>
      <c r="U8" s="33">
        <v>2030</v>
      </c>
      <c r="V8" s="33">
        <v>2031</v>
      </c>
      <c r="W8" s="33">
        <v>2032</v>
      </c>
      <c r="X8" s="33">
        <v>2033</v>
      </c>
      <c r="Y8" s="33">
        <v>2034</v>
      </c>
      <c r="Z8" s="34">
        <v>2035</v>
      </c>
    </row>
    <row r="9" spans="1:26" x14ac:dyDescent="0.25">
      <c r="E9" s="4" t="s">
        <v>2</v>
      </c>
      <c r="F9" s="4" t="s">
        <v>2</v>
      </c>
      <c r="G9" s="4" t="s">
        <v>2</v>
      </c>
      <c r="H9" s="4" t="s">
        <v>2</v>
      </c>
      <c r="I9" s="4" t="s">
        <v>2</v>
      </c>
      <c r="J9" s="4" t="s">
        <v>2</v>
      </c>
      <c r="K9" s="4" t="s">
        <v>2</v>
      </c>
      <c r="L9" s="4" t="s">
        <v>2</v>
      </c>
      <c r="M9" s="4" t="s">
        <v>2</v>
      </c>
      <c r="N9" s="4" t="s">
        <v>2</v>
      </c>
      <c r="Q9" s="29"/>
      <c r="R9" s="30"/>
      <c r="S9" s="30"/>
      <c r="T9" s="30"/>
      <c r="U9" s="30"/>
      <c r="V9" s="30"/>
      <c r="W9" s="30"/>
      <c r="X9" s="30"/>
      <c r="Y9" s="30"/>
      <c r="Z9" s="31"/>
    </row>
    <row r="10" spans="1:26" x14ac:dyDescent="0.25">
      <c r="A10">
        <v>1</v>
      </c>
      <c r="B10" s="5" t="s">
        <v>3</v>
      </c>
      <c r="E10" s="6">
        <v>69037464</v>
      </c>
      <c r="F10" s="6">
        <v>69971688</v>
      </c>
      <c r="G10" s="6">
        <f>(70912502*G6)+70912502</f>
        <v>76940064.670000002</v>
      </c>
      <c r="H10" s="6">
        <f>(71159906*G6)+71159906</f>
        <v>77208498.010000005</v>
      </c>
      <c r="I10" s="6">
        <f>(71999274*(G6+I6))+71999274</f>
        <v>83159161.469999999</v>
      </c>
      <c r="J10" s="6">
        <f>(72897139*(G6+I6))+72897139</f>
        <v>84196195.545000002</v>
      </c>
      <c r="K10" s="6">
        <f>(74516449*(G6+I6))+74516449</f>
        <v>86066498.594999999</v>
      </c>
      <c r="L10" s="6">
        <f>(74810460*(G6+I6))+74810460</f>
        <v>86406081.299999997</v>
      </c>
      <c r="M10" s="6">
        <f>(75610575*(G6+I6))+75610575</f>
        <v>87330214.125</v>
      </c>
      <c r="N10" s="6">
        <f>(76555219*(G6+I6))+76555219</f>
        <v>88421277.945000008</v>
      </c>
      <c r="Q10" s="29"/>
      <c r="R10" s="30"/>
      <c r="S10" s="30"/>
      <c r="T10" s="30"/>
      <c r="U10" s="30"/>
      <c r="V10" s="30"/>
      <c r="W10" s="30"/>
      <c r="X10" s="30"/>
      <c r="Y10" s="30"/>
      <c r="Z10" s="31"/>
    </row>
    <row r="11" spans="1:26" x14ac:dyDescent="0.25">
      <c r="A11">
        <v>2</v>
      </c>
      <c r="B11" s="5" t="s">
        <v>4</v>
      </c>
      <c r="E11" s="6"/>
      <c r="F11" s="6"/>
      <c r="G11" s="6"/>
      <c r="H11" s="6"/>
      <c r="I11" s="6"/>
      <c r="J11" s="6"/>
      <c r="K11" s="6"/>
      <c r="L11" s="6"/>
      <c r="M11" s="6"/>
      <c r="N11" s="6"/>
      <c r="Q11" s="29"/>
      <c r="R11" s="30"/>
      <c r="S11" s="30"/>
      <c r="T11" s="30"/>
      <c r="U11" s="30"/>
      <c r="V11" s="30"/>
      <c r="W11" s="30"/>
      <c r="X11" s="30"/>
      <c r="Y11" s="30"/>
      <c r="Z11" s="31"/>
    </row>
    <row r="12" spans="1:26" ht="15.75" thickBot="1" x14ac:dyDescent="0.3">
      <c r="A12">
        <v>3</v>
      </c>
      <c r="B12" s="5" t="s">
        <v>5</v>
      </c>
      <c r="E12" s="6">
        <v>49985609</v>
      </c>
      <c r="F12" s="6">
        <v>50553765.920728281</v>
      </c>
      <c r="G12" s="6">
        <v>51684588.979733884</v>
      </c>
      <c r="H12" s="6">
        <v>51785052.868726373</v>
      </c>
      <c r="I12" s="6">
        <v>52296714.903981008</v>
      </c>
      <c r="J12" s="6">
        <v>52843570.956819199</v>
      </c>
      <c r="K12" s="6">
        <v>54270889.589501269</v>
      </c>
      <c r="L12" s="6">
        <v>54399364.79668656</v>
      </c>
      <c r="M12" s="6">
        <v>54886319.376647733</v>
      </c>
      <c r="N12" s="6">
        <v>55462292.180562399</v>
      </c>
      <c r="Q12" s="29"/>
      <c r="R12" s="30"/>
      <c r="S12" s="30"/>
      <c r="T12" s="30"/>
      <c r="U12" s="30"/>
      <c r="V12" s="30"/>
      <c r="W12" s="30"/>
      <c r="X12" s="30"/>
      <c r="Y12" s="30"/>
      <c r="Z12" s="31"/>
    </row>
    <row r="13" spans="1:26" ht="15.75" thickBot="1" x14ac:dyDescent="0.3">
      <c r="A13" s="7" t="s">
        <v>6</v>
      </c>
      <c r="B13" s="8" t="s">
        <v>7</v>
      </c>
      <c r="C13" s="9"/>
      <c r="D13" s="9"/>
      <c r="E13" s="10">
        <f>E10-E12</f>
        <v>19051855</v>
      </c>
      <c r="F13" s="10">
        <f t="shared" ref="F13:N13" si="0">F10-F12</f>
        <v>19417922.079271719</v>
      </c>
      <c r="G13" s="10">
        <f t="shared" si="0"/>
        <v>25255475.690266117</v>
      </c>
      <c r="H13" s="10">
        <f t="shared" si="0"/>
        <v>25423445.141273633</v>
      </c>
      <c r="I13" s="10">
        <f t="shared" si="0"/>
        <v>30862446.566018991</v>
      </c>
      <c r="J13" s="10">
        <f t="shared" si="0"/>
        <v>31352624.588180803</v>
      </c>
      <c r="K13" s="10">
        <f t="shared" si="0"/>
        <v>31795609.00549873</v>
      </c>
      <c r="L13" s="10">
        <f t="shared" si="0"/>
        <v>32006716.503313437</v>
      </c>
      <c r="M13" s="10">
        <f t="shared" si="0"/>
        <v>32443894.748352267</v>
      </c>
      <c r="N13" s="11">
        <f t="shared" si="0"/>
        <v>32958985.764437608</v>
      </c>
      <c r="P13" t="s">
        <v>39</v>
      </c>
      <c r="Q13" s="29"/>
      <c r="R13" s="30"/>
      <c r="S13" s="30"/>
      <c r="T13" s="30"/>
      <c r="U13" s="30"/>
      <c r="V13" s="30"/>
      <c r="W13" s="30"/>
      <c r="X13" s="30"/>
      <c r="Y13" s="30"/>
      <c r="Z13" s="31"/>
    </row>
    <row r="14" spans="1:26" x14ac:dyDescent="0.25">
      <c r="A14">
        <v>4</v>
      </c>
      <c r="B14" s="5" t="s">
        <v>8</v>
      </c>
      <c r="E14" s="6"/>
      <c r="F14" s="6"/>
      <c r="G14" s="6"/>
      <c r="H14" s="6"/>
      <c r="I14" s="6"/>
      <c r="J14" s="6"/>
      <c r="K14" s="6"/>
      <c r="L14" s="6"/>
      <c r="M14" s="6"/>
      <c r="N14" s="6"/>
      <c r="Q14" s="29"/>
      <c r="R14" s="30"/>
      <c r="S14" s="30"/>
      <c r="T14" s="30"/>
      <c r="U14" s="30"/>
      <c r="V14" s="30"/>
      <c r="W14" s="30"/>
      <c r="X14" s="30"/>
      <c r="Y14" s="30"/>
      <c r="Z14" s="31"/>
    </row>
    <row r="15" spans="1:26" x14ac:dyDescent="0.25">
      <c r="A15">
        <v>5</v>
      </c>
      <c r="B15" s="5" t="s">
        <v>9</v>
      </c>
      <c r="E15" s="6"/>
      <c r="F15" s="6"/>
      <c r="G15" s="6"/>
      <c r="H15" s="6"/>
      <c r="I15" s="6"/>
      <c r="J15" s="6"/>
      <c r="K15" s="6"/>
      <c r="L15" s="6"/>
      <c r="M15" s="6"/>
      <c r="N15" s="6"/>
      <c r="Q15" s="29"/>
      <c r="R15" s="30"/>
      <c r="S15" s="30"/>
      <c r="T15" s="30"/>
      <c r="U15" s="30"/>
      <c r="V15" s="30"/>
      <c r="W15" s="30"/>
      <c r="X15" s="30"/>
      <c r="Y15" s="30"/>
      <c r="Z15" s="31"/>
    </row>
    <row r="16" spans="1:26" x14ac:dyDescent="0.25">
      <c r="A16" s="15"/>
      <c r="B16" s="16"/>
      <c r="C16" s="15"/>
      <c r="D16" s="15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5"/>
      <c r="P16" s="15"/>
      <c r="Q16" s="35">
        <v>8662736</v>
      </c>
      <c r="R16" s="36">
        <v>8712736</v>
      </c>
      <c r="S16" s="36">
        <v>8762736</v>
      </c>
      <c r="T16" s="36">
        <v>8812736</v>
      </c>
      <c r="U16" s="36">
        <v>8862736</v>
      </c>
      <c r="V16" s="36">
        <v>8912736</v>
      </c>
      <c r="W16" s="36">
        <v>8962736</v>
      </c>
      <c r="X16" s="36">
        <v>9012736</v>
      </c>
      <c r="Y16" s="36">
        <v>9062736</v>
      </c>
      <c r="Z16" s="37">
        <v>9112736</v>
      </c>
    </row>
    <row r="17" spans="1:26" x14ac:dyDescent="0.25">
      <c r="A17" s="15">
        <v>6</v>
      </c>
      <c r="B17" s="16" t="s">
        <v>10</v>
      </c>
      <c r="C17" s="15"/>
      <c r="D17" s="15"/>
      <c r="E17" s="17">
        <v>2425054</v>
      </c>
      <c r="F17" s="17">
        <f>R16*R17</f>
        <v>2439051.0443518073</v>
      </c>
      <c r="G17" s="17">
        <f t="shared" ref="G17:N17" si="1">S16*S17</f>
        <v>2453048.0887036151</v>
      </c>
      <c r="H17" s="17">
        <f t="shared" si="1"/>
        <v>2467045.1330554225</v>
      </c>
      <c r="I17" s="17">
        <f t="shared" si="1"/>
        <v>2481042.1774072303</v>
      </c>
      <c r="J17" s="17">
        <f t="shared" si="1"/>
        <v>2495039.2217590376</v>
      </c>
      <c r="K17" s="17">
        <f t="shared" si="1"/>
        <v>2509036.2661108454</v>
      </c>
      <c r="L17" s="17">
        <f t="shared" si="1"/>
        <v>2523033.3104626527</v>
      </c>
      <c r="M17" s="17">
        <f t="shared" si="1"/>
        <v>2537030.3548144605</v>
      </c>
      <c r="N17" s="17">
        <f t="shared" si="1"/>
        <v>2551027.3991662678</v>
      </c>
      <c r="O17" s="15"/>
      <c r="P17" s="15"/>
      <c r="Q17" s="35">
        <f>E17/($E$17+$E$18)</f>
        <v>0.27994088703615116</v>
      </c>
      <c r="R17" s="36">
        <v>0.27994088703615116</v>
      </c>
      <c r="S17" s="36">
        <v>0.27994088703615116</v>
      </c>
      <c r="T17" s="36">
        <v>0.27994088703615116</v>
      </c>
      <c r="U17" s="36">
        <v>0.27994088703615116</v>
      </c>
      <c r="V17" s="36">
        <v>0.27994088703615116</v>
      </c>
      <c r="W17" s="36">
        <v>0.27994088703615116</v>
      </c>
      <c r="X17" s="36">
        <v>0.27994088703615116</v>
      </c>
      <c r="Y17" s="36">
        <v>0.27994088703615116</v>
      </c>
      <c r="Z17" s="37">
        <v>0.27994088703615116</v>
      </c>
    </row>
    <row r="18" spans="1:26" x14ac:dyDescent="0.25">
      <c r="A18" s="15">
        <v>7</v>
      </c>
      <c r="B18" s="16" t="s">
        <v>11</v>
      </c>
      <c r="C18" s="15"/>
      <c r="D18" s="15"/>
      <c r="E18" s="17">
        <v>6237682</v>
      </c>
      <c r="F18" s="17">
        <f>R16*R18</f>
        <v>6273684.9556481922</v>
      </c>
      <c r="G18" s="17">
        <f t="shared" ref="G18:N18" si="2">S16*S18</f>
        <v>6309687.9112963853</v>
      </c>
      <c r="H18" s="17">
        <f t="shared" si="2"/>
        <v>6345690.8669445775</v>
      </c>
      <c r="I18" s="17">
        <f t="shared" si="2"/>
        <v>6381693.8225927697</v>
      </c>
      <c r="J18" s="17">
        <f t="shared" si="2"/>
        <v>6417696.778240962</v>
      </c>
      <c r="K18" s="17">
        <f t="shared" si="2"/>
        <v>6453699.7338891551</v>
      </c>
      <c r="L18" s="17">
        <f t="shared" si="2"/>
        <v>6489702.6895373473</v>
      </c>
      <c r="M18" s="17">
        <f t="shared" si="2"/>
        <v>6525705.6451855395</v>
      </c>
      <c r="N18" s="17">
        <f t="shared" si="2"/>
        <v>6561708.6008337317</v>
      </c>
      <c r="O18" s="15"/>
      <c r="P18" s="15"/>
      <c r="Q18" s="35">
        <f>E18/($E$17+$E$18)</f>
        <v>0.72005911296384884</v>
      </c>
      <c r="R18" s="36">
        <v>0.72005911296384884</v>
      </c>
      <c r="S18" s="36">
        <v>0.72005911296384884</v>
      </c>
      <c r="T18" s="36">
        <v>0.72005911296384884</v>
      </c>
      <c r="U18" s="36">
        <v>0.72005911296384884</v>
      </c>
      <c r="V18" s="36">
        <v>0.72005911296384884</v>
      </c>
      <c r="W18" s="36">
        <v>0.72005911296384884</v>
      </c>
      <c r="X18" s="36">
        <v>0.72005911296384884</v>
      </c>
      <c r="Y18" s="36">
        <v>0.72005911296384884</v>
      </c>
      <c r="Z18" s="37">
        <v>0.72005911296384884</v>
      </c>
    </row>
    <row r="19" spans="1:26" x14ac:dyDescent="0.25">
      <c r="A19" s="18"/>
      <c r="B19" s="19"/>
      <c r="C19" s="18"/>
      <c r="D19" s="18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8">
        <v>1629869</v>
      </c>
      <c r="R19" s="39">
        <v>1639869</v>
      </c>
      <c r="S19" s="39">
        <v>1649869</v>
      </c>
      <c r="T19" s="39">
        <v>1659869</v>
      </c>
      <c r="U19" s="39">
        <v>1669869</v>
      </c>
      <c r="V19" s="39">
        <v>1679869</v>
      </c>
      <c r="W19" s="39">
        <v>1689869</v>
      </c>
      <c r="X19" s="39">
        <v>1699869</v>
      </c>
      <c r="Y19" s="39">
        <v>1709869</v>
      </c>
      <c r="Z19" s="40">
        <v>1719869</v>
      </c>
    </row>
    <row r="20" spans="1:26" x14ac:dyDescent="0.25">
      <c r="A20" s="18">
        <v>8</v>
      </c>
      <c r="B20" s="19" t="s">
        <v>12</v>
      </c>
      <c r="C20" s="18"/>
      <c r="D20" s="18"/>
      <c r="E20" s="20">
        <v>1559013</v>
      </c>
      <c r="F20" s="20">
        <f>R19*R20</f>
        <v>1568578.2656747261</v>
      </c>
      <c r="G20" s="20">
        <f t="shared" ref="G20:N20" si="3">S19*S20</f>
        <v>1578143.531349452</v>
      </c>
      <c r="H20" s="20">
        <f t="shared" si="3"/>
        <v>1587708.7970241781</v>
      </c>
      <c r="I20" s="20">
        <f t="shared" si="3"/>
        <v>1597274.062698904</v>
      </c>
      <c r="J20" s="20">
        <f t="shared" si="3"/>
        <v>1606839.3283736301</v>
      </c>
      <c r="K20" s="20">
        <f t="shared" si="3"/>
        <v>1616404.5940483559</v>
      </c>
      <c r="L20" s="20">
        <f t="shared" si="3"/>
        <v>1625969.859723082</v>
      </c>
      <c r="M20" s="20">
        <f t="shared" si="3"/>
        <v>1635535.1253978082</v>
      </c>
      <c r="N20" s="20">
        <f t="shared" si="3"/>
        <v>1645100.391072534</v>
      </c>
      <c r="O20" s="18"/>
      <c r="P20" s="18"/>
      <c r="Q20" s="38">
        <f>E20/Q19</f>
        <v>0.95652656747260056</v>
      </c>
      <c r="R20" s="39">
        <v>0.95652656747260056</v>
      </c>
      <c r="S20" s="39">
        <v>0.95652656747260056</v>
      </c>
      <c r="T20" s="39">
        <v>0.95652656747260056</v>
      </c>
      <c r="U20" s="39">
        <v>0.95652656747260056</v>
      </c>
      <c r="V20" s="39">
        <v>0.95652656747260056</v>
      </c>
      <c r="W20" s="39">
        <v>0.95652656747260056</v>
      </c>
      <c r="X20" s="39">
        <v>0.95652656747260056</v>
      </c>
      <c r="Y20" s="39">
        <v>0.95652656747260056</v>
      </c>
      <c r="Z20" s="40">
        <v>0.95652656747260056</v>
      </c>
    </row>
    <row r="21" spans="1:26" x14ac:dyDescent="0.25">
      <c r="A21" s="18">
        <v>9</v>
      </c>
      <c r="B21" s="19" t="s">
        <v>13</v>
      </c>
      <c r="C21" s="18"/>
      <c r="D21" s="18"/>
      <c r="E21" s="20">
        <v>70856</v>
      </c>
      <c r="F21" s="20">
        <f>R19*R21</f>
        <v>71290.734325273996</v>
      </c>
      <c r="G21" s="20">
        <f t="shared" ref="G21:N21" si="4">S19*S21</f>
        <v>71725.468650547991</v>
      </c>
      <c r="H21" s="20">
        <f t="shared" si="4"/>
        <v>72160.202975821987</v>
      </c>
      <c r="I21" s="20">
        <f t="shared" si="4"/>
        <v>72594.937301095983</v>
      </c>
      <c r="J21" s="20">
        <f t="shared" si="4"/>
        <v>73029.671626369978</v>
      </c>
      <c r="K21" s="20">
        <f t="shared" si="4"/>
        <v>73464.405951643974</v>
      </c>
      <c r="L21" s="20">
        <f t="shared" si="4"/>
        <v>73899.140276917969</v>
      </c>
      <c r="M21" s="20">
        <f t="shared" si="4"/>
        <v>74333.874602191965</v>
      </c>
      <c r="N21" s="20">
        <f t="shared" si="4"/>
        <v>74768.608927465946</v>
      </c>
      <c r="O21" s="18"/>
      <c r="P21" s="18"/>
      <c r="Q21" s="38">
        <f>E21/Q19</f>
        <v>4.3473432527399443E-2</v>
      </c>
      <c r="R21" s="39">
        <v>4.3473432527399443E-2</v>
      </c>
      <c r="S21" s="39">
        <v>4.3473432527399443E-2</v>
      </c>
      <c r="T21" s="39">
        <v>4.3473432527399443E-2</v>
      </c>
      <c r="U21" s="39">
        <v>4.3473432527399443E-2</v>
      </c>
      <c r="V21" s="39">
        <v>4.3473432527399443E-2</v>
      </c>
      <c r="W21" s="39">
        <v>4.3473432527399443E-2</v>
      </c>
      <c r="X21" s="39">
        <v>4.3473432527399443E-2</v>
      </c>
      <c r="Y21" s="39">
        <v>4.3473432527399443E-2</v>
      </c>
      <c r="Z21" s="40">
        <v>4.3473432527399443E-2</v>
      </c>
    </row>
    <row r="22" spans="1:26" x14ac:dyDescent="0.25">
      <c r="A22">
        <v>10</v>
      </c>
      <c r="B22" s="5" t="s">
        <v>14</v>
      </c>
      <c r="E22" s="6"/>
      <c r="F22" s="6"/>
      <c r="G22" s="6"/>
      <c r="H22" s="6"/>
      <c r="I22" s="6"/>
      <c r="J22" s="6"/>
      <c r="K22" s="6"/>
      <c r="L22" s="6"/>
      <c r="M22" s="6"/>
      <c r="N22" s="6"/>
      <c r="Q22" s="29"/>
      <c r="R22" s="30"/>
      <c r="S22" s="30"/>
      <c r="T22" s="30"/>
      <c r="U22" s="30"/>
      <c r="V22" s="30"/>
      <c r="W22" s="30"/>
      <c r="X22" s="30"/>
      <c r="Y22" s="30"/>
      <c r="Z22" s="31"/>
    </row>
    <row r="23" spans="1:26" x14ac:dyDescent="0.25">
      <c r="A23" s="21"/>
      <c r="B23" s="22"/>
      <c r="C23" s="21"/>
      <c r="D23" s="21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1"/>
      <c r="P23" s="21"/>
      <c r="Q23" s="41">
        <v>4559498</v>
      </c>
      <c r="R23" s="42">
        <v>4569498</v>
      </c>
      <c r="S23" s="42">
        <v>4579498</v>
      </c>
      <c r="T23" s="42">
        <v>4589498</v>
      </c>
      <c r="U23" s="42">
        <v>4599498</v>
      </c>
      <c r="V23" s="42">
        <v>4609498</v>
      </c>
      <c r="W23" s="42">
        <v>4619498</v>
      </c>
      <c r="X23" s="42">
        <v>4629498</v>
      </c>
      <c r="Y23" s="42">
        <v>4639498</v>
      </c>
      <c r="Z23" s="43">
        <v>4649498</v>
      </c>
    </row>
    <row r="24" spans="1:26" x14ac:dyDescent="0.25">
      <c r="A24" s="21">
        <v>11</v>
      </c>
      <c r="B24" s="22" t="s">
        <v>15</v>
      </c>
      <c r="C24" s="21"/>
      <c r="D24" s="21"/>
      <c r="E24" s="23">
        <v>4391498</v>
      </c>
      <c r="F24" s="23">
        <f>R23*R24</f>
        <v>4401129.5383842699</v>
      </c>
      <c r="G24" s="23">
        <f t="shared" ref="G24" si="5">S23*S24</f>
        <v>4410761.0767685389</v>
      </c>
      <c r="H24" s="23">
        <f t="shared" ref="H24:N24" si="6">T23*T24+483121</f>
        <v>4903513.6151528088</v>
      </c>
      <c r="I24" s="23">
        <f t="shared" si="6"/>
        <v>4913145.1535370778</v>
      </c>
      <c r="J24" s="23">
        <f t="shared" si="6"/>
        <v>4922776.6919213478</v>
      </c>
      <c r="K24" s="23">
        <f t="shared" si="6"/>
        <v>4932408.2303056167</v>
      </c>
      <c r="L24" s="23">
        <f t="shared" si="6"/>
        <v>4942039.7686898867</v>
      </c>
      <c r="M24" s="23">
        <f t="shared" si="6"/>
        <v>4951671.3070741566</v>
      </c>
      <c r="N24" s="23">
        <f t="shared" si="6"/>
        <v>4961302.8454584256</v>
      </c>
      <c r="O24" s="21"/>
      <c r="P24" s="21"/>
      <c r="Q24" s="41">
        <f>E24/Q23</f>
        <v>0.96315383842694968</v>
      </c>
      <c r="R24" s="42">
        <v>0.96315383842694968</v>
      </c>
      <c r="S24" s="42">
        <v>0.96315383842694968</v>
      </c>
      <c r="T24" s="42">
        <v>0.96315383842694968</v>
      </c>
      <c r="U24" s="42">
        <v>0.96315383842694968</v>
      </c>
      <c r="V24" s="42">
        <v>0.96315383842694968</v>
      </c>
      <c r="W24" s="42">
        <v>0.96315383842694968</v>
      </c>
      <c r="X24" s="42">
        <v>0.96315383842694968</v>
      </c>
      <c r="Y24" s="42">
        <v>0.96315383842694968</v>
      </c>
      <c r="Z24" s="43">
        <v>0.96315383842694968</v>
      </c>
    </row>
    <row r="25" spans="1:26" x14ac:dyDescent="0.25">
      <c r="A25">
        <v>12</v>
      </c>
      <c r="B25" s="5" t="s">
        <v>16</v>
      </c>
      <c r="E25" s="6">
        <f t="shared" ref="E25:N25" si="7">SUM(E17:E24)+E12</f>
        <v>64669712</v>
      </c>
      <c r="F25" s="6">
        <f t="shared" si="7"/>
        <v>65307500.459112555</v>
      </c>
      <c r="G25" s="6">
        <f t="shared" si="7"/>
        <v>66507955.056502424</v>
      </c>
      <c r="H25" s="6">
        <f t="shared" si="7"/>
        <v>67161171.483879179</v>
      </c>
      <c r="I25" s="6">
        <f t="shared" si="7"/>
        <v>67742465.05751808</v>
      </c>
      <c r="J25" s="6">
        <f t="shared" si="7"/>
        <v>68358952.648740545</v>
      </c>
      <c r="K25" s="6">
        <f t="shared" si="7"/>
        <v>69855902.819806889</v>
      </c>
      <c r="L25" s="6">
        <f t="shared" si="7"/>
        <v>70054009.565376446</v>
      </c>
      <c r="M25" s="6">
        <f t="shared" si="7"/>
        <v>70610595.683721885</v>
      </c>
      <c r="N25" s="6">
        <f t="shared" si="7"/>
        <v>71256200.026020825</v>
      </c>
      <c r="Q25" s="29"/>
      <c r="R25" s="30"/>
      <c r="S25" s="30"/>
      <c r="T25" s="30"/>
      <c r="U25" s="30"/>
      <c r="V25" s="30"/>
      <c r="W25" s="30"/>
      <c r="X25" s="30"/>
      <c r="Y25" s="30"/>
      <c r="Z25" s="31"/>
    </row>
    <row r="26" spans="1:26" x14ac:dyDescent="0.25">
      <c r="A26">
        <v>13</v>
      </c>
      <c r="B26" s="5" t="s">
        <v>17</v>
      </c>
      <c r="E26" s="6">
        <v>4140000</v>
      </c>
      <c r="F26" s="6">
        <v>4315000</v>
      </c>
      <c r="G26" s="6">
        <v>4490000</v>
      </c>
      <c r="H26" s="6">
        <f>4665000+621968</f>
        <v>5286968</v>
      </c>
      <c r="I26" s="6">
        <f>4840000+621968</f>
        <v>5461968</v>
      </c>
      <c r="J26" s="6">
        <f>5015000+621968</f>
        <v>5636968</v>
      </c>
      <c r="K26" s="6">
        <f>5190000+621968</f>
        <v>5811968</v>
      </c>
      <c r="L26" s="6">
        <f>5365000+621968</f>
        <v>5986968</v>
      </c>
      <c r="M26" s="6">
        <f>5540000+621968</f>
        <v>6161968</v>
      </c>
      <c r="N26" s="6">
        <f>5715000+621968</f>
        <v>6336968</v>
      </c>
      <c r="Q26" s="29"/>
      <c r="R26" s="30"/>
      <c r="S26" s="30"/>
      <c r="T26" s="30"/>
      <c r="U26" s="30"/>
      <c r="V26" s="30"/>
      <c r="W26" s="30"/>
      <c r="X26" s="30"/>
      <c r="Y26" s="30"/>
      <c r="Z26" s="31"/>
    </row>
    <row r="27" spans="1:26" x14ac:dyDescent="0.25">
      <c r="A27">
        <v>14</v>
      </c>
      <c r="B27" s="5" t="s">
        <v>18</v>
      </c>
      <c r="E27" s="6"/>
      <c r="F27" s="6"/>
      <c r="G27" s="6"/>
      <c r="H27" s="6"/>
      <c r="I27" s="6"/>
      <c r="J27" s="6"/>
      <c r="K27" s="6"/>
      <c r="L27" s="6"/>
      <c r="M27" s="6"/>
      <c r="N27" s="6"/>
      <c r="Q27" s="29"/>
      <c r="R27" s="30"/>
      <c r="S27" s="30"/>
      <c r="T27" s="30"/>
      <c r="U27" s="30"/>
      <c r="V27" s="30"/>
      <c r="W27" s="30"/>
      <c r="X27" s="30"/>
      <c r="Y27" s="30"/>
      <c r="Z27" s="31"/>
    </row>
    <row r="28" spans="1:26" x14ac:dyDescent="0.25">
      <c r="A28">
        <v>15</v>
      </c>
      <c r="B28" s="5" t="s">
        <v>19</v>
      </c>
      <c r="E28" s="6">
        <v>64800</v>
      </c>
      <c r="F28" s="6">
        <v>65800</v>
      </c>
      <c r="G28" s="6">
        <v>66800</v>
      </c>
      <c r="H28" s="6">
        <v>67800</v>
      </c>
      <c r="I28" s="6">
        <v>68800</v>
      </c>
      <c r="J28" s="6">
        <v>69800</v>
      </c>
      <c r="K28" s="6">
        <v>70800</v>
      </c>
      <c r="L28" s="6">
        <v>71800</v>
      </c>
      <c r="M28" s="6">
        <v>72800</v>
      </c>
      <c r="N28" s="6">
        <v>73800</v>
      </c>
      <c r="Q28" s="29"/>
      <c r="R28" s="30"/>
      <c r="S28" s="30"/>
      <c r="T28" s="30"/>
      <c r="U28" s="30"/>
      <c r="V28" s="30"/>
      <c r="W28" s="30"/>
      <c r="X28" s="30"/>
      <c r="Y28" s="30"/>
      <c r="Z28" s="31"/>
    </row>
    <row r="29" spans="1:26" x14ac:dyDescent="0.25">
      <c r="A29">
        <v>16</v>
      </c>
      <c r="B29" s="5" t="s">
        <v>20</v>
      </c>
      <c r="E29" s="6">
        <v>2023407</v>
      </c>
      <c r="F29" s="6">
        <v>2769706.6872645495</v>
      </c>
      <c r="G29" s="6">
        <v>3215120.5163329788</v>
      </c>
      <c r="H29" s="6">
        <v>5070579.53463211</v>
      </c>
      <c r="I29" s="6">
        <v>5254283.0303068599</v>
      </c>
      <c r="J29" s="6">
        <v>5479298.2114907</v>
      </c>
      <c r="K29" s="6">
        <v>5736008.1760976603</v>
      </c>
      <c r="L29" s="6">
        <v>5985278.6435505897</v>
      </c>
      <c r="M29" s="6">
        <v>6227371.2639243202</v>
      </c>
      <c r="N29" s="6">
        <v>6466545.2213636097</v>
      </c>
      <c r="Q29" s="29"/>
      <c r="R29" s="30"/>
      <c r="S29" s="30"/>
      <c r="T29" s="30"/>
      <c r="U29" s="30"/>
      <c r="V29" s="30"/>
      <c r="W29" s="30"/>
      <c r="X29" s="30"/>
      <c r="Y29" s="30"/>
      <c r="Z29" s="31"/>
    </row>
    <row r="30" spans="1:26" x14ac:dyDescent="0.25">
      <c r="A30">
        <v>17</v>
      </c>
      <c r="B30" s="5" t="s">
        <v>21</v>
      </c>
      <c r="E30" s="6"/>
      <c r="F30" s="6"/>
      <c r="G30" s="6"/>
      <c r="H30" s="6"/>
      <c r="I30" s="6"/>
      <c r="J30" s="6"/>
      <c r="K30" s="6"/>
      <c r="L30" s="6"/>
      <c r="M30" s="6"/>
      <c r="N30" s="6"/>
      <c r="Q30" s="29"/>
      <c r="R30" s="30"/>
      <c r="S30" s="30"/>
      <c r="T30" s="30"/>
      <c r="U30" s="30"/>
      <c r="V30" s="30"/>
      <c r="W30" s="30"/>
      <c r="X30" s="30"/>
      <c r="Y30" s="30"/>
      <c r="Z30" s="31"/>
    </row>
    <row r="31" spans="1:26" x14ac:dyDescent="0.25">
      <c r="A31" s="21">
        <v>18</v>
      </c>
      <c r="B31" s="22" t="s">
        <v>22</v>
      </c>
      <c r="C31" s="21"/>
      <c r="D31" s="21"/>
      <c r="E31" s="23">
        <v>162000</v>
      </c>
      <c r="F31" s="23">
        <f>(R23*R31)+700126</f>
        <v>862481.30227231153</v>
      </c>
      <c r="G31" s="23">
        <f>(S23*S31)+955244</f>
        <v>1117954.6045446231</v>
      </c>
      <c r="H31" s="23">
        <f t="shared" ref="H31:N31" si="8">T23*T31</f>
        <v>163065.90681693467</v>
      </c>
      <c r="I31" s="23">
        <f t="shared" si="8"/>
        <v>163421.20908924623</v>
      </c>
      <c r="J31" s="23">
        <f t="shared" si="8"/>
        <v>163776.51136155779</v>
      </c>
      <c r="K31" s="23">
        <f t="shared" si="8"/>
        <v>164131.81363386934</v>
      </c>
      <c r="L31" s="23">
        <f t="shared" si="8"/>
        <v>164487.1159061809</v>
      </c>
      <c r="M31" s="23">
        <f t="shared" si="8"/>
        <v>164842.41817849246</v>
      </c>
      <c r="N31" s="23">
        <f t="shared" si="8"/>
        <v>165197.72045080402</v>
      </c>
      <c r="O31" s="21"/>
      <c r="P31" s="21"/>
      <c r="Q31" s="41">
        <f>E31/Q23</f>
        <v>3.553022723115571E-2</v>
      </c>
      <c r="R31" s="42">
        <v>3.553022723115571E-2</v>
      </c>
      <c r="S31" s="42">
        <v>3.553022723115571E-2</v>
      </c>
      <c r="T31" s="42">
        <v>3.553022723115571E-2</v>
      </c>
      <c r="U31" s="42">
        <v>3.553022723115571E-2</v>
      </c>
      <c r="V31" s="42">
        <v>3.553022723115571E-2</v>
      </c>
      <c r="W31" s="42">
        <v>3.553022723115571E-2</v>
      </c>
      <c r="X31" s="42">
        <v>3.553022723115571E-2</v>
      </c>
      <c r="Y31" s="42">
        <v>3.553022723115571E-2</v>
      </c>
      <c r="Z31" s="43">
        <v>3.553022723115571E-2</v>
      </c>
    </row>
    <row r="32" spans="1:26" ht="15.75" thickBot="1" x14ac:dyDescent="0.3">
      <c r="A32" s="21">
        <v>19</v>
      </c>
      <c r="B32" s="22" t="s">
        <v>23</v>
      </c>
      <c r="C32" s="21"/>
      <c r="D32" s="21"/>
      <c r="E32" s="23">
        <v>6000</v>
      </c>
      <c r="F32" s="23">
        <f>R23*R32</f>
        <v>6013.1593434189463</v>
      </c>
      <c r="G32" s="23">
        <f t="shared" ref="G32:N32" si="9">S23*S32</f>
        <v>6026.3186868378934</v>
      </c>
      <c r="H32" s="23">
        <f t="shared" si="9"/>
        <v>6039.4780302568397</v>
      </c>
      <c r="I32" s="23">
        <f t="shared" si="9"/>
        <v>6052.637373675786</v>
      </c>
      <c r="J32" s="23">
        <f t="shared" si="9"/>
        <v>6065.7967170947331</v>
      </c>
      <c r="K32" s="23">
        <f t="shared" si="9"/>
        <v>6078.9560605136794</v>
      </c>
      <c r="L32" s="23">
        <f t="shared" si="9"/>
        <v>6092.1154039326257</v>
      </c>
      <c r="M32" s="23">
        <f t="shared" si="9"/>
        <v>6105.2747473515728</v>
      </c>
      <c r="N32" s="23">
        <f t="shared" si="9"/>
        <v>6118.4340907705191</v>
      </c>
      <c r="O32" s="21"/>
      <c r="P32" s="21"/>
      <c r="Q32" s="44">
        <f>E32/Q23</f>
        <v>1.315934341894656E-3</v>
      </c>
      <c r="R32" s="45">
        <v>1.315934341894656E-3</v>
      </c>
      <c r="S32" s="45">
        <v>1.315934341894656E-3</v>
      </c>
      <c r="T32" s="45">
        <v>1.315934341894656E-3</v>
      </c>
      <c r="U32" s="45">
        <v>1.315934341894656E-3</v>
      </c>
      <c r="V32" s="45">
        <v>1.315934341894656E-3</v>
      </c>
      <c r="W32" s="45">
        <v>1.315934341894656E-3</v>
      </c>
      <c r="X32" s="45">
        <v>1.315934341894656E-3</v>
      </c>
      <c r="Y32" s="45">
        <v>1.315934341894656E-3</v>
      </c>
      <c r="Z32" s="46">
        <v>1.315934341894656E-3</v>
      </c>
    </row>
    <row r="33" spans="1:14" x14ac:dyDescent="0.25">
      <c r="A33">
        <v>20</v>
      </c>
      <c r="B33" s="5" t="s">
        <v>24</v>
      </c>
      <c r="E33" s="6">
        <f t="shared" ref="E33:N33" si="10">SUM(E25:E32)</f>
        <v>71065919</v>
      </c>
      <c r="F33" s="6">
        <f t="shared" si="10"/>
        <v>73326501.607992828</v>
      </c>
      <c r="G33" s="6">
        <f t="shared" si="10"/>
        <v>75403856.496066883</v>
      </c>
      <c r="H33" s="6">
        <f t="shared" si="10"/>
        <v>77755624.403358474</v>
      </c>
      <c r="I33" s="6">
        <f t="shared" si="10"/>
        <v>78696989.934287861</v>
      </c>
      <c r="J33" s="6">
        <f t="shared" si="10"/>
        <v>79714861.168309897</v>
      </c>
      <c r="K33" s="6">
        <f t="shared" si="10"/>
        <v>81644889.765598938</v>
      </c>
      <c r="L33" s="6">
        <f t="shared" si="10"/>
        <v>82268635.44023715</v>
      </c>
      <c r="M33" s="6">
        <f t="shared" si="10"/>
        <v>83243682.640572056</v>
      </c>
      <c r="N33" s="6">
        <f t="shared" si="10"/>
        <v>84304829.401925996</v>
      </c>
    </row>
    <row r="34" spans="1:14" x14ac:dyDescent="0.25">
      <c r="A34">
        <v>21</v>
      </c>
      <c r="B34" s="5" t="s">
        <v>25</v>
      </c>
      <c r="E34" s="6">
        <f t="shared" ref="E34:N34" si="11">E10-E33</f>
        <v>-2028455</v>
      </c>
      <c r="F34" s="6">
        <f t="shared" si="11"/>
        <v>-3354813.6079928279</v>
      </c>
      <c r="G34" s="6">
        <f t="shared" si="11"/>
        <v>1536208.1739331186</v>
      </c>
      <c r="H34" s="6">
        <f t="shared" si="11"/>
        <v>-547126.39335846901</v>
      </c>
      <c r="I34" s="6">
        <f t="shared" si="11"/>
        <v>4462171.5357121378</v>
      </c>
      <c r="J34" s="6">
        <f t="shared" si="11"/>
        <v>4481334.3766901046</v>
      </c>
      <c r="K34" s="6">
        <f t="shared" si="11"/>
        <v>4421608.8294010609</v>
      </c>
      <c r="L34" s="6">
        <f t="shared" si="11"/>
        <v>4137445.8597628474</v>
      </c>
      <c r="M34" s="6">
        <f t="shared" si="11"/>
        <v>4086531.4844279438</v>
      </c>
      <c r="N34" s="6">
        <f t="shared" si="11"/>
        <v>4116448.5430740118</v>
      </c>
    </row>
    <row r="35" spans="1:14" x14ac:dyDescent="0.25">
      <c r="A35">
        <v>22</v>
      </c>
      <c r="B35" s="5" t="s">
        <v>26</v>
      </c>
      <c r="E35" s="6">
        <v>21502.7</v>
      </c>
      <c r="F35" s="6">
        <v>21502.7</v>
      </c>
      <c r="G35" s="6">
        <v>21502.7</v>
      </c>
      <c r="H35" s="6">
        <v>21502.7</v>
      </c>
      <c r="I35" s="6">
        <v>21502.7</v>
      </c>
      <c r="J35" s="6">
        <v>21502.7</v>
      </c>
      <c r="K35" s="6">
        <v>21502.7</v>
      </c>
      <c r="L35" s="6">
        <v>21502.7</v>
      </c>
      <c r="M35" s="6">
        <v>21502.7</v>
      </c>
      <c r="N35" s="6">
        <v>21502.7</v>
      </c>
    </row>
    <row r="36" spans="1:14" x14ac:dyDescent="0.25">
      <c r="A36">
        <v>23</v>
      </c>
      <c r="B36" s="5" t="s">
        <v>27</v>
      </c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25">
      <c r="A37">
        <v>24</v>
      </c>
      <c r="B37" s="5" t="s">
        <v>28</v>
      </c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25">
      <c r="A38">
        <v>25</v>
      </c>
      <c r="B38" s="5" t="s">
        <v>29</v>
      </c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25">
      <c r="B39" s="5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x14ac:dyDescent="0.25">
      <c r="A40">
        <v>26</v>
      </c>
      <c r="B40" s="5" t="s">
        <v>30</v>
      </c>
      <c r="E40" s="6">
        <v>1150000</v>
      </c>
      <c r="F40" s="6">
        <v>500000</v>
      </c>
      <c r="G40" s="6">
        <v>500000</v>
      </c>
      <c r="H40" s="6">
        <v>500000</v>
      </c>
      <c r="I40" s="6">
        <v>500000</v>
      </c>
      <c r="J40" s="6">
        <v>500000</v>
      </c>
      <c r="K40" s="6">
        <v>500000</v>
      </c>
      <c r="L40" s="6">
        <v>500000</v>
      </c>
      <c r="M40" s="6">
        <v>500000</v>
      </c>
      <c r="N40" s="6">
        <v>500000</v>
      </c>
    </row>
    <row r="41" spans="1:14" x14ac:dyDescent="0.25">
      <c r="A41">
        <v>27</v>
      </c>
      <c r="B41" s="5" t="s">
        <v>31</v>
      </c>
      <c r="E41" s="6">
        <v>300000</v>
      </c>
      <c r="F41" s="6">
        <v>301000</v>
      </c>
      <c r="G41" s="6">
        <v>302000</v>
      </c>
      <c r="H41" s="6">
        <v>303000</v>
      </c>
      <c r="I41" s="6">
        <v>304000</v>
      </c>
      <c r="J41" s="6">
        <v>305000</v>
      </c>
      <c r="K41" s="6">
        <v>306000</v>
      </c>
      <c r="L41" s="6">
        <v>307000</v>
      </c>
      <c r="M41" s="6">
        <v>308000</v>
      </c>
      <c r="N41" s="6">
        <v>309000</v>
      </c>
    </row>
    <row r="42" spans="1:14" x14ac:dyDescent="0.25">
      <c r="A42">
        <v>28</v>
      </c>
      <c r="B42" s="5" t="s">
        <v>32</v>
      </c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x14ac:dyDescent="0.25">
      <c r="B43" s="5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x14ac:dyDescent="0.25">
      <c r="A44">
        <v>29</v>
      </c>
      <c r="B44" s="5" t="s">
        <v>33</v>
      </c>
      <c r="E44" s="6">
        <f>SUM(E34:E43)</f>
        <v>-556952.30000000005</v>
      </c>
      <c r="F44" s="6">
        <f>SUM(F34:F43)</f>
        <v>-2532310.9079928277</v>
      </c>
      <c r="G44" s="6">
        <f t="shared" ref="G44:N44" si="12">SUM(G34:G43)</f>
        <v>2359710.8739331188</v>
      </c>
      <c r="H44" s="6">
        <f t="shared" si="12"/>
        <v>277376.30664153094</v>
      </c>
      <c r="I44" s="6">
        <f t="shared" si="12"/>
        <v>5287674.235712138</v>
      </c>
      <c r="J44" s="6">
        <f t="shared" si="12"/>
        <v>5307837.0766901048</v>
      </c>
      <c r="K44" s="6">
        <f t="shared" si="12"/>
        <v>5249111.5294010611</v>
      </c>
      <c r="L44" s="6">
        <f t="shared" si="12"/>
        <v>4965948.5597628476</v>
      </c>
      <c r="M44" s="6">
        <f t="shared" si="12"/>
        <v>4916034.184427944</v>
      </c>
      <c r="N44" s="6">
        <f t="shared" si="12"/>
        <v>4946951.243074012</v>
      </c>
    </row>
    <row r="46" spans="1:14" x14ac:dyDescent="0.25">
      <c r="B46" s="12" t="s">
        <v>34</v>
      </c>
      <c r="E46" s="13">
        <f>(E34+E29)/E29</f>
        <v>-2.4948020838121052E-3</v>
      </c>
      <c r="F46" s="13">
        <f t="shared" ref="F46:N46" si="13">(F34+F29)/F29</f>
        <v>-0.21125230459191641</v>
      </c>
      <c r="G46" s="13">
        <f t="shared" si="13"/>
        <v>1.4778073375878449</v>
      </c>
      <c r="H46" s="13">
        <f t="shared" si="13"/>
        <v>0.89209785792302632</v>
      </c>
      <c r="I46" s="13">
        <f t="shared" si="13"/>
        <v>1.8492446086315111</v>
      </c>
      <c r="J46" s="13">
        <f t="shared" si="13"/>
        <v>1.8178664864949761</v>
      </c>
      <c r="K46" s="13">
        <f t="shared" si="13"/>
        <v>1.7708512076091887</v>
      </c>
      <c r="L46" s="13">
        <f t="shared" si="13"/>
        <v>1.6912703829121027</v>
      </c>
      <c r="M46" s="13">
        <f t="shared" si="13"/>
        <v>1.656220949616664</v>
      </c>
      <c r="N46" s="13">
        <f t="shared" si="13"/>
        <v>1.6365761627204658</v>
      </c>
    </row>
    <row r="47" spans="1:14" x14ac:dyDescent="0.25">
      <c r="B47" s="12" t="s">
        <v>35</v>
      </c>
      <c r="E47" s="13">
        <f>(E44+E29)/E29</f>
        <v>0.72474529345801408</v>
      </c>
      <c r="F47" s="13">
        <f t="shared" ref="F47:N47" si="14">(F44+F29)/F29</f>
        <v>8.5711523304361686E-2</v>
      </c>
      <c r="G47" s="13">
        <f t="shared" si="14"/>
        <v>1.73394165535807</v>
      </c>
      <c r="H47" s="13">
        <f t="shared" si="14"/>
        <v>1.0547030777738615</v>
      </c>
      <c r="I47" s="13">
        <f t="shared" si="14"/>
        <v>2.006355045058037</v>
      </c>
      <c r="J47" s="13">
        <f t="shared" si="14"/>
        <v>1.9687074643170506</v>
      </c>
      <c r="K47" s="13">
        <f t="shared" si="14"/>
        <v>1.9151157683621285</v>
      </c>
      <c r="L47" s="13">
        <f t="shared" si="14"/>
        <v>1.8296937963137074</v>
      </c>
      <c r="M47" s="13">
        <f t="shared" si="14"/>
        <v>1.7894236550351412</v>
      </c>
      <c r="N47" s="13">
        <f t="shared" si="14"/>
        <v>1.7650068272515447</v>
      </c>
    </row>
    <row r="51" spans="7:7" x14ac:dyDescent="0.25">
      <c r="G51" s="6"/>
    </row>
  </sheetData>
  <mergeCells count="1">
    <mergeCell ref="M1:N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Patsy Walters</dc:creator>
  <cp:lastModifiedBy>Patsy Walters</cp:lastModifiedBy>
  <dcterms:created xsi:type="dcterms:W3CDTF">2026-05-15T15:44:42Z</dcterms:created>
  <dcterms:modified xsi:type="dcterms:W3CDTF">2026-05-18T13:11:16Z</dcterms:modified>
</cp:coreProperties>
</file>