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msoffice-my.sharepoint.com/personal/angela_goad_ky_gov/Documents/Documents/Water Rate Cases/Kentucky-American Water Company/Case No. 2026-00094/Testimonies To File Versions/"/>
    </mc:Choice>
  </mc:AlternateContent>
  <xr:revisionPtr revIDLastSave="0" documentId="8_{484734C8-5CE1-40BF-ACF5-5F619D45C608}" xr6:coauthVersionLast="47" xr6:coauthVersionMax="47" xr10:uidLastSave="{00000000-0000-0000-0000-000000000000}"/>
  <bookViews>
    <workbookView xWindow="-108" yWindow="-108" windowWidth="23256" windowHeight="12456" tabRatio="906" firstSheet="9" activeTab="24" xr2:uid="{52816F19-6833-4828-98AA-37046E1313F0}"/>
  </bookViews>
  <sheets>
    <sheet name="TOC" sheetId="1" r:id="rId1"/>
    <sheet name="A" sheetId="2" r:id="rId2"/>
    <sheet name="B" sheetId="4" r:id="rId3"/>
    <sheet name="CWC" sheetId="41" r:id="rId4"/>
    <sheet name="C" sheetId="8" r:id="rId5"/>
    <sheet name="C p 2" sheetId="12" r:id="rId6"/>
    <sheet name="Payroll" sheetId="19" r:id="rId7"/>
    <sheet name="OT" sheetId="42" r:id="rId8"/>
    <sheet name="Incentive Comp" sheetId="18" r:id="rId9"/>
    <sheet name="ESPP" sheetId="17" r:id="rId10"/>
    <sheet name="Severance" sheetId="43" r:id="rId11"/>
    <sheet name="Temp" sheetId="45" r:id="rId12"/>
    <sheet name="UFW" sheetId="33" r:id="rId13"/>
    <sheet name="Rate Case Exp" sheetId="13" r:id="rId14"/>
    <sheet name="Bus Dev" sheetId="14" r:id="rId15"/>
    <sheet name="BOD" sheetId="46" r:id="rId16"/>
    <sheet name="401(k)" sheetId="16" r:id="rId17"/>
    <sheet name="Lobbying" sheetId="47" r:id="rId18"/>
    <sheet name="Dues" sheetId="29" r:id="rId19"/>
    <sheet name="Benefits" sheetId="20" r:id="rId20"/>
    <sheet name="Payroll Tax" sheetId="21" r:id="rId21"/>
    <sheet name="Inc Tax" sheetId="22" r:id="rId22"/>
    <sheet name="Int synch " sheetId="30" r:id="rId23"/>
    <sheet name="SummaryWP" sheetId="28" r:id="rId24"/>
    <sheet name="D" sheetId="24" r:id="rId25"/>
  </sheets>
  <externalReferences>
    <externalReference r:id="rId26"/>
  </externalReferences>
  <definedNames>
    <definedName name="_xlnm.Print_Area" localSheetId="4">'C'!$A$1:$E$30</definedName>
    <definedName name="_xlnm.Print_Area" localSheetId="5">'C p 2'!$A$1:$E$32</definedName>
    <definedName name="_xlnm.Print_Area" localSheetId="3">CWC!$A$1:$J$73</definedName>
    <definedName name="_xlnm.Print_Area" localSheetId="13">'Rate Case Exp'!$A$1:$F$32</definedName>
    <definedName name="_xlnm.Print_Area" localSheetId="23">SummaryWP!$A$2:$F$42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3" l="1"/>
  <c r="E9" i="28"/>
  <c r="D26" i="20"/>
  <c r="F31" i="41"/>
  <c r="F26" i="41"/>
  <c r="E41" i="4"/>
  <c r="D11" i="16"/>
  <c r="D23" i="12" s="1"/>
  <c r="D17" i="20"/>
  <c r="D15" i="46"/>
  <c r="D27" i="13"/>
  <c r="D26" i="13"/>
  <c r="D29" i="13"/>
  <c r="D18" i="13"/>
  <c r="D22" i="13" s="1"/>
  <c r="D13" i="13" s="1"/>
  <c r="D21" i="18"/>
  <c r="D18" i="19"/>
  <c r="D20" i="19"/>
  <c r="D22" i="19"/>
  <c r="A1" i="28"/>
  <c r="A32" i="1"/>
  <c r="C32" i="1"/>
  <c r="E27" i="12"/>
  <c r="E26" i="12"/>
  <c r="B27" i="12"/>
  <c r="B26" i="12"/>
  <c r="E18" i="8"/>
  <c r="D13" i="19"/>
  <c r="D19" i="33"/>
  <c r="C34" i="1"/>
  <c r="C33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A29" i="1"/>
  <c r="A27" i="1"/>
  <c r="A23" i="1"/>
  <c r="A22" i="1"/>
  <c r="A19" i="1"/>
  <c r="A25" i="28"/>
  <c r="A23" i="28"/>
  <c r="A19" i="28"/>
  <c r="A18" i="28"/>
  <c r="A15" i="28"/>
  <c r="E25" i="12"/>
  <c r="E24" i="12"/>
  <c r="E23" i="12"/>
  <c r="E21" i="12"/>
  <c r="E22" i="12"/>
  <c r="E20" i="12"/>
  <c r="E19" i="12"/>
  <c r="E18" i="12"/>
  <c r="E17" i="12"/>
  <c r="E16" i="12"/>
  <c r="E15" i="12"/>
  <c r="E14" i="12"/>
  <c r="B25" i="12"/>
  <c r="D14" i="47"/>
  <c r="B24" i="12"/>
  <c r="B23" i="12"/>
  <c r="B22" i="12"/>
  <c r="D15" i="14"/>
  <c r="D21" i="12" s="1"/>
  <c r="F2" i="47"/>
  <c r="D23" i="45"/>
  <c r="D13" i="45" s="1"/>
  <c r="D15" i="45" s="1"/>
  <c r="F23" i="42"/>
  <c r="D13" i="42" s="1"/>
  <c r="D15" i="42" s="1"/>
  <c r="F4" i="46"/>
  <c r="F2" i="46"/>
  <c r="B21" i="12"/>
  <c r="B20" i="12"/>
  <c r="B19" i="12"/>
  <c r="B18" i="12"/>
  <c r="B17" i="12"/>
  <c r="B16" i="12"/>
  <c r="B15" i="12"/>
  <c r="B14" i="12"/>
  <c r="F4" i="45"/>
  <c r="F2" i="45"/>
  <c r="D15" i="43"/>
  <c r="F4" i="43"/>
  <c r="F2" i="43"/>
  <c r="F4" i="42"/>
  <c r="F2" i="42"/>
  <c r="G62" i="41"/>
  <c r="J62" i="41" s="1"/>
  <c r="G61" i="41"/>
  <c r="J61" i="41" s="1"/>
  <c r="G60" i="41"/>
  <c r="J60" i="41" s="1"/>
  <c r="G55" i="41"/>
  <c r="J55" i="41" s="1"/>
  <c r="G54" i="41"/>
  <c r="D51" i="41"/>
  <c r="D65" i="41" s="1"/>
  <c r="G50" i="41"/>
  <c r="J50" i="41" s="1"/>
  <c r="G49" i="41"/>
  <c r="J49" i="41" s="1"/>
  <c r="G47" i="41"/>
  <c r="J47" i="41" s="1"/>
  <c r="G46" i="41"/>
  <c r="J46" i="41" s="1"/>
  <c r="G45" i="41"/>
  <c r="J45" i="41" s="1"/>
  <c r="G44" i="41"/>
  <c r="J44" i="41" s="1"/>
  <c r="G43" i="41"/>
  <c r="J43" i="41" s="1"/>
  <c r="E41" i="41"/>
  <c r="E42" i="41" s="1"/>
  <c r="E53" i="41" s="1"/>
  <c r="E59" i="41" s="1"/>
  <c r="E63" i="41" s="1"/>
  <c r="G40" i="41"/>
  <c r="J40" i="41" s="1"/>
  <c r="G38" i="41"/>
  <c r="J38" i="41" s="1"/>
  <c r="G37" i="41"/>
  <c r="J37" i="41" s="1"/>
  <c r="G36" i="41"/>
  <c r="J36" i="41" s="1"/>
  <c r="G34" i="41"/>
  <c r="J34" i="41" s="1"/>
  <c r="G33" i="41"/>
  <c r="J33" i="41" s="1"/>
  <c r="G32" i="41"/>
  <c r="J32" i="41" s="1"/>
  <c r="H31" i="41"/>
  <c r="A2" i="41"/>
  <c r="J1" i="41"/>
  <c r="E20" i="24"/>
  <c r="C24" i="8"/>
  <c r="E22" i="8"/>
  <c r="D12" i="2"/>
  <c r="D14" i="2"/>
  <c r="E21" i="8"/>
  <c r="E17" i="8"/>
  <c r="E16" i="8"/>
  <c r="C21" i="4"/>
  <c r="A2" i="2"/>
  <c r="D9" i="20" l="1"/>
  <c r="B14" i="28"/>
  <c r="F15" i="33"/>
  <c r="F28" i="41" s="1"/>
  <c r="G28" i="41" s="1"/>
  <c r="J28" i="41" s="1"/>
  <c r="E18" i="33"/>
  <c r="F18" i="33" s="1"/>
  <c r="F30" i="41" s="1"/>
  <c r="G30" i="41" s="1"/>
  <c r="J30" i="41" s="1"/>
  <c r="E17" i="33"/>
  <c r="F17" i="33" s="1"/>
  <c r="F29" i="41" s="1"/>
  <c r="G29" i="41" s="1"/>
  <c r="J29" i="41" s="1"/>
  <c r="E16" i="33"/>
  <c r="F16" i="33" s="1"/>
  <c r="F27" i="41" s="1"/>
  <c r="D13" i="12"/>
  <c r="B25" i="28"/>
  <c r="D24" i="12"/>
  <c r="D18" i="12"/>
  <c r="B19" i="28"/>
  <c r="D17" i="12"/>
  <c r="B18" i="28"/>
  <c r="B15" i="28"/>
  <c r="D14" i="12"/>
  <c r="G27" i="41"/>
  <c r="J27" i="41" s="1"/>
  <c r="A2" i="47"/>
  <c r="A2" i="46"/>
  <c r="A2" i="45"/>
  <c r="A2" i="43"/>
  <c r="A2" i="42"/>
  <c r="J54" i="41"/>
  <c r="C43" i="4"/>
  <c r="F5" i="28" s="1"/>
  <c r="F19" i="33" l="1"/>
  <c r="D11" i="33" s="1"/>
  <c r="B20" i="28" s="1"/>
  <c r="D22" i="12"/>
  <c r="B23" i="28"/>
  <c r="A34" i="1"/>
  <c r="A15" i="1"/>
  <c r="D19" i="12" l="1"/>
  <c r="D18" i="20"/>
  <c r="B24" i="28"/>
  <c r="B22" i="28"/>
  <c r="C26" i="8" l="1"/>
  <c r="J2" i="41"/>
  <c r="D15" i="17"/>
  <c r="D16" i="12" s="1"/>
  <c r="D10" i="12" l="1"/>
  <c r="B17" i="28"/>
  <c r="D15" i="18"/>
  <c r="D9" i="21" s="1"/>
  <c r="G31" i="41" l="1"/>
  <c r="J31" i="41" s="1"/>
  <c r="D15" i="12"/>
  <c r="B16" i="28"/>
  <c r="A26" i="28"/>
  <c r="A24" i="28"/>
  <c r="A22" i="28"/>
  <c r="A21" i="28"/>
  <c r="A20" i="28"/>
  <c r="A17" i="28"/>
  <c r="A16" i="28"/>
  <c r="A14" i="28"/>
  <c r="E13" i="12" l="1"/>
  <c r="A33" i="1"/>
  <c r="A31" i="1"/>
  <c r="A30" i="1"/>
  <c r="A28" i="1"/>
  <c r="A26" i="1"/>
  <c r="G26" i="41" l="1"/>
  <c r="I16" i="24"/>
  <c r="J26" i="41" l="1"/>
  <c r="E39" i="4"/>
  <c r="E37" i="4"/>
  <c r="E35" i="4"/>
  <c r="E33" i="4"/>
  <c r="E31" i="4"/>
  <c r="E29" i="4"/>
  <c r="E23" i="4"/>
  <c r="E17" i="4"/>
  <c r="E15" i="4"/>
  <c r="A25" i="1" l="1"/>
  <c r="A24" i="1"/>
  <c r="A21" i="1"/>
  <c r="A20" i="1"/>
  <c r="A18" i="1"/>
  <c r="C18" i="1"/>
  <c r="I18" i="24"/>
  <c r="I14" i="24"/>
  <c r="I12" i="24"/>
  <c r="F4" i="33"/>
  <c r="F2" i="33"/>
  <c r="A2" i="33"/>
  <c r="B13" i="12"/>
  <c r="D14" i="28"/>
  <c r="I20" i="24" l="1"/>
  <c r="H1" i="2"/>
  <c r="A1" i="2"/>
  <c r="F1" i="47" l="1"/>
  <c r="F1" i="46"/>
  <c r="F1" i="45"/>
  <c r="F1" i="42"/>
  <c r="F1" i="43"/>
  <c r="A1" i="41"/>
  <c r="A1" i="47"/>
  <c r="A1" i="46"/>
  <c r="A1" i="45"/>
  <c r="A1" i="43"/>
  <c r="A1" i="42"/>
  <c r="A1" i="33"/>
  <c r="F1" i="33"/>
  <c r="E28" i="30" l="1"/>
  <c r="E30" i="30" s="1"/>
  <c r="B44" i="28" s="1"/>
  <c r="C24" i="28" l="1"/>
  <c r="E24" i="28" s="1"/>
  <c r="C25" i="28"/>
  <c r="E25" i="28" s="1"/>
  <c r="C16" i="28"/>
  <c r="E16" i="28" s="1"/>
  <c r="C20" i="28"/>
  <c r="E20" i="28" s="1"/>
  <c r="C17" i="28"/>
  <c r="E17" i="28" s="1"/>
  <c r="C22" i="28"/>
  <c r="E22" i="28" s="1"/>
  <c r="C23" i="28"/>
  <c r="E23" i="28" s="1"/>
  <c r="C15" i="28"/>
  <c r="E15" i="28" s="1"/>
  <c r="C18" i="28"/>
  <c r="E18" i="28" s="1"/>
  <c r="C19" i="28"/>
  <c r="E19" i="28" s="1"/>
  <c r="D15" i="29"/>
  <c r="F4" i="29"/>
  <c r="F2" i="29"/>
  <c r="A2" i="29"/>
  <c r="F1" i="29"/>
  <c r="A1" i="29"/>
  <c r="D25" i="12" l="1"/>
  <c r="F48" i="41"/>
  <c r="G48" i="41" s="1"/>
  <c r="J48" i="41" s="1"/>
  <c r="B26" i="28"/>
  <c r="C26" i="28" s="1"/>
  <c r="E26" i="28" s="1"/>
  <c r="F11" i="28"/>
  <c r="C14" i="28" l="1"/>
  <c r="E14" i="28" s="1"/>
  <c r="C36" i="1"/>
  <c r="A36" i="1"/>
  <c r="D18" i="21" l="1"/>
  <c r="B29" i="12" l="1"/>
  <c r="E36" i="24" l="1"/>
  <c r="I34" i="24"/>
  <c r="I32" i="24"/>
  <c r="I30" i="24"/>
  <c r="I28" i="24"/>
  <c r="I2" i="24"/>
  <c r="A2" i="24"/>
  <c r="I1" i="24"/>
  <c r="A1" i="24"/>
  <c r="D19" i="20"/>
  <c r="D11" i="20" s="1"/>
  <c r="D11" i="21"/>
  <c r="E9" i="30" l="1"/>
  <c r="I36" i="24"/>
  <c r="F12" i="2" s="1"/>
  <c r="G4" i="22" l="1"/>
  <c r="F4" i="30" s="1"/>
  <c r="G2" i="22"/>
  <c r="F2" i="30" s="1"/>
  <c r="A2" i="22"/>
  <c r="A2" i="30" s="1"/>
  <c r="G1" i="22"/>
  <c r="F1" i="30" s="1"/>
  <c r="A1" i="22"/>
  <c r="A1" i="30" s="1"/>
  <c r="D13" i="20"/>
  <c r="F4" i="20"/>
  <c r="F2" i="20"/>
  <c r="A2" i="20"/>
  <c r="F1" i="20"/>
  <c r="A1" i="20"/>
  <c r="D13" i="21"/>
  <c r="F4" i="21"/>
  <c r="F2" i="21"/>
  <c r="A2" i="21"/>
  <c r="F1" i="21"/>
  <c r="A1" i="21"/>
  <c r="G4" i="18"/>
  <c r="G2" i="18"/>
  <c r="A2" i="18"/>
  <c r="G1" i="18"/>
  <c r="A1" i="18"/>
  <c r="F4" i="19"/>
  <c r="F2" i="19"/>
  <c r="A2" i="19"/>
  <c r="F1" i="19"/>
  <c r="A1" i="19"/>
  <c r="F4" i="16"/>
  <c r="F2" i="16"/>
  <c r="A2" i="16"/>
  <c r="F1" i="16"/>
  <c r="A1" i="16"/>
  <c r="F4" i="17"/>
  <c r="F2" i="17"/>
  <c r="A2" i="17"/>
  <c r="F1" i="17"/>
  <c r="A1" i="17"/>
  <c r="F4" i="14"/>
  <c r="F2" i="14"/>
  <c r="F1" i="14"/>
  <c r="A2" i="14"/>
  <c r="A1" i="14"/>
  <c r="F2" i="13"/>
  <c r="F1" i="13"/>
  <c r="A2" i="13"/>
  <c r="A1" i="13"/>
  <c r="D15" i="13"/>
  <c r="D20" i="12" s="1"/>
  <c r="B27" i="28" l="1"/>
  <c r="C27" i="28" s="1"/>
  <c r="E27" i="28" s="1"/>
  <c r="D26" i="12"/>
  <c r="F35" i="41"/>
  <c r="B28" i="28"/>
  <c r="C28" i="28" s="1"/>
  <c r="E28" i="28" s="1"/>
  <c r="D27" i="12"/>
  <c r="D19" i="8" s="1"/>
  <c r="E19" i="8" s="1"/>
  <c r="F56" i="41"/>
  <c r="G56" i="41" s="1"/>
  <c r="J56" i="41" s="1"/>
  <c r="B21" i="28"/>
  <c r="C21" i="28" s="1"/>
  <c r="E21" i="28" s="1"/>
  <c r="E3" i="12"/>
  <c r="E2" i="12"/>
  <c r="E1" i="12"/>
  <c r="A4" i="12"/>
  <c r="A2" i="12"/>
  <c r="A1" i="12"/>
  <c r="A11" i="12"/>
  <c r="A12" i="12" s="1"/>
  <c r="A13" i="12" s="1"/>
  <c r="A14" i="12" s="1"/>
  <c r="A15" i="12" s="1"/>
  <c r="A16" i="12" s="1"/>
  <c r="A17" i="12" s="1"/>
  <c r="D15" i="8" l="1"/>
  <c r="E15" i="8" s="1"/>
  <c r="G35" i="41"/>
  <c r="F51" i="41"/>
  <c r="E10" i="22"/>
  <c r="E20" i="22" s="1"/>
  <c r="E24" i="22" s="1"/>
  <c r="C17" i="1"/>
  <c r="A17" i="1"/>
  <c r="F57" i="41" l="1"/>
  <c r="G57" i="41" s="1"/>
  <c r="E12" i="22"/>
  <c r="G51" i="41"/>
  <c r="J35" i="41"/>
  <c r="J51" i="41" s="1"/>
  <c r="J57" i="41" l="1"/>
  <c r="E13" i="22"/>
  <c r="C14" i="1"/>
  <c r="A14" i="1"/>
  <c r="A12" i="1"/>
  <c r="C12" i="1"/>
  <c r="E17" i="22" l="1"/>
  <c r="F58" i="41" s="1"/>
  <c r="F65" i="41" s="1"/>
  <c r="E26" i="22" l="1"/>
  <c r="E12" i="8"/>
  <c r="A2" i="8"/>
  <c r="A1" i="8"/>
  <c r="E2" i="8"/>
  <c r="E1" i="8"/>
  <c r="D16" i="2" l="1"/>
  <c r="D18" i="2" s="1"/>
  <c r="D22" i="2" s="1"/>
  <c r="F2" i="28" s="1"/>
  <c r="E27" i="4" l="1"/>
  <c r="D21" i="4"/>
  <c r="E21" i="4" s="1"/>
  <c r="E19" i="4"/>
  <c r="E13" i="4"/>
  <c r="E4" i="4"/>
  <c r="E2" i="4"/>
  <c r="E1" i="4"/>
  <c r="A2" i="4"/>
  <c r="A1" i="4"/>
  <c r="E12" i="2" l="1"/>
  <c r="F20" i="2" l="1"/>
  <c r="E20" i="2" l="1"/>
  <c r="G58" i="41" l="1"/>
  <c r="J58" i="41" l="1"/>
  <c r="J65" i="41" s="1"/>
  <c r="J67" i="41" s="1"/>
  <c r="D18" i="41" s="1"/>
  <c r="D20" i="41" s="1"/>
  <c r="G65" i="41"/>
  <c r="G10" i="41" s="1"/>
  <c r="G12" i="41" s="1"/>
  <c r="G20" i="41" l="1"/>
  <c r="E25" i="4" s="1"/>
  <c r="D25" i="4" l="1"/>
  <c r="D43" i="4" s="1"/>
  <c r="E43" i="4"/>
  <c r="F10" i="2" l="1"/>
  <c r="E7" i="30"/>
  <c r="E11" i="30" s="1"/>
  <c r="E15" i="30" s="1"/>
  <c r="E10" i="2" l="1"/>
  <c r="F14" i="2"/>
  <c r="E14" i="2" s="1"/>
  <c r="E19" i="30"/>
  <c r="B32" i="28" s="1"/>
  <c r="E32" i="28" s="1"/>
  <c r="F33" i="28" s="1"/>
  <c r="F36" i="28" s="1"/>
  <c r="E21" i="30"/>
  <c r="E22" i="30" s="1"/>
  <c r="E23" i="30" s="1"/>
  <c r="D29" i="12" s="1"/>
  <c r="D31" i="12" s="1"/>
  <c r="D20" i="8" l="1"/>
  <c r="E20" i="8" l="1"/>
  <c r="E24" i="8" s="1"/>
  <c r="E26" i="8" s="1"/>
  <c r="F16" i="2" s="1"/>
  <c r="D24" i="8"/>
  <c r="E16" i="2" l="1"/>
  <c r="F18" i="2"/>
  <c r="F22" i="2" l="1"/>
  <c r="E22" i="2" s="1"/>
  <c r="E18" i="2"/>
</calcChain>
</file>

<file path=xl/sharedStrings.xml><?xml version="1.0" encoding="utf-8"?>
<sst xmlns="http://schemas.openxmlformats.org/spreadsheetml/2006/main" count="600" uniqueCount="338">
  <si>
    <t>Schedule</t>
  </si>
  <si>
    <t>Title</t>
  </si>
  <si>
    <t>Table of Contents</t>
  </si>
  <si>
    <t>Accompanying the Direct Testimony of John Defever, CPA</t>
  </si>
  <si>
    <t>Schedule D</t>
  </si>
  <si>
    <t xml:space="preserve">Rate of Return </t>
  </si>
  <si>
    <t>Page 1 of 1</t>
  </si>
  <si>
    <t>Line</t>
  </si>
  <si>
    <t>Capital</t>
  </si>
  <si>
    <t>Cost</t>
  </si>
  <si>
    <t>Weighted</t>
  </si>
  <si>
    <t>No.</t>
  </si>
  <si>
    <t>Description</t>
  </si>
  <si>
    <t>Structure</t>
  </si>
  <si>
    <t>Rate</t>
  </si>
  <si>
    <t>Long Term Debt</t>
  </si>
  <si>
    <t>Short Term Debt</t>
  </si>
  <si>
    <t>Preferred Stock</t>
  </si>
  <si>
    <t>Source:</t>
  </si>
  <si>
    <t>Total</t>
  </si>
  <si>
    <t>Federal Income Tax</t>
  </si>
  <si>
    <t>Gross Revenue Conversion Factor</t>
  </si>
  <si>
    <t>Line No.</t>
  </si>
  <si>
    <t>Amount</t>
  </si>
  <si>
    <t>Reference</t>
  </si>
  <si>
    <t>(A)</t>
  </si>
  <si>
    <t>(B)</t>
  </si>
  <si>
    <t>(C)</t>
  </si>
  <si>
    <t>Schedule C</t>
  </si>
  <si>
    <t>Required Operating Income</t>
  </si>
  <si>
    <t xml:space="preserve">Source: </t>
  </si>
  <si>
    <t>Per Company</t>
  </si>
  <si>
    <t>Difference</t>
  </si>
  <si>
    <t>Rate Base</t>
  </si>
  <si>
    <t>Income Deficiency / (Sufficiency)</t>
  </si>
  <si>
    <t>Property Held For Future Use</t>
  </si>
  <si>
    <t>Test Period</t>
  </si>
  <si>
    <t>13 Month Average</t>
  </si>
  <si>
    <t xml:space="preserve"> Forecasted</t>
  </si>
  <si>
    <t>(D)</t>
  </si>
  <si>
    <t>Schedule A</t>
  </si>
  <si>
    <t>Schedule B</t>
  </si>
  <si>
    <t>Adjustments</t>
  </si>
  <si>
    <t>Cash Working Capital Allowance</t>
  </si>
  <si>
    <t>Subtotal</t>
  </si>
  <si>
    <t xml:space="preserve">Common Equity </t>
  </si>
  <si>
    <t>Requested Rate of Return</t>
  </si>
  <si>
    <t>Operating Income Before Income Taxes</t>
  </si>
  <si>
    <t>Operating Revenues</t>
  </si>
  <si>
    <t>Line 1 x Line 2</t>
  </si>
  <si>
    <t>Line 3 - Line 4</t>
  </si>
  <si>
    <t>Line 5 x Line 6</t>
  </si>
  <si>
    <t>Days</t>
  </si>
  <si>
    <t xml:space="preserve"> </t>
  </si>
  <si>
    <t>Page 1 of 2</t>
  </si>
  <si>
    <t>Page 2 of 2</t>
  </si>
  <si>
    <t>Cash Working Capital</t>
  </si>
  <si>
    <t>Schedule B-1</t>
  </si>
  <si>
    <t>Company Amount</t>
  </si>
  <si>
    <t xml:space="preserve">Line </t>
  </si>
  <si>
    <t>Rate Case Expense</t>
  </si>
  <si>
    <t>Line 6</t>
  </si>
  <si>
    <t>Line 2 - Line 1</t>
  </si>
  <si>
    <t>Schedule C-1</t>
  </si>
  <si>
    <t>Schedule C-2</t>
  </si>
  <si>
    <t>Schedule C-3</t>
  </si>
  <si>
    <t>401(k) Expense</t>
  </si>
  <si>
    <t>Schedule C-4</t>
  </si>
  <si>
    <t>Schedule C-5</t>
  </si>
  <si>
    <t>Payroll Expense</t>
  </si>
  <si>
    <t>Schedule C-6</t>
  </si>
  <si>
    <t xml:space="preserve">Incentive Compensation </t>
  </si>
  <si>
    <t>Payroll Tax</t>
  </si>
  <si>
    <t>Schedule C-7</t>
  </si>
  <si>
    <t>Schedule C-8</t>
  </si>
  <si>
    <t>Line 1 X Line 2</t>
  </si>
  <si>
    <t>Schedule C-9</t>
  </si>
  <si>
    <t>Schedule C-10</t>
  </si>
  <si>
    <t>Benefits Expense</t>
  </si>
  <si>
    <t>Benefit Expense Ratio</t>
  </si>
  <si>
    <t>Less State Income Tax</t>
  </si>
  <si>
    <t xml:space="preserve">Total </t>
  </si>
  <si>
    <t xml:space="preserve">Federal Income Tax Rate </t>
  </si>
  <si>
    <t>State Income Tax Rate</t>
  </si>
  <si>
    <t>Source</t>
  </si>
  <si>
    <t>Income Tax Expense</t>
  </si>
  <si>
    <t>Schedule C-11</t>
  </si>
  <si>
    <t>Testimony</t>
  </si>
  <si>
    <t>Payroll Tax Ratio</t>
  </si>
  <si>
    <t>Schedule C-12</t>
  </si>
  <si>
    <t>Payroll Taxes</t>
  </si>
  <si>
    <t>Line 4/Line 5</t>
  </si>
  <si>
    <t>Less: Adjusted Operating Income</t>
  </si>
  <si>
    <t>Total Operating Expenses</t>
  </si>
  <si>
    <t>Rate of Return Impact</t>
  </si>
  <si>
    <t>Rate Base Adjustments</t>
  </si>
  <si>
    <t>O&amp;M Adjustments</t>
  </si>
  <si>
    <t>Rev Req Impact</t>
  </si>
  <si>
    <t>Pre Tax Adj</t>
  </si>
  <si>
    <t>NOI After Tax</t>
  </si>
  <si>
    <t>GRCF</t>
  </si>
  <si>
    <t>Schedule C-13</t>
  </si>
  <si>
    <t>Rate base, as adjusted</t>
  </si>
  <si>
    <t>Weighted Cost of Debt</t>
  </si>
  <si>
    <t xml:space="preserve">Interest Deduction, per Company </t>
  </si>
  <si>
    <t xml:space="preserve"> Interest Deduction for Tax Purposes</t>
  </si>
  <si>
    <t>Increase/(Decrease) in Deductible Interest</t>
  </si>
  <si>
    <t>Consolidated Income Tax Rate</t>
  </si>
  <si>
    <t>State Income Tax Increase</t>
  </si>
  <si>
    <t>Federal Income Tax Increase</t>
  </si>
  <si>
    <t xml:space="preserve">Federal Tax Rate </t>
  </si>
  <si>
    <t xml:space="preserve">State Tax Rate </t>
  </si>
  <si>
    <t>Interest Synchronization</t>
  </si>
  <si>
    <t>Line No</t>
  </si>
  <si>
    <t>Line 15</t>
  </si>
  <si>
    <t xml:space="preserve">Exhibit JD-1 </t>
  </si>
  <si>
    <t>Exhibit JD-1</t>
  </si>
  <si>
    <t>Consolidated tax rate</t>
  </si>
  <si>
    <t>Operating Income Per Kentucky American Water</t>
  </si>
  <si>
    <t>Unaccounted For Water</t>
  </si>
  <si>
    <t>Business Development Expense</t>
  </si>
  <si>
    <t>Membership Dues</t>
  </si>
  <si>
    <t>Less Deductions:</t>
  </si>
  <si>
    <t>Amortization of UPAA</t>
  </si>
  <si>
    <t>Amortization Expense</t>
  </si>
  <si>
    <t>Investment Tax Credits</t>
  </si>
  <si>
    <t>Utility Plant in Service</t>
  </si>
  <si>
    <t>Utility Plant Acquisition Adjustments</t>
  </si>
  <si>
    <t xml:space="preserve">Accumulated Depreciation </t>
  </si>
  <si>
    <t>Net Utility Plant in Service</t>
  </si>
  <si>
    <t>Construction Work In Progress</t>
  </si>
  <si>
    <t>Contributions in Aid of Construction</t>
  </si>
  <si>
    <t>Customer Advances</t>
  </si>
  <si>
    <t>Deferred Income Taxes</t>
  </si>
  <si>
    <t>Deferred Maintenance</t>
  </si>
  <si>
    <t>Deferred Debits</t>
  </si>
  <si>
    <t>Other Rate Base Elements</t>
  </si>
  <si>
    <t>Jurisdictional Rate Base</t>
  </si>
  <si>
    <t xml:space="preserve">Forecasted </t>
  </si>
  <si>
    <t>Total Operating Funds</t>
  </si>
  <si>
    <t>Average Daily Operating Funds</t>
  </si>
  <si>
    <t>Composite Average Days Interval Between:</t>
  </si>
  <si>
    <t>(A) Date Service Furnished and Date Collections Deposited</t>
  </si>
  <si>
    <t>(B) Date Expenses Incurred and Date of Payment</t>
  </si>
  <si>
    <t>(C) Net Interval</t>
  </si>
  <si>
    <t>Post Payment</t>
  </si>
  <si>
    <t>or</t>
  </si>
  <si>
    <t xml:space="preserve">Description </t>
  </si>
  <si>
    <t>(Lead) Days</t>
  </si>
  <si>
    <t>Dollar Days</t>
  </si>
  <si>
    <t>Salaries &amp; Wages</t>
  </si>
  <si>
    <t>Fuel, Power and Electric</t>
  </si>
  <si>
    <t>Chemicals</t>
  </si>
  <si>
    <t>Purchased Water</t>
  </si>
  <si>
    <t>Waste Disposal</t>
  </si>
  <si>
    <t>Service Company Charges</t>
  </si>
  <si>
    <t>Contracted Services</t>
  </si>
  <si>
    <t>Group Insurance</t>
  </si>
  <si>
    <t>Other Benefits</t>
  </si>
  <si>
    <t>Pensions</t>
  </si>
  <si>
    <t>Rents</t>
  </si>
  <si>
    <t>Regulatory Expense</t>
  </si>
  <si>
    <t>Maintenance Service &amp; Supplies</t>
  </si>
  <si>
    <t>Amortization</t>
  </si>
  <si>
    <t>Uncollectibles</t>
  </si>
  <si>
    <t>Office Supplies &amp; Services</t>
  </si>
  <si>
    <t>Employee Related Exp, Travel &amp; Ent</t>
  </si>
  <si>
    <t>Building Maintenance &amp; Services</t>
  </si>
  <si>
    <t>Postage Printing &amp; Stationary</t>
  </si>
  <si>
    <t>Telecommunication</t>
  </si>
  <si>
    <t>Miscellaneous Expense</t>
  </si>
  <si>
    <t>Transportation</t>
  </si>
  <si>
    <t>Other Customer Accounting</t>
  </si>
  <si>
    <t>Total O &amp; M Expenses</t>
  </si>
  <si>
    <t>Depreciation and Amortization</t>
  </si>
  <si>
    <t>Property Taxes</t>
  </si>
  <si>
    <t>Utility Tax</t>
  </si>
  <si>
    <t>Income Taxes - Current - SIT</t>
  </si>
  <si>
    <t>Income Taxes - Current - FIT</t>
  </si>
  <si>
    <t>Interest  Expense - Long - Term Debt</t>
  </si>
  <si>
    <t>Interest  Expense - Short - Term Debt</t>
  </si>
  <si>
    <t>Preferred Dividends</t>
  </si>
  <si>
    <t>Net Income</t>
  </si>
  <si>
    <t>Net Operating Funds</t>
  </si>
  <si>
    <t>Average Days Interval between Date Expenses are Incurred and Date of Payment</t>
  </si>
  <si>
    <t>Schedule C, page 1 line 12</t>
  </si>
  <si>
    <t>W/P 3-6</t>
  </si>
  <si>
    <t>Schedule C-1 &amp; C-2</t>
  </si>
  <si>
    <t>Insurance Other Than Group</t>
  </si>
  <si>
    <t>OPEB</t>
  </si>
  <si>
    <t>Schedule C-14</t>
  </si>
  <si>
    <t>.</t>
  </si>
  <si>
    <t>Forecasted</t>
  </si>
  <si>
    <t>Employee Stock Purchase Plan Discount</t>
  </si>
  <si>
    <t>Line 13 + Line 14</t>
  </si>
  <si>
    <t>(Line 5 - Line 8) X Line 11</t>
  </si>
  <si>
    <t>Lines 1-5: Exhibit 37, Schedule J-1.</t>
  </si>
  <si>
    <t xml:space="preserve"> Operating Income Adjustments (Line 1)</t>
  </si>
  <si>
    <t>Line 1</t>
  </si>
  <si>
    <t>Line 8</t>
  </si>
  <si>
    <t>Line 1 + Line 2</t>
  </si>
  <si>
    <t>Line 5 + Line 8</t>
  </si>
  <si>
    <t>Line 12</t>
  </si>
  <si>
    <t>Line 44</t>
  </si>
  <si>
    <t>Line 1/365</t>
  </si>
  <si>
    <t>[a]</t>
  </si>
  <si>
    <t>Line 45</t>
  </si>
  <si>
    <t>Line 2 X Line 6</t>
  </si>
  <si>
    <t>[b]</t>
  </si>
  <si>
    <t>(E)</t>
  </si>
  <si>
    <t>Exhibit DD-3</t>
  </si>
  <si>
    <t>Company Requested Amount Related to Financial Goals</t>
  </si>
  <si>
    <t>(1- line 12) * Line 11</t>
  </si>
  <si>
    <t>Kentucky-American Water Company</t>
  </si>
  <si>
    <t>Case No. 2026-00094</t>
  </si>
  <si>
    <t>Overall Financial Summary</t>
  </si>
  <si>
    <t>Forecasted Test Period Twelve Months Ended December 31, 2027</t>
  </si>
  <si>
    <t xml:space="preserve">Rate Base </t>
  </si>
  <si>
    <t>Materials and Supplies</t>
  </si>
  <si>
    <t>Deferred Investment Tax Credits</t>
  </si>
  <si>
    <t>Operating Expenses</t>
  </si>
  <si>
    <t>Depreciation Expenses</t>
  </si>
  <si>
    <t xml:space="preserve">Taxes Other Than Income </t>
  </si>
  <si>
    <t>Provision for Deferred Inc Tax</t>
  </si>
  <si>
    <t>Income Taxes</t>
  </si>
  <si>
    <t>Operating Income</t>
  </si>
  <si>
    <t>Overtime Expense</t>
  </si>
  <si>
    <t>Severance Expense</t>
  </si>
  <si>
    <t>Temporary Help</t>
  </si>
  <si>
    <t>Board of Directors Expense</t>
  </si>
  <si>
    <t>Five Year Average</t>
  </si>
  <si>
    <t>Line 9</t>
  </si>
  <si>
    <t>Attorney General’s First Request, Item 92</t>
  </si>
  <si>
    <t>Attorney General’s First Request, Item 162</t>
  </si>
  <si>
    <t>Schedule C-15</t>
  </si>
  <si>
    <t>Schedule C-16</t>
  </si>
  <si>
    <t>Schedule C-17</t>
  </si>
  <si>
    <t>Attorney General’s First Request, Item 63</t>
  </si>
  <si>
    <t>OAG Recommended Disallowance %</t>
  </si>
  <si>
    <t>Attorney General’s First Request, Item 61</t>
  </si>
  <si>
    <t>Lobbying Expense</t>
  </si>
  <si>
    <t>Attorney General’s First Request, Item 126</t>
  </si>
  <si>
    <t>Schedules C-16 and C-17</t>
  </si>
  <si>
    <t>Chemical Expense</t>
  </si>
  <si>
    <t>Power Expense</t>
  </si>
  <si>
    <t>Purchased Water Expense</t>
  </si>
  <si>
    <t>Waste Disposal Expense</t>
  </si>
  <si>
    <t>Kentucky American Payroll</t>
  </si>
  <si>
    <t>Service Company Payroll</t>
  </si>
  <si>
    <t>Total Payroll</t>
  </si>
  <si>
    <t>Line 9 + Line 10</t>
  </si>
  <si>
    <t>Increase/(Decrease) to Income Tax Expense</t>
  </si>
  <si>
    <t>Increase/Decrease to Income Tax Expense</t>
  </si>
  <si>
    <t xml:space="preserve">Kentucky-American Water Company Requested Rate Increase </t>
  </si>
  <si>
    <t>Line 1 X Line 4</t>
  </si>
  <si>
    <t>Line 2 X Line 4</t>
  </si>
  <si>
    <t>Line 5 + Line 6</t>
  </si>
  <si>
    <t>APP Direct</t>
  </si>
  <si>
    <t>LTPP Direct</t>
  </si>
  <si>
    <t>APP Allocated</t>
  </si>
  <si>
    <t>LTPP Allocated</t>
  </si>
  <si>
    <t>Attorney General’s First Request, Item 170</t>
  </si>
  <si>
    <t>Company Annual Amortization</t>
  </si>
  <si>
    <t>Total Rate Case Expense Requested</t>
  </si>
  <si>
    <t>Remaining Amount</t>
  </si>
  <si>
    <t>Less QIP Credit</t>
  </si>
  <si>
    <t>Remaining Unamortized Amount</t>
  </si>
  <si>
    <t>Current Rate Case Expense</t>
  </si>
  <si>
    <t>Total Requested Rate Case Expense</t>
  </si>
  <si>
    <t>Total Rate Case Expense Authorized in Case No. 2025-00122</t>
  </si>
  <si>
    <t>Attorney General’s First Request, Item 156</t>
  </si>
  <si>
    <t>Line 13</t>
  </si>
  <si>
    <t>Line 7 + Line 8</t>
  </si>
  <si>
    <t>Line 11 + Line 12</t>
  </si>
  <si>
    <t>Line 1 X  Line 2</t>
  </si>
  <si>
    <t>Companyy FTP Benefits Expense</t>
  </si>
  <si>
    <t>Company Payroll Expense</t>
  </si>
  <si>
    <t>Exhibit 37, Schedule C-1</t>
  </si>
  <si>
    <t>Company FTP Payroll Taxes</t>
  </si>
  <si>
    <t>- Line 6 X Line 7</t>
  </si>
  <si>
    <t xml:space="preserve"> - Line 3 X Line 4</t>
  </si>
  <si>
    <t xml:space="preserve"> KAWC 2026  Income Tax Exhibit Tax Rates Tab</t>
  </si>
  <si>
    <t>KAWC 2026 Income Tax Exhibit Link In Tab</t>
  </si>
  <si>
    <t>KAWC 2026 Income Tax Exhibit Schedule E.1.3 Federal Income Tax Forecast Tab</t>
  </si>
  <si>
    <t xml:space="preserve">Schedule D </t>
  </si>
  <si>
    <t xml:space="preserve"> - Line 5 X Line 6</t>
  </si>
  <si>
    <t xml:space="preserve"> - Line 5 x Line 14</t>
  </si>
  <si>
    <t>Column A : Exhibit 37 Schedule A.</t>
  </si>
  <si>
    <t>Col A:  Exhibit 37, Schedule B-1</t>
  </si>
  <si>
    <t>Line 4 - Line 5</t>
  </si>
  <si>
    <t>Change service company lag per order in Case No. 2025-00122</t>
  </si>
  <si>
    <t>Remove non-cash items per order in Case No. 2025-00122</t>
  </si>
  <si>
    <t>Lines 7-44 Col. A, D: Exhibit 37, Schedule B-5.2 page and 5 of 6 Case No. 2025-00122</t>
  </si>
  <si>
    <t>Line 4: Exhibit 37, Schedule B-5.2 page 4, Case No. 2025-00122</t>
  </si>
  <si>
    <t>Col. A: Exhibit 37, Schedule D-1.</t>
  </si>
  <si>
    <t>Attorney General’s First Request, Item 142</t>
  </si>
  <si>
    <t>Attorney General’s Second Request, Item 59</t>
  </si>
  <si>
    <t>% Exceeding Threshold</t>
  </si>
  <si>
    <t>OAG FTP Reduction</t>
  </si>
  <si>
    <t>KAWC 2026-Miscellaneous Expense Exhibit</t>
  </si>
  <si>
    <t>Attorney General’s Second Request, Item 69</t>
  </si>
  <si>
    <t>Line 7</t>
  </si>
  <si>
    <t>Pension</t>
  </si>
  <si>
    <t>Line 10</t>
  </si>
  <si>
    <t>Schedule C, p. 2, lines 4 -18</t>
  </si>
  <si>
    <t>Attorney General’s First Request, Item 114</t>
  </si>
  <si>
    <t>Lines 10-11: Schedule C-1</t>
  </si>
  <si>
    <t>Five-Year Average</t>
  </si>
  <si>
    <t>Less 2026 Amortization</t>
  </si>
  <si>
    <t xml:space="preserve">FTP </t>
  </si>
  <si>
    <t>Lines 3-6: Attorney General’s Second Request, Item 84.</t>
  </si>
  <si>
    <t>Adjustments [c]</t>
  </si>
  <si>
    <t>The Company may determine that reflecting some amounts on different lines is more appropriate.</t>
  </si>
  <si>
    <t xml:space="preserve">[c] It should  be also be noted, my O&amp;M adjustments are reflected as a placeholder to recognize the adjustments should be reflected in the working capital calculation.  </t>
  </si>
  <si>
    <t>Per OAG/LFUCG/  GMWSS</t>
  </si>
  <si>
    <t>Per OAG/</t>
  </si>
  <si>
    <t>LFUCG/GMWSS</t>
  </si>
  <si>
    <t>OAG/LFUCG/GMWSS Net Operating Income</t>
  </si>
  <si>
    <t>Total OAG/LFUCG/GMWSS Adjustment</t>
  </si>
  <si>
    <t>OAG/LFUCG/GMWSS Amount</t>
  </si>
  <si>
    <t xml:space="preserve">OAG/LFUCG/GMWSS Amount </t>
  </si>
  <si>
    <t>OAG/LFUCG/GMWSS Adjustment</t>
  </si>
  <si>
    <t xml:space="preserve">OAG/LFUCG/GMWSS Amortization Period </t>
  </si>
  <si>
    <t>OAG/LFUCG/GMWSS Annual Amortization</t>
  </si>
  <si>
    <t>OAG/LFUCG/GMWSS Adjustment to Payroll and Overtime</t>
  </si>
  <si>
    <t>OAG/LFUCG/GMWSS Adjustments to Incentive Incentive Payroll Overtime, Compensation, Severance</t>
  </si>
  <si>
    <t xml:space="preserve">OAG/LFUCG/GMWSS Operating Income Adjustments </t>
  </si>
  <si>
    <t>OAG/LFUCG/GMWSS Adjustment to Federal Income Expense</t>
  </si>
  <si>
    <t>OAG/LFUCG/GMWSS Adjustment to State Income Tax</t>
  </si>
  <si>
    <t>OAG/LFUCG/GMWSS Total Adjustments to Income Tax</t>
  </si>
  <si>
    <t>OAG/LFUCG/GMWSS Adjustments:</t>
  </si>
  <si>
    <t>Line 6-10: OAG/LFUCG/GMWSS  Witness Aaron Rothschild</t>
  </si>
  <si>
    <t>OAG/LFUCG/GMWSS Recommended Reduction</t>
  </si>
  <si>
    <t>GMWSS</t>
  </si>
  <si>
    <t>OAG/LFUCG/</t>
  </si>
  <si>
    <t>OAG/LFUCG/GMWSS</t>
  </si>
  <si>
    <t>Revenue Increase / (Decrease) Requested</t>
  </si>
  <si>
    <t>OAG/LFUCG/GMWSS Recommended Rate 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</si>
</sst>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  <numFmt numFmtId="165" formatCode="_(\$* #,##0_);_(\$* \(#,##0\);_(\$* \-_);_(@_)"/>
    <numFmt numFmtId="166" formatCode="_-&quot;$&quot;* #,##0_-;\-&quot;$&quot;* #,##0_-;_-&quot;$&quot;* &quot;-&quot;_-;_-@_-"/>
    <numFmt numFmtId="167" formatCode="0.000%"/>
    <numFmt numFmtId="168" formatCode="_(&quot;$&quot;* #,##0_);_(&quot;$&quot;* \(#,##0\);_(&quot;$&quot;* &quot;-&quot;??_);_(@_)"/>
    <numFmt numFmtId="169" formatCode="#,##0.0_);\(#,##0.0\)"/>
    <numFmt numFmtId="170" formatCode="0.0000"/>
    <numFmt numFmtId="171" formatCode="0.0"/>
    <numFmt numFmtId="172" formatCode="0.00_);\(0.00\)"/>
    <numFmt numFmtId="173" formatCode="&quot;$&quot;#,##0"/>
    <numFmt numFmtId="174" formatCode="###,000"/>
    <numFmt numFmtId="175" formatCode="#,##0.00_ ;[Red]\-#,##0.00;\-"/>
    <numFmt numFmtId="176" formatCode="_-* #,##0_-;\-* #,##0_-;_-* &quot;-&quot;_-;_-@_-"/>
    <numFmt numFmtId="177" formatCode="\£\ #,##0_);[Red]\(\£\ #,##0\)"/>
    <numFmt numFmtId="178" formatCode="0.000_)"/>
    <numFmt numFmtId="179" formatCode="\ \ _•\–\ \ \ \ @"/>
    <numFmt numFmtId="180" formatCode="_-[$€-2]* #,##0.00_-;\-[$€-2]* #,##0.00_-;_-[$€-2]* &quot;-&quot;??_-"/>
    <numFmt numFmtId="181" formatCode="_-* #,##0\ _P_t_s_-;\-* #,##0\ _P_t_s_-;_-* &quot;-&quot;\ _P_t_s_-;_-@_-"/>
    <numFmt numFmtId="182" formatCode="_-* #,##0.00\ _P_t_s_-;\-* #,##0.00\ _P_t_s_-;_-* &quot;-&quot;??\ _P_t_s_-;_-@_-"/>
    <numFmt numFmtId="183" formatCode="_-&quot;S/.&quot;* #,##0_-;\-&quot;S/.&quot;* #,##0_-;_-&quot;S/.&quot;* &quot;-&quot;_-;_-@_-"/>
    <numFmt numFmtId="184" formatCode="_-&quot;S/.&quot;* #,##0.00_-;\-&quot;S/.&quot;* #,##0.00_-;_-&quot;S/.&quot;* &quot;-&quot;??_-;_-@_-"/>
    <numFmt numFmtId="185" formatCode="0.00_)"/>
    <numFmt numFmtId="186" formatCode="#,##0;\-#,##0;#,##0"/>
  </numFmts>
  <fonts count="8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color theme="1"/>
      <name val="Arial"/>
      <family val="2"/>
    </font>
    <font>
      <sz val="8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sz val="8"/>
      <name val="Tms Rmn"/>
    </font>
    <font>
      <u/>
      <sz val="12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1F497D"/>
      <name val="Verdana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u val="singleAccounting"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color indexed="12"/>
      <name val="Tms Rmn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color indexed="12"/>
      <name val="Book Antiqua"/>
      <family val="1"/>
    </font>
    <font>
      <sz val="10"/>
      <color theme="1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b/>
      <i/>
      <sz val="16"/>
      <name val="Helv"/>
    </font>
    <font>
      <sz val="7"/>
      <name val="Arial"/>
      <family val="2"/>
    </font>
    <font>
      <sz val="14"/>
      <name val="–¾’©"/>
    </font>
    <font>
      <b/>
      <sz val="11"/>
      <color indexed="63"/>
      <name val="Calibri"/>
      <family val="2"/>
    </font>
    <font>
      <sz val="10"/>
      <name val="Palatino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sz val="8"/>
      <color rgb="FF000000"/>
      <name val="Arial"/>
      <family val="2"/>
    </font>
    <font>
      <sz val="8"/>
      <color rgb="FF000000"/>
      <name val="Verdana"/>
      <family val="2"/>
    </font>
    <font>
      <b/>
      <sz val="8"/>
      <color rgb="FF1F497D"/>
      <name val="Verdana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hair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</borders>
  <cellStyleXfs count="640">
    <xf numFmtId="0" fontId="0" fillId="0" borderId="0"/>
    <xf numFmtId="41" fontId="2" fillId="0" borderId="0"/>
    <xf numFmtId="0" fontId="5" fillId="0" borderId="0"/>
    <xf numFmtId="0" fontId="5" fillId="0" borderId="0" applyFill="0" applyBorder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3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5" borderId="16" applyNumberFormat="0" applyAlignment="0" applyProtection="0"/>
    <xf numFmtId="0" fontId="27" fillId="6" borderId="17" applyNumberFormat="0" applyAlignment="0" applyProtection="0"/>
    <xf numFmtId="0" fontId="28" fillId="6" borderId="16" applyNumberFormat="0" applyAlignment="0" applyProtection="0"/>
    <xf numFmtId="0" fontId="29" fillId="0" borderId="18" applyNumberFormat="0" applyFill="0" applyAlignment="0" applyProtection="0"/>
    <xf numFmtId="0" fontId="30" fillId="7" borderId="1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4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3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4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4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4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4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174" fontId="38" fillId="34" borderId="22" applyNumberFormat="0" applyAlignment="0" applyProtection="0">
      <alignment horizontal="left" vertical="center" indent="1"/>
    </xf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/>
    <xf numFmtId="0" fontId="36" fillId="33" borderId="0"/>
    <xf numFmtId="0" fontId="39" fillId="33" borderId="0"/>
    <xf numFmtId="0" fontId="40" fillId="33" borderId="0"/>
    <xf numFmtId="0" fontId="41" fillId="33" borderId="0"/>
    <xf numFmtId="0" fontId="42" fillId="33" borderId="0"/>
    <xf numFmtId="0" fontId="37" fillId="33" borderId="0"/>
    <xf numFmtId="175" fontId="7" fillId="35" borderId="23"/>
    <xf numFmtId="176" fontId="7" fillId="35" borderId="23"/>
    <xf numFmtId="0" fontId="39" fillId="35" borderId="0"/>
    <xf numFmtId="0" fontId="7" fillId="33" borderId="0"/>
    <xf numFmtId="0" fontId="36" fillId="33" borderId="0"/>
    <xf numFmtId="0" fontId="39" fillId="33" borderId="0"/>
    <xf numFmtId="0" fontId="7" fillId="33" borderId="0"/>
    <xf numFmtId="0" fontId="41" fillId="33" borderId="0"/>
    <xf numFmtId="0" fontId="42" fillId="33" borderId="0"/>
    <xf numFmtId="0" fontId="37" fillId="33" borderId="0"/>
    <xf numFmtId="0" fontId="43" fillId="0" borderId="0" applyNumberFormat="0" applyFill="0" applyBorder="0" applyProtection="0">
      <alignment horizontal="centerContinuous"/>
    </xf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7" fillId="0" borderId="0"/>
    <xf numFmtId="0" fontId="44" fillId="36" borderId="0" applyNumberFormat="0" applyBorder="0" applyAlignment="0" applyProtection="0"/>
    <xf numFmtId="0" fontId="6" fillId="10" borderId="0" applyNumberFormat="0" applyBorder="0" applyAlignment="0" applyProtection="0"/>
    <xf numFmtId="0" fontId="44" fillId="37" borderId="0" applyNumberFormat="0" applyBorder="0" applyAlignment="0" applyProtection="0"/>
    <xf numFmtId="0" fontId="6" fillId="14" borderId="0" applyNumberFormat="0" applyBorder="0" applyAlignment="0" applyProtection="0"/>
    <xf numFmtId="0" fontId="44" fillId="38" borderId="0" applyNumberFormat="0" applyBorder="0" applyAlignment="0" applyProtection="0"/>
    <xf numFmtId="0" fontId="6" fillId="18" borderId="0" applyNumberFormat="0" applyBorder="0" applyAlignment="0" applyProtection="0"/>
    <xf numFmtId="0" fontId="44" fillId="39" borderId="0" applyNumberFormat="0" applyBorder="0" applyAlignment="0" applyProtection="0"/>
    <xf numFmtId="0" fontId="6" fillId="22" borderId="0" applyNumberFormat="0" applyBorder="0" applyAlignment="0" applyProtection="0"/>
    <xf numFmtId="0" fontId="44" fillId="40" borderId="0" applyNumberFormat="0" applyBorder="0" applyAlignment="0" applyProtection="0"/>
    <xf numFmtId="0" fontId="6" fillId="26" borderId="0" applyNumberFormat="0" applyBorder="0" applyAlignment="0" applyProtection="0"/>
    <xf numFmtId="0" fontId="44" fillId="41" borderId="0" applyNumberFormat="0" applyBorder="0" applyAlignment="0" applyProtection="0"/>
    <xf numFmtId="0" fontId="6" fillId="30" borderId="0" applyNumberFormat="0" applyBorder="0" applyAlignment="0" applyProtection="0"/>
    <xf numFmtId="0" fontId="44" fillId="42" borderId="0" applyNumberFormat="0" applyBorder="0" applyAlignment="0" applyProtection="0"/>
    <xf numFmtId="0" fontId="6" fillId="11" borderId="0" applyNumberFormat="0" applyBorder="0" applyAlignment="0" applyProtection="0"/>
    <xf numFmtId="0" fontId="44" fillId="43" borderId="0" applyNumberFormat="0" applyBorder="0" applyAlignment="0" applyProtection="0"/>
    <xf numFmtId="0" fontId="6" fillId="15" borderId="0" applyNumberFormat="0" applyBorder="0" applyAlignment="0" applyProtection="0"/>
    <xf numFmtId="0" fontId="44" fillId="44" borderId="0" applyNumberFormat="0" applyBorder="0" applyAlignment="0" applyProtection="0"/>
    <xf numFmtId="0" fontId="6" fillId="19" borderId="0" applyNumberFormat="0" applyBorder="0" applyAlignment="0" applyProtection="0"/>
    <xf numFmtId="0" fontId="44" fillId="39" borderId="0" applyNumberFormat="0" applyBorder="0" applyAlignment="0" applyProtection="0"/>
    <xf numFmtId="0" fontId="6" fillId="23" borderId="0" applyNumberFormat="0" applyBorder="0" applyAlignment="0" applyProtection="0"/>
    <xf numFmtId="0" fontId="44" fillId="42" borderId="0" applyNumberFormat="0" applyBorder="0" applyAlignment="0" applyProtection="0"/>
    <xf numFmtId="0" fontId="6" fillId="27" borderId="0" applyNumberFormat="0" applyBorder="0" applyAlignment="0" applyProtection="0"/>
    <xf numFmtId="0" fontId="44" fillId="45" borderId="0" applyNumberFormat="0" applyBorder="0" applyAlignment="0" applyProtection="0"/>
    <xf numFmtId="0" fontId="6" fillId="31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4" applyNumberFormat="0" applyFill="0" applyAlignment="0" applyProtection="0"/>
    <xf numFmtId="0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54" borderId="24" applyNumberFormat="0" applyAlignment="0" applyProtection="0"/>
    <xf numFmtId="0" fontId="51" fillId="55" borderId="25" applyNumberFormat="0" applyAlignment="0" applyProtection="0"/>
    <xf numFmtId="178" fontId="52" fillId="0" borderId="0"/>
    <xf numFmtId="178" fontId="52" fillId="0" borderId="0"/>
    <xf numFmtId="178" fontId="52" fillId="0" borderId="0"/>
    <xf numFmtId="178" fontId="52" fillId="0" borderId="0"/>
    <xf numFmtId="178" fontId="52" fillId="0" borderId="0"/>
    <xf numFmtId="178" fontId="52" fillId="0" borderId="0"/>
    <xf numFmtId="178" fontId="52" fillId="0" borderId="0"/>
    <xf numFmtId="178" fontId="5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8" fontId="53" fillId="0" borderId="26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9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41" borderId="24" applyNumberFormat="0" applyAlignment="0" applyProtection="0"/>
    <xf numFmtId="0" fontId="61" fillId="0" borderId="0" applyNumberFormat="0" applyFill="0" applyBorder="0" applyAlignment="0">
      <protection locked="0"/>
    </xf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0" fontId="62" fillId="0" borderId="30" applyNumberFormat="0" applyFill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3" fillId="0" borderId="0" applyFont="0" applyFill="0" applyBorder="0" applyAlignment="0" applyProtection="0"/>
    <xf numFmtId="0" fontId="64" fillId="56" borderId="0" applyNumberFormat="0" applyBorder="0" applyAlignment="0" applyProtection="0"/>
    <xf numFmtId="185" fontId="6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4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44" fillId="0" borderId="0"/>
    <xf numFmtId="0" fontId="6" fillId="0" borderId="0"/>
    <xf numFmtId="0" fontId="54" fillId="0" borderId="0"/>
    <xf numFmtId="0" fontId="7" fillId="0" borderId="0"/>
    <xf numFmtId="0" fontId="7" fillId="0" borderId="0"/>
    <xf numFmtId="0" fontId="10" fillId="0" borderId="0"/>
    <xf numFmtId="0" fontId="4" fillId="0" borderId="0"/>
    <xf numFmtId="0" fontId="10" fillId="0" borderId="0"/>
    <xf numFmtId="0" fontId="7" fillId="0" borderId="0"/>
    <xf numFmtId="37" fontId="66" fillId="0" borderId="0"/>
    <xf numFmtId="0" fontId="6" fillId="0" borderId="0"/>
    <xf numFmtId="0" fontId="44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44" fillId="57" borderId="31" applyNumberFormat="0" applyFont="0" applyAlignment="0" applyProtection="0"/>
    <xf numFmtId="0" fontId="6" fillId="8" borderId="20" applyNumberFormat="0" applyFont="0" applyAlignment="0" applyProtection="0"/>
    <xf numFmtId="0" fontId="6" fillId="8" borderId="20" applyNumberFormat="0" applyFont="0" applyAlignment="0" applyProtection="0"/>
    <xf numFmtId="0" fontId="7" fillId="57" borderId="31" applyNumberFormat="0" applyFont="0" applyAlignment="0" applyProtection="0"/>
    <xf numFmtId="0" fontId="7" fillId="57" borderId="31" applyNumberFormat="0" applyFont="0" applyAlignment="0" applyProtection="0"/>
    <xf numFmtId="0" fontId="6" fillId="8" borderId="20" applyNumberFormat="0" applyFont="0" applyAlignment="0" applyProtection="0"/>
    <xf numFmtId="0" fontId="37" fillId="0" borderId="0" applyNumberForma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8" fillId="54" borderId="32" applyNumberFormat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7" fontId="69" fillId="0" borderId="0" applyFont="0" applyFill="0" applyBorder="0" applyAlignment="0" applyProtection="0"/>
    <xf numFmtId="0" fontId="70" fillId="0" borderId="33" applyNumberFormat="0" applyAlignment="0"/>
    <xf numFmtId="169" fontId="71" fillId="0" borderId="0"/>
    <xf numFmtId="0" fontId="71" fillId="0" borderId="6">
      <alignment horizontal="centerContinuous"/>
    </xf>
    <xf numFmtId="0" fontId="71" fillId="0" borderId="6">
      <protection locked="0"/>
    </xf>
    <xf numFmtId="0" fontId="71" fillId="0" borderId="6">
      <alignment horizontal="centerContinuous"/>
    </xf>
    <xf numFmtId="169" fontId="71" fillId="0" borderId="0"/>
    <xf numFmtId="0" fontId="71" fillId="0" borderId="6">
      <protection locked="0"/>
    </xf>
    <xf numFmtId="169" fontId="71" fillId="0" borderId="0"/>
    <xf numFmtId="0" fontId="71" fillId="0" borderId="6">
      <alignment horizontal="centerContinuous"/>
    </xf>
    <xf numFmtId="169" fontId="71" fillId="0" borderId="0"/>
    <xf numFmtId="0" fontId="71" fillId="0" borderId="6">
      <protection locked="0"/>
    </xf>
    <xf numFmtId="0" fontId="71" fillId="0" borderId="6">
      <alignment horizontal="centerContinuous"/>
    </xf>
    <xf numFmtId="0" fontId="71" fillId="0" borderId="6">
      <alignment horizontal="centerContinuous"/>
    </xf>
    <xf numFmtId="169" fontId="71" fillId="0" borderId="0"/>
    <xf numFmtId="0" fontId="71" fillId="0" borderId="6">
      <alignment horizontal="centerContinuous"/>
    </xf>
    <xf numFmtId="0" fontId="71" fillId="0" borderId="6">
      <protection locked="0"/>
    </xf>
    <xf numFmtId="169" fontId="71" fillId="0" borderId="0"/>
    <xf numFmtId="169" fontId="71" fillId="0" borderId="0"/>
    <xf numFmtId="0" fontId="71" fillId="0" borderId="6">
      <alignment horizontal="centerContinuous"/>
    </xf>
    <xf numFmtId="0" fontId="71" fillId="0" borderId="6">
      <protection locked="0"/>
    </xf>
    <xf numFmtId="169" fontId="71" fillId="0" borderId="0"/>
    <xf numFmtId="0" fontId="71" fillId="0" borderId="6">
      <alignment horizontal="centerContinuous"/>
    </xf>
    <xf numFmtId="0" fontId="71" fillId="0" borderId="6">
      <protection locked="0"/>
    </xf>
    <xf numFmtId="0" fontId="71" fillId="0" borderId="6">
      <alignment horizontal="centerContinuous"/>
    </xf>
    <xf numFmtId="0" fontId="71" fillId="0" borderId="6">
      <protection locked="0"/>
    </xf>
    <xf numFmtId="0" fontId="71" fillId="0" borderId="6">
      <protection locked="0"/>
    </xf>
    <xf numFmtId="169" fontId="71" fillId="0" borderId="0"/>
    <xf numFmtId="0" fontId="71" fillId="0" borderId="6">
      <protection locked="0"/>
    </xf>
    <xf numFmtId="0" fontId="71" fillId="0" borderId="6">
      <alignment horizontal="centerContinuous"/>
    </xf>
    <xf numFmtId="0" fontId="71" fillId="0" borderId="6">
      <alignment horizontal="centerContinuous"/>
    </xf>
    <xf numFmtId="0" fontId="71" fillId="0" borderId="6">
      <protection locked="0"/>
    </xf>
    <xf numFmtId="169" fontId="71" fillId="0" borderId="0"/>
    <xf numFmtId="0" fontId="71" fillId="0" borderId="6">
      <alignment horizontal="centerContinuous"/>
    </xf>
    <xf numFmtId="0" fontId="71" fillId="0" borderId="6">
      <alignment horizontal="centerContinuous"/>
    </xf>
    <xf numFmtId="169" fontId="71" fillId="0" borderId="0"/>
    <xf numFmtId="0" fontId="71" fillId="0" borderId="6">
      <alignment horizontal="centerContinuous"/>
    </xf>
    <xf numFmtId="169" fontId="71" fillId="0" borderId="0"/>
    <xf numFmtId="0" fontId="71" fillId="0" borderId="6">
      <alignment horizontal="centerContinuous"/>
    </xf>
    <xf numFmtId="169" fontId="71" fillId="0" borderId="0"/>
    <xf numFmtId="0" fontId="71" fillId="0" borderId="6">
      <protection locked="0"/>
    </xf>
    <xf numFmtId="0" fontId="71" fillId="0" borderId="6">
      <alignment horizontal="centerContinuous"/>
    </xf>
    <xf numFmtId="169" fontId="71" fillId="0" borderId="0"/>
    <xf numFmtId="0" fontId="72" fillId="0" borderId="22" applyNumberFormat="0" applyFont="0" applyFill="0" applyAlignment="0" applyProtection="0"/>
    <xf numFmtId="174" fontId="38" fillId="0" borderId="34" applyNumberFormat="0" applyProtection="0">
      <alignment horizontal="right" vertical="center"/>
    </xf>
    <xf numFmtId="186" fontId="73" fillId="0" borderId="35" applyNumberFormat="0" applyAlignment="0" applyProtection="0">
      <alignment horizontal="right" vertical="center" indent="1"/>
    </xf>
    <xf numFmtId="174" fontId="74" fillId="0" borderId="36" applyNumberFormat="0" applyProtection="0">
      <alignment horizontal="right" vertical="center"/>
    </xf>
    <xf numFmtId="186" fontId="75" fillId="58" borderId="37" applyNumberFormat="0" applyAlignment="0" applyProtection="0">
      <alignment horizontal="right" vertical="center" indent="1"/>
    </xf>
    <xf numFmtId="0" fontId="74" fillId="59" borderId="22" applyNumberFormat="0" applyAlignment="0" applyProtection="0">
      <alignment horizontal="left" vertical="center" indent="1"/>
    </xf>
    <xf numFmtId="0" fontId="75" fillId="60" borderId="36" applyNumberFormat="0" applyAlignment="0" applyProtection="0">
      <alignment horizontal="left" vertical="center" indent="1"/>
    </xf>
    <xf numFmtId="0" fontId="73" fillId="61" borderId="36" applyNumberFormat="0" applyAlignment="0" applyProtection="0">
      <alignment horizontal="left" vertical="center" indent="1"/>
    </xf>
    <xf numFmtId="0" fontId="73" fillId="61" borderId="36" applyNumberFormat="0" applyAlignment="0" applyProtection="0">
      <alignment horizontal="left" vertical="center" indent="1"/>
    </xf>
    <xf numFmtId="0" fontId="76" fillId="0" borderId="38" applyNumberFormat="0" applyFill="0" applyBorder="0" applyAlignment="0" applyProtection="0"/>
    <xf numFmtId="174" fontId="77" fillId="62" borderId="39" applyNumberFormat="0" applyBorder="0" applyAlignment="0" applyProtection="0">
      <alignment horizontal="right" vertical="center" indent="1"/>
    </xf>
    <xf numFmtId="174" fontId="78" fillId="63" borderId="39" applyNumberFormat="0" applyBorder="0" applyAlignment="0" applyProtection="0">
      <alignment horizontal="right" vertical="center" indent="1"/>
    </xf>
    <xf numFmtId="174" fontId="78" fillId="64" borderId="39" applyNumberFormat="0" applyBorder="0" applyAlignment="0" applyProtection="0">
      <alignment horizontal="right" vertical="center" indent="1"/>
    </xf>
    <xf numFmtId="174" fontId="79" fillId="65" borderId="39" applyNumberFormat="0" applyBorder="0" applyAlignment="0" applyProtection="0">
      <alignment horizontal="right" vertical="center" indent="1"/>
    </xf>
    <xf numFmtId="174" fontId="79" fillId="66" borderId="39" applyNumberFormat="0" applyBorder="0" applyAlignment="0" applyProtection="0">
      <alignment horizontal="right" vertical="center" indent="1"/>
    </xf>
    <xf numFmtId="174" fontId="79" fillId="67" borderId="39" applyNumberFormat="0" applyBorder="0" applyAlignment="0" applyProtection="0">
      <alignment horizontal="right" vertical="center" indent="1"/>
    </xf>
    <xf numFmtId="174" fontId="80" fillId="68" borderId="39" applyNumberFormat="0" applyBorder="0" applyAlignment="0" applyProtection="0">
      <alignment horizontal="right" vertical="center" indent="1"/>
    </xf>
    <xf numFmtId="174" fontId="80" fillId="69" borderId="39" applyNumberFormat="0" applyBorder="0" applyAlignment="0" applyProtection="0">
      <alignment horizontal="right" vertical="center" indent="1"/>
    </xf>
    <xf numFmtId="174" fontId="80" fillId="70" borderId="39" applyNumberFormat="0" applyBorder="0" applyAlignment="0" applyProtection="0">
      <alignment horizontal="right" vertical="center" indent="1"/>
    </xf>
    <xf numFmtId="0" fontId="73" fillId="71" borderId="22" applyNumberFormat="0" applyAlignment="0" applyProtection="0">
      <alignment horizontal="left" vertical="center" indent="1"/>
    </xf>
    <xf numFmtId="0" fontId="73" fillId="72" borderId="22" applyNumberFormat="0" applyAlignment="0" applyProtection="0">
      <alignment horizontal="left" vertical="center" indent="1"/>
    </xf>
    <xf numFmtId="0" fontId="73" fillId="73" borderId="22" applyNumberFormat="0" applyAlignment="0" applyProtection="0">
      <alignment horizontal="left" vertical="center" indent="1"/>
    </xf>
    <xf numFmtId="0" fontId="73" fillId="74" borderId="22" applyNumberFormat="0" applyAlignment="0" applyProtection="0">
      <alignment horizontal="left" vertical="center" indent="1"/>
    </xf>
    <xf numFmtId="0" fontId="73" fillId="75" borderId="36" applyNumberFormat="0" applyAlignment="0" applyProtection="0">
      <alignment horizontal="left" vertical="center" indent="1"/>
    </xf>
    <xf numFmtId="174" fontId="38" fillId="74" borderId="34" applyNumberFormat="0" applyBorder="0" applyProtection="0">
      <alignment horizontal="right" vertical="center"/>
    </xf>
    <xf numFmtId="174" fontId="74" fillId="74" borderId="36" applyNumberFormat="0" applyBorder="0" applyProtection="0">
      <alignment horizontal="right" vertical="center"/>
    </xf>
    <xf numFmtId="186" fontId="73" fillId="60" borderId="22" applyNumberFormat="0" applyAlignment="0" applyProtection="0">
      <alignment horizontal="left" vertical="center" indent="1"/>
    </xf>
    <xf numFmtId="0" fontId="74" fillId="59" borderId="36" applyNumberFormat="0" applyAlignment="0" applyProtection="0">
      <alignment horizontal="left" vertical="center" indent="1"/>
    </xf>
    <xf numFmtId="0" fontId="75" fillId="65" borderId="36" applyNumberFormat="0" applyAlignment="0" applyProtection="0">
      <alignment horizontal="left" vertical="center" indent="1"/>
    </xf>
    <xf numFmtId="0" fontId="73" fillId="75" borderId="36" applyNumberFormat="0" applyAlignment="0" applyProtection="0">
      <alignment horizontal="left" vertical="center" indent="1"/>
    </xf>
    <xf numFmtId="174" fontId="74" fillId="75" borderId="36" applyNumberFormat="0" applyProtection="0">
      <alignment horizontal="right" vertical="center"/>
    </xf>
    <xf numFmtId="0" fontId="63" fillId="0" borderId="0"/>
    <xf numFmtId="0" fontId="10" fillId="0" borderId="0" applyNumberFormat="0" applyBorder="0" applyAlignment="0"/>
    <xf numFmtId="0" fontId="71" fillId="0" borderId="0" applyNumberFormat="0" applyBorder="0" applyAlignment="0"/>
    <xf numFmtId="0" fontId="48" fillId="0" borderId="4">
      <alignment horizontal="center"/>
    </xf>
    <xf numFmtId="0" fontId="81" fillId="0" borderId="0" applyNumberFormat="0" applyFill="0" applyBorder="0" applyAlignment="0" applyProtection="0"/>
    <xf numFmtId="0" fontId="82" fillId="0" borderId="40" applyNumberFormat="0" applyFill="0" applyAlignment="0" applyProtection="0"/>
    <xf numFmtId="0" fontId="83" fillId="0" borderId="0" applyNumberFormat="0" applyFill="0" applyBorder="0" applyAlignment="0" applyProtection="0"/>
    <xf numFmtId="0" fontId="6" fillId="0" borderId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35" fillId="0" borderId="0"/>
    <xf numFmtId="43" fontId="7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8" borderId="20" applyNumberFormat="0" applyFont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8" borderId="20" applyNumberFormat="0" applyFont="0" applyAlignment="0" applyProtection="0"/>
    <xf numFmtId="0" fontId="6" fillId="8" borderId="20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8" borderId="20" applyNumberFormat="0" applyFont="0" applyAlignment="0" applyProtection="0"/>
    <xf numFmtId="43" fontId="6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43" fontId="7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3" fillId="0" borderId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20" applyNumberFormat="0" applyFont="0" applyAlignment="0" applyProtection="0"/>
    <xf numFmtId="0" fontId="6" fillId="8" borderId="20" applyNumberFormat="0" applyFont="0" applyAlignment="0" applyProtection="0"/>
    <xf numFmtId="0" fontId="6" fillId="0" borderId="0"/>
    <xf numFmtId="0" fontId="6" fillId="8" borderId="20" applyNumberFormat="0" applyFont="0" applyAlignment="0" applyProtection="0"/>
    <xf numFmtId="0" fontId="3" fillId="0" borderId="0"/>
    <xf numFmtId="44" fontId="7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20" applyNumberFormat="0" applyFont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8" borderId="20" applyNumberFormat="0" applyFont="0" applyAlignment="0" applyProtection="0"/>
    <xf numFmtId="0" fontId="6" fillId="8" borderId="20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8" borderId="20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215">
    <xf numFmtId="0" fontId="0" fillId="0" borderId="0" xfId="0"/>
    <xf numFmtId="0" fontId="1" fillId="0" borderId="0" xfId="0" applyFont="1"/>
    <xf numFmtId="41" fontId="3" fillId="0" borderId="0" xfId="1" applyFont="1"/>
    <xf numFmtId="0" fontId="3" fillId="0" borderId="4" xfId="1" applyNumberFormat="1" applyFont="1" applyBorder="1" applyAlignment="1">
      <alignment horizontal="center"/>
    </xf>
    <xf numFmtId="10" fontId="3" fillId="0" borderId="0" xfId="1" applyNumberFormat="1" applyFont="1"/>
    <xf numFmtId="10" fontId="3" fillId="0" borderId="4" xfId="1" applyNumberFormat="1" applyFont="1" applyBorder="1"/>
    <xf numFmtId="41" fontId="3" fillId="0" borderId="4" xfId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quotePrefix="1" applyFont="1"/>
    <xf numFmtId="41" fontId="1" fillId="0" borderId="0" xfId="1" applyFont="1"/>
    <xf numFmtId="0" fontId="4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quotePrefix="1" applyFont="1" applyAlignment="1">
      <alignment horizontal="left"/>
    </xf>
    <xf numFmtId="0" fontId="1" fillId="0" borderId="4" xfId="0" applyFont="1" applyBorder="1" applyAlignment="1">
      <alignment horizontal="center"/>
    </xf>
    <xf numFmtId="42" fontId="1" fillId="0" borderId="0" xfId="0" applyNumberFormat="1" applyFont="1"/>
    <xf numFmtId="42" fontId="1" fillId="0" borderId="4" xfId="0" applyNumberFormat="1" applyFont="1" applyBorder="1"/>
    <xf numFmtId="42" fontId="1" fillId="0" borderId="7" xfId="0" applyNumberFormat="1" applyFont="1" applyBorder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42" fontId="1" fillId="0" borderId="5" xfId="0" applyNumberFormat="1" applyFont="1" applyBorder="1"/>
    <xf numFmtId="0" fontId="7" fillId="0" borderId="0" xfId="0" applyFont="1" applyAlignment="1">
      <alignment horizontal="right" vertical="center"/>
    </xf>
    <xf numFmtId="0" fontId="8" fillId="0" borderId="0" xfId="0" applyFont="1"/>
    <xf numFmtId="10" fontId="1" fillId="0" borderId="4" xfId="0" applyNumberFormat="1" applyFont="1" applyBorder="1"/>
    <xf numFmtId="0" fontId="3" fillId="0" borderId="0" xfId="3" applyFont="1" applyFill="1" applyAlignment="1">
      <alignment horizontal="left" vertical="center"/>
    </xf>
    <xf numFmtId="41" fontId="3" fillId="0" borderId="0" xfId="1" applyFont="1" applyAlignment="1">
      <alignment horizontal="right"/>
    </xf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0" xfId="7" applyAlignment="1">
      <alignment horizontal="center"/>
    </xf>
    <xf numFmtId="165" fontId="11" fillId="0" borderId="0" xfId="0" applyNumberFormat="1" applyFont="1"/>
    <xf numFmtId="42" fontId="11" fillId="0" borderId="0" xfId="0" applyNumberFormat="1" applyFont="1"/>
    <xf numFmtId="0" fontId="11" fillId="0" borderId="0" xfId="0" applyFont="1"/>
    <xf numFmtId="0" fontId="3" fillId="0" borderId="0" xfId="10" applyFont="1"/>
    <xf numFmtId="0" fontId="8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1" fillId="0" borderId="6" xfId="0" applyFont="1" applyBorder="1"/>
    <xf numFmtId="0" fontId="12" fillId="0" borderId="0" xfId="0" applyFont="1"/>
    <xf numFmtId="165" fontId="11" fillId="0" borderId="0" xfId="0" applyNumberFormat="1" applyFont="1" applyAlignment="1">
      <alignment horizontal="right" vertical="top"/>
    </xf>
    <xf numFmtId="167" fontId="11" fillId="0" borderId="6" xfId="0" applyNumberFormat="1" applyFont="1" applyBorder="1" applyAlignment="1">
      <alignment horizontal="right"/>
    </xf>
    <xf numFmtId="165" fontId="11" fillId="0" borderId="6" xfId="0" applyNumberFormat="1" applyFont="1" applyBorder="1"/>
    <xf numFmtId="0" fontId="1" fillId="0" borderId="0" xfId="0" applyFont="1" applyAlignment="1">
      <alignment vertical="center"/>
    </xf>
    <xf numFmtId="0" fontId="10" fillId="0" borderId="0" xfId="0" applyFont="1"/>
    <xf numFmtId="168" fontId="3" fillId="0" borderId="0" xfId="8" applyNumberFormat="1" applyFont="1" applyFill="1" applyAlignment="1">
      <alignment vertical="center"/>
    </xf>
    <xf numFmtId="165" fontId="11" fillId="0" borderId="4" xfId="0" applyNumberFormat="1" applyFont="1" applyBorder="1" applyAlignment="1">
      <alignment horizontal="right" vertical="top"/>
    </xf>
    <xf numFmtId="0" fontId="14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42" fontId="11" fillId="0" borderId="0" xfId="8" applyNumberFormat="1" applyFont="1" applyFill="1" applyBorder="1" applyAlignment="1" applyProtection="1"/>
    <xf numFmtId="42" fontId="3" fillId="0" borderId="0" xfId="7" applyNumberFormat="1"/>
    <xf numFmtId="42" fontId="11" fillId="0" borderId="0" xfId="9" applyNumberFormat="1" applyFont="1" applyFill="1" applyBorder="1" applyAlignment="1" applyProtection="1"/>
    <xf numFmtId="0" fontId="3" fillId="0" borderId="0" xfId="7"/>
    <xf numFmtId="0" fontId="3" fillId="0" borderId="0" xfId="4" applyFont="1" applyAlignment="1">
      <alignment horizontal="left" vertical="center"/>
    </xf>
    <xf numFmtId="165" fontId="11" fillId="0" borderId="5" xfId="0" applyNumberFormat="1" applyFont="1" applyBorder="1"/>
    <xf numFmtId="42" fontId="11" fillId="0" borderId="0" xfId="8" applyNumberFormat="1" applyFont="1" applyFill="1" applyBorder="1" applyAlignment="1" applyProtection="1">
      <alignment wrapText="1"/>
    </xf>
    <xf numFmtId="0" fontId="11" fillId="0" borderId="4" xfId="0" applyFont="1" applyBorder="1" applyAlignment="1">
      <alignment horizontal="center"/>
    </xf>
    <xf numFmtId="42" fontId="0" fillId="0" borderId="0" xfId="0" applyNumberFormat="1"/>
    <xf numFmtId="41" fontId="0" fillId="0" borderId="0" xfId="0" applyNumberFormat="1"/>
    <xf numFmtId="0" fontId="3" fillId="0" borderId="0" xfId="2" applyFont="1" applyAlignment="1">
      <alignment horizontal="right" vertical="center"/>
    </xf>
    <xf numFmtId="0" fontId="3" fillId="0" borderId="4" xfId="2" applyFont="1" applyBorder="1" applyAlignment="1">
      <alignment horizontal="left" vertical="center"/>
    </xf>
    <xf numFmtId="164" fontId="1" fillId="0" borderId="0" xfId="0" applyNumberFormat="1" applyFont="1"/>
    <xf numFmtId="0" fontId="3" fillId="0" borderId="4" xfId="2" applyFont="1" applyBorder="1" applyAlignment="1">
      <alignment horizontal="center" vertical="center"/>
    </xf>
    <xf numFmtId="42" fontId="3" fillId="0" borderId="4" xfId="7" applyNumberFormat="1" applyBorder="1" applyAlignment="1">
      <alignment horizontal="center"/>
    </xf>
    <xf numFmtId="0" fontId="15" fillId="0" borderId="0" xfId="0" applyFont="1"/>
    <xf numFmtId="44" fontId="0" fillId="0" borderId="0" xfId="0" applyNumberFormat="1"/>
    <xf numFmtId="0" fontId="3" fillId="0" borderId="0" xfId="0" applyFont="1" applyAlignment="1">
      <alignment horizontal="right"/>
    </xf>
    <xf numFmtId="42" fontId="3" fillId="0" borderId="4" xfId="0" applyNumberFormat="1" applyFont="1" applyBorder="1"/>
    <xf numFmtId="42" fontId="3" fillId="0" borderId="5" xfId="0" applyNumberFormat="1" applyFont="1" applyBorder="1"/>
    <xf numFmtId="0" fontId="17" fillId="0" borderId="0" xfId="0" applyFont="1"/>
    <xf numFmtId="42" fontId="3" fillId="0" borderId="7" xfId="0" applyNumberFormat="1" applyFont="1" applyBorder="1"/>
    <xf numFmtId="42" fontId="3" fillId="0" borderId="0" xfId="0" applyNumberFormat="1" applyFont="1"/>
    <xf numFmtId="0" fontId="18" fillId="0" borderId="0" xfId="2" applyFont="1" applyAlignment="1">
      <alignment horizontal="left" vertical="center"/>
    </xf>
    <xf numFmtId="42" fontId="3" fillId="0" borderId="0" xfId="9" applyNumberFormat="1" applyFont="1" applyFill="1" applyBorder="1" applyAlignment="1" applyProtection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0" fontId="3" fillId="0" borderId="6" xfId="0" applyNumberFormat="1" applyFont="1" applyBorder="1"/>
    <xf numFmtId="0" fontId="3" fillId="0" borderId="0" xfId="0" quotePrefix="1" applyFont="1" applyAlignment="1">
      <alignment horizontal="left"/>
    </xf>
    <xf numFmtId="165" fontId="3" fillId="0" borderId="0" xfId="0" applyNumberFormat="1" applyFont="1" applyAlignment="1">
      <alignment horizontal="right" vertical="top"/>
    </xf>
    <xf numFmtId="165" fontId="3" fillId="0" borderId="5" xfId="0" applyNumberFormat="1" applyFont="1" applyBorder="1"/>
    <xf numFmtId="165" fontId="3" fillId="0" borderId="0" xfId="0" applyNumberFormat="1" applyFont="1"/>
    <xf numFmtId="165" fontId="3" fillId="0" borderId="4" xfId="0" applyNumberFormat="1" applyFont="1" applyBorder="1"/>
    <xf numFmtId="165" fontId="3" fillId="0" borderId="7" xfId="0" applyNumberFormat="1" applyFont="1" applyBorder="1"/>
    <xf numFmtId="167" fontId="3" fillId="0" borderId="0" xfId="0" applyNumberFormat="1" applyFont="1"/>
    <xf numFmtId="0" fontId="19" fillId="0" borderId="0" xfId="0" applyFont="1"/>
    <xf numFmtId="37" fontId="16" fillId="0" borderId="0" xfId="0" applyNumberFormat="1" applyFont="1"/>
    <xf numFmtId="37" fontId="16" fillId="0" borderId="0" xfId="0" applyNumberFormat="1" applyFont="1" applyAlignment="1">
      <alignment horizontal="center"/>
    </xf>
    <xf numFmtId="5" fontId="16" fillId="0" borderId="0" xfId="0" applyNumberFormat="1" applyFont="1"/>
    <xf numFmtId="39" fontId="16" fillId="0" borderId="0" xfId="0" applyNumberFormat="1" applyFont="1"/>
    <xf numFmtId="0" fontId="8" fillId="0" borderId="0" xfId="0" applyFont="1" applyAlignment="1">
      <alignment horizontal="center"/>
    </xf>
    <xf numFmtId="5" fontId="16" fillId="0" borderId="0" xfId="0" applyNumberFormat="1" applyFont="1" applyProtection="1">
      <protection locked="0"/>
    </xf>
    <xf numFmtId="37" fontId="16" fillId="0" borderId="0" xfId="0" applyNumberFormat="1" applyFont="1" applyProtection="1">
      <protection locked="0"/>
    </xf>
    <xf numFmtId="42" fontId="8" fillId="0" borderId="0" xfId="0" applyNumberFormat="1" applyFont="1"/>
    <xf numFmtId="37" fontId="8" fillId="0" borderId="0" xfId="0" applyNumberFormat="1" applyFont="1"/>
    <xf numFmtId="0" fontId="3" fillId="0" borderId="0" xfId="0" applyFont="1" applyAlignment="1">
      <alignment wrapText="1"/>
    </xf>
    <xf numFmtId="41" fontId="3" fillId="0" borderId="8" xfId="1" applyFont="1" applyBorder="1" applyAlignment="1">
      <alignment horizontal="left"/>
    </xf>
    <xf numFmtId="41" fontId="3" fillId="0" borderId="9" xfId="1" applyFont="1" applyBorder="1"/>
    <xf numFmtId="0" fontId="3" fillId="0" borderId="8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41" fontId="3" fillId="0" borderId="9" xfId="1" applyFont="1" applyBorder="1" applyAlignment="1">
      <alignment horizontal="center"/>
    </xf>
    <xf numFmtId="0" fontId="1" fillId="0" borderId="10" xfId="1" applyNumberFormat="1" applyFont="1" applyBorder="1" applyAlignment="1">
      <alignment horizontal="center"/>
    </xf>
    <xf numFmtId="41" fontId="3" fillId="0" borderId="11" xfId="1" applyFont="1" applyBorder="1" applyAlignment="1">
      <alignment horizontal="center"/>
    </xf>
    <xf numFmtId="41" fontId="3" fillId="0" borderId="8" xfId="1" applyFont="1" applyBorder="1" applyAlignment="1">
      <alignment horizontal="center"/>
    </xf>
    <xf numFmtId="167" fontId="3" fillId="0" borderId="9" xfId="1" applyNumberFormat="1" applyFont="1" applyBorder="1"/>
    <xf numFmtId="41" fontId="3" fillId="0" borderId="8" xfId="1" applyFont="1" applyBorder="1"/>
    <xf numFmtId="0" fontId="0" fillId="0" borderId="8" xfId="0" applyBorder="1"/>
    <xf numFmtId="0" fontId="0" fillId="0" borderId="9" xfId="0" applyBorder="1"/>
    <xf numFmtId="42" fontId="11" fillId="0" borderId="4" xfId="0" applyNumberFormat="1" applyFont="1" applyBorder="1"/>
    <xf numFmtId="0" fontId="3" fillId="0" borderId="0" xfId="0" applyFont="1" applyAlignment="1">
      <alignment horizontal="center" vertical="center"/>
    </xf>
    <xf numFmtId="167" fontId="11" fillId="0" borderId="4" xfId="0" applyNumberFormat="1" applyFont="1" applyBorder="1"/>
    <xf numFmtId="41" fontId="1" fillId="0" borderId="0" xfId="0" applyNumberFormat="1" applyFont="1"/>
    <xf numFmtId="44" fontId="1" fillId="0" borderId="0" xfId="0" applyNumberFormat="1" applyFont="1"/>
    <xf numFmtId="37" fontId="3" fillId="0" borderId="0" xfId="373" applyNumberFormat="1" applyFont="1" applyProtection="1">
      <protection locked="0"/>
    </xf>
    <xf numFmtId="37" fontId="3" fillId="0" borderId="4" xfId="373" applyNumberFormat="1" applyFont="1" applyBorder="1"/>
    <xf numFmtId="173" fontId="3" fillId="0" borderId="0" xfId="373" applyNumberFormat="1" applyFont="1"/>
    <xf numFmtId="0" fontId="3" fillId="0" borderId="0" xfId="373" applyFont="1"/>
    <xf numFmtId="37" fontId="3" fillId="0" borderId="0" xfId="373" applyNumberFormat="1" applyFont="1"/>
    <xf numFmtId="0" fontId="20" fillId="0" borderId="0" xfId="0" applyFont="1"/>
    <xf numFmtId="170" fontId="3" fillId="0" borderId="0" xfId="2" applyNumberFormat="1" applyFont="1" applyAlignment="1" applyProtection="1">
      <alignment horizontal="left" vertical="center"/>
      <protection locked="0"/>
    </xf>
    <xf numFmtId="42" fontId="3" fillId="0" borderId="6" xfId="0" applyNumberFormat="1" applyFont="1" applyBorder="1"/>
    <xf numFmtId="14" fontId="1" fillId="0" borderId="0" xfId="0" applyNumberFormat="1" applyFont="1" applyAlignment="1">
      <alignment horizontal="center"/>
    </xf>
    <xf numFmtId="171" fontId="1" fillId="0" borderId="0" xfId="0" applyNumberFormat="1" applyFont="1"/>
    <xf numFmtId="169" fontId="1" fillId="0" borderId="0" xfId="0" applyNumberFormat="1" applyFont="1"/>
    <xf numFmtId="172" fontId="16" fillId="0" borderId="0" xfId="0" applyNumberFormat="1" applyFont="1" applyProtection="1">
      <protection locked="0"/>
    </xf>
    <xf numFmtId="172" fontId="16" fillId="0" borderId="0" xfId="0" applyNumberFormat="1" applyFont="1"/>
    <xf numFmtId="39" fontId="16" fillId="0" borderId="0" xfId="0" applyNumberFormat="1" applyFont="1" applyProtection="1">
      <protection locked="0"/>
    </xf>
    <xf numFmtId="37" fontId="16" fillId="0" borderId="0" xfId="0" applyNumberFormat="1" applyFont="1" applyProtection="1">
      <protection hidden="1"/>
    </xf>
    <xf numFmtId="37" fontId="16" fillId="0" borderId="0" xfId="0" applyNumberFormat="1" applyFont="1" applyAlignment="1">
      <alignment horizontal="left"/>
    </xf>
    <xf numFmtId="37" fontId="16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9" fontId="16" fillId="0" borderId="4" xfId="0" applyNumberFormat="1" applyFont="1" applyBorder="1"/>
    <xf numFmtId="39" fontId="16" fillId="0" borderId="5" xfId="0" applyNumberFormat="1" applyFont="1" applyBorder="1"/>
    <xf numFmtId="37" fontId="16" fillId="0" borderId="7" xfId="0" applyNumberFormat="1" applyFont="1" applyBorder="1"/>
    <xf numFmtId="0" fontId="9" fillId="0" borderId="4" xfId="0" applyFont="1" applyBorder="1" applyAlignment="1">
      <alignment horizontal="center"/>
    </xf>
    <xf numFmtId="37" fontId="3" fillId="0" borderId="4" xfId="0" applyNumberFormat="1" applyFont="1" applyBorder="1" applyAlignment="1">
      <alignment horizontal="center"/>
    </xf>
    <xf numFmtId="37" fontId="3" fillId="0" borderId="4" xfId="0" quotePrefix="1" applyNumberFormat="1" applyFont="1" applyBorder="1" applyAlignment="1">
      <alignment horizontal="center"/>
    </xf>
    <xf numFmtId="37" fontId="16" fillId="0" borderId="4" xfId="0" applyNumberFormat="1" applyFont="1" applyBorder="1"/>
    <xf numFmtId="37" fontId="16" fillId="0" borderId="41" xfId="0" applyNumberFormat="1" applyFont="1" applyBorder="1"/>
    <xf numFmtId="5" fontId="16" fillId="0" borderId="4" xfId="0" applyNumberFormat="1" applyFont="1" applyBorder="1"/>
    <xf numFmtId="37" fontId="16" fillId="0" borderId="5" xfId="0" applyNumberFormat="1" applyFont="1" applyBorder="1"/>
    <xf numFmtId="5" fontId="16" fillId="0" borderId="5" xfId="0" applyNumberFormat="1" applyFont="1" applyBorder="1"/>
    <xf numFmtId="37" fontId="16" fillId="0" borderId="4" xfId="0" applyNumberFormat="1" applyFont="1" applyBorder="1" applyAlignment="1">
      <alignment horizontal="left"/>
    </xf>
    <xf numFmtId="42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42" fontId="1" fillId="0" borderId="0" xfId="0" applyNumberFormat="1" applyFont="1" applyAlignment="1">
      <alignment horizontal="center" wrapText="1"/>
    </xf>
    <xf numFmtId="4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2" fontId="11" fillId="0" borderId="0" xfId="0" applyNumberFormat="1" applyFont="1" applyAlignment="1">
      <alignment horizontal="center"/>
    </xf>
    <xf numFmtId="9" fontId="1" fillId="0" borderId="4" xfId="0" applyNumberFormat="1" applyFont="1" applyBorder="1"/>
    <xf numFmtId="0" fontId="3" fillId="0" borderId="0" xfId="0" applyFont="1" applyAlignment="1">
      <alignment horizontal="left" vertical="center"/>
    </xf>
    <xf numFmtId="10" fontId="1" fillId="0" borderId="0" xfId="0" applyNumberFormat="1" applyFont="1"/>
    <xf numFmtId="42" fontId="3" fillId="0" borderId="4" xfId="7" applyNumberFormat="1" applyBorder="1"/>
    <xf numFmtId="42" fontId="3" fillId="0" borderId="0" xfId="2" applyNumberFormat="1" applyFont="1" applyAlignment="1">
      <alignment horizontal="left" vertical="center"/>
    </xf>
    <xf numFmtId="42" fontId="1" fillId="0" borderId="0" xfId="2" applyNumberFormat="1" applyFont="1" applyAlignment="1" applyProtection="1">
      <alignment horizontal="left" vertical="center"/>
      <protection locked="0"/>
    </xf>
    <xf numFmtId="42" fontId="3" fillId="0" borderId="0" xfId="2" applyNumberFormat="1" applyFont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/>
    <xf numFmtId="4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10" fontId="3" fillId="0" borderId="0" xfId="0" applyNumberFormat="1" applyFont="1"/>
    <xf numFmtId="10" fontId="3" fillId="0" borderId="4" xfId="0" applyNumberFormat="1" applyFont="1" applyBorder="1"/>
    <xf numFmtId="10" fontId="19" fillId="0" borderId="0" xfId="0" applyNumberFormat="1" applyFont="1"/>
    <xf numFmtId="164" fontId="3" fillId="0" borderId="5" xfId="13" applyNumberFormat="1" applyFont="1" applyFill="1" applyBorder="1"/>
    <xf numFmtId="164" fontId="1" fillId="0" borderId="4" xfId="0" applyNumberFormat="1" applyFont="1" applyBorder="1"/>
    <xf numFmtId="164" fontId="3" fillId="0" borderId="0" xfId="2" applyNumberFormat="1" applyFont="1" applyAlignment="1" applyProtection="1">
      <alignment horizontal="right" vertical="center"/>
      <protection locked="0"/>
    </xf>
    <xf numFmtId="5" fontId="16" fillId="0" borderId="4" xfId="0" applyNumberFormat="1" applyFont="1" applyBorder="1" applyProtection="1">
      <protection locked="0"/>
    </xf>
    <xf numFmtId="10" fontId="1" fillId="0" borderId="0" xfId="0" applyNumberFormat="1" applyFont="1" applyAlignment="1">
      <alignment horizontal="center"/>
    </xf>
    <xf numFmtId="0" fontId="0" fillId="0" borderId="4" xfId="0" applyBorder="1"/>
    <xf numFmtId="0" fontId="1" fillId="0" borderId="0" xfId="0" quotePrefix="1" applyFont="1" applyAlignment="1">
      <alignment horizontal="center"/>
    </xf>
    <xf numFmtId="42" fontId="1" fillId="0" borderId="0" xfId="0" applyNumberFormat="1" applyFont="1" applyAlignment="1">
      <alignment horizontal="right"/>
    </xf>
    <xf numFmtId="42" fontId="1" fillId="0" borderId="4" xfId="0" applyNumberFormat="1" applyFont="1" applyBorder="1" applyAlignment="1">
      <alignment horizontal="center"/>
    </xf>
    <xf numFmtId="0" fontId="3" fillId="0" borderId="0" xfId="10" applyFont="1" applyAlignment="1">
      <alignment horizontal="center"/>
    </xf>
    <xf numFmtId="166" fontId="3" fillId="0" borderId="0" xfId="10" applyNumberFormat="1" applyFont="1"/>
    <xf numFmtId="168" fontId="3" fillId="0" borderId="4" xfId="8" applyNumberFormat="1" applyFont="1" applyFill="1" applyBorder="1" applyAlignment="1">
      <alignment vertical="center"/>
    </xf>
    <xf numFmtId="168" fontId="3" fillId="0" borderId="0" xfId="8" applyNumberFormat="1" applyFont="1" applyFill="1" applyBorder="1" applyAlignment="1">
      <alignment vertical="center"/>
    </xf>
    <xf numFmtId="10" fontId="3" fillId="0" borderId="0" xfId="10" applyNumberFormat="1" applyFont="1"/>
    <xf numFmtId="0" fontId="11" fillId="0" borderId="0" xfId="0" quotePrefix="1" applyFont="1" applyAlignment="1">
      <alignment horizontal="center"/>
    </xf>
    <xf numFmtId="10" fontId="3" fillId="0" borderId="4" xfId="0" applyNumberFormat="1" applyFont="1" applyBorder="1" applyAlignment="1">
      <alignment horizontal="right"/>
    </xf>
    <xf numFmtId="0" fontId="3" fillId="0" borderId="0" xfId="0" quotePrefix="1" applyFont="1" applyAlignment="1">
      <alignment horizontal="center"/>
    </xf>
    <xf numFmtId="42" fontId="1" fillId="0" borderId="0" xfId="0" applyNumberFormat="1" applyFont="1" applyAlignment="1">
      <alignment horizontal="center" vertical="center" wrapText="1"/>
    </xf>
    <xf numFmtId="42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8" xfId="1" applyNumberFormat="1" applyFont="1" applyBorder="1"/>
    <xf numFmtId="0" fontId="3" fillId="0" borderId="0" xfId="1" applyNumberFormat="1" applyFont="1"/>
    <xf numFmtId="0" fontId="1" fillId="0" borderId="10" xfId="1" applyNumberFormat="1" applyFont="1" applyBorder="1"/>
    <xf numFmtId="0" fontId="3" fillId="0" borderId="4" xfId="1" applyNumberFormat="1" applyFont="1" applyBorder="1"/>
    <xf numFmtId="41" fontId="3" fillId="0" borderId="10" xfId="1" applyFont="1" applyBorder="1" applyAlignment="1">
      <alignment horizontal="center"/>
    </xf>
    <xf numFmtId="41" fontId="1" fillId="0" borderId="4" xfId="1" applyFont="1" applyBorder="1"/>
    <xf numFmtId="10" fontId="3" fillId="0" borderId="11" xfId="1" applyNumberFormat="1" applyFont="1" applyBorder="1"/>
    <xf numFmtId="41" fontId="3" fillId="0" borderId="0" xfId="1" applyFont="1" applyAlignment="1">
      <alignment horizontal="center"/>
    </xf>
    <xf numFmtId="41" fontId="3" fillId="0" borderId="4" xfId="1" applyFont="1" applyBorder="1" applyAlignment="1">
      <alignment horizontal="left"/>
    </xf>
    <xf numFmtId="10" fontId="3" fillId="0" borderId="9" xfId="1" applyNumberFormat="1" applyFont="1" applyBorder="1"/>
    <xf numFmtId="10" fontId="3" fillId="0" borderId="12" xfId="1" applyNumberFormat="1" applyFont="1" applyBorder="1"/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10" fontId="9" fillId="0" borderId="0" xfId="0" applyNumberFormat="1" applyFont="1"/>
    <xf numFmtId="0" fontId="9" fillId="0" borderId="4" xfId="0" applyFont="1" applyBorder="1"/>
    <xf numFmtId="44" fontId="8" fillId="0" borderId="0" xfId="0" applyNumberFormat="1" applyFont="1"/>
    <xf numFmtId="0" fontId="3" fillId="0" borderId="0" xfId="4" applyFont="1" applyAlignment="1">
      <alignment horizontal="center" vertical="center"/>
    </xf>
    <xf numFmtId="17" fontId="1" fillId="0" borderId="0" xfId="0" quotePrefix="1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41" fontId="1" fillId="0" borderId="1" xfId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640">
    <cellStyle name="_Column1" xfId="67" xr:uid="{7B08E7C5-E477-4FA6-AB4A-D08F33F3155B}"/>
    <cellStyle name="_Column2" xfId="68" xr:uid="{4BBBB100-3FF7-4006-8BC2-3A942897EC57}"/>
    <cellStyle name="_Column3" xfId="69" xr:uid="{28BC1F61-EF26-43CA-8E2F-4E319E2B0A54}"/>
    <cellStyle name="_Column4" xfId="70" xr:uid="{A8809472-C54B-4389-A664-9B4F9CFEEAC9}"/>
    <cellStyle name="_Column5" xfId="71" xr:uid="{5A048637-9A96-45B8-B8FA-0BC9CAA9C9E9}"/>
    <cellStyle name="_Column6" xfId="72" xr:uid="{D0A5110F-2EAA-443C-AA21-F0DDE2C6B897}"/>
    <cellStyle name="_Column7" xfId="73" xr:uid="{C6FFFF54-B6DA-4187-AE66-221336CAF6D6}"/>
    <cellStyle name="_Data" xfId="74" xr:uid="{CBA7E562-0502-4C71-BEF2-7A5458AF3A20}"/>
    <cellStyle name="_Data_Cerberus" xfId="75" xr:uid="{907FC797-8FD3-4DE4-9C27-D5D2752F96ED}"/>
    <cellStyle name="_Header" xfId="76" xr:uid="{AF41B07C-F8C0-456E-9FF9-71D279378E8D}"/>
    <cellStyle name="_Row1" xfId="77" xr:uid="{05EB3CBC-9E70-47F8-B826-FFF31E74AC49}"/>
    <cellStyle name="_Row2" xfId="78" xr:uid="{285006AD-9EF8-45CC-9EE2-9DE5084FBBCC}"/>
    <cellStyle name="_Row3" xfId="79" xr:uid="{0FEF57EB-3405-424E-865C-0F2CEAC4A5CB}"/>
    <cellStyle name="_Row4" xfId="80" xr:uid="{EBF14FC8-D9BE-4EE5-9137-6C3C04B36E3E}"/>
    <cellStyle name="_Row5" xfId="81" xr:uid="{195557FB-AF4A-4A63-86B5-45D05259F150}"/>
    <cellStyle name="_Row6" xfId="82" xr:uid="{E2D85B12-D59A-4B4B-A76B-7E6885F700E5}"/>
    <cellStyle name="_Row7" xfId="83" xr:uid="{CA05C249-5E07-43E4-9AD3-911245D225C0}"/>
    <cellStyle name="_TableSuperHead" xfId="84" xr:uid="{91BF8CDA-FA84-4EA7-9951-53AA0C4CA9A2}"/>
    <cellStyle name="£ BP" xfId="85" xr:uid="{8A2E6B7D-6FFD-492E-BE6E-430D5171E758}"/>
    <cellStyle name="¥ JY" xfId="86" xr:uid="{1BBC17CF-059A-4D4D-9839-3C4FBDB1064F}"/>
    <cellStyle name="=C:\WINNT35\SYSTEM32\COMMAND.COM" xfId="87" xr:uid="{FFA2AC9D-1DCF-4FBF-BBB4-C136B2C6AC65}"/>
    <cellStyle name="20% - Accent1" xfId="37" builtinId="30" customBuiltin="1"/>
    <cellStyle name="20% - Accent1 2" xfId="88" xr:uid="{4CF40FC1-32A8-4DA6-BFDD-D12C682B5E83}"/>
    <cellStyle name="20% - Accent1 2 2" xfId="89" xr:uid="{DAE9B054-6906-4387-91AB-163C36311180}"/>
    <cellStyle name="20% - Accent1 2 2 2" xfId="400" xr:uid="{26F9865F-1B87-40A8-B194-9438655FD405}"/>
    <cellStyle name="20% - Accent1 2 2 2 2" xfId="521" xr:uid="{B1D245A7-8428-44AE-8AF4-4EA4F9D1EB70}"/>
    <cellStyle name="20% - Accent1 2 2 3" xfId="445" xr:uid="{871CECCC-8A80-4825-A839-84314C24FAAB}"/>
    <cellStyle name="20% - Accent1 3" xfId="423" xr:uid="{B3FC1BCB-D05F-49E5-8E2F-E9F9FFFF1E00}"/>
    <cellStyle name="20% - Accent2" xfId="40" builtinId="34" customBuiltin="1"/>
    <cellStyle name="20% - Accent2 2" xfId="90" xr:uid="{D3F7E0E2-9BD9-4DDE-92D0-0CE44FF3634B}"/>
    <cellStyle name="20% - Accent2 2 2" xfId="91" xr:uid="{ABAD7091-A832-47DE-A957-827ED29915CF}"/>
    <cellStyle name="20% - Accent2 2 2 2" xfId="402" xr:uid="{217B47A7-9F5D-4C3A-8D84-AD982454BBFE}"/>
    <cellStyle name="20% - Accent2 2 2 2 2" xfId="523" xr:uid="{FDF4DC71-E10D-447D-A6DF-F785B53FA868}"/>
    <cellStyle name="20% - Accent2 2 2 3" xfId="446" xr:uid="{852BE17A-B8B6-4978-BA03-E89AA9FA21A9}"/>
    <cellStyle name="20% - Accent2 3" xfId="425" xr:uid="{A057B868-017D-4AB8-82BC-4A4542DCDE44}"/>
    <cellStyle name="20% - Accent3" xfId="43" builtinId="38" customBuiltin="1"/>
    <cellStyle name="20% - Accent3 2" xfId="92" xr:uid="{8C3C29CB-63A3-41EE-AA27-9B075BFB380A}"/>
    <cellStyle name="20% - Accent3 2 2" xfId="93" xr:uid="{974E5747-134C-45C6-8E53-0080BF27E696}"/>
    <cellStyle name="20% - Accent3 2 2 2" xfId="404" xr:uid="{8FFB448A-BEED-4EA1-805A-74A0F7B6E0CF}"/>
    <cellStyle name="20% - Accent3 2 2 2 2" xfId="525" xr:uid="{92BCC0FA-9609-4E8B-A1C2-F765DFB433CD}"/>
    <cellStyle name="20% - Accent3 2 2 3" xfId="447" xr:uid="{0B2E1994-DC16-463F-B301-6AF41CBA120D}"/>
    <cellStyle name="20% - Accent3 3" xfId="427" xr:uid="{A29B7974-E319-48CC-A4B0-B0D90CB1DBC2}"/>
    <cellStyle name="20% - Accent4" xfId="46" builtinId="42" customBuiltin="1"/>
    <cellStyle name="20% - Accent4 2" xfId="94" xr:uid="{C2807770-79BF-4A2B-8371-77A58E08F4F9}"/>
    <cellStyle name="20% - Accent4 2 2" xfId="95" xr:uid="{9173C5ED-4AAD-46C7-AFB6-EB3940FCD878}"/>
    <cellStyle name="20% - Accent4 2 2 2" xfId="406" xr:uid="{CCE1BB7B-BA82-4B72-A058-37C9E80CB2AE}"/>
    <cellStyle name="20% - Accent4 2 2 2 2" xfId="527" xr:uid="{8CBA6696-42C1-4520-B4A9-0C7A04DF53DE}"/>
    <cellStyle name="20% - Accent4 2 2 3" xfId="448" xr:uid="{37C3A2C6-10CD-40E7-8FA0-D2AE6ED1985D}"/>
    <cellStyle name="20% - Accent4 3" xfId="429" xr:uid="{AFEE1E74-A0AB-4109-A78F-AA6EE56F208E}"/>
    <cellStyle name="20% - Accent5" xfId="49" builtinId="46" customBuiltin="1"/>
    <cellStyle name="20% - Accent5 2" xfId="96" xr:uid="{93290605-0051-4687-9011-4B5E39E1B438}"/>
    <cellStyle name="20% - Accent5 2 2" xfId="97" xr:uid="{5DECD417-211C-4ADA-AAED-38AEAF2FD569}"/>
    <cellStyle name="20% - Accent5 2 2 2" xfId="408" xr:uid="{2E4A5E3B-27AA-4935-9D91-9918051FFC96}"/>
    <cellStyle name="20% - Accent5 2 2 2 2" xfId="529" xr:uid="{385E78B8-18E4-48A2-A0B2-05EBDF4B8DCE}"/>
    <cellStyle name="20% - Accent5 2 2 3" xfId="450" xr:uid="{7BFC8D6D-1CBC-43CD-B784-057BD223FBA0}"/>
    <cellStyle name="20% - Accent5 3" xfId="431" xr:uid="{F6A6FA47-F73C-40A5-AE5C-58FBC4A0401B}"/>
    <cellStyle name="20% - Accent6" xfId="52" builtinId="50" customBuiltin="1"/>
    <cellStyle name="20% - Accent6 2" xfId="98" xr:uid="{FCE0F4B4-01D0-406D-8A72-801C56AEF031}"/>
    <cellStyle name="20% - Accent6 2 2" xfId="99" xr:uid="{CFCD1595-8B75-4583-8D7D-B1F2F3E31FCC}"/>
    <cellStyle name="20% - Accent6 2 2 2" xfId="410" xr:uid="{B8BF3982-8644-498B-8518-0B8101B379BA}"/>
    <cellStyle name="20% - Accent6 2 2 2 2" xfId="531" xr:uid="{DA605E5D-BB69-4604-9BC8-F5DED878EE7B}"/>
    <cellStyle name="20% - Accent6 2 2 3" xfId="451" xr:uid="{9C506D25-CBC5-4B8C-B555-38D52E161F06}"/>
    <cellStyle name="20% - Accent6 3" xfId="434" xr:uid="{3F296C8A-4DF9-4BF1-8CA3-B280B2DB179E}"/>
    <cellStyle name="40% - Accent1" xfId="38" builtinId="31" customBuiltin="1"/>
    <cellStyle name="40% - Accent1 2" xfId="100" xr:uid="{7E2FA04F-1DDA-461E-9144-00507E09BE92}"/>
    <cellStyle name="40% - Accent1 2 2" xfId="101" xr:uid="{2EE9A306-3D76-4CD2-8DF4-4F4E2E7FBF1E}"/>
    <cellStyle name="40% - Accent1 2 2 2" xfId="401" xr:uid="{98FE6FBF-5481-4D0D-8112-AAA42F335798}"/>
    <cellStyle name="40% - Accent1 2 2 2 2" xfId="522" xr:uid="{6A22B109-3B37-4D57-AE4C-FE0B3A5683C4}"/>
    <cellStyle name="40% - Accent1 2 2 3" xfId="452" xr:uid="{5CFE0FCD-FDEB-4922-A04C-5F3107BF0D15}"/>
    <cellStyle name="40% - Accent1 3" xfId="424" xr:uid="{BADCB2FF-046F-4F25-88B9-B55C4FE58C1D}"/>
    <cellStyle name="40% - Accent2" xfId="41" builtinId="35" customBuiltin="1"/>
    <cellStyle name="40% - Accent2 2" xfId="102" xr:uid="{DF2D1AE0-B955-4782-9DAD-11E5BEF3D3BD}"/>
    <cellStyle name="40% - Accent2 2 2" xfId="103" xr:uid="{8C90EABE-9A66-4B10-A987-49016786CCF8}"/>
    <cellStyle name="40% - Accent2 2 2 2" xfId="403" xr:uid="{E59A202F-B91F-4941-BF1A-2A7CA8A2ED29}"/>
    <cellStyle name="40% - Accent2 2 2 2 2" xfId="524" xr:uid="{2010C21E-5BB6-4E10-A4DF-A7AE39BDC945}"/>
    <cellStyle name="40% - Accent2 2 2 3" xfId="453" xr:uid="{273E8AB3-1F2F-4555-8F95-8D096EF5482A}"/>
    <cellStyle name="40% - Accent2 3" xfId="426" xr:uid="{A0200A7A-C075-49BE-B0D2-B48D084F8FA1}"/>
    <cellStyle name="40% - Accent3" xfId="44" builtinId="39" customBuiltin="1"/>
    <cellStyle name="40% - Accent3 2" xfId="104" xr:uid="{9ABB9FCE-28FE-48DD-AD28-069EF88C1656}"/>
    <cellStyle name="40% - Accent3 2 2" xfId="105" xr:uid="{A0099D09-204F-4D5B-A1B4-051C316DBD9B}"/>
    <cellStyle name="40% - Accent3 2 2 2" xfId="405" xr:uid="{1860A3A1-86E3-4243-8EBC-623AAB95A9FB}"/>
    <cellStyle name="40% - Accent3 2 2 2 2" xfId="526" xr:uid="{B6526594-1F50-4712-ABFA-F2A89B0EEC01}"/>
    <cellStyle name="40% - Accent3 2 2 3" xfId="454" xr:uid="{CC276AAE-C1F5-4DB0-9A24-7ADC704EF755}"/>
    <cellStyle name="40% - Accent3 3" xfId="428" xr:uid="{48BFD81C-0B37-491E-8B73-DB83AF5F7AFE}"/>
    <cellStyle name="40% - Accent4" xfId="47" builtinId="43" customBuiltin="1"/>
    <cellStyle name="40% - Accent4 2" xfId="106" xr:uid="{F5524AB5-E319-4604-831C-72B886D03E3E}"/>
    <cellStyle name="40% - Accent4 2 2" xfId="107" xr:uid="{9F59F2EC-5D4F-400A-96A3-EDCC44156228}"/>
    <cellStyle name="40% - Accent4 2 2 2" xfId="407" xr:uid="{A66953EF-E3A3-47E2-A870-C911CFFF8A2B}"/>
    <cellStyle name="40% - Accent4 2 2 2 2" xfId="528" xr:uid="{31E98D00-A3A4-4094-8D44-903BEB292A78}"/>
    <cellStyle name="40% - Accent4 2 2 3" xfId="455" xr:uid="{D288254A-F772-4256-9064-2B235943EF04}"/>
    <cellStyle name="40% - Accent4 3" xfId="430" xr:uid="{D1881F83-33E1-4283-86C8-297DF1F84804}"/>
    <cellStyle name="40% - Accent5" xfId="50" builtinId="47" customBuiltin="1"/>
    <cellStyle name="40% - Accent5 2" xfId="108" xr:uid="{D84B59CB-C579-4419-8621-9913B3A10684}"/>
    <cellStyle name="40% - Accent5 2 2" xfId="109" xr:uid="{7BE8BC8C-280B-4EDA-BD55-84025A12BE7B}"/>
    <cellStyle name="40% - Accent5 2 2 2" xfId="409" xr:uid="{0258190C-54AE-4761-A265-13032BAB6BD0}"/>
    <cellStyle name="40% - Accent5 2 2 2 2" xfId="530" xr:uid="{4E73985F-388D-4F1D-89EA-4C5A38879A4A}"/>
    <cellStyle name="40% - Accent5 2 2 3" xfId="456" xr:uid="{2D5330D1-C793-4B21-A092-41DCE1B325B4}"/>
    <cellStyle name="40% - Accent5 3" xfId="432" xr:uid="{2EEBC9DA-D06D-44C5-A369-7457938A7D1D}"/>
    <cellStyle name="40% - Accent6" xfId="53" builtinId="51" customBuiltin="1"/>
    <cellStyle name="40% - Accent6 2" xfId="110" xr:uid="{68AD350A-A07A-481E-A39A-DA5D04EDD43F}"/>
    <cellStyle name="40% - Accent6 2 2" xfId="111" xr:uid="{5015A4E9-FFBC-46F6-B2A1-F5255D7A1C0A}"/>
    <cellStyle name="40% - Accent6 2 2 2" xfId="411" xr:uid="{5695602C-FA28-47FF-AE75-48BBD277BC84}"/>
    <cellStyle name="40% - Accent6 2 2 2 2" xfId="532" xr:uid="{7E08BB6D-FF42-4642-A8D4-B190709D7A5F}"/>
    <cellStyle name="40% - Accent6 2 2 3" xfId="457" xr:uid="{47C3E421-0EE3-4076-91D7-3AEF48BBF953}"/>
    <cellStyle name="40% - Accent6 3" xfId="435" xr:uid="{ECDFB316-5046-4758-8450-A2A8B9E1A903}"/>
    <cellStyle name="60% - Accent1 2" xfId="112" xr:uid="{1C2E5B4C-5FFD-4B12-9674-BEA9B5D46433}"/>
    <cellStyle name="60% - Accent1 3" xfId="375" xr:uid="{08C868FF-AF1B-4663-91E6-9EE85490913B}"/>
    <cellStyle name="60% - Accent2 2" xfId="113" xr:uid="{F501DF04-A560-4E8D-B203-D88646DD5744}"/>
    <cellStyle name="60% - Accent2 3" xfId="376" xr:uid="{E3B8F313-67AA-4086-A239-9148E33AF4C2}"/>
    <cellStyle name="60% - Accent3 2" xfId="114" xr:uid="{73002279-D329-4AD0-85A8-45BD48DCF862}"/>
    <cellStyle name="60% - Accent3 3" xfId="377" xr:uid="{3A73B286-CADA-4436-96AA-206A5E7F37B6}"/>
    <cellStyle name="60% - Accent4 2" xfId="115" xr:uid="{D978ADBD-A845-4279-9E09-571562CC9B1B}"/>
    <cellStyle name="60% - Accent4 3" xfId="378" xr:uid="{BE1C06F0-838C-42A7-B03C-2691FF5129ED}"/>
    <cellStyle name="60% - Accent5 2" xfId="116" xr:uid="{88A49983-F815-4378-90BD-1CED9C1A3072}"/>
    <cellStyle name="60% - Accent5 3" xfId="379" xr:uid="{CE8D69EB-1D5B-47B9-B8F9-89231A1BC371}"/>
    <cellStyle name="60% - Accent6 2" xfId="117" xr:uid="{72D821F4-DE4F-4851-BD96-AE5290118280}"/>
    <cellStyle name="60% - Accent6 3" xfId="380" xr:uid="{EF5CB76B-D17C-4347-BB5C-14067E49A88F}"/>
    <cellStyle name="Accent1" xfId="36" builtinId="29" customBuiltin="1"/>
    <cellStyle name="Accent1 2" xfId="118" xr:uid="{18E8B91A-B372-4433-BE9F-7651EAF103CA}"/>
    <cellStyle name="Accent2" xfId="39" builtinId="33" customBuiltin="1"/>
    <cellStyle name="Accent2 2" xfId="119" xr:uid="{23FC3065-03C8-4356-BA4F-184AA7EA6ACB}"/>
    <cellStyle name="Accent3" xfId="42" builtinId="37" customBuiltin="1"/>
    <cellStyle name="Accent3 2" xfId="120" xr:uid="{CDB5870E-BFF5-4C98-AB24-2DAB9BF384B7}"/>
    <cellStyle name="Accent4" xfId="45" builtinId="41" customBuiltin="1"/>
    <cellStyle name="Accent4 2" xfId="121" xr:uid="{2A2E157A-EECA-46A4-8E52-368A757C4681}"/>
    <cellStyle name="Accent5" xfId="48" builtinId="45" customBuiltin="1"/>
    <cellStyle name="Accent5 2" xfId="122" xr:uid="{74E48F7C-5F84-49C5-98FF-14CFBF3C7C47}"/>
    <cellStyle name="Accent6" xfId="51" builtinId="49" customBuiltin="1"/>
    <cellStyle name="Accent6 2" xfId="123" xr:uid="{F1E7DE8C-CCC9-4C1B-8C90-359D749A63BB}"/>
    <cellStyle name="Bad" xfId="27" builtinId="27" customBuiltin="1"/>
    <cellStyle name="Bad 2" xfId="124" xr:uid="{AE5A8B9A-2507-40D3-A71D-2D7F877328BF}"/>
    <cellStyle name="Blue" xfId="125" xr:uid="{5853A3A0-79EE-4F56-99CC-BDA5533E9B1A}"/>
    <cellStyle name="Bold/Border" xfId="126" xr:uid="{3A20FA7C-3FA8-4CF9-ADF7-EACD165790B9}"/>
    <cellStyle name="Bullet" xfId="127" xr:uid="{DCF1564F-A236-47D6-B7A7-4F8C3FCF0912}"/>
    <cellStyle name="c" xfId="128" xr:uid="{A0F2719E-F7BC-4240-8F23-96BF0ACB7135}"/>
    <cellStyle name="c_Bal Sheets" xfId="129" xr:uid="{73CCEF19-51E0-4C9B-972D-874ACB9256FC}"/>
    <cellStyle name="c_Credit (2)" xfId="130" xr:uid="{F27E9E45-F576-45D0-ABE3-CDC3D6A94F54}"/>
    <cellStyle name="c_Earnings" xfId="131" xr:uid="{C67114C1-40F6-4025-A0ED-66F13014CC09}"/>
    <cellStyle name="c_Earnings (2)" xfId="132" xr:uid="{00DE5A9A-26AE-4C24-A65E-58F3F6B5362B}"/>
    <cellStyle name="c_finsumm" xfId="133" xr:uid="{B171B9DD-14E4-4308-B854-D945A4E3CC94}"/>
    <cellStyle name="c_GoroWipTax-to2050_fromCo_Oct21_99" xfId="134" xr:uid="{A813E6C5-AA73-45D4-82AD-AC57CDEF644A}"/>
    <cellStyle name="c_Hist Inputs (2)" xfId="135" xr:uid="{5A3453B0-D850-4963-90ED-3E8D99ADDD53}"/>
    <cellStyle name="c_IEL_finsumm" xfId="136" xr:uid="{E7D9AE1B-0D8D-486B-A18C-00A38CF50B27}"/>
    <cellStyle name="c_IEL_finsumm1" xfId="137" xr:uid="{2E152EFD-EA0E-4D23-8014-15B1606285FD}"/>
    <cellStyle name="c_LBO Summary" xfId="138" xr:uid="{5D0159AC-2453-4A42-9FB6-FE2CF4C44161}"/>
    <cellStyle name="c_Schedules" xfId="139" xr:uid="{F80EB963-D1EE-49B9-B6C6-254535E43C4C}"/>
    <cellStyle name="c_Trans Assump (2)" xfId="140" xr:uid="{E3C40275-8568-4200-9431-012ABE792910}"/>
    <cellStyle name="c_Unit Price Sen. (2)" xfId="141" xr:uid="{0D34B73A-34C3-4F7D-97F0-067B0384B763}"/>
    <cellStyle name="Calculation" xfId="30" builtinId="22" customBuiltin="1"/>
    <cellStyle name="Calculation 2" xfId="142" xr:uid="{0C5E2D83-AB6E-4CB6-8E44-941D77F594D7}"/>
    <cellStyle name="Check Cell" xfId="32" builtinId="23" customBuiltin="1"/>
    <cellStyle name="Check Cell 2" xfId="143" xr:uid="{7A2E97E9-5A49-4A68-8BDE-D8D140366F27}"/>
    <cellStyle name="Comma  - Style1" xfId="144" xr:uid="{01904D2E-6647-40F2-AB17-38AFD67E8C56}"/>
    <cellStyle name="Comma  - Style2" xfId="145" xr:uid="{865F31A5-B380-4533-BC42-B888F04F6C9B}"/>
    <cellStyle name="Comma  - Style3" xfId="146" xr:uid="{6949D91E-D5FE-4D87-B4B4-2F3D5C5B3371}"/>
    <cellStyle name="Comma  - Style4" xfId="147" xr:uid="{21E93FAA-3AF0-4C30-AF94-D7337CA34CDD}"/>
    <cellStyle name="Comma  - Style5" xfId="148" xr:uid="{254D44D4-8B86-4697-A5FD-0CC8664089EA}"/>
    <cellStyle name="Comma  - Style6" xfId="149" xr:uid="{D05579CD-83CC-4C1A-B1CB-0698A0CB2D31}"/>
    <cellStyle name="Comma  - Style7" xfId="150" xr:uid="{4FFEF18B-AE91-4EAA-9AF3-B42668ED8A1A}"/>
    <cellStyle name="Comma  - Style8" xfId="151" xr:uid="{D887F5C1-D75A-43AD-91C9-3E9994938B40}"/>
    <cellStyle name="Comma 10" xfId="437" xr:uid="{D75CE037-4D91-4E0E-A47E-BAC85B9044BE}"/>
    <cellStyle name="Comma 11" xfId="418" xr:uid="{F6CB5233-6069-492C-BAE9-A38BBFF8E2F6}"/>
    <cellStyle name="Comma 12" xfId="421" xr:uid="{02F1C5B6-BD77-482E-876B-0CE1006E859A}"/>
    <cellStyle name="Comma 13" xfId="542" xr:uid="{3E72F01A-66B7-4D44-8AFD-FE09D7388FD5}"/>
    <cellStyle name="Comma 14" xfId="539" xr:uid="{28A960B8-A97B-4A75-B406-589E0F72B34F}"/>
    <cellStyle name="Comma 15" xfId="433" xr:uid="{0106C775-F51A-444C-8ED1-4A7C815E8132}"/>
    <cellStyle name="Comma 16" xfId="545" xr:uid="{99D283C2-517D-4627-9152-A4317DA45E77}"/>
    <cellStyle name="Comma 17" xfId="444" xr:uid="{D8FEDCF2-95AC-4CF7-ADA8-B4E96FE320A8}"/>
    <cellStyle name="Comma 18" xfId="548" xr:uid="{7FCE9AC9-AC7C-4188-9218-91FF5EF80F54}"/>
    <cellStyle name="Comma 19" xfId="547" xr:uid="{27159110-D533-4EB8-89F1-4F86DF3FB327}"/>
    <cellStyle name="Comma 2" xfId="152" xr:uid="{90CBDCE1-7424-4410-88E6-1DD6721183CE}"/>
    <cellStyle name="Comma 2 2" xfId="153" xr:uid="{2E5DC459-3E63-453C-8698-293231C3DCC6}"/>
    <cellStyle name="Comma 2 4" xfId="6" xr:uid="{8A40FDA6-25BE-4A64-8359-520382CBA00E}"/>
    <cellStyle name="Comma 20" xfId="469" xr:uid="{3D5ECF22-6F80-474B-AC19-CFBE21AB3E7B}"/>
    <cellStyle name="Comma 21" xfId="538" xr:uid="{1B1C2CE7-F03D-491E-A292-480623BAE9CE}"/>
    <cellStyle name="Comma 22" xfId="496" xr:uid="{CA56ED2A-44EA-4414-A2F6-A89518EF4A00}"/>
    <cellStyle name="Comma 23" xfId="465" xr:uid="{EBB46A9A-43A9-4D3B-BB0A-7F8463BD528A}"/>
    <cellStyle name="Comma 24" xfId="478" xr:uid="{0E4A1317-5AAF-4F0D-85FF-5B260B74F3B5}"/>
    <cellStyle name="Comma 25" xfId="497" xr:uid="{17891F40-BB5F-4CF8-AE49-236682F49BC7}"/>
    <cellStyle name="Comma 26" xfId="463" xr:uid="{8B5BC32F-8FC7-4C82-A0FB-5C5B2D33915F}"/>
    <cellStyle name="Comma 27" xfId="460" xr:uid="{34B54F1F-6A08-4350-B677-231F8DA23195}"/>
    <cellStyle name="Comma 28" xfId="422" xr:uid="{1610BEC1-488B-4ED7-B6EF-B50242FFA021}"/>
    <cellStyle name="Comma 29" xfId="544" xr:uid="{C9DCD9B3-AE71-4F11-95D3-BBCCF8802AE9}"/>
    <cellStyle name="Comma 3" xfId="9" xr:uid="{238571D7-F97C-4A23-9790-40F98AB64B97}"/>
    <cellStyle name="Comma 3 10" xfId="154" xr:uid="{4EED6A9A-9F99-48E4-BD89-1A201761AEB1}"/>
    <cellStyle name="Comma 3 11" xfId="155" xr:uid="{5566328C-8FB1-441D-9D37-7C33BEE811EF}"/>
    <cellStyle name="Comma 3 12" xfId="156" xr:uid="{51E37EF9-6919-4B22-8B41-DE176D81D9F3}"/>
    <cellStyle name="Comma 3 2" xfId="157" xr:uid="{2AC6C172-D6AD-436F-9896-6706E1F7E753}"/>
    <cellStyle name="Comma 3 2 2" xfId="158" xr:uid="{270507A8-E204-40CE-A383-04B9BC1D5032}"/>
    <cellStyle name="Comma 3 3" xfId="159" xr:uid="{8137E0CC-098E-4F5B-9398-5847FA3AE149}"/>
    <cellStyle name="Comma 3 3 2" xfId="160" xr:uid="{934B4224-5A87-400E-96EA-351DE2CBF490}"/>
    <cellStyle name="Comma 3 4" xfId="161" xr:uid="{FB7DCE8A-3AB9-4001-8120-0FC16F246EB5}"/>
    <cellStyle name="Comma 3 5" xfId="162" xr:uid="{3418632B-8910-4E92-BBBB-95451F1EC24C}"/>
    <cellStyle name="Comma 3 6" xfId="163" xr:uid="{0A2EDAB2-02DD-4D73-8D99-69292CB989E2}"/>
    <cellStyle name="Comma 3 7" xfId="164" xr:uid="{FB81A33E-2A52-4C09-9246-4F4F01CF8B0B}"/>
    <cellStyle name="Comma 3 8" xfId="165" xr:uid="{DE8FEE2E-BE52-46AE-BEEC-1306F49680B3}"/>
    <cellStyle name="Comma 3 9" xfId="166" xr:uid="{D1739B54-5EBB-410E-B381-49D7747E404B}"/>
    <cellStyle name="Comma 30" xfId="459" xr:uid="{E809A96C-CED5-4285-8DDA-63EF5A067622}"/>
    <cellStyle name="Comma 31" xfId="552" xr:uid="{8CE3E8CA-29E1-4A18-BDFA-A0C83B57E753}"/>
    <cellStyle name="Comma 32" xfId="554" xr:uid="{C3C9AEFF-7B07-41DE-98FA-3966C29C8B36}"/>
    <cellStyle name="Comma 33" xfId="556" xr:uid="{AE2CDF9E-F590-4F7B-9022-0484A1DB6DF8}"/>
    <cellStyle name="Comma 34" xfId="558" xr:uid="{63FCF02A-3B98-4F6E-9F6F-DAB88359F104}"/>
    <cellStyle name="Comma 35" xfId="560" xr:uid="{11B97B23-53FD-41B6-8024-43C1D50EC073}"/>
    <cellStyle name="Comma 36" xfId="562" xr:uid="{AD162072-C08E-475E-9546-BFA4A7B99128}"/>
    <cellStyle name="Comma 37" xfId="564" xr:uid="{CFCCB3CC-869B-4920-8C48-A23D1ADDF672}"/>
    <cellStyle name="Comma 38" xfId="566" xr:uid="{0BC58EB8-150B-4BA5-BFD0-ED8728EF39A3}"/>
    <cellStyle name="Comma 39" xfId="568" xr:uid="{E51B8BEC-0F43-4EA9-AE84-3371130B16C1}"/>
    <cellStyle name="Comma 4" xfId="167" xr:uid="{53A44CE9-CC16-467D-B8D0-8C1FC35B4BF8}"/>
    <cellStyle name="Comma 4 2" xfId="168" xr:uid="{A1E76637-F3CB-43C9-AA93-4C6E3715A8D1}"/>
    <cellStyle name="Comma 40" xfId="570" xr:uid="{7DDBD90D-D15E-4143-A986-D2A728F67BD8}"/>
    <cellStyle name="Comma 41" xfId="572" xr:uid="{52B6EE92-4CB6-4760-9EEC-E9767546C195}"/>
    <cellStyle name="Comma 42" xfId="574" xr:uid="{4637ABE9-B617-42D4-9CB1-6147D732D846}"/>
    <cellStyle name="Comma 43" xfId="576" xr:uid="{BBFFE677-6F89-4577-9FAB-C8CC3CB1E643}"/>
    <cellStyle name="Comma 44" xfId="578" xr:uid="{018B1A0C-CA93-45C3-883B-0BFD5ED22214}"/>
    <cellStyle name="Comma 45" xfId="580" xr:uid="{E06812C7-ACAC-406D-9D29-146FA27FAFF1}"/>
    <cellStyle name="Comma 46" xfId="582" xr:uid="{A2115DBA-EC7E-4DEC-B4BA-975F752F6BCD}"/>
    <cellStyle name="Comma 47" xfId="584" xr:uid="{D0E74A41-B3F3-4637-8B3B-F4E76448D8EC}"/>
    <cellStyle name="Comma 48" xfId="586" xr:uid="{A164E8A8-72B0-4CE9-8E81-6FBCA99A5599}"/>
    <cellStyle name="Comma 49" xfId="588" xr:uid="{F8821C74-E764-4BA2-9EF4-63CD498DE8A5}"/>
    <cellStyle name="Comma 5" xfId="169" xr:uid="{2A5E775C-B96E-4154-B03C-BADDDFB7CE57}"/>
    <cellStyle name="Comma 5 2" xfId="170" xr:uid="{A6BF006F-8ED9-4BAF-8A13-4C040DF2F97B}"/>
    <cellStyle name="Comma 50" xfId="590" xr:uid="{44CDCE8B-F8AC-4104-8889-6127FF134DA0}"/>
    <cellStyle name="Comma 51" xfId="592" xr:uid="{C460971B-DA4A-43E2-9C5B-1F2CE0A1E352}"/>
    <cellStyle name="Comma 52" xfId="594" xr:uid="{1651E8E3-588F-4E44-BAE3-1363801316BA}"/>
    <cellStyle name="Comma 53" xfId="596" xr:uid="{0247C746-D718-4E6C-8D92-1AC3EE74A8FA}"/>
    <cellStyle name="Comma 54" xfId="598" xr:uid="{8BFA305C-2B39-4481-9B89-6496A4CB87C6}"/>
    <cellStyle name="Comma 55" xfId="600" xr:uid="{81932EAF-2572-48CD-8B13-B86E06A44CB3}"/>
    <cellStyle name="Comma 56" xfId="602" xr:uid="{E9898B4F-F8C4-4835-B769-A98C1D76C55C}"/>
    <cellStyle name="Comma 57" xfId="604" xr:uid="{7309EF74-7FC2-4665-B0B8-A9F4596A76B8}"/>
    <cellStyle name="Comma 58" xfId="606" xr:uid="{5DA45815-F1F4-4FFF-A85E-E34D137EA595}"/>
    <cellStyle name="Comma 59" xfId="608" xr:uid="{3A56F3DF-AE74-493B-89F5-0101A7041F7E}"/>
    <cellStyle name="Comma 6" xfId="5" xr:uid="{16FE863B-199E-4707-BB49-E0CB128D6E4E}"/>
    <cellStyle name="Comma 6 2" xfId="172" xr:uid="{C6CF9112-EEB6-4CBE-854E-BE071E08269C}"/>
    <cellStyle name="Comma 6 3" xfId="171" xr:uid="{62F7F345-3B92-4EAA-B9FF-D4018191C6FB}"/>
    <cellStyle name="Comma 60" xfId="610" xr:uid="{E6A9F954-CC78-4D82-8E09-1936D5FD6D99}"/>
    <cellStyle name="Comma 61" xfId="612" xr:uid="{64907922-E9BC-46A2-B737-0C587F37A666}"/>
    <cellStyle name="Comma 62" xfId="614" xr:uid="{E8682C1F-752E-44BA-881F-A12CE8FC4D0A}"/>
    <cellStyle name="Comma 63" xfId="616" xr:uid="{7AFE4429-77A7-49A1-8333-C9D1BABAE362}"/>
    <cellStyle name="Comma 64" xfId="618" xr:uid="{3E741470-94C2-4E3B-B87A-4645F0A855CA}"/>
    <cellStyle name="Comma 65" xfId="620" xr:uid="{E11709AA-24F0-4F93-8C49-A121972D49D7}"/>
    <cellStyle name="Comma 66" xfId="622" xr:uid="{FC730132-E308-41D5-9F70-1E3906A369E1}"/>
    <cellStyle name="Comma 67" xfId="624" xr:uid="{B4E364F7-CE3C-4D09-9C14-9D58B5648206}"/>
    <cellStyle name="Comma 68" xfId="626" xr:uid="{9DA508F1-25C1-4C74-BF7B-F450C4E2B2A1}"/>
    <cellStyle name="Comma 69" xfId="628" xr:uid="{5EFA02E6-674D-4F33-83DF-1A942928B051}"/>
    <cellStyle name="Comma 7" xfId="173" xr:uid="{E62C8BCD-8AF8-40D7-A403-7E1DBE9269CF}"/>
    <cellStyle name="Comma 7 2" xfId="416" xr:uid="{1E8AE080-72B1-4FE3-BEC9-234CC2B4B142}"/>
    <cellStyle name="Comma 7 2 2" xfId="537" xr:uid="{C19A7DAA-C810-4870-9A39-F04B3152A3AA}"/>
    <cellStyle name="Comma 7 3" xfId="464" xr:uid="{9E46DCE0-0AD6-481A-92F6-AA85B19ADAE6}"/>
    <cellStyle name="Comma 70" xfId="630" xr:uid="{4F115206-FFB4-409A-AE15-D6EBC5A632CF}"/>
    <cellStyle name="Comma 71" xfId="632" xr:uid="{371F3846-77C0-46F9-AB23-59CA5BEDE7A8}"/>
    <cellStyle name="Comma 72" xfId="638" xr:uid="{0D71D996-081B-46C7-A4C4-B9BAA0D139DA}"/>
    <cellStyle name="Comma 73" xfId="374" xr:uid="{201AF5C4-0E12-4958-899E-4AF589A8B7B6}"/>
    <cellStyle name="Comma 8" xfId="365" xr:uid="{30A6368C-263B-4038-A1EF-C2EF034D063C}"/>
    <cellStyle name="Comma 9" xfId="369" xr:uid="{FA916AE8-0BD9-4EB6-9028-7B45465688DE}"/>
    <cellStyle name="Currency [2]" xfId="174" xr:uid="{9A6BB1D9-DA93-4906-A927-C772CFB2A76A}"/>
    <cellStyle name="Currency 10" xfId="438" xr:uid="{455C7E3B-5226-4247-ABC8-977441579118}"/>
    <cellStyle name="Currency 11" xfId="419" xr:uid="{852229CF-CB3E-40CF-80A5-505B35B1F516}"/>
    <cellStyle name="Currency 12" xfId="499" xr:uid="{3E5B7455-8882-46A0-BC8E-1B0AA57C7BD3}"/>
    <cellStyle name="Currency 13" xfId="541" xr:uid="{8F0B9144-6782-41C3-839D-1646CD8668E2}"/>
    <cellStyle name="Currency 14" xfId="491" xr:uid="{136502DC-E8CB-4385-9588-854484EF1DB7}"/>
    <cellStyle name="Currency 15" xfId="498" xr:uid="{8BA9EA85-E0F8-4C57-8653-202104DAC11E}"/>
    <cellStyle name="Currency 16" xfId="540" xr:uid="{0EAF00A0-03C4-4390-B627-1EBD965B3A9E}"/>
    <cellStyle name="Currency 17" xfId="442" xr:uid="{D5A97703-1D24-4C4C-B8C0-9BFA448560C7}"/>
    <cellStyle name="Currency 18" xfId="635" xr:uid="{96275D4D-B2EB-486E-A879-5AFD172B1889}"/>
    <cellStyle name="Currency 19" xfId="637" xr:uid="{612E42A1-91C9-48D0-B6F6-50AFF43ED512}"/>
    <cellStyle name="Currency 2" xfId="8" xr:uid="{8DD08C81-4554-4930-8212-E133F6A96E83}"/>
    <cellStyle name="Currency 2 10" xfId="175" xr:uid="{59C66787-DBC8-4111-A7A5-141FB68CA654}"/>
    <cellStyle name="Currency 2 11" xfId="176" xr:uid="{9143592E-2B8F-4882-9B7B-11796D9E107C}"/>
    <cellStyle name="Currency 2 12" xfId="177" xr:uid="{5C22AF36-D4E5-4D42-BCDF-DBD6106F5F04}"/>
    <cellStyle name="Currency 2 13" xfId="178" xr:uid="{263AF447-7C53-472F-AE00-B498D9FAEBED}"/>
    <cellStyle name="Currency 2 14" xfId="179" xr:uid="{E035737E-1A82-42F4-9ED1-5F66EA30AC28}"/>
    <cellStyle name="Currency 2 15" xfId="180" xr:uid="{3EEC1B8A-5390-42B0-8FA2-6CA0C56C806D}"/>
    <cellStyle name="Currency 2 2" xfId="181" xr:uid="{19F677E3-F673-42EE-97F0-1B2FC14200A5}"/>
    <cellStyle name="Currency 2 2 2" xfId="182" xr:uid="{4F595B91-933F-4E3A-A95C-896305A06214}"/>
    <cellStyle name="Currency 2 2 2 2" xfId="397" xr:uid="{62F733BF-60FA-44C7-9171-F772BAD31DE4}"/>
    <cellStyle name="Currency 2 2 2 2 2" xfId="518" xr:uid="{CF83B946-A96F-4260-9843-A16D8618134E}"/>
    <cellStyle name="Currency 2 2 2 3" xfId="466" xr:uid="{D4F724A7-4DBA-4599-BF70-A7CB66145C8F}"/>
    <cellStyle name="Currency 2 3" xfId="183" xr:uid="{DBC7978E-E4C6-467B-9644-94B9A3792BD1}"/>
    <cellStyle name="Currency 2 3 2" xfId="184" xr:uid="{ABFC3BBF-92A7-4AD3-AE36-3805ACAD33A4}"/>
    <cellStyle name="Currency 2 3 3" xfId="392" xr:uid="{2260C155-003E-422C-9475-B5C3044EC026}"/>
    <cellStyle name="Currency 2 3 3 2" xfId="513" xr:uid="{7E2E78B6-3542-430B-AD5F-227E38E8FFE0}"/>
    <cellStyle name="Currency 2 3 4" xfId="467" xr:uid="{74DBA09D-20AD-43C5-B382-1D5D0DA13BFB}"/>
    <cellStyle name="Currency 2 4" xfId="185" xr:uid="{EE7002B9-AD34-43C2-909F-EE839129DE74}"/>
    <cellStyle name="Currency 2 5" xfId="186" xr:uid="{7D3C3D0F-BFFA-49C8-B2F3-10238795A4BA}"/>
    <cellStyle name="Currency 2 6" xfId="187" xr:uid="{B9A0EEB2-14AB-4C55-B51C-35872B951D98}"/>
    <cellStyle name="Currency 2 7" xfId="188" xr:uid="{F6A41D31-0898-4D80-A537-2CA324BDD3E6}"/>
    <cellStyle name="Currency 2 8" xfId="189" xr:uid="{0D23491B-35F9-4BEF-9313-3C6E82BFD00D}"/>
    <cellStyle name="Currency 2 9" xfId="190" xr:uid="{2C355207-76B0-4906-832A-B9D808406D7D}"/>
    <cellStyle name="Currency 20" xfId="55" xr:uid="{25753BD9-7AAA-418D-BA11-511E0D00A5F1}"/>
    <cellStyle name="Currency 3" xfId="17" xr:uid="{E8C0607D-B41E-409D-87FC-4B3CD1F9890E}"/>
    <cellStyle name="Currency 4" xfId="191" xr:uid="{21594944-0F31-4ABB-BB75-97CDE02B0BC0}"/>
    <cellStyle name="Currency 4 2" xfId="192" xr:uid="{7E35E042-A369-456D-AF3F-FDF0AC4221B3}"/>
    <cellStyle name="Currency 5" xfId="193" xr:uid="{5DB7DECE-CA5C-4D91-8720-931922CCCB86}"/>
    <cellStyle name="Currency 6" xfId="194" xr:uid="{3F3389FA-9B5C-467F-8813-DFFCE707161D}"/>
    <cellStyle name="Currency 6 2" xfId="385" xr:uid="{0590CE48-C693-43B6-9D34-E8F7330DBB0E}"/>
    <cellStyle name="Currency 6 2 2" xfId="506" xr:uid="{30F32881-E214-4E72-BE53-ECABF13823BD}"/>
    <cellStyle name="Currency 6 3" xfId="470" xr:uid="{D9D1DF93-E542-4D00-A0BF-3B24C28C8B92}"/>
    <cellStyle name="Currency 7" xfId="195" xr:uid="{6A2AAF48-40AD-45A4-9F1E-D9D8736F7910}"/>
    <cellStyle name="Currency 7 2" xfId="413" xr:uid="{88AA7CAC-4C3A-435D-B58C-30FF08D0F1F2}"/>
    <cellStyle name="Currency 7 2 2" xfId="534" xr:uid="{0DC65C51-867D-4D25-B4B1-55029CEBDD21}"/>
    <cellStyle name="Currency 7 3" xfId="471" xr:uid="{5B55749E-EF34-40A8-BA39-6B0EBCC8EA66}"/>
    <cellStyle name="Currency 8" xfId="366" xr:uid="{D61E8F36-A9C1-40AC-A134-21E3FB18D2F7}"/>
    <cellStyle name="Currency 9" xfId="370" xr:uid="{29AAEC43-7DBC-4DC8-947E-AFDE43CC611E}"/>
    <cellStyle name="Dash" xfId="196" xr:uid="{AB4239E7-7443-4514-8CFF-3857476105E5}"/>
    <cellStyle name="Euro" xfId="197" xr:uid="{D274E09C-A123-4BEA-9A55-F7C2F8B12ED4}"/>
    <cellStyle name="Explanatory Text" xfId="34" builtinId="53" customBuiltin="1"/>
    <cellStyle name="Explanatory Text 2" xfId="198" xr:uid="{EA574966-DEB2-4C08-9D84-398BF1B68F9E}"/>
    <cellStyle name="Good" xfId="26" builtinId="26" customBuiltin="1"/>
    <cellStyle name="Good 2" xfId="199" xr:uid="{A14AA5AC-D379-49F1-B999-5664D90F817C}"/>
    <cellStyle name="Heading 1" xfId="22" builtinId="16" customBuiltin="1"/>
    <cellStyle name="Heading 1 2" xfId="200" xr:uid="{15AFEE9B-FEBF-45F4-BE29-66CDEEB5B056}"/>
    <cellStyle name="Heading 2" xfId="23" builtinId="17" customBuiltin="1"/>
    <cellStyle name="Heading 2 2" xfId="201" xr:uid="{BC40B5C2-CF6B-46BB-9FCC-2FAD42E7EA45}"/>
    <cellStyle name="Heading 3" xfId="24" builtinId="18" customBuiltin="1"/>
    <cellStyle name="Heading 3 2" xfId="202" xr:uid="{8BF062E4-A2EC-4252-8BF7-D14F9D7B1081}"/>
    <cellStyle name="Heading 4" xfId="25" builtinId="19" customBuiltin="1"/>
    <cellStyle name="Heading 4 2" xfId="203" xr:uid="{28C95F71-EF56-482F-AA59-6DFF52F93B5E}"/>
    <cellStyle name="Input" xfId="28" builtinId="20" customBuiltin="1"/>
    <cellStyle name="Input 2" xfId="204" xr:uid="{A743C138-41F2-4F92-83BE-E6A702DED6C0}"/>
    <cellStyle name="InputBlueFont" xfId="205" xr:uid="{576F2E75-EEAD-433D-9BEA-9A22A4BBECB6}"/>
    <cellStyle name="Linked Cell" xfId="31" builtinId="24" customBuiltin="1"/>
    <cellStyle name="Linked Cell 2" xfId="206" xr:uid="{CFEB0A2F-A534-4C4B-BDC6-C6AE38F2F6D4}"/>
    <cellStyle name="Linked Cell 2 2" xfId="207" xr:uid="{B696CB90-8330-471C-AFD7-646FBDC6E8B6}"/>
    <cellStyle name="Linked Cell 2 2 2" xfId="208" xr:uid="{0536F848-4D86-4110-8BDA-2C125F0AA71C}"/>
    <cellStyle name="Linked Cell 3" xfId="209" xr:uid="{A8890297-C3AA-4F40-84C2-EE27F6F38DE2}"/>
    <cellStyle name="Linked Cell 3 2" xfId="210" xr:uid="{13E14297-03B6-46F0-A0A7-05C868E301B8}"/>
    <cellStyle name="Millares [0]_laroux" xfId="211" xr:uid="{AA0074C6-A17C-4FA1-B243-BD580E1158EC}"/>
    <cellStyle name="Millares_laroux" xfId="212" xr:uid="{DF3BBE7B-4733-4C13-BFC2-94417D3AEDB1}"/>
    <cellStyle name="Moneda [0]_laroux" xfId="213" xr:uid="{F65BD0C9-2E89-47D0-BD49-3BBCCC10001A}"/>
    <cellStyle name="Moneda_laroux" xfId="214" xr:uid="{A6C0BF7C-DD14-4FB6-B5F1-EB25A52DE3B0}"/>
    <cellStyle name="Neutral 2" xfId="215" xr:uid="{D59194DF-4446-4BFC-A8F6-D662815299FD}"/>
    <cellStyle name="Neutral 3" xfId="372" xr:uid="{66E2BE48-37E8-497C-B603-197D7079F45F}"/>
    <cellStyle name="Normal" xfId="0" builtinId="0"/>
    <cellStyle name="Normal - Style1" xfId="216" xr:uid="{8BEDB990-EB35-485E-A778-D29746BB0F3D}"/>
    <cellStyle name="Normal 10" xfId="217" xr:uid="{FDB68E17-AB9A-45FF-8A3C-6C864836C688}"/>
    <cellStyle name="Normal 100" xfId="54" xr:uid="{89F20716-23A3-4FB4-99D0-7E7F7E18CD68}"/>
    <cellStyle name="Normal 101" xfId="373" xr:uid="{1833D7D8-4C44-41FA-9C39-59BDA98552E9}"/>
    <cellStyle name="Normal 11" xfId="218" xr:uid="{1FBE0DA7-CF9C-425F-B33B-63406A9D0846}"/>
    <cellStyle name="Normal 12" xfId="219" xr:uid="{267B8936-6526-4580-A677-BCB98B84DB0E}"/>
    <cellStyle name="Normal 13" xfId="220" xr:uid="{768E83C0-B5C8-4CFC-A553-85DA915C0C6F}"/>
    <cellStyle name="Normal 14" xfId="221" xr:uid="{EA51746B-294F-43CF-9062-8EC44161F925}"/>
    <cellStyle name="Normal 15" xfId="222" xr:uid="{425E62D0-030E-4A41-A423-07859F12CACD}"/>
    <cellStyle name="Normal 15 2" xfId="223" xr:uid="{55F9EBE1-97BB-4D67-ADB4-891D440EB14D}"/>
    <cellStyle name="Normal 15 3" xfId="224" xr:uid="{71EDE060-7EC5-4C42-A27D-2AEC3F135A2F}"/>
    <cellStyle name="Normal 15 3 2" xfId="395" xr:uid="{E5B2587F-C0A7-4154-9345-B8EA53147158}"/>
    <cellStyle name="Normal 15 3 2 2" xfId="516" xr:uid="{8CDE721A-1832-4CD1-9923-95DA0B1AA211}"/>
    <cellStyle name="Normal 15 3 3" xfId="473" xr:uid="{D168E866-C3C8-4846-8479-F67AEF94C28C}"/>
    <cellStyle name="Normal 15 4" xfId="389" xr:uid="{88887D5C-8EE0-4D97-822F-E22ACA1DDC16}"/>
    <cellStyle name="Normal 15 4 2" xfId="510" xr:uid="{F32FAF0E-E5F4-4995-AA8B-8628FA3FB237}"/>
    <cellStyle name="Normal 15 5" xfId="472" xr:uid="{AD85BCE6-929D-4C23-BB70-748E6DCEB033}"/>
    <cellStyle name="Normal 16" xfId="225" xr:uid="{D55F1A0D-BB88-4BE2-8648-DC8505032534}"/>
    <cellStyle name="Normal 16 2" xfId="226" xr:uid="{8D4E5B0B-D2F4-4EC4-8526-92843F84F662}"/>
    <cellStyle name="Normal 16 3" xfId="227" xr:uid="{A1B85BBC-9806-45AC-9378-7ED9817AF5A4}"/>
    <cellStyle name="Normal 16 3 2" xfId="396" xr:uid="{C73FDA9C-4686-4F59-9759-F8AAE5ADCB06}"/>
    <cellStyle name="Normal 16 3 2 2" xfId="517" xr:uid="{0A4FBE1D-95C3-4055-87B9-A2206170922C}"/>
    <cellStyle name="Normal 16 3 3" xfId="475" xr:uid="{CEC2084D-95CE-46BE-A3B8-39145804254F}"/>
    <cellStyle name="Normal 16 4" xfId="390" xr:uid="{F1E01407-D99A-4813-8505-1806213C4F83}"/>
    <cellStyle name="Normal 16 4 2" xfId="511" xr:uid="{40B5BBBD-AF71-4E67-852D-3264F2AE526B}"/>
    <cellStyle name="Normal 16 5" xfId="474" xr:uid="{E73E28ED-D627-49E0-AD5C-42006F295382}"/>
    <cellStyle name="Normal 17" xfId="228" xr:uid="{335F4CCD-9BE4-49A1-9177-6C9107B7D24B}"/>
    <cellStyle name="Normal 18" xfId="229" xr:uid="{84A06A95-360A-46CF-A538-8A16B29ABF1E}"/>
    <cellStyle name="Normal 19" xfId="230" xr:uid="{7AEE37D2-7642-444F-9250-A968316458AA}"/>
    <cellStyle name="Normal 19 2" xfId="231" xr:uid="{527EB0AB-639D-4FE7-A533-570B6E1FE6F3}"/>
    <cellStyle name="Normal 2" xfId="12" xr:uid="{411B3527-A96B-45D4-B2CE-E528745DDC8D}"/>
    <cellStyle name="Normal 2 2" xfId="14" xr:uid="{2F65D141-EA4C-4D6C-8196-661BF7A337FD}"/>
    <cellStyle name="Normal 2 2 2" xfId="232" xr:uid="{6747E9CC-05AD-4C01-BBD1-1D5D56C72256}"/>
    <cellStyle name="Normal 2 2 3" xfId="233" xr:uid="{BBC80617-0F0B-4A59-9A92-673D1450DC74}"/>
    <cellStyle name="Normal 2 3" xfId="4" xr:uid="{847A02A2-5431-402F-B16F-94825693DA62}"/>
    <cellStyle name="Normal 2 4" xfId="19" xr:uid="{3916612E-CAAD-4EB2-ABB8-860F7BA0FB81}"/>
    <cellStyle name="Normal 2 41" xfId="57" xr:uid="{16CD2975-1E7D-41F0-B7E3-946055341D54}"/>
    <cellStyle name="Normal 2 43" xfId="56" xr:uid="{2ABFB6FE-D64F-40DB-8B51-48027BC8813D}"/>
    <cellStyle name="Normal 2 5" xfId="21" xr:uid="{97C871D9-DEB4-43FD-B876-3819A856C55E}"/>
    <cellStyle name="Normal 2_Labor by Employee" xfId="234" xr:uid="{EB9DC179-0572-4710-A05B-AFE6C1F1783F}"/>
    <cellStyle name="Normal 20" xfId="235" xr:uid="{7EE73CCD-83FA-46F5-AC8A-9E66B6B7C85E}"/>
    <cellStyle name="Normal 20 2" xfId="236" xr:uid="{9A624DE0-129F-45EF-9CE0-09584E4FB8F6}"/>
    <cellStyle name="Normal 21" xfId="237" xr:uid="{D55249A4-1BE0-42E8-A267-9B3F5C35C02C}"/>
    <cellStyle name="Normal 22" xfId="238" xr:uid="{250C71F2-A01A-45B3-A404-4B6C3D569960}"/>
    <cellStyle name="Normal 23" xfId="239" xr:uid="{038C4A26-C604-470E-B0EC-940B0CC70D2F}"/>
    <cellStyle name="Normal 23 2" xfId="412" xr:uid="{ED9CDD99-15F7-4969-ABF3-CA2DC96B2589}"/>
    <cellStyle name="Normal 23 2 2" xfId="533" xr:uid="{D701C8D9-F196-4CAA-8445-27301F63D47B}"/>
    <cellStyle name="Normal 23 3" xfId="477" xr:uid="{01DB74BA-48E5-43D0-B751-0F09CD8F344E}"/>
    <cellStyle name="Normal 24" xfId="240" xr:uid="{59E7E4C4-3C6C-45CF-BF03-DA9A19E40E31}"/>
    <cellStyle name="Normal 25" xfId="62" xr:uid="{2DD7807D-C0D9-45A9-B023-4F1E0CC7FBF9}"/>
    <cellStyle name="Normal 26" xfId="63" xr:uid="{AFCEDD3E-5C61-42BB-984B-9AC35DE2CB00}"/>
    <cellStyle name="Normal 27" xfId="64" xr:uid="{96B368E9-CF07-47F1-A693-9D684FA4243E}"/>
    <cellStyle name="Normal 28" xfId="65" xr:uid="{1366A120-BFDB-4646-8EA3-24C7E3B097D3}"/>
    <cellStyle name="Normal 29" xfId="66" xr:uid="{9B500B0F-0D7D-42C8-B8AE-EC810C562B34}"/>
    <cellStyle name="Normal 3" xfId="7" xr:uid="{A534426A-9C7B-4790-A910-14303DD2735F}"/>
    <cellStyle name="Normal 3 2" xfId="15" xr:uid="{090BDE69-6CFF-4787-B43A-F30DD543CD3F}"/>
    <cellStyle name="Normal 3 2 2" xfId="241" xr:uid="{7328F58B-B81A-407A-9B46-0FB4932A1ABC}"/>
    <cellStyle name="Normal 3 2 3" xfId="242" xr:uid="{2B6F4965-8D1D-48D2-9731-44D4C4341E68}"/>
    <cellStyle name="Normal 3 3" xfId="243" xr:uid="{C497DB1E-3ECB-446C-BAC3-C47045883B22}"/>
    <cellStyle name="Normal 3 3 2" xfId="244" xr:uid="{EE04C24C-6E51-4A14-9692-E50AA098DB5D}"/>
    <cellStyle name="Normal 3 4" xfId="245" xr:uid="{99866B66-B5E5-42B0-814D-521E3DE53E24}"/>
    <cellStyle name="Normal 3 4 2" xfId="393" xr:uid="{A67B8830-A85B-4D6E-AE19-2A7792E7CDC6}"/>
    <cellStyle name="Normal 3 4 2 2" xfId="514" xr:uid="{9C2873E1-78E4-41EB-862A-87C1C32575C7}"/>
    <cellStyle name="Normal 3 4 3" xfId="479" xr:uid="{F6C21FE1-2C61-4EF1-B59F-9394268A560E}"/>
    <cellStyle name="Normal 3 5" xfId="246" xr:uid="{0203CD3C-D540-416F-8B95-03E7602AC3E0}"/>
    <cellStyle name="Normal 3 5 2" xfId="387" xr:uid="{1397E462-6E53-4DA3-B04B-22554DF6C488}"/>
    <cellStyle name="Normal 3 5 2 2" xfId="508" xr:uid="{17BDB9B8-7B55-4F59-97B9-7E7FC172380B}"/>
    <cellStyle name="Normal 3 5 3" xfId="480" xr:uid="{B118896F-9BCC-428F-A06C-3A95CFDD1CB2}"/>
    <cellStyle name="Normal 3 6" xfId="247" xr:uid="{436A8C3A-5FBE-40AF-ADB2-2511FD921F85}"/>
    <cellStyle name="Normal 3 7" xfId="440" xr:uid="{902F9B50-8BC0-4E64-9DAB-05A4D0F10CB3}"/>
    <cellStyle name="Normal 3 8" xfId="59" xr:uid="{89309B11-5DD5-4CC9-AE24-742CC68B7717}"/>
    <cellStyle name="Normal 3_Labor by Employee" xfId="248" xr:uid="{130FCE02-2D68-4C8E-8ABC-C4CB96279E0A}"/>
    <cellStyle name="Normal 30" xfId="61" xr:uid="{D382B88E-EFB3-468B-B3B2-84DDA4BD9269}"/>
    <cellStyle name="Normal 31" xfId="364" xr:uid="{593D6E43-9856-4B11-BACA-D876E148B7E6}"/>
    <cellStyle name="Normal 32" xfId="368" xr:uid="{B8A8C2C2-C70F-49E9-961C-09BF08F6FF3D}"/>
    <cellStyle name="Normal 33" xfId="363" xr:uid="{CD4093FD-01A1-4CF8-BC8F-543A17ACBB23}"/>
    <cellStyle name="Normal 33 2" xfId="501" xr:uid="{B18504D6-0368-42E8-BA16-55EC30FABC78}"/>
    <cellStyle name="Normal 34" xfId="381" xr:uid="{6D1EFB20-5443-4ACD-8AA3-CEBCD999F007}"/>
    <cellStyle name="Normal 34 2" xfId="502" xr:uid="{75B083D4-7680-4D85-BF7E-EFB824B735DD}"/>
    <cellStyle name="Normal 35" xfId="436" xr:uid="{1930A4FC-C731-4584-865B-D2392B8B1356}"/>
    <cellStyle name="Normal 36" xfId="417" xr:uid="{6B622DB6-F254-4390-AB72-277F25EF1F0F}"/>
    <cellStyle name="Normal 37" xfId="500" xr:uid="{A3D5EAE0-9CEF-46A2-B4B9-ED0D41D2AF03}"/>
    <cellStyle name="Normal 38" xfId="543" xr:uid="{BE192E7B-912F-48A2-9BAD-9676CA1581E6}"/>
    <cellStyle name="Normal 39" xfId="492" xr:uid="{0A31B4F9-AED2-4F5B-8552-7F73BCAC650B}"/>
    <cellStyle name="Normal 4" xfId="10" xr:uid="{9EDE1F7B-8874-4019-BFC0-C7768DA4402F}"/>
    <cellStyle name="Normal 4 2" xfId="16" xr:uid="{1F39D7D1-413F-4691-9467-2553AF164DBF}"/>
    <cellStyle name="Normal 4 2 2" xfId="249" xr:uid="{FA7AF3C3-0F36-40D9-8D7D-4676954292D4}"/>
    <cellStyle name="Normal 4 3" xfId="250" xr:uid="{AB8C1CD3-E771-42F5-825B-5511BB3D4990}"/>
    <cellStyle name="Normal 4 3 2" xfId="388" xr:uid="{7F307A55-480E-4637-9D85-04AE9083ED1E}"/>
    <cellStyle name="Normal 4 3 2 2" xfId="509" xr:uid="{EF810E4E-F213-4D18-BB99-B85DE4C480DE}"/>
    <cellStyle name="Normal 4 3 3" xfId="481" xr:uid="{94C24F4C-26F2-4998-B7C4-04C4F6CB618B}"/>
    <cellStyle name="Normal 40" xfId="490" xr:uid="{05A235AA-D36F-4DAD-957E-E8844358BF79}"/>
    <cellStyle name="Normal 41" xfId="449" xr:uid="{6C1068C2-4F13-4B22-A880-FCA1FB5A8EC6}"/>
    <cellStyle name="Normal 42" xfId="461" xr:uid="{869191C2-7A90-40FD-8A6A-91797196D819}"/>
    <cellStyle name="Normal 43" xfId="443" xr:uid="{1E4C9808-540C-4BBB-82A3-C22711148CEF}"/>
    <cellStyle name="Normal 44" xfId="482" xr:uid="{F49ACB0C-D94A-448F-99E5-19395CFD922B}"/>
    <cellStyle name="Normal 45" xfId="476" xr:uid="{3ED5B548-47A7-44EB-B398-58418B2E83BB}"/>
    <cellStyle name="Normal 46" xfId="468" xr:uid="{9DF4EAA2-0466-4056-B75E-9F10B7238663}"/>
    <cellStyle name="Normal 47" xfId="488" xr:uid="{68F2F13A-6D3C-4119-A8B0-EE919006D022}"/>
    <cellStyle name="Normal 48" xfId="458" xr:uid="{0E2D1727-2EEF-4BC6-8C31-EBC294AA8E82}"/>
    <cellStyle name="Normal 49" xfId="494" xr:uid="{E3B9CAA8-C1FC-4874-AE15-D52C951115CB}"/>
    <cellStyle name="Normal 5" xfId="18" xr:uid="{D3A1FA57-35F1-41BE-A4ED-13BFEDB1413E}"/>
    <cellStyle name="Normal 5 2" xfId="252" xr:uid="{650F3E9E-8F61-4574-AB30-8EEDA508DAA1}"/>
    <cellStyle name="Normal 5 3" xfId="251" xr:uid="{AFB5515E-C953-4E47-AF91-C2497D880F4F}"/>
    <cellStyle name="Normal 50" xfId="549" xr:uid="{005A2F87-BF61-4877-9B3F-E2013F726F6C}"/>
    <cellStyle name="Normal 51" xfId="550" xr:uid="{C45CAE25-23A7-4BAC-9C2F-66C96EB5498D}"/>
    <cellStyle name="Normal 52" xfId="546" xr:uid="{40E217F8-EEEF-428E-B45C-98153E0AEED8}"/>
    <cellStyle name="Normal 53" xfId="462" xr:uid="{7CC41C7B-F0D7-4F81-897E-4586DB1B3C97}"/>
    <cellStyle name="Normal 54" xfId="495" xr:uid="{95B6408E-6BD7-4AF0-8AAA-7577101BF090}"/>
    <cellStyle name="Normal 55" xfId="420" xr:uid="{2FA21196-029D-406A-87A5-6F90A4EB82F6}"/>
    <cellStyle name="Normal 56" xfId="551" xr:uid="{5D7DE84D-36D2-45B2-A8CD-294F34E9D726}"/>
    <cellStyle name="Normal 57" xfId="553" xr:uid="{9028F4BB-BCB3-41DE-9846-45122318F9AA}"/>
    <cellStyle name="Normal 58" xfId="555" xr:uid="{69A054C0-331A-4A0C-95D2-908A0D778603}"/>
    <cellStyle name="Normal 59" xfId="557" xr:uid="{355988DB-DD23-479F-85F0-71A299745E1F}"/>
    <cellStyle name="Normal 6" xfId="20" xr:uid="{8B8F6964-1A0C-457D-8C1A-0AD8689ABABC}"/>
    <cellStyle name="Normal 6 2" xfId="253" xr:uid="{6B33D362-9B80-4AD1-B483-EFC9B76B9FC7}"/>
    <cellStyle name="Normal 6 2 2" xfId="254" xr:uid="{5C18885C-577E-4964-B4B2-EAD672D0426D}"/>
    <cellStyle name="Normal 6 3" xfId="255" xr:uid="{73D51DB8-5DE6-4C28-97F4-4DC3B3111AB1}"/>
    <cellStyle name="Normal 6_Sheet2" xfId="256" xr:uid="{B42FD5A5-6E69-4B0E-A9BF-173B2100B110}"/>
    <cellStyle name="Normal 60" xfId="559" xr:uid="{845BC12C-998D-45E7-BA59-BF03EFEDDB97}"/>
    <cellStyle name="Normal 61" xfId="561" xr:uid="{8A8D362E-B817-4C6D-AE38-201DBAAC7078}"/>
    <cellStyle name="Normal 62" xfId="563" xr:uid="{69CEB7D9-8B5E-4A08-B443-D7935DED4AD5}"/>
    <cellStyle name="Normal 63" xfId="565" xr:uid="{677CDB19-182D-43B6-BB06-591C0C802B83}"/>
    <cellStyle name="Normal 64" xfId="567" xr:uid="{53D221ED-2C57-49B4-BF64-6E3EFF0F0AF4}"/>
    <cellStyle name="Normal 65" xfId="569" xr:uid="{04EFD548-E73F-47F7-B892-E26B86EDB02A}"/>
    <cellStyle name="Normal 66" xfId="571" xr:uid="{314B5D90-C517-454A-93A4-7496007608D1}"/>
    <cellStyle name="Normal 67" xfId="573" xr:uid="{657BD121-556D-406D-899C-62CE2CEB8825}"/>
    <cellStyle name="Normal 68" xfId="575" xr:uid="{9FDDFF30-FBFC-4BDA-B05B-551FF9907C98}"/>
    <cellStyle name="Normal 69" xfId="577" xr:uid="{9F740268-C620-473E-B1AE-B3B199E20E5E}"/>
    <cellStyle name="Normal 7" xfId="257" xr:uid="{D81AE7E1-298B-43B7-A062-292912582F05}"/>
    <cellStyle name="Normal 7 2" xfId="258" xr:uid="{80BD8378-E861-4CBF-81E2-44C41D664CC2}"/>
    <cellStyle name="Normal 70" xfId="579" xr:uid="{FA6D7562-54F3-4E2B-8695-D0EDA7447FA7}"/>
    <cellStyle name="Normal 71" xfId="581" xr:uid="{144E1D72-569E-4CE6-AA8D-D43B19B27536}"/>
    <cellStyle name="Normal 72" xfId="583" xr:uid="{46C17B7E-0522-41A5-A80A-8FF9136750D6}"/>
    <cellStyle name="Normal 73" xfId="585" xr:uid="{348C8F1B-FA51-49CF-ACFE-F52A015A6F02}"/>
    <cellStyle name="Normal 74" xfId="587" xr:uid="{99C29313-4C4D-4214-A8B4-AFC3B6DB1678}"/>
    <cellStyle name="Normal 75" xfId="589" xr:uid="{604B617C-3E69-4E04-8FD3-E353E2783F67}"/>
    <cellStyle name="Normal 76" xfId="591" xr:uid="{AE9CC30D-1AFB-4EF7-976E-5EFF332187B3}"/>
    <cellStyle name="Normal 77" xfId="593" xr:uid="{E94509FB-6E9D-4F62-9FC7-94BADFAC0662}"/>
    <cellStyle name="Normal 78" xfId="595" xr:uid="{0F6FF7BE-CDAE-4261-81E2-583AB18CD8E6}"/>
    <cellStyle name="Normal 79" xfId="597" xr:uid="{3A6FC095-EDB7-4460-81B9-CA32D1797870}"/>
    <cellStyle name="Normal 8" xfId="11" xr:uid="{011A3FEA-9D05-40B3-967E-B8D773C51325}"/>
    <cellStyle name="Normal 8 2" xfId="260" xr:uid="{372CDDAD-232F-41AB-B81D-063E1C4F9132}"/>
    <cellStyle name="Normal 8 3" xfId="261" xr:uid="{09C946C9-C6BA-43BE-A201-E541B0FE351B}"/>
    <cellStyle name="Normal 8 3 2" xfId="394" xr:uid="{ECBDA5E6-D9A9-49E7-8CC1-E44869EA7DD0}"/>
    <cellStyle name="Normal 8 3 2 2" xfId="515" xr:uid="{BDAE7A25-EE00-4FD1-95F6-0C703F8B7D33}"/>
    <cellStyle name="Normal 8 3 3" xfId="484" xr:uid="{332DB652-D9F8-4EFB-AEB6-C5E8DE12E5E2}"/>
    <cellStyle name="Normal 8 4" xfId="384" xr:uid="{46FE161E-A162-4C36-B1DE-BC99F20B9A48}"/>
    <cellStyle name="Normal 8 4 2" xfId="505" xr:uid="{9EFC5A44-1AFB-43DA-B352-870AE8F60D78}"/>
    <cellStyle name="Normal 8 5" xfId="483" xr:uid="{FDA93333-E8DB-4C86-8DBF-14A4DAEA770A}"/>
    <cellStyle name="Normal 8 6" xfId="259" xr:uid="{27B131CF-53D4-4233-8D35-3720BF58DCB0}"/>
    <cellStyle name="Normal 80" xfId="599" xr:uid="{6F78CCAB-B458-4BD1-94D3-98550F23F97B}"/>
    <cellStyle name="Normal 81" xfId="601" xr:uid="{A9239818-0994-46EA-A941-4428D155EEB0}"/>
    <cellStyle name="Normal 82" xfId="603" xr:uid="{FBDF15F8-F604-4A75-A27A-6613FE873D94}"/>
    <cellStyle name="Normal 83" xfId="605" xr:uid="{EEAC986C-5EE6-44FB-A505-1985351B7D24}"/>
    <cellStyle name="Normal 84" xfId="607" xr:uid="{799BE052-DBFE-42A6-B076-CD264159266D}"/>
    <cellStyle name="Normal 85" xfId="609" xr:uid="{CD823D88-FA93-4460-B775-AC04CFE5E387}"/>
    <cellStyle name="Normal 86" xfId="611" xr:uid="{92E7D210-36CA-4906-A368-2A02A370B35C}"/>
    <cellStyle name="Normal 87" xfId="613" xr:uid="{4418F86C-DB28-46D0-8565-CEDCF3AA5AB5}"/>
    <cellStyle name="Normal 88" xfId="615" xr:uid="{73B226DC-24AF-4B34-92AB-06473EDCD7A9}"/>
    <cellStyle name="Normal 89" xfId="617" xr:uid="{71DD43C3-E60A-45CB-BFC4-65C18B97D5DE}"/>
    <cellStyle name="Normal 9" xfId="262" xr:uid="{F2904270-56B2-49B5-AB7B-903FF341CC61}"/>
    <cellStyle name="Normal 9 2" xfId="263" xr:uid="{6C5184AA-AD57-403A-B36E-98511D2ED05E}"/>
    <cellStyle name="Normal 9 2 2" xfId="391" xr:uid="{0F1B1C5D-F833-438C-A81E-A2BD36DFF8E3}"/>
    <cellStyle name="Normal 9 2 2 2" xfId="512" xr:uid="{D8EDE083-FBF0-4BEC-93EF-3C66B07C6444}"/>
    <cellStyle name="Normal 9 2 3" xfId="485" xr:uid="{36B5F99E-538F-4FC7-ABF6-7E8CED661D84}"/>
    <cellStyle name="Normal 9 3" xfId="264" xr:uid="{57D2CCC4-6DDB-4417-9052-8A8EC2944A49}"/>
    <cellStyle name="Normal 90" xfId="619" xr:uid="{8D255270-B4F7-40D1-BC72-D6A6865197F9}"/>
    <cellStyle name="Normal 91" xfId="621" xr:uid="{9ABE8D9C-26CE-4730-8E5B-D74B13ADBE78}"/>
    <cellStyle name="Normal 92" xfId="623" xr:uid="{69E29AD9-3187-466C-91A7-F28FA250385D}"/>
    <cellStyle name="Normal 93" xfId="625" xr:uid="{8DAC0281-990F-430A-B7BB-407CEF3A2709}"/>
    <cellStyle name="Normal 94" xfId="627" xr:uid="{CA3254F1-6E41-469C-8439-DF5DEE40BC39}"/>
    <cellStyle name="Normal 95" xfId="629" xr:uid="{C1672C67-26BA-47E3-A22E-9CAB4E931D81}"/>
    <cellStyle name="Normal 96" xfId="631" xr:uid="{1EC82998-8CB6-453A-876E-46CBDEAB8D4A}"/>
    <cellStyle name="Normal 97" xfId="633" xr:uid="{C1BCF7E3-4CCF-425E-814E-6D0E73C93B10}"/>
    <cellStyle name="Normal 98" xfId="636" xr:uid="{04631570-10C4-4D1F-B52E-9140417D41D6}"/>
    <cellStyle name="Normal 99" xfId="639" xr:uid="{AEED1B50-3743-4D02-B356-68AD99962393}"/>
    <cellStyle name="Normal_Schedule J" xfId="3" xr:uid="{8FC02B4E-0804-4A5A-AEFA-21D38DCACAA4}"/>
    <cellStyle name="Normal_Schedules A thru L Cost of Servive June 30, 2009" xfId="2" xr:uid="{4AC0BB92-C8F9-44A9-8A65-339FE35452CE}"/>
    <cellStyle name="Normal_SHEET" xfId="1" xr:uid="{EE3F81D6-2D24-4729-96AE-6C76C8BB5F0A}"/>
    <cellStyle name="Note 2" xfId="265" xr:uid="{28C70D6D-8D31-496A-AEC1-BC00EC921F24}"/>
    <cellStyle name="Note 2 2" xfId="266" xr:uid="{1B177EDA-381F-4DAF-8518-E10BDF2F2659}"/>
    <cellStyle name="Note 2 2 2" xfId="398" xr:uid="{15E96D0F-D0A8-4B13-AD79-A998877BC54B}"/>
    <cellStyle name="Note 2 2 2 2" xfId="519" xr:uid="{969CC4DE-89FC-4F18-A760-629C828C1FAF}"/>
    <cellStyle name="Note 2 2 3" xfId="486" xr:uid="{88B1F24F-3002-433E-8901-59741648F448}"/>
    <cellStyle name="Note 2 3" xfId="267" xr:uid="{F209D43D-79D9-4CC7-A920-CD3233F03E11}"/>
    <cellStyle name="Note 2 3 2" xfId="399" xr:uid="{DF154EB5-C220-475F-B91B-F297E7A1E936}"/>
    <cellStyle name="Note 2 3 2 2" xfId="520" xr:uid="{22AE921C-6B1C-4984-B4C9-2C218D949B13}"/>
    <cellStyle name="Note 2 3 3" xfId="487" xr:uid="{27C4F0CD-58A1-4BDC-8338-0E6F36BC6EDE}"/>
    <cellStyle name="Note 3" xfId="268" xr:uid="{8B188B8E-52D0-46A6-B634-6E861CF1F194}"/>
    <cellStyle name="Note 3 2" xfId="269" xr:uid="{94976C3A-871D-4628-8822-A478B05E8525}"/>
    <cellStyle name="Note 4" xfId="270" xr:uid="{406CF4C6-FF4E-4208-BF97-95C5F27E3A74}"/>
    <cellStyle name="Note 4 2" xfId="415" xr:uid="{E567AA4C-6D93-4129-BD8C-CDE9FCEEE493}"/>
    <cellStyle name="Note 4 2 2" xfId="536" xr:uid="{C2A7CAE8-E2C8-41AB-84B1-C0F1BD35F453}"/>
    <cellStyle name="Note 4 3" xfId="489" xr:uid="{83642028-BE8F-4603-81BF-23E4BF7C835D}"/>
    <cellStyle name="Note 5" xfId="383" xr:uid="{D488D980-8AD4-4319-8068-50093E1AFAC6}"/>
    <cellStyle name="Note 5 2" xfId="504" xr:uid="{9913644D-8C4D-4D80-B164-A3AF153A6D64}"/>
    <cellStyle name="Numbers" xfId="271" xr:uid="{129B7374-424F-4E8F-AAD5-E9B79C3A2828}"/>
    <cellStyle name="Œ…‹æØ‚è [0.00]_PRODUCT DETAIL Q1" xfId="272" xr:uid="{A62ADD08-32A9-4405-8599-CD8515EFABFA}"/>
    <cellStyle name="Œ…‹æØ‚è_PRODUCT DETAIL Q1" xfId="273" xr:uid="{CC5DDA25-02E7-43B9-AF44-018DA78CA3BA}"/>
    <cellStyle name="Output" xfId="29" builtinId="21" customBuiltin="1"/>
    <cellStyle name="Output 2" xfId="274" xr:uid="{513A87EB-7782-4682-82E7-67D06FA02B06}"/>
    <cellStyle name="Percent 2" xfId="13" xr:uid="{4260F9D6-6444-45DD-BC01-2B3E8948521A}"/>
    <cellStyle name="Percent 2 2" xfId="275" xr:uid="{506ED7D1-5E24-4F3C-8A0B-8274BA7E228A}"/>
    <cellStyle name="Percent 2 3" xfId="276" xr:uid="{21EAF890-3C46-4214-BED2-07B3F3D62FFF}"/>
    <cellStyle name="Percent 2 4" xfId="277" xr:uid="{35139E6B-8703-4A0B-B0CF-A1FCF0D0EB3F}"/>
    <cellStyle name="Percent 2 5" xfId="278" xr:uid="{8C150039-41AB-4502-9EA6-96AA43A33822}"/>
    <cellStyle name="Percent 2 6" xfId="386" xr:uid="{CF10E44E-7C31-474B-9749-74AA45DB3090}"/>
    <cellStyle name="Percent 2 6 2" xfId="507" xr:uid="{407EA89F-A5C5-4236-BC84-9276C3B88C33}"/>
    <cellStyle name="Percent 2 7" xfId="441" xr:uid="{E2C5C614-BCCF-4F42-A661-5D1BB072CBDF}"/>
    <cellStyle name="Percent 2 8" xfId="60" xr:uid="{BCA1537A-9DF3-4F9E-9C67-B567101EC771}"/>
    <cellStyle name="Percent 3" xfId="279" xr:uid="{1952E2F2-AE43-4ABF-8892-EBFA069984C0}"/>
    <cellStyle name="Percent 4" xfId="280" xr:uid="{00A37DF6-D4D4-4D75-B15A-0DFBD3AD2151}"/>
    <cellStyle name="Percent 5" xfId="281" xr:uid="{328AC080-9463-49FD-B0B4-75839E29BED6}"/>
    <cellStyle name="Percent 5 2" xfId="414" xr:uid="{F7D1B4E6-CAA0-42F9-9C20-90FB892D392A}"/>
    <cellStyle name="Percent 5 2 2" xfId="535" xr:uid="{38D078F8-D051-45FF-BCEB-B82E584F9103}"/>
    <cellStyle name="Percent 5 3" xfId="493" xr:uid="{4390D24A-AFA4-4C0A-A69B-E3563E29369A}"/>
    <cellStyle name="Percent 6" xfId="367" xr:uid="{C4A8AD0A-FF80-4904-A604-C57F5C987BF1}"/>
    <cellStyle name="Percent 7" xfId="382" xr:uid="{68014CD6-2EAC-4290-881E-06ACD79EDF81}"/>
    <cellStyle name="Percent 7 2" xfId="503" xr:uid="{0B124951-F36F-473F-B8B6-225A39F46559}"/>
    <cellStyle name="Percent 8" xfId="439" xr:uid="{B56955C5-86FA-4AFC-829A-5327B245E9C9}"/>
    <cellStyle name="Percent 9" xfId="634" xr:uid="{BDDB727B-2AD8-44DF-B15C-EC84EFBD3DBA}"/>
    <cellStyle name="Price" xfId="282" xr:uid="{33C123E6-1C2A-4081-8B22-6AD64CA85F56}"/>
    <cellStyle name="producto" xfId="283" xr:uid="{42E51560-A13E-434D-8A15-7593432EE5C9}"/>
    <cellStyle name="s" xfId="284" xr:uid="{67132AEC-3D3A-4472-A412-5EDD42CCDDB9}"/>
    <cellStyle name="s_B" xfId="285" xr:uid="{BF461709-6622-4125-9915-0CBDE9E7695D}"/>
    <cellStyle name="s_Bal Sheets" xfId="286" xr:uid="{978A77DE-BD43-45C1-B9C3-49BB98991E73}"/>
    <cellStyle name="s_Bal Sheets_1" xfId="287" xr:uid="{67238FA2-1FAF-4FD1-899E-BC0DE6C81BDD}"/>
    <cellStyle name="s_Bal Sheets_2" xfId="288" xr:uid="{54918DA0-2366-4D0A-BF77-8B8A8734DEED}"/>
    <cellStyle name="s_Credit (2)" xfId="289" xr:uid="{4A7BC18C-0C57-46CD-9CA5-EEB92AE1329C}"/>
    <cellStyle name="s_Credit (2)_1" xfId="290" xr:uid="{99C3548D-4E70-4D90-97BC-FB3D62641828}"/>
    <cellStyle name="s_Credit (2)_2" xfId="291" xr:uid="{1881AAD6-2829-449C-9877-6BD3C46D5D8F}"/>
    <cellStyle name="s_Earnings" xfId="292" xr:uid="{E6164054-E9D9-469D-8B27-935FD579F82D}"/>
    <cellStyle name="s_Earnings (2)" xfId="293" xr:uid="{C4A2E880-A071-42BD-9AD0-D15BDC98996E}"/>
    <cellStyle name="s_Earnings (2)_1" xfId="294" xr:uid="{11FC4AEC-68CD-41B1-9ACC-DBC69797FDF3}"/>
    <cellStyle name="s_Earnings_1" xfId="295" xr:uid="{66026D44-D405-4568-BA6F-69BAA95C15E2}"/>
    <cellStyle name="s_finsumm" xfId="296" xr:uid="{B627C96A-E0BB-469E-A5C6-49784128DEF7}"/>
    <cellStyle name="s_finsumm_1" xfId="297" xr:uid="{324C478D-04DF-4F7D-9898-89C12A9F4D71}"/>
    <cellStyle name="s_finsumm_2" xfId="298" xr:uid="{19AEE0D5-0811-45C6-9C0B-F1226D190CF4}"/>
    <cellStyle name="s_GoroWipTax-to2050_fromCo_Oct21_99" xfId="299" xr:uid="{4C5FC7FD-3D89-44B8-97DA-A015F2E42FB1}"/>
    <cellStyle name="s_Hist Inputs (2)" xfId="300" xr:uid="{697990AA-A37F-4D71-ABE5-8193F1346F3A}"/>
    <cellStyle name="s_Hist Inputs (2)_1" xfId="301" xr:uid="{945EFF0A-FB32-454F-8A5C-2B0B52A7D0DD}"/>
    <cellStyle name="s_IEL_finsumm" xfId="302" xr:uid="{4DB8E110-314E-43DC-BB3E-0BDB659272BF}"/>
    <cellStyle name="s_IEL_finsumm_1" xfId="303" xr:uid="{DF9278DB-E14A-446C-ABA1-36B5E5952894}"/>
    <cellStyle name="s_IEL_finsumm_2" xfId="304" xr:uid="{EAB58548-7CF5-40DA-ACC4-493E85C08F4B}"/>
    <cellStyle name="s_IEL_finsumm1" xfId="305" xr:uid="{C4CF08AC-FCF8-43A2-92A6-2C6B058E14BB}"/>
    <cellStyle name="s_IEL_finsumm1_1" xfId="306" xr:uid="{7F5F6151-43AF-4AB0-AAA7-67C91C6E928D}"/>
    <cellStyle name="s_IEL_finsumm1_2" xfId="307" xr:uid="{510C4EE8-BABA-48E0-BE9A-1A0FF3F7DE86}"/>
    <cellStyle name="s_Lbo" xfId="308" xr:uid="{82CC1DEB-8B65-4996-BCDC-53AE31C61635}"/>
    <cellStyle name="s_LBO Summary" xfId="309" xr:uid="{E145D018-C82A-4063-B3C6-32589201860F}"/>
    <cellStyle name="s_LBO Summary_1" xfId="310" xr:uid="{C1A9A708-2A5E-4BB4-B4BD-99786340BC23}"/>
    <cellStyle name="s_LBO Summary_2" xfId="311" xr:uid="{E154E1DE-03CB-4191-8485-C3737A6CA5C2}"/>
    <cellStyle name="s_Lbo_1" xfId="312" xr:uid="{F34B062B-2C64-4010-859C-6DE10115CB27}"/>
    <cellStyle name="s_rvr_analysis_andrew" xfId="313" xr:uid="{22D14F0B-C33C-4AE2-9F53-2D5988F5D3DF}"/>
    <cellStyle name="s_Schedules" xfId="314" xr:uid="{B551ADF1-D152-4A45-8229-367D0FC49EDC}"/>
    <cellStyle name="s_Schedules_1" xfId="315" xr:uid="{EC8F1F76-C331-44AB-BF55-9B98F4E4446D}"/>
    <cellStyle name="s_Trans Assump" xfId="316" xr:uid="{0F987150-4819-428D-8081-A3153EE2140C}"/>
    <cellStyle name="s_Trans Assump (2)" xfId="317" xr:uid="{88ADC6B3-D05B-4B8A-BF54-A138897F5DC2}"/>
    <cellStyle name="s_Trans Assump (2)_1" xfId="318" xr:uid="{6598876C-F7E8-43B6-9233-8DF1919247F2}"/>
    <cellStyle name="s_Trans Assump_1" xfId="319" xr:uid="{CDE50CBD-18A0-4009-858C-602BF2074C87}"/>
    <cellStyle name="s_Trans Sum" xfId="320" xr:uid="{EFB6E650-0871-4A54-88C4-DE9DBF934C91}"/>
    <cellStyle name="s_Trans Sum_1" xfId="321" xr:uid="{BB05A174-143E-47DC-AA13-2B42E637EA6D}"/>
    <cellStyle name="s_Unit Price Sen. (2)" xfId="322" xr:uid="{8C6F35E1-7CA1-4C8C-892C-383492FDC057}"/>
    <cellStyle name="s_Unit Price Sen. (2)_1" xfId="323" xr:uid="{19643FB9-E540-4BC1-B88E-A65B5DFC061D}"/>
    <cellStyle name="s_Unit Price Sen. (2)_2" xfId="324" xr:uid="{0B032C68-2BE8-4EFE-80D3-3BCA201F9160}"/>
    <cellStyle name="SAPBorder" xfId="325" xr:uid="{6DE5642D-3072-4BA6-9CA0-7D739A09AAE6}"/>
    <cellStyle name="SAPDataCell" xfId="326" xr:uid="{B7091576-A5CB-4E0A-9EBD-0C0346786EB8}"/>
    <cellStyle name="SAPDataCell 2" xfId="327" xr:uid="{7973CB5C-F2A0-4E5E-97D4-D9278BCCEEB7}"/>
    <cellStyle name="SAPDataTotalCell" xfId="328" xr:uid="{F94A3586-A2BA-4E76-97DC-5DD41C677663}"/>
    <cellStyle name="SAPDataTotalCell 2" xfId="329" xr:uid="{A2E61BC2-0ACE-4B45-BBF2-EEFC01101E6F}"/>
    <cellStyle name="SAPDimensionCell" xfId="330" xr:uid="{14BE141C-B921-4C07-AE14-F9771A09A6E9}"/>
    <cellStyle name="SAPDimensionCell 2" xfId="331" xr:uid="{BAF65E39-C6E4-480F-91AD-92E0C9F06B63}"/>
    <cellStyle name="SAPEditableDataCell" xfId="332" xr:uid="{B48587EC-6500-46B4-8558-1DE27CD8C2E8}"/>
    <cellStyle name="SAPEditableDataTotalCell" xfId="333" xr:uid="{C1D7B5A4-482B-4FAF-A46A-7E2DC95B10EE}"/>
    <cellStyle name="SAPEmphasized" xfId="334" xr:uid="{38145E24-DDF9-4714-BD3B-4AD90A69A1DF}"/>
    <cellStyle name="SAPExceptionLevel1" xfId="335" xr:uid="{95E6A360-EF25-4503-9504-8B1AC84FC441}"/>
    <cellStyle name="SAPExceptionLevel2" xfId="336" xr:uid="{F7466104-B637-4579-89DF-7DF1C5856E9E}"/>
    <cellStyle name="SAPExceptionLevel3" xfId="337" xr:uid="{A5746434-DB9E-4813-85DE-3EF909FA830B}"/>
    <cellStyle name="SAPExceptionLevel4" xfId="338" xr:uid="{ABD7C649-DD30-414E-B78B-D70ABF106034}"/>
    <cellStyle name="SAPExceptionLevel5" xfId="339" xr:uid="{4A5A0E80-428E-42A0-984B-4E6C0BDC7C9C}"/>
    <cellStyle name="SAPExceptionLevel6" xfId="340" xr:uid="{F3032D4F-EB79-45F8-8FDD-ECC248F7DBE2}"/>
    <cellStyle name="SAPExceptionLevel7" xfId="341" xr:uid="{FA56C885-5E21-471E-8166-5F4100CA341E}"/>
    <cellStyle name="SAPExceptionLevel8" xfId="342" xr:uid="{3327A949-0D92-416A-962B-E3F759CFF87E}"/>
    <cellStyle name="SAPExceptionLevel9" xfId="343" xr:uid="{412B2DF9-91E6-41FF-86FC-E5F557D8536E}"/>
    <cellStyle name="SAPHierarchyCell0" xfId="344" xr:uid="{EE1E15AD-8FD7-4A52-A2A5-B2701E46DBB4}"/>
    <cellStyle name="SAPHierarchyCell1" xfId="345" xr:uid="{C110CCDF-D8EA-4361-9C45-44DAD92BF946}"/>
    <cellStyle name="SAPHierarchyCell2" xfId="346" xr:uid="{DD96DC5B-355C-483B-9C9A-8BA9BD1FE61C}"/>
    <cellStyle name="SAPHierarchyCell3" xfId="347" xr:uid="{3CADC86F-22FE-4BB5-86B6-AB55AA10AE15}"/>
    <cellStyle name="SAPHierarchyCell4" xfId="348" xr:uid="{0D4D27A1-DC1D-4EAD-9137-EA1BEC277936}"/>
    <cellStyle name="SAPLockedDataCell" xfId="349" xr:uid="{CAF06EC4-9BAC-41CD-916F-8B232266709F}"/>
    <cellStyle name="SAPLockedDataTotalCell" xfId="350" xr:uid="{CD8B4A2A-B50A-49C7-989E-2BEC7288A1B7}"/>
    <cellStyle name="SAPMemberCell" xfId="58" xr:uid="{A6974D23-0FC5-40C5-8328-3FC44C78ED54}"/>
    <cellStyle name="SAPMemberCell 2" xfId="351" xr:uid="{6D474834-71C0-4943-A5AD-03A0E8183426}"/>
    <cellStyle name="SAPMemberTotalCell" xfId="352" xr:uid="{86E4F92E-E372-40AB-9511-19431A101D1B}"/>
    <cellStyle name="SAPMemberTotalCell 2" xfId="353" xr:uid="{A1A699C0-8572-4966-8384-34D79C6E247F}"/>
    <cellStyle name="SAPReadonlyDataCell" xfId="354" xr:uid="{90148F43-D8E5-471F-A9FE-D3C1B623685F}"/>
    <cellStyle name="SAPReadonlyDataTotalCell" xfId="355" xr:uid="{E4ACDC4B-987C-4BC2-8ED2-8409CE76FB30}"/>
    <cellStyle name="Standard_UB Power - Steuern" xfId="356" xr:uid="{A412B870-7047-4321-B51D-9AE5BB9987BA}"/>
    <cellStyle name="STYLE1" xfId="357" xr:uid="{AC6EA8BA-9999-473F-AF41-0CF813B2D365}"/>
    <cellStyle name="STYLE2" xfId="358" xr:uid="{5E99CFE5-1D4D-4FE6-9EC5-BD361258F88D}"/>
    <cellStyle name="t" xfId="359" xr:uid="{2F31FB03-9A97-4AFD-AA72-04FB4B42279B}"/>
    <cellStyle name="Title 2" xfId="360" xr:uid="{27E8091D-7745-475C-B236-92C918DB69D5}"/>
    <cellStyle name="Title 3" xfId="371" xr:uid="{BB1CD511-75A8-4C80-9E7B-4828096DC841}"/>
    <cellStyle name="Total" xfId="35" builtinId="25" customBuiltin="1"/>
    <cellStyle name="Total 2" xfId="361" xr:uid="{1066C30A-7752-41C6-984D-3CD67097F46B}"/>
    <cellStyle name="Warning Text" xfId="33" builtinId="11" customBuiltin="1"/>
    <cellStyle name="Warning Text 2" xfId="362" xr:uid="{3963A865-31A1-4F19-80E2-047728257F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TINAS%20FILES\Cases\Kentucky\KY%20American%20Water\Exhibit_JD-1%20KAWC.xlsx" TargetMode="External"/><Relationship Id="rId1" Type="http://schemas.openxmlformats.org/officeDocument/2006/relationships/externalLinkPath" Target="file:///C:\TINAS%20FILES\Cases\Kentucky\KY%20American%20Water\Exhibit_JD-1%20KAW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A"/>
      <sheetName val="B"/>
      <sheetName val="CWC"/>
      <sheetName val="plant"/>
      <sheetName val="C"/>
      <sheetName val="C p2"/>
      <sheetName val="Payroll"/>
      <sheetName val="Incentive Comp"/>
      <sheetName val="ESPP"/>
      <sheetName val="UFW"/>
      <sheetName val="Rate Case Exp"/>
      <sheetName val="Bus Dev"/>
      <sheetName val="Investor Rel"/>
      <sheetName val="401(k)"/>
      <sheetName val="FPP"/>
      <sheetName val="Growth Factor"/>
      <sheetName val="Healthcare"/>
      <sheetName val="Dues"/>
      <sheetName val="Payroll Tax"/>
      <sheetName val="Benefits"/>
      <sheetName val="Depreciation"/>
      <sheetName val="Prop Tax"/>
      <sheetName val="Inc Tax"/>
      <sheetName val="Int Sync"/>
      <sheetName val="D"/>
      <sheetName val="SummaryWP"/>
    </sheetNames>
    <sheetDataSet>
      <sheetData sheetId="0" refreshError="1"/>
      <sheetData sheetId="1">
        <row r="1">
          <cell r="H1" t="str">
            <v>Case No. 2025-00122</v>
          </cell>
        </row>
        <row r="2">
          <cell r="H2" t="str">
            <v>Exhibit JD-1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5C47-90B7-4A95-8D4B-AFEB85D08560}">
  <dimension ref="A1:C36"/>
  <sheetViews>
    <sheetView topLeftCell="A30" workbookViewId="0">
      <selection activeCell="C43" sqref="C43"/>
    </sheetView>
  </sheetViews>
  <sheetFormatPr defaultRowHeight="14.4"/>
  <cols>
    <col min="1" max="1" width="20" customWidth="1"/>
    <col min="2" max="2" width="5.44140625" customWidth="1"/>
    <col min="3" max="3" width="56.44140625" customWidth="1"/>
  </cols>
  <sheetData>
    <row r="1" spans="1:3" ht="15.6">
      <c r="A1" s="213" t="s">
        <v>213</v>
      </c>
      <c r="B1" s="213"/>
      <c r="C1" s="213"/>
    </row>
    <row r="2" spans="1:3" ht="15.6">
      <c r="A2" s="213" t="s">
        <v>214</v>
      </c>
      <c r="B2" s="213"/>
      <c r="C2" s="213"/>
    </row>
    <row r="3" spans="1:3" ht="15.6">
      <c r="A3" s="213" t="s">
        <v>216</v>
      </c>
      <c r="B3" s="213"/>
      <c r="C3" s="213"/>
    </row>
    <row r="4" spans="1:3" ht="15.6">
      <c r="A4" s="13"/>
      <c r="B4" s="13"/>
      <c r="C4" s="13"/>
    </row>
    <row r="5" spans="1:3" ht="15.6">
      <c r="A5" s="214" t="s">
        <v>115</v>
      </c>
      <c r="B5" s="214"/>
      <c r="C5" s="214"/>
    </row>
    <row r="6" spans="1:3" ht="15.6">
      <c r="A6" s="213" t="s">
        <v>3</v>
      </c>
      <c r="B6" s="213"/>
      <c r="C6" s="213"/>
    </row>
    <row r="7" spans="1:3" ht="15.6">
      <c r="A7" s="213"/>
      <c r="B7" s="213"/>
      <c r="C7" s="213"/>
    </row>
    <row r="8" spans="1:3" ht="15.6">
      <c r="A8" s="213" t="s">
        <v>2</v>
      </c>
      <c r="B8" s="213"/>
      <c r="C8" s="213"/>
    </row>
    <row r="9" spans="1:3" ht="15.6">
      <c r="A9" s="1"/>
      <c r="B9" s="1"/>
      <c r="C9" s="1"/>
    </row>
    <row r="10" spans="1:3" ht="15.6">
      <c r="A10" s="12" t="s">
        <v>0</v>
      </c>
      <c r="B10" s="12"/>
      <c r="C10" s="12" t="s">
        <v>1</v>
      </c>
    </row>
    <row r="11" spans="1:3" ht="15.6">
      <c r="A11" s="1"/>
      <c r="B11" s="1"/>
      <c r="C11" s="1"/>
    </row>
    <row r="12" spans="1:3" ht="15.6">
      <c r="A12" s="1" t="str">
        <f>A!H3</f>
        <v>Schedule A</v>
      </c>
      <c r="B12" s="1"/>
      <c r="C12" s="1" t="str">
        <f>A!A4</f>
        <v>Overall Financial Summary</v>
      </c>
    </row>
    <row r="13" spans="1:3" ht="15.6">
      <c r="A13" s="1"/>
      <c r="B13" s="1"/>
      <c r="C13" s="1"/>
    </row>
    <row r="14" spans="1:3" ht="15.6">
      <c r="A14" s="1" t="str">
        <f>B!E3</f>
        <v>Schedule B</v>
      </c>
      <c r="B14" s="1"/>
      <c r="C14" s="1" t="str">
        <f>B!A4</f>
        <v xml:space="preserve">Rate Base </v>
      </c>
    </row>
    <row r="15" spans="1:3" ht="15.6">
      <c r="A15" s="1" t="str">
        <f>CWC!J3</f>
        <v>Schedule B-1</v>
      </c>
      <c r="B15" s="1"/>
      <c r="C15" s="1" t="s">
        <v>56</v>
      </c>
    </row>
    <row r="16" spans="1:3" ht="15.6">
      <c r="A16" s="1"/>
      <c r="B16" s="1"/>
      <c r="C16" s="1"/>
    </row>
    <row r="17" spans="1:3" ht="15.6">
      <c r="A17" s="1" t="str">
        <f>'C'!E3</f>
        <v>Schedule C</v>
      </c>
      <c r="B17" s="1"/>
      <c r="C17" s="1" t="str">
        <f>'C'!A4</f>
        <v>Operating Income</v>
      </c>
    </row>
    <row r="18" spans="1:3" ht="15.6">
      <c r="A18" s="1" t="str">
        <f>Payroll!F3</f>
        <v>Schedule C-1</v>
      </c>
      <c r="B18" s="1"/>
      <c r="C18" s="1" t="str">
        <f>Payroll!A4</f>
        <v>Payroll Expense</v>
      </c>
    </row>
    <row r="19" spans="1:3" ht="15.6">
      <c r="A19" s="1" t="str">
        <f>OT!F3</f>
        <v>Schedule C-2</v>
      </c>
      <c r="B19" s="1"/>
      <c r="C19" s="1" t="str">
        <f>OT!A4</f>
        <v>Overtime Expense</v>
      </c>
    </row>
    <row r="20" spans="1:3" ht="15.6">
      <c r="A20" s="1" t="str">
        <f>'Incentive Comp'!G3</f>
        <v>Schedule C-3</v>
      </c>
      <c r="B20" s="1"/>
      <c r="C20" s="1" t="str">
        <f>'Incentive Comp'!A4</f>
        <v xml:space="preserve">Incentive Compensation </v>
      </c>
    </row>
    <row r="21" spans="1:3" ht="15.6">
      <c r="A21" s="1" t="str">
        <f>ESPP!F3</f>
        <v>Schedule C-4</v>
      </c>
      <c r="B21" s="1"/>
      <c r="C21" s="1" t="str">
        <f>ESPP!A4</f>
        <v>Employee Stock Purchase Plan Discount</v>
      </c>
    </row>
    <row r="22" spans="1:3" ht="15.6">
      <c r="A22" s="1" t="str">
        <f>Severance!F3</f>
        <v>Schedule C-5</v>
      </c>
      <c r="B22" s="1"/>
      <c r="C22" s="1" t="str">
        <f>Severance!A4</f>
        <v>Severance Expense</v>
      </c>
    </row>
    <row r="23" spans="1:3" ht="15.6">
      <c r="A23" s="1" t="str">
        <f>Temp!F3</f>
        <v>Schedule C-6</v>
      </c>
      <c r="B23" s="1"/>
      <c r="C23" s="1" t="str">
        <f>Temp!A4</f>
        <v>Temporary Help</v>
      </c>
    </row>
    <row r="24" spans="1:3" ht="15.6">
      <c r="A24" s="1" t="str">
        <f>UFW!F3</f>
        <v>Schedule C-7</v>
      </c>
      <c r="B24" s="1"/>
      <c r="C24" s="1" t="str">
        <f>UFW!A4</f>
        <v>Unaccounted For Water</v>
      </c>
    </row>
    <row r="25" spans="1:3" ht="15.6">
      <c r="A25" s="1" t="str">
        <f>'Rate Case Exp'!F3</f>
        <v>Schedule C-8</v>
      </c>
      <c r="B25" s="1"/>
      <c r="C25" s="1" t="str">
        <f>'Rate Case Exp'!A4</f>
        <v>Rate Case Expense</v>
      </c>
    </row>
    <row r="26" spans="1:3" ht="15.6">
      <c r="A26" s="1" t="str">
        <f>'Bus Dev'!F3</f>
        <v>Schedule C-9</v>
      </c>
      <c r="B26" s="1"/>
      <c r="C26" s="1" t="str">
        <f>'Bus Dev'!A4</f>
        <v>Business Development Expense</v>
      </c>
    </row>
    <row r="27" spans="1:3" ht="15.6">
      <c r="A27" s="1" t="str">
        <f>BOD!F3</f>
        <v>Schedule C-10</v>
      </c>
      <c r="B27" s="1"/>
      <c r="C27" s="1" t="str">
        <f>BOD!A4</f>
        <v>Board of Directors Expense</v>
      </c>
    </row>
    <row r="28" spans="1:3" ht="15.6">
      <c r="A28" s="1" t="str">
        <f>'401(k)'!F3</f>
        <v>Schedule C-11</v>
      </c>
      <c r="B28" s="1"/>
      <c r="C28" s="1" t="str">
        <f>'401(k)'!A4</f>
        <v>401(k) Expense</v>
      </c>
    </row>
    <row r="29" spans="1:3" ht="15.6">
      <c r="A29" s="1" t="str">
        <f>Lobbying!F3</f>
        <v>Schedule C-12</v>
      </c>
      <c r="B29" s="1"/>
      <c r="C29" s="1" t="str">
        <f>Lobbying!A4</f>
        <v>Lobbying Expense</v>
      </c>
    </row>
    <row r="30" spans="1:3" ht="15.6">
      <c r="A30" s="1" t="str">
        <f>Dues!F3</f>
        <v>Schedule C-13</v>
      </c>
      <c r="B30" s="1"/>
      <c r="C30" s="1" t="str">
        <f>Dues!A4</f>
        <v>Membership Dues</v>
      </c>
    </row>
    <row r="31" spans="1:3" ht="15.6">
      <c r="A31" s="1" t="str">
        <f>Benefits!F3</f>
        <v>Schedule C-14</v>
      </c>
      <c r="B31" s="1"/>
      <c r="C31" s="1" t="str">
        <f>Benefits!A4</f>
        <v>Benefits Expense</v>
      </c>
    </row>
    <row r="32" spans="1:3" ht="15.6">
      <c r="A32" s="1" t="str">
        <f>'Payroll Tax'!F3</f>
        <v>Schedule C-15</v>
      </c>
      <c r="B32" s="1"/>
      <c r="C32" s="1" t="str">
        <f>'Payroll Tax'!A4</f>
        <v>Payroll Tax</v>
      </c>
    </row>
    <row r="33" spans="1:3" ht="15.6">
      <c r="A33" s="1" t="str">
        <f>'Inc Tax'!G3</f>
        <v>Schedule C-16</v>
      </c>
      <c r="B33" s="1"/>
      <c r="C33" s="1" t="str">
        <f>'Inc Tax'!A4</f>
        <v>Income Tax Expense</v>
      </c>
    </row>
    <row r="34" spans="1:3" ht="15.6">
      <c r="A34" s="1" t="str">
        <f>'Int synch '!F3</f>
        <v>Schedule C-17</v>
      </c>
      <c r="B34" s="1"/>
      <c r="C34" s="1" t="str">
        <f>'Int synch '!A4</f>
        <v>Interest Synchronization</v>
      </c>
    </row>
    <row r="35" spans="1:3" ht="15.6">
      <c r="A35" s="29"/>
      <c r="B35" s="66"/>
      <c r="C35" s="29"/>
    </row>
    <row r="36" spans="1:3" ht="15.6">
      <c r="A36" s="1" t="str">
        <f>D!I3</f>
        <v>Schedule D</v>
      </c>
      <c r="B36" s="1"/>
      <c r="C36" s="1" t="str">
        <f>D!A4</f>
        <v xml:space="preserve">Rate of Return </v>
      </c>
    </row>
  </sheetData>
  <mergeCells count="7">
    <mergeCell ref="A8:C8"/>
    <mergeCell ref="A1:C1"/>
    <mergeCell ref="A2:C2"/>
    <mergeCell ref="A3:C3"/>
    <mergeCell ref="A7:C7"/>
    <mergeCell ref="A6:C6"/>
    <mergeCell ref="A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C98B-EC85-4CD1-AE41-34BAACF35906}">
  <sheetPr>
    <pageSetUpPr fitToPage="1"/>
  </sheetPr>
  <dimension ref="A1:F30"/>
  <sheetViews>
    <sheetView workbookViewId="0">
      <selection activeCell="C13" sqref="C13:C15"/>
    </sheetView>
  </sheetViews>
  <sheetFormatPr defaultRowHeight="14.4"/>
  <cols>
    <col min="2" max="2" width="3" customWidth="1"/>
    <col min="3" max="3" width="41.109375" customWidth="1"/>
    <col min="4" max="4" width="19.6640625" customWidth="1"/>
    <col min="5" max="5" width="3.33203125" customWidth="1"/>
    <col min="6" max="6" width="22.4414062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67</v>
      </c>
    </row>
    <row r="4" spans="1:6" ht="15.6">
      <c r="A4" s="36" t="s">
        <v>193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">
      <c r="A11" s="13">
        <v>1</v>
      </c>
      <c r="B11" s="1"/>
      <c r="C11" s="1" t="s">
        <v>58</v>
      </c>
      <c r="D11" s="17">
        <v>49477</v>
      </c>
      <c r="E11" s="17"/>
      <c r="F11" s="160" t="s">
        <v>232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320</v>
      </c>
      <c r="D13" s="18">
        <v>0</v>
      </c>
      <c r="E13" s="17"/>
      <c r="F13" s="147" t="s">
        <v>87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-49477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3"/>
    </row>
    <row r="17" spans="1:6" ht="15.6">
      <c r="A17" s="31"/>
      <c r="B17" s="36"/>
      <c r="C17" s="36"/>
      <c r="D17" s="36"/>
      <c r="E17" s="36"/>
      <c r="F17" s="34"/>
    </row>
    <row r="18" spans="1:6" ht="15.6">
      <c r="A18" s="31"/>
      <c r="B18" s="36"/>
      <c r="C18" s="36"/>
      <c r="D18" s="36"/>
      <c r="E18" s="36"/>
      <c r="F18" s="34"/>
    </row>
    <row r="19" spans="1:6" ht="15.6">
      <c r="A19" s="31"/>
      <c r="B19" s="36"/>
      <c r="C19" s="36"/>
      <c r="D19" s="36"/>
      <c r="E19" s="36"/>
      <c r="F19" s="34"/>
    </row>
    <row r="29" spans="1:6" ht="15.6">
      <c r="A29" s="1"/>
      <c r="B29" s="1"/>
      <c r="C29" s="17"/>
      <c r="D29" s="1"/>
      <c r="E29" s="1"/>
      <c r="F29" s="1"/>
    </row>
    <row r="30" spans="1:6" ht="15.6">
      <c r="A30" s="45"/>
      <c r="B30" s="1"/>
      <c r="C30" s="17"/>
      <c r="D30" s="1"/>
      <c r="E30" s="1"/>
      <c r="F30" s="1"/>
    </row>
  </sheetData>
  <pageMargins left="0.7" right="0.7" top="0.75" bottom="0.75" header="0.3" footer="0.3"/>
  <pageSetup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44F4-377B-482E-9837-3368D84C2451}">
  <sheetPr>
    <pageSetUpPr fitToPage="1"/>
  </sheetPr>
  <dimension ref="A1:F19"/>
  <sheetViews>
    <sheetView workbookViewId="0">
      <selection activeCell="C13" sqref="C13:C15"/>
    </sheetView>
  </sheetViews>
  <sheetFormatPr defaultRowHeight="14.4"/>
  <cols>
    <col min="2" max="2" width="3" customWidth="1"/>
    <col min="3" max="3" width="41.109375" customWidth="1"/>
    <col min="4" max="4" width="19.6640625" customWidth="1"/>
    <col min="5" max="5" width="2.44140625" customWidth="1"/>
    <col min="6" max="6" width="22.4414062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68</v>
      </c>
    </row>
    <row r="4" spans="1:6" ht="15.6">
      <c r="A4" s="36" t="s">
        <v>227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">
      <c r="A11" s="13">
        <v>1</v>
      </c>
      <c r="B11" s="1"/>
      <c r="C11" s="1" t="s">
        <v>58</v>
      </c>
      <c r="D11" s="17">
        <v>100447</v>
      </c>
      <c r="E11" s="17"/>
      <c r="F11" s="160" t="s">
        <v>233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320</v>
      </c>
      <c r="D13" s="18">
        <v>0</v>
      </c>
      <c r="E13" s="17"/>
      <c r="F13" s="147" t="s">
        <v>87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-100447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3"/>
    </row>
    <row r="17" spans="1:6" ht="15.6">
      <c r="A17" s="31"/>
      <c r="B17" s="36"/>
      <c r="C17" s="36"/>
      <c r="D17" s="36"/>
      <c r="E17" s="36"/>
      <c r="F17" s="34"/>
    </row>
    <row r="18" spans="1:6" ht="15.6">
      <c r="A18" s="31"/>
      <c r="B18" s="36"/>
      <c r="C18" s="36"/>
      <c r="D18" s="36"/>
      <c r="E18" s="36"/>
      <c r="F18" s="34"/>
    </row>
    <row r="19" spans="1:6" ht="15.6">
      <c r="A19" s="31"/>
      <c r="B19" s="36"/>
      <c r="C19" s="36"/>
      <c r="D19" s="36"/>
      <c r="E19" s="36"/>
      <c r="F19" s="34"/>
    </row>
  </sheetData>
  <pageMargins left="0.7" right="0.7" top="0.75" bottom="0.75" header="0.3" footer="0.3"/>
  <pageSetup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EA5D-AAD1-406E-86F7-9CD069D6C0E6}">
  <sheetPr>
    <pageSetUpPr fitToPage="1"/>
  </sheetPr>
  <dimension ref="A1:F23"/>
  <sheetViews>
    <sheetView topLeftCell="A13" workbookViewId="0">
      <selection activeCell="C13" sqref="C13:C15"/>
    </sheetView>
  </sheetViews>
  <sheetFormatPr defaultRowHeight="14.4"/>
  <cols>
    <col min="2" max="2" width="3" customWidth="1"/>
    <col min="3" max="3" width="41.109375" customWidth="1"/>
    <col min="4" max="4" width="19.6640625" customWidth="1"/>
    <col min="5" max="5" width="3.5546875" customWidth="1"/>
    <col min="6" max="6" width="24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70</v>
      </c>
    </row>
    <row r="4" spans="1:6" ht="15.6">
      <c r="A4" s="36" t="s">
        <v>228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">
      <c r="A11" s="13">
        <v>1</v>
      </c>
      <c r="B11" s="1"/>
      <c r="C11" s="1" t="s">
        <v>58</v>
      </c>
      <c r="D11" s="17">
        <v>200757</v>
      </c>
      <c r="E11" s="17"/>
      <c r="F11" s="160" t="s">
        <v>261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320</v>
      </c>
      <c r="D13" s="18">
        <f>D23</f>
        <v>99948.800000000003</v>
      </c>
      <c r="E13" s="17"/>
      <c r="F13" s="147" t="s">
        <v>231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-100808.2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"/>
    </row>
    <row r="17" spans="1:6" ht="15.6">
      <c r="A17" s="31"/>
      <c r="B17" s="36"/>
      <c r="C17" s="36"/>
      <c r="D17" s="36"/>
      <c r="E17" s="36"/>
      <c r="F17" s="34"/>
    </row>
    <row r="18" spans="1:6" ht="45">
      <c r="A18" s="31">
        <v>4</v>
      </c>
      <c r="B18" s="36"/>
      <c r="C18" s="36">
        <v>2021</v>
      </c>
      <c r="D18" s="35">
        <v>46146</v>
      </c>
      <c r="E18" s="36"/>
      <c r="F18" s="160" t="s">
        <v>261</v>
      </c>
    </row>
    <row r="19" spans="1:6" ht="45">
      <c r="A19" s="31">
        <v>5</v>
      </c>
      <c r="B19" s="36"/>
      <c r="C19" s="1">
        <v>2022</v>
      </c>
      <c r="D19" s="17">
        <v>58939</v>
      </c>
      <c r="E19" s="1"/>
      <c r="F19" s="160" t="s">
        <v>261</v>
      </c>
    </row>
    <row r="20" spans="1:6" ht="45">
      <c r="A20" s="31">
        <v>6</v>
      </c>
      <c r="C20" s="1">
        <v>2023</v>
      </c>
      <c r="D20" s="17">
        <v>120117</v>
      </c>
      <c r="E20" s="1"/>
      <c r="F20" s="160" t="s">
        <v>261</v>
      </c>
    </row>
    <row r="21" spans="1:6" ht="45">
      <c r="A21" s="31">
        <v>7</v>
      </c>
      <c r="C21" s="36">
        <v>2024</v>
      </c>
      <c r="D21" s="35">
        <v>84343</v>
      </c>
      <c r="E21" s="36"/>
      <c r="F21" s="160" t="s">
        <v>261</v>
      </c>
    </row>
    <row r="22" spans="1:6" ht="45">
      <c r="A22" s="31">
        <v>8</v>
      </c>
      <c r="C22" s="36">
        <v>2025</v>
      </c>
      <c r="D22" s="109">
        <v>190199</v>
      </c>
      <c r="E22" s="36"/>
      <c r="F22" s="160" t="s">
        <v>261</v>
      </c>
    </row>
    <row r="23" spans="1:6" ht="15.6">
      <c r="A23" s="31">
        <v>9</v>
      </c>
      <c r="C23" s="1" t="s">
        <v>307</v>
      </c>
      <c r="D23" s="17">
        <f>AVERAGE(D18:D22)</f>
        <v>99948.800000000003</v>
      </c>
      <c r="E23" s="1"/>
    </row>
  </sheetData>
  <pageMargins left="0.7" right="0.7" top="0.75" bottom="0.75" header="0.3" footer="0.3"/>
  <pageSetup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29FD-63B6-4E8B-A5E8-B39026C45821}">
  <sheetPr>
    <pageSetUpPr fitToPage="1"/>
  </sheetPr>
  <dimension ref="A1:F65"/>
  <sheetViews>
    <sheetView workbookViewId="0">
      <selection activeCell="C11" sqref="C11"/>
    </sheetView>
  </sheetViews>
  <sheetFormatPr defaultRowHeight="14.4"/>
  <cols>
    <col min="2" max="2" width="3" customWidth="1"/>
    <col min="3" max="3" width="39.88671875" customWidth="1"/>
    <col min="4" max="4" width="22.6640625" customWidth="1"/>
    <col min="5" max="5" width="11.6640625" customWidth="1"/>
    <col min="6" max="6" width="25.88671875" customWidth="1"/>
    <col min="7" max="7" width="20.3320312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73</v>
      </c>
    </row>
    <row r="4" spans="1:6" ht="15.6">
      <c r="A4" s="36" t="s">
        <v>119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A6" s="28"/>
      <c r="B6" s="36"/>
      <c r="C6" s="36"/>
      <c r="D6" s="36"/>
      <c r="E6" s="36"/>
      <c r="F6" s="1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16.2" thickBot="1">
      <c r="A11" s="13">
        <v>1</v>
      </c>
      <c r="B11" s="1"/>
      <c r="C11" s="1" t="s">
        <v>321</v>
      </c>
      <c r="D11" s="22">
        <f>F19</f>
        <v>-341582.3334</v>
      </c>
      <c r="E11" s="17"/>
      <c r="F11" s="147" t="s">
        <v>301</v>
      </c>
    </row>
    <row r="12" spans="1:6" ht="16.2" thickTop="1">
      <c r="A12" s="1"/>
      <c r="B12" s="28"/>
      <c r="C12" s="28"/>
      <c r="D12" s="28"/>
      <c r="E12" s="28"/>
      <c r="F12" s="202"/>
    </row>
    <row r="13" spans="1:6" ht="15.6">
      <c r="A13" s="1"/>
      <c r="B13" s="28"/>
      <c r="C13" s="28"/>
      <c r="D13" s="28"/>
      <c r="E13" s="28"/>
      <c r="F13" s="202"/>
    </row>
    <row r="14" spans="1:6" ht="45.6">
      <c r="A14" s="13">
        <v>2</v>
      </c>
      <c r="B14" s="28"/>
      <c r="C14" s="28"/>
      <c r="D14" s="16" t="s">
        <v>309</v>
      </c>
      <c r="E14" s="203" t="s">
        <v>297</v>
      </c>
      <c r="F14" s="16" t="s">
        <v>298</v>
      </c>
    </row>
    <row r="15" spans="1:6" ht="15.6">
      <c r="A15" s="13">
        <v>3</v>
      </c>
      <c r="B15" s="28"/>
      <c r="C15" s="7" t="s">
        <v>243</v>
      </c>
      <c r="D15" s="17">
        <v>5246516</v>
      </c>
      <c r="E15" s="152">
        <v>-2.4899999999999999E-2</v>
      </c>
      <c r="F15" s="188">
        <f>+D15*E15</f>
        <v>-130638.2484</v>
      </c>
    </row>
    <row r="16" spans="1:6" ht="15.6">
      <c r="A16" s="13">
        <v>4</v>
      </c>
      <c r="B16" s="28"/>
      <c r="C16" s="7" t="s">
        <v>244</v>
      </c>
      <c r="D16" s="17">
        <v>6204718</v>
      </c>
      <c r="E16" s="152">
        <f>+E15</f>
        <v>-2.4899999999999999E-2</v>
      </c>
      <c r="F16" s="188">
        <f t="shared" ref="F16:F18" si="0">+D16*E16</f>
        <v>-154497.47819999998</v>
      </c>
    </row>
    <row r="17" spans="1:6" ht="15.6">
      <c r="A17" s="13">
        <v>5</v>
      </c>
      <c r="B17" s="28"/>
      <c r="C17" s="7" t="s">
        <v>245</v>
      </c>
      <c r="D17" s="17">
        <v>1571513</v>
      </c>
      <c r="E17" s="152">
        <f>+E15</f>
        <v>-2.4899999999999999E-2</v>
      </c>
      <c r="F17" s="188">
        <f t="shared" si="0"/>
        <v>-39130.673699999999</v>
      </c>
    </row>
    <row r="18" spans="1:6" ht="15.6">
      <c r="A18" s="13">
        <v>6</v>
      </c>
      <c r="B18" s="28"/>
      <c r="C18" s="7" t="s">
        <v>246</v>
      </c>
      <c r="D18" s="18">
        <v>695419</v>
      </c>
      <c r="E18" s="152">
        <f>+E15</f>
        <v>-2.4899999999999999E-2</v>
      </c>
      <c r="F18" s="189">
        <f t="shared" si="0"/>
        <v>-17315.933099999998</v>
      </c>
    </row>
    <row r="19" spans="1:6" ht="15.6">
      <c r="A19" s="13">
        <v>7</v>
      </c>
      <c r="B19" s="28"/>
      <c r="C19" s="7" t="s">
        <v>19</v>
      </c>
      <c r="D19" s="17">
        <f>SUM(D15:D18)</f>
        <v>13718166</v>
      </c>
      <c r="E19" s="152"/>
      <c r="F19" s="17">
        <f>SUM(F15:F18)</f>
        <v>-341582.3334</v>
      </c>
    </row>
    <row r="20" spans="1:6" ht="15.6">
      <c r="A20" s="1"/>
      <c r="B20" s="28"/>
      <c r="C20" s="28"/>
      <c r="D20" s="28"/>
      <c r="E20" s="204"/>
      <c r="F20" s="28"/>
    </row>
    <row r="21" spans="1:6" ht="15.6">
      <c r="A21" s="28"/>
      <c r="B21" s="28"/>
      <c r="C21" s="28"/>
      <c r="D21" s="28"/>
      <c r="E21" s="204"/>
      <c r="F21" s="28"/>
    </row>
    <row r="22" spans="1:6" ht="15.6">
      <c r="A22" s="13"/>
      <c r="B22" s="1"/>
      <c r="C22" s="13"/>
      <c r="D22" s="175"/>
      <c r="E22" s="28"/>
      <c r="F22" s="13"/>
    </row>
    <row r="23" spans="1:6" ht="15.6">
      <c r="A23" s="13"/>
      <c r="B23" s="13"/>
      <c r="C23" s="208"/>
      <c r="D23" s="152"/>
      <c r="E23" s="28"/>
      <c r="F23" s="160"/>
    </row>
    <row r="24" spans="1:6" ht="15.6">
      <c r="A24" s="13"/>
      <c r="B24" s="13"/>
      <c r="C24" s="208"/>
      <c r="D24" s="152"/>
      <c r="E24" s="28"/>
      <c r="F24" s="1"/>
    </row>
    <row r="25" spans="1:6" ht="15.6">
      <c r="A25" s="13"/>
      <c r="B25" s="13"/>
      <c r="C25" s="209"/>
      <c r="D25" s="152"/>
      <c r="E25" s="28"/>
      <c r="F25" s="1"/>
    </row>
    <row r="26" spans="1:6" ht="15.6">
      <c r="A26" s="13"/>
      <c r="B26" s="13"/>
      <c r="C26" s="209"/>
      <c r="D26" s="152"/>
      <c r="E26" s="28"/>
      <c r="F26" s="1"/>
    </row>
    <row r="27" spans="1:6" ht="15.6">
      <c r="A27" s="13"/>
      <c r="B27" s="13"/>
      <c r="C27" s="209"/>
      <c r="D27" s="152"/>
      <c r="E27" s="28"/>
      <c r="F27" s="1"/>
    </row>
    <row r="28" spans="1:6" ht="15.6">
      <c r="A28" s="13"/>
      <c r="B28" s="13"/>
      <c r="C28" s="209"/>
      <c r="D28" s="152"/>
      <c r="E28" s="28"/>
      <c r="F28" s="1"/>
    </row>
    <row r="29" spans="1:6" ht="15.6">
      <c r="A29" s="13"/>
      <c r="B29" s="13"/>
      <c r="C29" s="209"/>
      <c r="D29" s="152"/>
      <c r="E29" s="28"/>
      <c r="F29" s="1"/>
    </row>
    <row r="30" spans="1:6" ht="15.6">
      <c r="A30" s="13"/>
      <c r="B30" s="13"/>
      <c r="C30" s="209"/>
      <c r="D30" s="152"/>
      <c r="E30" s="28"/>
      <c r="F30" s="1"/>
    </row>
    <row r="31" spans="1:6" ht="15.6">
      <c r="A31" s="13"/>
      <c r="B31" s="13"/>
      <c r="C31" s="209"/>
      <c r="D31" s="152"/>
      <c r="E31" s="28"/>
      <c r="F31" s="1"/>
    </row>
    <row r="32" spans="1:6" ht="15.6">
      <c r="A32" s="13"/>
      <c r="B32" s="13"/>
      <c r="C32" s="209"/>
      <c r="D32" s="152"/>
      <c r="E32" s="28"/>
      <c r="F32" s="1"/>
    </row>
    <row r="33" spans="1:6" ht="15.6">
      <c r="A33" s="13"/>
      <c r="B33" s="13"/>
      <c r="C33" s="209"/>
      <c r="D33" s="152"/>
      <c r="E33" s="28"/>
      <c r="F33" s="1"/>
    </row>
    <row r="34" spans="1:6" ht="15.6">
      <c r="A34" s="13"/>
      <c r="B34" s="13"/>
      <c r="C34" s="209"/>
      <c r="D34" s="152"/>
      <c r="E34" s="28"/>
      <c r="F34" s="1"/>
    </row>
    <row r="35" spans="1:6" ht="15.6">
      <c r="A35" s="13"/>
      <c r="B35" s="13"/>
      <c r="C35" s="7"/>
      <c r="D35" s="152"/>
      <c r="E35" s="28"/>
      <c r="F35" s="1"/>
    </row>
    <row r="36" spans="1:6" ht="15.6">
      <c r="A36" s="13"/>
      <c r="B36" s="13"/>
      <c r="C36" s="1"/>
      <c r="D36" s="1"/>
      <c r="E36" s="152"/>
      <c r="F36" s="1"/>
    </row>
    <row r="37" spans="1:6" ht="15.6">
      <c r="A37" s="13"/>
      <c r="B37" s="13"/>
      <c r="C37" s="190"/>
      <c r="D37" s="1"/>
      <c r="E37" s="152"/>
      <c r="F37" s="28"/>
    </row>
    <row r="38" spans="1:6" ht="15.6">
      <c r="A38" s="16" t="s">
        <v>30</v>
      </c>
      <c r="B38" s="16"/>
      <c r="C38" s="12"/>
      <c r="D38" s="12"/>
      <c r="E38" s="12"/>
      <c r="F38" s="205"/>
    </row>
    <row r="39" spans="1:6" ht="15.6">
      <c r="A39" s="190" t="s">
        <v>310</v>
      </c>
      <c r="B39" s="13"/>
      <c r="C39" s="28"/>
      <c r="D39" s="1"/>
      <c r="E39" s="1"/>
      <c r="F39" s="28"/>
    </row>
    <row r="40" spans="1:6" ht="15.6">
      <c r="A40" s="190"/>
      <c r="B40" s="13"/>
      <c r="C40" s="28"/>
      <c r="D40" s="1"/>
      <c r="E40" s="1"/>
      <c r="F40" s="28"/>
    </row>
    <row r="41" spans="1:6" ht="15.6">
      <c r="A41" s="13"/>
      <c r="B41" s="13"/>
      <c r="C41" s="1"/>
      <c r="D41" s="1"/>
      <c r="E41" s="1"/>
      <c r="F41" s="28"/>
    </row>
    <row r="42" spans="1:6" ht="15.6">
      <c r="A42" s="1"/>
      <c r="B42" s="1"/>
      <c r="C42" s="1"/>
      <c r="D42" s="1"/>
      <c r="E42" s="1"/>
      <c r="F42" s="28"/>
    </row>
    <row r="43" spans="1:6" ht="15.6">
      <c r="A43" s="28"/>
      <c r="B43" s="28"/>
      <c r="C43" s="28"/>
      <c r="D43" s="28"/>
      <c r="E43" s="28"/>
      <c r="F43" s="28"/>
    </row>
    <row r="44" spans="1:6" ht="15.6">
      <c r="A44" s="28"/>
      <c r="B44" s="28"/>
      <c r="C44" s="28"/>
      <c r="D44" s="28"/>
      <c r="E44" s="28"/>
      <c r="F44" s="28"/>
    </row>
    <row r="45" spans="1:6" ht="15.6">
      <c r="A45" s="28"/>
      <c r="B45" s="28"/>
      <c r="C45" s="28"/>
      <c r="D45" s="28"/>
      <c r="E45" s="28"/>
      <c r="F45" s="28"/>
    </row>
    <row r="46" spans="1:6" ht="15.6">
      <c r="A46" s="28"/>
      <c r="B46" s="28"/>
      <c r="C46" s="28"/>
      <c r="D46" s="28"/>
      <c r="E46" s="28"/>
      <c r="F46" s="28"/>
    </row>
    <row r="47" spans="1:6" ht="15.6">
      <c r="A47" s="28"/>
      <c r="B47" s="28"/>
      <c r="C47" s="28"/>
      <c r="D47" s="28"/>
      <c r="E47" s="28"/>
      <c r="F47" s="28"/>
    </row>
    <row r="48" spans="1:6" ht="15.6">
      <c r="A48" s="28"/>
      <c r="B48" s="28"/>
      <c r="C48" s="28"/>
      <c r="D48" s="28"/>
      <c r="E48" s="28"/>
      <c r="F48" s="28"/>
    </row>
    <row r="49" spans="1:6" ht="15.6">
      <c r="A49" s="28"/>
      <c r="B49" s="28"/>
      <c r="C49" s="28"/>
      <c r="D49" s="28"/>
      <c r="E49" s="28"/>
      <c r="F49" s="28"/>
    </row>
    <row r="50" spans="1:6" ht="15.6">
      <c r="A50" s="28"/>
      <c r="B50" s="28"/>
      <c r="C50" s="28"/>
      <c r="D50" s="28"/>
      <c r="E50" s="28"/>
      <c r="F50" s="28"/>
    </row>
    <row r="51" spans="1:6" ht="15.6">
      <c r="A51" s="28"/>
      <c r="B51" s="28"/>
      <c r="C51" s="28"/>
      <c r="D51" s="28"/>
      <c r="E51" s="28"/>
      <c r="F51" s="28"/>
    </row>
    <row r="52" spans="1:6" ht="15.6">
      <c r="A52" s="28"/>
      <c r="B52" s="28"/>
      <c r="C52" s="28"/>
      <c r="D52" s="28"/>
      <c r="E52" s="28"/>
      <c r="F52" s="28"/>
    </row>
    <row r="53" spans="1:6" ht="15.6">
      <c r="A53" s="28"/>
      <c r="B53" s="28"/>
      <c r="C53" s="28"/>
      <c r="D53" s="28"/>
      <c r="E53" s="28"/>
      <c r="F53" s="28"/>
    </row>
    <row r="54" spans="1:6" ht="15.6">
      <c r="A54" s="28"/>
      <c r="B54" s="28"/>
      <c r="C54" s="28"/>
      <c r="D54" s="28"/>
      <c r="E54" s="28"/>
      <c r="F54" s="28"/>
    </row>
    <row r="55" spans="1:6" ht="15.6">
      <c r="A55" s="28"/>
      <c r="B55" s="28"/>
      <c r="C55" s="28"/>
      <c r="D55" s="28"/>
      <c r="E55" s="28"/>
      <c r="F55" s="28"/>
    </row>
    <row r="56" spans="1:6" ht="15.6">
      <c r="A56" s="28"/>
      <c r="B56" s="28"/>
      <c r="C56" s="28"/>
      <c r="D56" s="28"/>
      <c r="E56" s="28"/>
      <c r="F56" s="28"/>
    </row>
    <row r="57" spans="1:6" ht="15.6">
      <c r="A57" s="28"/>
      <c r="B57" s="28"/>
      <c r="C57" s="28"/>
      <c r="D57" s="28"/>
      <c r="E57" s="28"/>
      <c r="F57" s="28"/>
    </row>
    <row r="58" spans="1:6" ht="15.6">
      <c r="A58" s="28"/>
      <c r="B58" s="28"/>
      <c r="C58" s="28"/>
      <c r="D58" s="28"/>
      <c r="E58" s="28"/>
      <c r="F58" s="28"/>
    </row>
    <row r="59" spans="1:6" ht="15.6">
      <c r="A59" s="28"/>
      <c r="B59" s="28"/>
      <c r="C59" s="28"/>
      <c r="D59" s="28"/>
      <c r="E59" s="28"/>
      <c r="F59" s="28"/>
    </row>
    <row r="60" spans="1:6" ht="15.6">
      <c r="A60" s="28"/>
      <c r="B60" s="28"/>
      <c r="C60" s="28"/>
      <c r="D60" s="28"/>
      <c r="E60" s="28"/>
      <c r="F60" s="28"/>
    </row>
    <row r="61" spans="1:6" ht="15.6">
      <c r="A61" s="28"/>
      <c r="B61" s="28"/>
      <c r="C61" s="28"/>
      <c r="D61" s="28"/>
      <c r="E61" s="28"/>
      <c r="F61" s="28"/>
    </row>
    <row r="62" spans="1:6" ht="15.6">
      <c r="A62" s="28"/>
      <c r="B62" s="28"/>
      <c r="C62" s="28"/>
      <c r="D62" s="28"/>
      <c r="E62" s="28"/>
      <c r="F62" s="28"/>
    </row>
    <row r="63" spans="1:6" ht="15.6">
      <c r="A63" s="28"/>
      <c r="B63" s="28"/>
      <c r="C63" s="28"/>
      <c r="D63" s="28"/>
      <c r="E63" s="28"/>
      <c r="F63" s="28"/>
    </row>
    <row r="64" spans="1:6" ht="15.6">
      <c r="A64" s="28"/>
      <c r="B64" s="28"/>
      <c r="C64" s="28"/>
      <c r="D64" s="28"/>
      <c r="E64" s="28"/>
      <c r="F64" s="28"/>
    </row>
    <row r="65" spans="1:6" ht="15.6">
      <c r="A65" s="28"/>
      <c r="B65" s="28"/>
      <c r="C65" s="28"/>
      <c r="D65" s="28"/>
      <c r="E65" s="28"/>
      <c r="F65" s="28"/>
    </row>
  </sheetData>
  <pageMargins left="0.7" right="0.7" top="0.75" bottom="0.75" header="0.3" footer="0.3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D089-23EC-4D4A-988F-1EA180E5ADFE}">
  <sheetPr>
    <pageSetUpPr fitToPage="1"/>
  </sheetPr>
  <dimension ref="A1:J38"/>
  <sheetViews>
    <sheetView workbookViewId="0">
      <selection activeCell="C13" sqref="C13:C15"/>
    </sheetView>
  </sheetViews>
  <sheetFormatPr defaultRowHeight="14.4"/>
  <cols>
    <col min="2" max="2" width="4" customWidth="1"/>
    <col min="3" max="3" width="45.88671875" customWidth="1"/>
    <col min="4" max="4" width="19.6640625" customWidth="1"/>
    <col min="5" max="5" width="3.6640625" customWidth="1"/>
    <col min="6" max="6" width="20.88671875" customWidth="1"/>
    <col min="7" max="7" width="16.44140625" customWidth="1"/>
    <col min="8" max="8" width="15.88671875" customWidth="1"/>
    <col min="9" max="9" width="15.33203125" customWidth="1"/>
  </cols>
  <sheetData>
    <row r="1" spans="1:8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8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8" ht="15.6">
      <c r="A3" s="1"/>
      <c r="B3" s="1"/>
      <c r="C3" s="1"/>
      <c r="D3" s="1"/>
      <c r="E3" s="1"/>
      <c r="F3" s="7" t="s">
        <v>74</v>
      </c>
    </row>
    <row r="4" spans="1:8" ht="15.6">
      <c r="A4" s="36" t="s">
        <v>60</v>
      </c>
      <c r="B4" s="1"/>
      <c r="C4" s="1"/>
      <c r="D4" s="1"/>
      <c r="E4" s="1"/>
      <c r="F4" s="7" t="s">
        <v>6</v>
      </c>
    </row>
    <row r="5" spans="1:8" ht="15.6">
      <c r="A5" s="1"/>
      <c r="B5" s="1"/>
      <c r="C5" s="1"/>
      <c r="D5" s="1"/>
      <c r="E5" s="1"/>
      <c r="F5" s="1"/>
      <c r="G5" s="24"/>
    </row>
    <row r="6" spans="1:8" ht="15.6">
      <c r="A6" s="24"/>
      <c r="B6" s="36"/>
      <c r="C6" s="36"/>
      <c r="D6" s="36"/>
      <c r="E6" s="36"/>
      <c r="F6" s="24"/>
      <c r="G6" s="24"/>
    </row>
    <row r="7" spans="1:8" ht="15.6">
      <c r="A7" s="37"/>
      <c r="B7" s="36"/>
      <c r="C7" s="36"/>
      <c r="D7" s="36"/>
      <c r="E7" s="36"/>
      <c r="F7" s="36"/>
      <c r="G7" s="24"/>
    </row>
    <row r="8" spans="1:8" ht="15.6">
      <c r="A8" s="36"/>
      <c r="B8" s="36"/>
      <c r="C8" s="36"/>
      <c r="D8" s="31" t="s">
        <v>138</v>
      </c>
      <c r="E8" s="31"/>
      <c r="F8" s="36"/>
      <c r="G8" s="24"/>
    </row>
    <row r="9" spans="1:8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  <c r="G9" s="24"/>
    </row>
    <row r="10" spans="1:8" ht="15.6">
      <c r="A10" s="1"/>
      <c r="B10" s="1"/>
      <c r="C10" s="1"/>
      <c r="D10" s="13"/>
      <c r="E10" s="13"/>
      <c r="F10" s="13"/>
      <c r="G10" s="24"/>
    </row>
    <row r="11" spans="1:8" ht="15.6">
      <c r="A11" s="13">
        <v>1</v>
      </c>
      <c r="B11" s="1"/>
      <c r="C11" s="1" t="s">
        <v>262</v>
      </c>
      <c r="D11" s="17">
        <v>714681</v>
      </c>
      <c r="E11" s="17"/>
      <c r="F11" s="158" t="s">
        <v>186</v>
      </c>
      <c r="G11" s="24"/>
    </row>
    <row r="12" spans="1:8" ht="15.6">
      <c r="A12" s="13"/>
      <c r="B12" s="1"/>
      <c r="C12" s="1"/>
      <c r="D12" s="17"/>
      <c r="E12" s="17"/>
      <c r="F12" s="147"/>
      <c r="G12" s="24"/>
    </row>
    <row r="13" spans="1:8" ht="15.6">
      <c r="A13" s="13">
        <v>2</v>
      </c>
      <c r="B13" s="1"/>
      <c r="C13" s="1" t="s">
        <v>320</v>
      </c>
      <c r="D13" s="18">
        <f>D22</f>
        <v>476454</v>
      </c>
      <c r="E13" s="17"/>
      <c r="F13" s="147" t="s">
        <v>61</v>
      </c>
      <c r="G13" s="24"/>
    </row>
    <row r="14" spans="1:8" ht="15.6">
      <c r="A14" s="13"/>
      <c r="B14" s="1"/>
      <c r="C14" s="1"/>
      <c r="D14" s="17"/>
      <c r="E14" s="17"/>
      <c r="F14" s="147"/>
      <c r="G14" s="24"/>
    </row>
    <row r="15" spans="1:8" ht="16.2" thickBot="1">
      <c r="A15" s="13">
        <v>3</v>
      </c>
      <c r="B15" s="1"/>
      <c r="C15" s="1" t="s">
        <v>321</v>
      </c>
      <c r="D15" s="22">
        <f>D13-D11</f>
        <v>-238227</v>
      </c>
      <c r="E15" s="17"/>
      <c r="F15" s="147" t="s">
        <v>62</v>
      </c>
      <c r="G15" s="24"/>
    </row>
    <row r="16" spans="1:8" ht="16.2" thickTop="1">
      <c r="A16" s="13"/>
      <c r="B16" s="1"/>
      <c r="C16" s="1"/>
      <c r="D16" s="1"/>
      <c r="E16" s="1"/>
      <c r="F16" s="13"/>
      <c r="G16" s="24"/>
      <c r="H16" s="13"/>
    </row>
    <row r="17" spans="1:10" ht="15.6">
      <c r="A17" s="31"/>
      <c r="B17" s="36"/>
      <c r="C17" s="36"/>
      <c r="D17" s="31"/>
      <c r="E17" s="31"/>
      <c r="F17" s="159"/>
      <c r="G17" s="91"/>
      <c r="H17" s="13"/>
      <c r="I17" s="148"/>
    </row>
    <row r="18" spans="1:10" ht="15.6">
      <c r="A18" s="31">
        <v>4</v>
      </c>
      <c r="B18" s="36"/>
      <c r="C18" s="36" t="s">
        <v>263</v>
      </c>
      <c r="D18" s="149">
        <f>714681*2</f>
        <v>1429362</v>
      </c>
      <c r="E18" s="149"/>
      <c r="F18" s="158" t="s">
        <v>271</v>
      </c>
      <c r="G18" s="13"/>
      <c r="H18" s="13"/>
      <c r="I18" s="13"/>
    </row>
    <row r="19" spans="1:10" ht="15.6">
      <c r="A19" s="31"/>
      <c r="B19" s="36"/>
      <c r="C19" s="36"/>
      <c r="D19" s="109"/>
      <c r="E19" s="35"/>
      <c r="F19" s="158"/>
      <c r="G19" s="17"/>
      <c r="H19" s="17"/>
      <c r="I19" s="17"/>
    </row>
    <row r="20" spans="1:10" ht="15.6">
      <c r="A20" s="31">
        <v>5</v>
      </c>
      <c r="B20" s="36"/>
      <c r="C20" s="36" t="s">
        <v>322</v>
      </c>
      <c r="D20" s="35">
        <v>3</v>
      </c>
      <c r="E20" s="35"/>
      <c r="F20" s="158" t="s">
        <v>87</v>
      </c>
      <c r="G20" s="17"/>
      <c r="H20" s="17"/>
      <c r="I20" s="17"/>
    </row>
    <row r="21" spans="1:10" ht="15.6">
      <c r="A21" s="31"/>
      <c r="B21" s="36"/>
      <c r="C21" s="36"/>
      <c r="D21" s="35"/>
      <c r="E21" s="35"/>
      <c r="F21" s="158"/>
      <c r="G21" s="17"/>
      <c r="H21" s="17"/>
      <c r="I21" s="17"/>
    </row>
    <row r="22" spans="1:10" ht="15.6">
      <c r="A22" s="13">
        <v>6</v>
      </c>
      <c r="B22" s="24"/>
      <c r="C22" s="1" t="s">
        <v>323</v>
      </c>
      <c r="D22" s="18">
        <f>+D18/D20</f>
        <v>476454</v>
      </c>
      <c r="E22" s="17"/>
      <c r="F22" s="13" t="s">
        <v>91</v>
      </c>
      <c r="G22" s="17"/>
      <c r="H22" s="17"/>
      <c r="I22" s="17"/>
    </row>
    <row r="23" spans="1:10" ht="15.6">
      <c r="A23" s="13"/>
      <c r="B23" s="24"/>
      <c r="C23" s="1"/>
      <c r="D23" s="17"/>
      <c r="E23" s="17"/>
      <c r="F23" s="13"/>
      <c r="G23" s="1"/>
      <c r="H23" s="17"/>
    </row>
    <row r="24" spans="1:10" ht="15.6">
      <c r="A24" s="13"/>
      <c r="B24" s="24"/>
      <c r="C24" s="24"/>
      <c r="D24" s="1"/>
      <c r="E24" s="1"/>
      <c r="F24" s="13"/>
      <c r="G24" s="1"/>
      <c r="H24" s="1"/>
    </row>
    <row r="25" spans="1:10" ht="45">
      <c r="A25" s="13">
        <v>7</v>
      </c>
      <c r="B25" s="24"/>
      <c r="C25" s="145" t="s">
        <v>269</v>
      </c>
      <c r="D25" s="147">
        <v>1046037</v>
      </c>
      <c r="E25" s="13"/>
      <c r="F25" s="160" t="s">
        <v>270</v>
      </c>
      <c r="J25" s="24"/>
    </row>
    <row r="26" spans="1:10" ht="45">
      <c r="A26" s="13">
        <v>8</v>
      </c>
      <c r="B26" s="24"/>
      <c r="C26" s="166" t="s">
        <v>308</v>
      </c>
      <c r="D26" s="179">
        <f>-(+D25/36)*12</f>
        <v>-348679</v>
      </c>
      <c r="E26" s="122"/>
      <c r="F26" s="160" t="s">
        <v>270</v>
      </c>
      <c r="J26" s="24"/>
    </row>
    <row r="27" spans="1:10" ht="15.6">
      <c r="A27" s="13">
        <v>9</v>
      </c>
      <c r="B27" s="24"/>
      <c r="C27" s="166" t="s">
        <v>266</v>
      </c>
      <c r="D27" s="147">
        <f>+D25+D26</f>
        <v>697358</v>
      </c>
      <c r="E27" s="122"/>
      <c r="F27" s="123" t="s">
        <v>272</v>
      </c>
      <c r="J27" s="24"/>
    </row>
    <row r="28" spans="1:10" ht="15.6">
      <c r="A28" s="13">
        <v>10</v>
      </c>
      <c r="B28" s="24"/>
      <c r="C28" s="166" t="s">
        <v>265</v>
      </c>
      <c r="D28" s="179">
        <v>-465000</v>
      </c>
      <c r="E28" s="122"/>
      <c r="F28" s="158" t="s">
        <v>186</v>
      </c>
      <c r="J28" s="24"/>
    </row>
    <row r="29" spans="1:10" ht="15.6">
      <c r="A29" s="13">
        <v>11</v>
      </c>
      <c r="B29" s="24"/>
      <c r="C29" s="166" t="s">
        <v>264</v>
      </c>
      <c r="D29" s="147">
        <f>SUM(D27:D28)</f>
        <v>232358</v>
      </c>
      <c r="E29" s="122"/>
      <c r="F29" s="123" t="s">
        <v>250</v>
      </c>
      <c r="J29" s="24"/>
    </row>
    <row r="30" spans="1:10" ht="15.6">
      <c r="A30" s="13">
        <v>12</v>
      </c>
      <c r="B30" s="24"/>
      <c r="C30" s="166" t="s">
        <v>267</v>
      </c>
      <c r="D30" s="179">
        <v>1197000</v>
      </c>
      <c r="E30" s="122"/>
      <c r="F30" s="158" t="s">
        <v>186</v>
      </c>
      <c r="J30" s="24"/>
    </row>
    <row r="31" spans="1:10" ht="15.6">
      <c r="A31" s="13">
        <v>13</v>
      </c>
      <c r="B31" s="24"/>
      <c r="C31" s="166" t="s">
        <v>268</v>
      </c>
      <c r="D31" s="147">
        <f>SUM(D29:D30)+4</f>
        <v>1429362</v>
      </c>
      <c r="E31" s="122"/>
      <c r="F31" s="123" t="s">
        <v>273</v>
      </c>
      <c r="J31" s="24"/>
    </row>
    <row r="32" spans="1:10" ht="15.6">
      <c r="A32" s="13"/>
      <c r="B32" s="24"/>
      <c r="C32" s="29"/>
      <c r="D32" s="178"/>
      <c r="E32" s="7"/>
      <c r="F32" s="124"/>
      <c r="G32" s="24"/>
    </row>
    <row r="33" spans="1:7" ht="15.6">
      <c r="A33" s="13"/>
      <c r="B33" s="24"/>
      <c r="C33" s="1"/>
      <c r="D33" s="1"/>
      <c r="E33" s="1"/>
      <c r="F33" s="1"/>
      <c r="G33" s="24"/>
    </row>
    <row r="34" spans="1:7" ht="15.6">
      <c r="A34" s="13"/>
      <c r="C34" s="28"/>
      <c r="D34" s="28"/>
      <c r="E34" s="28"/>
      <c r="F34" s="28"/>
    </row>
    <row r="35" spans="1:7" ht="15.6">
      <c r="A35" s="8"/>
      <c r="C35" s="28"/>
      <c r="D35" s="28"/>
      <c r="E35" s="28"/>
      <c r="F35" s="28"/>
    </row>
    <row r="36" spans="1:7" ht="15.6">
      <c r="A36" s="8"/>
      <c r="C36" s="28"/>
      <c r="D36" s="28"/>
      <c r="E36" s="28"/>
      <c r="F36" s="28"/>
    </row>
    <row r="38" spans="1:7" ht="15.6">
      <c r="B38" s="1"/>
      <c r="C38" s="17"/>
    </row>
  </sheetData>
  <pageMargins left="0.7" right="0.7" top="0.75" bottom="0.75" header="0.3" footer="0.3"/>
  <pageSetup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042-7C59-4373-9FB0-A7A366C67F51}">
  <sheetPr>
    <pageSetUpPr fitToPage="1"/>
  </sheetPr>
  <dimension ref="A1:F33"/>
  <sheetViews>
    <sheetView workbookViewId="0">
      <selection activeCell="C13" sqref="C13:C15"/>
    </sheetView>
  </sheetViews>
  <sheetFormatPr defaultRowHeight="14.4"/>
  <cols>
    <col min="2" max="2" width="3.33203125" customWidth="1"/>
    <col min="3" max="3" width="41.109375" customWidth="1"/>
    <col min="4" max="4" width="19.6640625" customWidth="1"/>
    <col min="5" max="5" width="3.6640625" customWidth="1"/>
    <col min="6" max="6" width="23.8867187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76</v>
      </c>
    </row>
    <row r="4" spans="1:6" ht="15.6">
      <c r="A4" s="36" t="s">
        <v>120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30">
      <c r="A11" s="13">
        <v>1</v>
      </c>
      <c r="B11" s="1"/>
      <c r="C11" s="1" t="s">
        <v>58</v>
      </c>
      <c r="D11" s="17">
        <v>291898</v>
      </c>
      <c r="E11" s="17"/>
      <c r="F11" s="160" t="s">
        <v>237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320</v>
      </c>
      <c r="D13" s="18">
        <v>0</v>
      </c>
      <c r="E13" s="17"/>
      <c r="F13" s="147" t="s">
        <v>87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-291898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3"/>
    </row>
    <row r="17" spans="1:6" ht="15.6">
      <c r="A17" s="31"/>
      <c r="B17" s="36"/>
      <c r="C17" s="36"/>
      <c r="D17" s="36"/>
      <c r="E17" s="36"/>
      <c r="F17" s="34"/>
    </row>
    <row r="18" spans="1:6" ht="15.6">
      <c r="A18" s="31"/>
      <c r="B18" s="36"/>
      <c r="C18" s="36"/>
      <c r="D18" s="36"/>
      <c r="E18" s="36"/>
      <c r="F18" s="34"/>
    </row>
    <row r="19" spans="1:6" ht="15.6">
      <c r="A19" s="31"/>
      <c r="B19" s="36"/>
      <c r="C19" s="36"/>
      <c r="D19" s="36"/>
      <c r="E19" s="36"/>
      <c r="F19" s="34"/>
    </row>
    <row r="27" spans="1:6" ht="15.6">
      <c r="A27" s="1"/>
      <c r="B27" s="1"/>
      <c r="C27" s="1"/>
      <c r="D27" s="1"/>
      <c r="E27" s="1"/>
      <c r="F27" s="1"/>
    </row>
    <row r="28" spans="1:6" ht="15.6">
      <c r="A28" s="1"/>
      <c r="B28" s="1"/>
      <c r="C28" s="1"/>
      <c r="D28" s="1"/>
      <c r="E28" s="1"/>
      <c r="F28" s="1"/>
    </row>
    <row r="29" spans="1:6" ht="15.6">
      <c r="A29" s="1"/>
      <c r="B29" s="1"/>
      <c r="C29" s="17"/>
      <c r="D29" s="1"/>
      <c r="E29" s="1"/>
      <c r="F29" s="1"/>
    </row>
    <row r="30" spans="1:6" ht="15.6">
      <c r="A30" s="1"/>
      <c r="B30" s="1"/>
      <c r="C30" s="17"/>
      <c r="D30" s="1"/>
      <c r="E30" s="1"/>
      <c r="F30" s="1"/>
    </row>
    <row r="31" spans="1:6" ht="15.6">
      <c r="A31" s="1"/>
      <c r="B31" s="1"/>
      <c r="C31" s="1"/>
      <c r="D31" s="1"/>
      <c r="E31" s="1"/>
      <c r="F31" s="1"/>
    </row>
    <row r="32" spans="1:6" ht="15.6">
      <c r="A32" s="1"/>
      <c r="B32" s="1"/>
      <c r="C32" s="1"/>
      <c r="D32" s="1"/>
      <c r="E32" s="1"/>
      <c r="F32" s="1"/>
    </row>
    <row r="33" spans="1:6" ht="15.6">
      <c r="A33" s="1"/>
      <c r="B33" s="1"/>
      <c r="C33" s="1"/>
      <c r="D33" s="1"/>
      <c r="E33" s="1"/>
      <c r="F33" s="1"/>
    </row>
  </sheetData>
  <pageMargins left="0.7" right="0.7" top="0.75" bottom="0.75" header="0.3" footer="0.3"/>
  <pageSetup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94C1-07BC-4F2C-B3C3-18EED91E44E9}">
  <sheetPr>
    <pageSetUpPr fitToPage="1"/>
  </sheetPr>
  <dimension ref="A1:F25"/>
  <sheetViews>
    <sheetView workbookViewId="0">
      <selection activeCell="C15" sqref="C15"/>
    </sheetView>
  </sheetViews>
  <sheetFormatPr defaultRowHeight="14.4"/>
  <cols>
    <col min="2" max="2" width="3.33203125" customWidth="1"/>
    <col min="3" max="3" width="41.109375" customWidth="1"/>
    <col min="4" max="4" width="19.6640625" customWidth="1"/>
    <col min="5" max="5" width="2.44140625" customWidth="1"/>
    <col min="6" max="6" width="23.8867187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77</v>
      </c>
    </row>
    <row r="4" spans="1:6" ht="15.6">
      <c r="A4" s="36" t="s">
        <v>229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30">
      <c r="A11" s="13">
        <v>1</v>
      </c>
      <c r="B11" s="1"/>
      <c r="C11" s="1" t="s">
        <v>58</v>
      </c>
      <c r="D11" s="17">
        <v>62964</v>
      </c>
      <c r="E11" s="17"/>
      <c r="F11" s="160" t="s">
        <v>239</v>
      </c>
    </row>
    <row r="12" spans="1:6" ht="15.6">
      <c r="A12" s="13"/>
      <c r="B12" s="1"/>
      <c r="C12" s="1"/>
      <c r="D12" s="17"/>
      <c r="E12" s="17"/>
      <c r="F12" s="162"/>
    </row>
    <row r="13" spans="1:6" ht="15.6">
      <c r="A13" s="13">
        <v>2</v>
      </c>
      <c r="B13" s="1"/>
      <c r="C13" s="1" t="s">
        <v>238</v>
      </c>
      <c r="D13" s="150">
        <v>-0.75</v>
      </c>
      <c r="E13" s="17"/>
      <c r="F13" s="162" t="s">
        <v>87</v>
      </c>
    </row>
    <row r="14" spans="1:6" ht="15.6">
      <c r="A14" s="13"/>
      <c r="B14" s="1"/>
      <c r="C14" s="1"/>
      <c r="D14" s="17"/>
      <c r="E14" s="17"/>
      <c r="F14" s="162"/>
    </row>
    <row r="15" spans="1:6" ht="16.2" thickBot="1">
      <c r="A15" s="13">
        <v>3</v>
      </c>
      <c r="B15" s="1"/>
      <c r="C15" s="1" t="s">
        <v>321</v>
      </c>
      <c r="D15" s="22">
        <f>+D11*D13</f>
        <v>-47223</v>
      </c>
      <c r="E15" s="17"/>
      <c r="F15" s="162" t="s">
        <v>274</v>
      </c>
    </row>
    <row r="16" spans="1:6" ht="16.2" thickTop="1">
      <c r="A16" s="13"/>
      <c r="B16" s="1"/>
      <c r="C16" s="1"/>
      <c r="D16" s="1"/>
      <c r="E16" s="1"/>
      <c r="F16" s="163"/>
    </row>
    <row r="17" spans="1:6" ht="15.6">
      <c r="A17" s="31"/>
      <c r="B17" s="36"/>
      <c r="C17" s="36"/>
      <c r="D17" s="36"/>
      <c r="E17" s="36"/>
      <c r="F17" s="164"/>
    </row>
    <row r="18" spans="1:6" ht="15.6">
      <c r="A18" s="13"/>
      <c r="B18" s="1"/>
      <c r="C18" s="1"/>
      <c r="D18" s="17"/>
      <c r="E18" s="17"/>
      <c r="F18" s="160"/>
    </row>
    <row r="19" spans="1:6" ht="15.6">
      <c r="A19" s="13"/>
      <c r="B19" s="1"/>
      <c r="C19" s="1"/>
      <c r="D19" s="161"/>
      <c r="E19" s="161"/>
      <c r="F19" s="163"/>
    </row>
    <row r="20" spans="1:6" ht="15.6">
      <c r="A20" s="13"/>
      <c r="B20" s="1"/>
      <c r="C20" s="1"/>
      <c r="D20" s="17"/>
      <c r="E20" s="17"/>
      <c r="F20" s="163"/>
    </row>
    <row r="21" spans="1:6" ht="15.6">
      <c r="A21" s="1"/>
      <c r="B21" s="1"/>
      <c r="C21" s="1"/>
      <c r="D21" s="1"/>
      <c r="E21" s="1"/>
      <c r="F21" s="1"/>
    </row>
    <row r="22" spans="1:6" ht="15.6">
      <c r="A22" s="1"/>
      <c r="B22" s="1"/>
      <c r="C22" s="1"/>
      <c r="D22" s="1"/>
      <c r="E22" s="1"/>
      <c r="F22" s="1"/>
    </row>
    <row r="23" spans="1:6" ht="15.6">
      <c r="A23" s="1"/>
      <c r="B23" s="1"/>
      <c r="C23" s="1"/>
      <c r="D23" s="1"/>
      <c r="E23" s="1"/>
      <c r="F23" s="1"/>
    </row>
    <row r="24" spans="1:6" ht="15.6">
      <c r="A24" s="1"/>
      <c r="B24" s="1"/>
      <c r="C24" s="1"/>
      <c r="D24" s="1"/>
      <c r="E24" s="1"/>
      <c r="F24" s="1"/>
    </row>
    <row r="25" spans="1:6" ht="15.6">
      <c r="A25" s="1"/>
      <c r="B25" s="1"/>
      <c r="C25" s="1"/>
      <c r="D25" s="1"/>
      <c r="E25" s="1"/>
      <c r="F25" s="1"/>
    </row>
  </sheetData>
  <pageMargins left="0.7" right="0.7" top="0.75" bottom="0.75" header="0.3" footer="0.3"/>
  <pageSetup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54BB-4375-440B-ABEC-6B1DB9781528}">
  <sheetPr>
    <pageSetUpPr fitToPage="1"/>
  </sheetPr>
  <dimension ref="A1:F14"/>
  <sheetViews>
    <sheetView workbookViewId="0">
      <selection activeCell="C11" sqref="C11"/>
    </sheetView>
  </sheetViews>
  <sheetFormatPr defaultRowHeight="14.4"/>
  <cols>
    <col min="2" max="2" width="3" customWidth="1"/>
    <col min="3" max="3" width="41.109375" customWidth="1"/>
    <col min="4" max="4" width="19.6640625" customWidth="1"/>
    <col min="5" max="5" width="4.109375" customWidth="1"/>
    <col min="6" max="6" width="22.554687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86</v>
      </c>
    </row>
    <row r="4" spans="1:6" ht="15.6">
      <c r="A4" s="36" t="s">
        <v>66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.6" thickBot="1">
      <c r="A11" s="13">
        <v>1</v>
      </c>
      <c r="B11" s="1"/>
      <c r="C11" s="1" t="s">
        <v>321</v>
      </c>
      <c r="D11" s="22">
        <f>-14682-15795</f>
        <v>-30477</v>
      </c>
      <c r="E11" s="17"/>
      <c r="F11" s="160" t="s">
        <v>296</v>
      </c>
    </row>
    <row r="12" spans="1:6" ht="16.2" thickTop="1">
      <c r="A12" s="13"/>
      <c r="B12" s="1"/>
      <c r="C12" s="1"/>
      <c r="D12" s="1"/>
      <c r="E12" s="1"/>
      <c r="F12" s="1"/>
    </row>
    <row r="13" spans="1:6" ht="15.6">
      <c r="A13" s="31"/>
      <c r="B13" s="36"/>
      <c r="C13" s="36"/>
      <c r="D13" s="36"/>
      <c r="E13" s="36"/>
      <c r="F13" s="34"/>
    </row>
    <row r="14" spans="1:6" ht="15.6">
      <c r="A14" s="31"/>
      <c r="B14" s="36"/>
      <c r="C14" s="36"/>
      <c r="D14" s="36"/>
      <c r="E14" s="36"/>
      <c r="F14" s="34"/>
    </row>
  </sheetData>
  <pageMargins left="0.7" right="0.7" top="0.75" bottom="0.75" header="0.3" footer="0.3"/>
  <pageSetup scale="9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612B-3EDF-4242-8C8F-4409A93FD2FC}">
  <sheetPr>
    <pageSetUpPr fitToPage="1"/>
  </sheetPr>
  <dimension ref="A1:F18"/>
  <sheetViews>
    <sheetView workbookViewId="0">
      <selection activeCell="C12" sqref="C12"/>
    </sheetView>
  </sheetViews>
  <sheetFormatPr defaultRowHeight="14.4"/>
  <cols>
    <col min="2" max="2" width="3.33203125" customWidth="1"/>
    <col min="3" max="3" width="41.109375" customWidth="1"/>
    <col min="4" max="4" width="19.6640625" customWidth="1"/>
    <col min="5" max="5" width="3.88671875" customWidth="1"/>
    <col min="6" max="6" width="23.8867187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89</v>
      </c>
    </row>
    <row r="4" spans="1:6" ht="15.6">
      <c r="A4" s="36" t="s">
        <v>240</v>
      </c>
      <c r="B4" s="1"/>
      <c r="C4" s="1"/>
      <c r="D4" s="1"/>
      <c r="E4" s="1"/>
      <c r="F4" s="7" t="s">
        <v>6</v>
      </c>
    </row>
    <row r="5" spans="1:6" ht="15.6">
      <c r="A5" s="1"/>
      <c r="B5" s="1"/>
      <c r="C5" s="1"/>
      <c r="D5" s="1"/>
      <c r="E5" s="1"/>
      <c r="F5" s="1"/>
    </row>
    <row r="6" spans="1:6" ht="15.6">
      <c r="A6" s="37"/>
      <c r="B6" s="36"/>
      <c r="C6" s="36"/>
      <c r="D6" s="36"/>
      <c r="E6" s="36"/>
      <c r="F6" s="36"/>
    </row>
    <row r="7" spans="1:6" ht="15.6">
      <c r="A7" s="36"/>
      <c r="B7" s="36"/>
      <c r="C7" s="36"/>
      <c r="D7" s="31" t="s">
        <v>138</v>
      </c>
      <c r="E7" s="31"/>
      <c r="F7" s="36"/>
    </row>
    <row r="8" spans="1:6" ht="15.6">
      <c r="A8" s="12" t="s">
        <v>22</v>
      </c>
      <c r="B8" s="1"/>
      <c r="C8" s="12" t="s">
        <v>12</v>
      </c>
      <c r="D8" s="32" t="s">
        <v>36</v>
      </c>
      <c r="E8" s="31"/>
      <c r="F8" s="16" t="s">
        <v>24</v>
      </c>
    </row>
    <row r="9" spans="1:6" ht="15.6">
      <c r="A9" s="1"/>
      <c r="B9" s="1"/>
      <c r="C9" s="1"/>
      <c r="D9" s="13"/>
      <c r="E9" s="13"/>
      <c r="F9" s="13"/>
    </row>
    <row r="10" spans="1:6" ht="45">
      <c r="A10" s="13">
        <v>1</v>
      </c>
      <c r="B10" s="1"/>
      <c r="C10" s="1" t="s">
        <v>58</v>
      </c>
      <c r="D10" s="17">
        <v>473472</v>
      </c>
      <c r="E10" s="17"/>
      <c r="F10" s="160" t="s">
        <v>241</v>
      </c>
    </row>
    <row r="11" spans="1:6" ht="15.6">
      <c r="A11" s="13"/>
      <c r="B11" s="1"/>
      <c r="C11" s="1"/>
      <c r="D11" s="17"/>
      <c r="E11" s="17"/>
      <c r="F11" s="147"/>
    </row>
    <row r="12" spans="1:6" ht="15.6">
      <c r="A12" s="13">
        <v>2</v>
      </c>
      <c r="B12" s="1"/>
      <c r="C12" s="1" t="s">
        <v>320</v>
      </c>
      <c r="D12" s="18">
        <v>0</v>
      </c>
      <c r="E12" s="17"/>
      <c r="F12" s="147" t="s">
        <v>87</v>
      </c>
    </row>
    <row r="13" spans="1:6" ht="15.6">
      <c r="A13" s="13"/>
      <c r="B13" s="1"/>
      <c r="C13" s="1"/>
      <c r="D13" s="17"/>
      <c r="E13" s="17"/>
      <c r="F13" s="147"/>
    </row>
    <row r="14" spans="1:6" ht="16.2" thickBot="1">
      <c r="A14" s="13">
        <v>3</v>
      </c>
      <c r="B14" s="1"/>
      <c r="C14" s="1" t="s">
        <v>321</v>
      </c>
      <c r="D14" s="22">
        <f>+D12-D10</f>
        <v>-473472</v>
      </c>
      <c r="E14" s="17"/>
      <c r="F14" s="147" t="s">
        <v>62</v>
      </c>
    </row>
    <row r="15" spans="1:6" ht="16.2" thickTop="1">
      <c r="A15" s="13"/>
      <c r="B15" s="1"/>
      <c r="C15" s="1"/>
      <c r="D15" s="1"/>
      <c r="E15" s="1"/>
      <c r="F15" s="13"/>
    </row>
    <row r="16" spans="1:6" ht="15.6">
      <c r="A16" s="31"/>
      <c r="B16" s="36"/>
      <c r="C16" s="36"/>
      <c r="D16" s="36"/>
      <c r="E16" s="36"/>
      <c r="F16" s="34"/>
    </row>
    <row r="17" spans="1:6" ht="15.6">
      <c r="A17" s="31"/>
      <c r="B17" s="36"/>
      <c r="C17" s="36"/>
      <c r="D17" s="36"/>
      <c r="E17" s="36"/>
      <c r="F17" s="34"/>
    </row>
    <row r="18" spans="1:6" ht="15.6">
      <c r="A18" s="31"/>
      <c r="B18" s="36"/>
      <c r="C18" s="36"/>
      <c r="D18" s="36"/>
      <c r="E18" s="36"/>
      <c r="F18" s="34"/>
    </row>
  </sheetData>
  <pageMargins left="0.7" right="0.7" top="0.75" bottom="0.75" header="0.3" footer="0.3"/>
  <pageSetup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4C16-69C9-4833-AC92-EC6A41D53E8D}">
  <sheetPr>
    <pageSetUpPr fitToPage="1"/>
  </sheetPr>
  <dimension ref="A1:F38"/>
  <sheetViews>
    <sheetView workbookViewId="0">
      <selection activeCell="C15" sqref="C15"/>
    </sheetView>
  </sheetViews>
  <sheetFormatPr defaultRowHeight="14.4"/>
  <cols>
    <col min="2" max="2" width="3" customWidth="1"/>
    <col min="3" max="3" width="55" customWidth="1"/>
    <col min="4" max="4" width="19.6640625" customWidth="1"/>
    <col min="5" max="5" width="4" customWidth="1"/>
    <col min="6" max="6" width="20.664062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101</v>
      </c>
    </row>
    <row r="4" spans="1:6" ht="15.6">
      <c r="A4" s="36" t="s">
        <v>121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">
      <c r="A11" s="13">
        <v>1</v>
      </c>
      <c r="B11" s="1"/>
      <c r="C11" s="1" t="s">
        <v>58</v>
      </c>
      <c r="D11" s="17">
        <v>56264</v>
      </c>
      <c r="E11" s="17"/>
      <c r="F11" s="160" t="s">
        <v>299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320</v>
      </c>
      <c r="D13" s="18">
        <v>3252</v>
      </c>
      <c r="E13" s="17"/>
      <c r="F13" s="160" t="s">
        <v>87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-53012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3"/>
    </row>
    <row r="17" spans="1:5">
      <c r="A17" s="91"/>
    </row>
    <row r="18" spans="1:5">
      <c r="A18" s="91"/>
      <c r="C18" s="119"/>
      <c r="D18" s="119"/>
      <c r="E18" s="119"/>
    </row>
    <row r="19" spans="1:5">
      <c r="A19" s="91"/>
      <c r="C19" s="24"/>
      <c r="D19" s="94"/>
      <c r="E19" s="94"/>
    </row>
    <row r="20" spans="1:5">
      <c r="A20" s="91"/>
      <c r="C20" s="24"/>
      <c r="D20" s="94"/>
      <c r="E20" s="94"/>
    </row>
    <row r="21" spans="1:5">
      <c r="A21" s="91"/>
      <c r="C21" s="24"/>
      <c r="D21" s="94"/>
      <c r="E21" s="94"/>
    </row>
    <row r="22" spans="1:5">
      <c r="A22" s="91"/>
      <c r="C22" s="24"/>
      <c r="D22" s="94"/>
      <c r="E22" s="94"/>
    </row>
    <row r="23" spans="1:5">
      <c r="A23" s="91"/>
      <c r="C23" s="24"/>
      <c r="D23" s="94"/>
      <c r="E23" s="94"/>
    </row>
    <row r="24" spans="1:5">
      <c r="A24" s="91"/>
      <c r="C24" s="24"/>
      <c r="D24" s="94"/>
      <c r="E24" s="94"/>
    </row>
    <row r="25" spans="1:5">
      <c r="A25" s="91"/>
      <c r="C25" s="24"/>
      <c r="D25" s="94"/>
      <c r="E25" s="94"/>
    </row>
    <row r="26" spans="1:5">
      <c r="A26" s="91"/>
      <c r="C26" s="24"/>
      <c r="D26" s="94"/>
      <c r="E26" s="94"/>
    </row>
    <row r="27" spans="1:5">
      <c r="A27" s="91"/>
      <c r="C27" s="24"/>
      <c r="D27" s="94"/>
      <c r="E27" s="94"/>
    </row>
    <row r="28" spans="1:5">
      <c r="A28" s="91"/>
      <c r="C28" s="24"/>
      <c r="D28" s="94"/>
      <c r="E28" s="94"/>
    </row>
    <row r="29" spans="1:5">
      <c r="A29" s="91"/>
      <c r="C29" s="24"/>
      <c r="D29" s="94"/>
      <c r="E29" s="94"/>
    </row>
    <row r="30" spans="1:5">
      <c r="A30" s="91"/>
      <c r="C30" s="24"/>
      <c r="D30" s="94"/>
      <c r="E30" s="94"/>
    </row>
    <row r="31" spans="1:5">
      <c r="A31" s="91"/>
      <c r="C31" s="24"/>
      <c r="D31" s="94"/>
      <c r="E31" s="94"/>
    </row>
    <row r="32" spans="1:5">
      <c r="A32" s="91"/>
      <c r="C32" s="24"/>
      <c r="D32" s="94"/>
      <c r="E32" s="94"/>
    </row>
    <row r="33" spans="1:5">
      <c r="A33" s="91"/>
      <c r="C33" s="24"/>
      <c r="D33" s="94"/>
      <c r="E33" s="94"/>
    </row>
    <row r="34" spans="1:5">
      <c r="A34" s="91"/>
      <c r="C34" s="24"/>
      <c r="D34" s="94"/>
      <c r="E34" s="94"/>
    </row>
    <row r="35" spans="1:5">
      <c r="A35" s="91"/>
      <c r="C35" s="24"/>
      <c r="D35" s="94"/>
      <c r="E35" s="94"/>
    </row>
    <row r="36" spans="1:5">
      <c r="A36" s="91"/>
      <c r="C36" s="38"/>
      <c r="D36" s="94"/>
      <c r="E36" s="94"/>
    </row>
    <row r="37" spans="1:5">
      <c r="A37" s="91"/>
    </row>
    <row r="38" spans="1:5">
      <c r="A38" s="91"/>
    </row>
  </sheetData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C4A3-6635-4AD3-B8F4-4C87E3EE349C}">
  <sheetPr>
    <pageSetUpPr fitToPage="1"/>
  </sheetPr>
  <dimension ref="A1:K29"/>
  <sheetViews>
    <sheetView topLeftCell="A6" workbookViewId="0">
      <selection activeCell="C27" sqref="C27"/>
    </sheetView>
  </sheetViews>
  <sheetFormatPr defaultRowHeight="14.4"/>
  <cols>
    <col min="1" max="1" width="9.88671875" customWidth="1"/>
    <col min="2" max="2" width="2" customWidth="1"/>
    <col min="3" max="3" width="46.109375" customWidth="1"/>
    <col min="4" max="5" width="18.6640625" customWidth="1"/>
    <col min="6" max="6" width="21" customWidth="1"/>
    <col min="7" max="7" width="1.6640625" customWidth="1"/>
    <col min="8" max="8" width="16.44140625" customWidth="1"/>
    <col min="10" max="10" width="15" customWidth="1"/>
  </cols>
  <sheetData>
    <row r="1" spans="1:11" ht="15.6">
      <c r="A1" s="1" t="str">
        <f>TOC!A1</f>
        <v>Kentucky-American Water Company</v>
      </c>
      <c r="B1" s="1"/>
      <c r="C1" s="1"/>
      <c r="H1" s="7" t="str">
        <f>TOC!A2</f>
        <v>Case No. 2026-00094</v>
      </c>
    </row>
    <row r="2" spans="1:11" ht="15.6">
      <c r="A2" s="1" t="str">
        <f>TOC!A3</f>
        <v>Forecasted Test Period Twelve Months Ended December 31, 2027</v>
      </c>
      <c r="H2" s="68" t="s">
        <v>116</v>
      </c>
    </row>
    <row r="3" spans="1:11" ht="15.6">
      <c r="A3" s="1"/>
      <c r="D3" s="1"/>
      <c r="E3" s="1"/>
      <c r="F3" s="1"/>
      <c r="G3" s="1"/>
      <c r="H3" s="7" t="s">
        <v>40</v>
      </c>
      <c r="I3" s="1"/>
      <c r="J3" s="1"/>
      <c r="K3" s="1"/>
    </row>
    <row r="4" spans="1:11" ht="15.6">
      <c r="A4" s="1" t="s">
        <v>215</v>
      </c>
      <c r="D4" s="1"/>
      <c r="E4" s="1"/>
      <c r="F4" s="1"/>
      <c r="G4" s="1"/>
      <c r="H4" s="7" t="s">
        <v>6</v>
      </c>
      <c r="I4" s="1"/>
      <c r="J4" s="1"/>
      <c r="K4" s="1"/>
    </row>
    <row r="5" spans="1:11" ht="15.6">
      <c r="A5" s="1"/>
      <c r="D5" s="1"/>
      <c r="E5" s="1"/>
      <c r="F5" s="1"/>
      <c r="G5" s="1"/>
      <c r="H5" s="7"/>
      <c r="I5" s="1"/>
      <c r="J5" s="1"/>
      <c r="K5" s="1"/>
    </row>
    <row r="6" spans="1:11" ht="15.6">
      <c r="C6" s="1"/>
      <c r="D6" s="1"/>
      <c r="E6" s="1"/>
      <c r="F6" s="1"/>
      <c r="G6" s="1"/>
      <c r="H6" s="1"/>
      <c r="I6" s="1"/>
      <c r="J6" s="1"/>
      <c r="K6" s="1"/>
    </row>
    <row r="7" spans="1:11" ht="30.6">
      <c r="A7" s="12" t="s">
        <v>22</v>
      </c>
      <c r="C7" s="14" t="s">
        <v>12</v>
      </c>
      <c r="D7" s="16" t="s">
        <v>31</v>
      </c>
      <c r="E7" s="16" t="s">
        <v>32</v>
      </c>
      <c r="F7" s="203" t="s">
        <v>314</v>
      </c>
      <c r="G7" s="13"/>
      <c r="H7" s="16" t="s">
        <v>24</v>
      </c>
      <c r="I7" s="1"/>
      <c r="J7" s="1"/>
      <c r="K7" s="1"/>
    </row>
    <row r="8" spans="1:11" ht="15.6">
      <c r="C8" s="1"/>
      <c r="D8" s="13" t="s">
        <v>25</v>
      </c>
      <c r="E8" s="13" t="s">
        <v>26</v>
      </c>
      <c r="F8" s="13" t="s">
        <v>27</v>
      </c>
      <c r="G8" s="13"/>
      <c r="H8" s="13" t="s">
        <v>39</v>
      </c>
      <c r="I8" s="1"/>
      <c r="J8" s="1"/>
      <c r="K8" s="1"/>
    </row>
    <row r="9" spans="1:11" ht="15.6">
      <c r="C9" s="1"/>
      <c r="D9" s="13"/>
      <c r="E9" s="13"/>
      <c r="F9" s="13"/>
      <c r="G9" s="13"/>
      <c r="H9" s="13"/>
      <c r="I9" s="1"/>
      <c r="J9" s="1"/>
      <c r="K9" s="1"/>
    </row>
    <row r="10" spans="1:11" ht="15.6">
      <c r="A10" s="13">
        <v>1</v>
      </c>
      <c r="C10" s="15" t="s">
        <v>33</v>
      </c>
      <c r="D10" s="17">
        <v>735665484.65329504</v>
      </c>
      <c r="E10" s="17">
        <f>+F10-D10</f>
        <v>-7674392.7400001287</v>
      </c>
      <c r="F10" s="17">
        <f>B!E43</f>
        <v>727991091.91329491</v>
      </c>
      <c r="G10" s="1"/>
      <c r="H10" s="1" t="s">
        <v>41</v>
      </c>
      <c r="I10" s="1"/>
      <c r="J10" s="1"/>
      <c r="K10" s="1"/>
    </row>
    <row r="11" spans="1:11" ht="15.6">
      <c r="A11" s="13"/>
      <c r="C11" s="1"/>
      <c r="D11" s="1"/>
      <c r="E11" s="1"/>
      <c r="F11" s="1"/>
      <c r="G11" s="1"/>
      <c r="H11" s="1"/>
      <c r="I11" s="1"/>
      <c r="J11" s="1"/>
      <c r="K11" s="1"/>
    </row>
    <row r="12" spans="1:11" ht="15.6">
      <c r="A12" s="13">
        <v>2</v>
      </c>
      <c r="C12" s="15" t="s">
        <v>46</v>
      </c>
      <c r="D12" s="25">
        <f>D!I20</f>
        <v>7.9399999999999998E-2</v>
      </c>
      <c r="E12" s="25">
        <f>+F12-D12</f>
        <v>-1.4399999999999996E-2</v>
      </c>
      <c r="F12" s="25">
        <f>D!I36</f>
        <v>6.5000000000000002E-2</v>
      </c>
      <c r="G12" s="1"/>
      <c r="H12" s="1" t="s">
        <v>4</v>
      </c>
      <c r="I12" s="1"/>
      <c r="J12" s="1"/>
      <c r="K12" s="1"/>
    </row>
    <row r="13" spans="1:11" ht="15.6">
      <c r="A13" s="13"/>
      <c r="C13" s="1"/>
      <c r="D13" s="1"/>
      <c r="E13" s="1"/>
      <c r="F13" s="1"/>
      <c r="G13" s="1"/>
      <c r="H13" s="1"/>
      <c r="I13" s="1"/>
      <c r="J13" s="1"/>
      <c r="K13" s="1"/>
    </row>
    <row r="14" spans="1:11" ht="15.6">
      <c r="A14" s="13">
        <v>3</v>
      </c>
      <c r="C14" s="15" t="s">
        <v>29</v>
      </c>
      <c r="D14" s="17">
        <f>+D10*D12</f>
        <v>58411839.481471628</v>
      </c>
      <c r="E14" s="17">
        <f>+F14-D14</f>
        <v>-11092418.507107459</v>
      </c>
      <c r="F14" s="17">
        <f>+F10*F12</f>
        <v>47319420.974364169</v>
      </c>
      <c r="G14" s="1"/>
      <c r="H14" s="1" t="s">
        <v>49</v>
      </c>
      <c r="I14" s="1"/>
      <c r="J14" s="1"/>
      <c r="K14" s="1"/>
    </row>
    <row r="15" spans="1:11" ht="15.6">
      <c r="A15" s="13"/>
      <c r="C15" s="1"/>
      <c r="D15" s="17"/>
      <c r="E15" s="17"/>
      <c r="F15" s="17"/>
      <c r="G15" s="1"/>
      <c r="H15" s="1"/>
      <c r="I15" s="1"/>
      <c r="J15" s="1"/>
      <c r="K15" s="1"/>
    </row>
    <row r="16" spans="1:11" ht="15.6">
      <c r="A16" s="13">
        <v>4</v>
      </c>
      <c r="C16" s="15" t="s">
        <v>92</v>
      </c>
      <c r="D16" s="18">
        <f>'C'!C26</f>
        <v>45242890</v>
      </c>
      <c r="E16" s="18">
        <f>+F16-D16</f>
        <v>4596383.9124455005</v>
      </c>
      <c r="F16" s="69">
        <f>'C'!E26-1</f>
        <v>49839273.9124455</v>
      </c>
      <c r="G16" s="1"/>
      <c r="H16" s="1" t="s">
        <v>28</v>
      </c>
      <c r="I16" s="1"/>
      <c r="J16" s="1"/>
      <c r="K16" s="1"/>
    </row>
    <row r="17" spans="1:11" ht="15.6">
      <c r="A17" s="13"/>
      <c r="C17" s="1"/>
      <c r="D17" s="17"/>
      <c r="E17" s="17"/>
      <c r="F17" s="17"/>
      <c r="G17" s="1"/>
      <c r="H17" s="1"/>
      <c r="I17" s="1"/>
      <c r="J17" s="1"/>
      <c r="K17" s="1"/>
    </row>
    <row r="18" spans="1:11" ht="15.6">
      <c r="A18" s="13">
        <v>5</v>
      </c>
      <c r="C18" s="15" t="s">
        <v>34</v>
      </c>
      <c r="D18" s="17">
        <f>+D14-D16</f>
        <v>13168949.481471628</v>
      </c>
      <c r="E18" s="17">
        <f>+F18-D18</f>
        <v>-15688802.41955296</v>
      </c>
      <c r="F18" s="17">
        <f>+F14-F16</f>
        <v>-2519852.9380813316</v>
      </c>
      <c r="G18" s="1"/>
      <c r="H18" s="1" t="s">
        <v>50</v>
      </c>
      <c r="I18" s="1"/>
      <c r="J18" s="17"/>
      <c r="K18" s="1"/>
    </row>
    <row r="19" spans="1:11" ht="15.6">
      <c r="A19" s="13"/>
      <c r="C19" s="1"/>
      <c r="D19" s="1"/>
      <c r="E19" s="1"/>
      <c r="F19" s="1"/>
      <c r="G19" s="1"/>
      <c r="H19" s="1"/>
      <c r="I19" s="1"/>
      <c r="J19" s="1"/>
      <c r="K19" s="1"/>
    </row>
    <row r="20" spans="1:11" ht="16.2" thickBot="1">
      <c r="A20" s="13">
        <v>6</v>
      </c>
      <c r="C20" s="15" t="s">
        <v>21</v>
      </c>
      <c r="D20" s="171">
        <v>1.3428906160469434</v>
      </c>
      <c r="E20" s="18">
        <f t="shared" ref="E20:E22" si="0">+F20-D20</f>
        <v>0</v>
      </c>
      <c r="F20" s="172">
        <f>+D20</f>
        <v>1.3428906160469434</v>
      </c>
      <c r="G20" s="1"/>
      <c r="H20" s="1" t="s">
        <v>210</v>
      </c>
      <c r="I20" s="1"/>
      <c r="J20" s="1"/>
      <c r="K20" s="1"/>
    </row>
    <row r="21" spans="1:11" ht="16.2" thickTop="1">
      <c r="A21" s="13"/>
      <c r="C21" s="1"/>
      <c r="D21" s="1"/>
      <c r="E21" s="17"/>
      <c r="F21" s="1"/>
      <c r="G21" s="1"/>
      <c r="H21" s="1"/>
      <c r="I21" s="1"/>
      <c r="J21" s="1"/>
      <c r="K21" s="1"/>
    </row>
    <row r="22" spans="1:11" ht="16.2" thickBot="1">
      <c r="A22" s="13">
        <v>7</v>
      </c>
      <c r="C22" s="8" t="s">
        <v>336</v>
      </c>
      <c r="D22" s="22">
        <f>(+D18*D20)</f>
        <v>17684458.681864511</v>
      </c>
      <c r="E22" s="22">
        <f t="shared" si="0"/>
        <v>-21068345.54623225</v>
      </c>
      <c r="F22" s="70">
        <f>+F18*F20</f>
        <v>-3383886.8643677398</v>
      </c>
      <c r="G22" s="1"/>
      <c r="H22" s="1" t="s">
        <v>51</v>
      </c>
      <c r="I22" s="1"/>
      <c r="J22" s="1"/>
      <c r="K22" s="1"/>
    </row>
    <row r="23" spans="1:11" ht="16.2" thickTop="1">
      <c r="A23" s="13"/>
      <c r="C23" s="1"/>
      <c r="D23" s="1"/>
      <c r="E23" s="1"/>
      <c r="F23" s="1"/>
      <c r="G23" s="1"/>
      <c r="H23" s="1"/>
      <c r="I23" s="1"/>
      <c r="J23" s="1"/>
      <c r="K23" s="1"/>
    </row>
    <row r="24" spans="1:11" ht="15.6">
      <c r="A24" s="13"/>
      <c r="C24" s="8"/>
      <c r="D24" s="113"/>
      <c r="E24" s="1"/>
      <c r="F24" s="17"/>
      <c r="G24" s="1"/>
      <c r="H24" s="1"/>
      <c r="I24" s="1"/>
      <c r="J24" s="1"/>
      <c r="K24" s="1"/>
    </row>
    <row r="25" spans="1:11" ht="15.6">
      <c r="A25" s="13"/>
      <c r="D25" s="1"/>
      <c r="E25" s="1"/>
      <c r="F25" s="1"/>
      <c r="G25" s="1"/>
      <c r="H25" s="1"/>
      <c r="I25" s="1"/>
      <c r="J25" s="1"/>
      <c r="K25" s="1"/>
    </row>
    <row r="26" spans="1:11" ht="15.6">
      <c r="A26" s="13"/>
      <c r="C26" s="1"/>
      <c r="D26" s="1"/>
      <c r="E26" s="1"/>
      <c r="F26" s="1"/>
      <c r="G26" s="1"/>
      <c r="H26" s="1"/>
      <c r="I26" s="1"/>
      <c r="J26" s="1"/>
      <c r="K26" s="1"/>
    </row>
    <row r="27" spans="1:11" ht="15.6">
      <c r="D27" s="1"/>
      <c r="E27" s="1"/>
      <c r="F27" s="1"/>
      <c r="G27" s="1"/>
      <c r="H27" s="1"/>
      <c r="I27" s="1"/>
      <c r="J27" s="1"/>
      <c r="K27" s="1"/>
    </row>
    <row r="28" spans="1:11" ht="15.6">
      <c r="A28" s="12"/>
      <c r="B28" s="12"/>
      <c r="C28" s="12"/>
      <c r="D28" s="12"/>
      <c r="E28" s="12"/>
      <c r="F28" s="12"/>
      <c r="G28" s="12"/>
      <c r="H28" s="12"/>
    </row>
    <row r="29" spans="1:11" ht="15.6">
      <c r="A29" s="1" t="s">
        <v>287</v>
      </c>
      <c r="B29" s="1"/>
      <c r="C29" s="1"/>
      <c r="D29" s="1"/>
      <c r="E29" s="1"/>
      <c r="F29" s="1"/>
      <c r="G29" s="1"/>
      <c r="H29" s="1"/>
    </row>
  </sheetData>
  <pageMargins left="0.7" right="0.7" top="0.75" bottom="0.75" header="0.3" footer="0.3"/>
  <pageSetup scale="67" orientation="portrait" r:id="rId1"/>
  <ignoredErrors>
    <ignoredError sqref="E14 E18 E2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8F4-BB78-4858-9150-09ED26A29801}">
  <sheetPr>
    <pageSetUpPr fitToPage="1"/>
  </sheetPr>
  <dimension ref="A1:H27"/>
  <sheetViews>
    <sheetView workbookViewId="0">
      <selection activeCell="C14" sqref="C14"/>
    </sheetView>
  </sheetViews>
  <sheetFormatPr defaultRowHeight="14.4"/>
  <cols>
    <col min="1" max="1" width="9" customWidth="1"/>
    <col min="2" max="2" width="2.33203125" customWidth="1"/>
    <col min="3" max="3" width="61.44140625" customWidth="1"/>
    <col min="4" max="4" width="20.6640625" customWidth="1"/>
    <col min="5" max="5" width="3" customWidth="1"/>
    <col min="6" max="6" width="31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190</v>
      </c>
    </row>
    <row r="4" spans="1:6" ht="15.6">
      <c r="A4" s="36" t="s">
        <v>78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7"/>
    </row>
    <row r="6" spans="1:6" ht="15.6">
      <c r="D6" s="31" t="s">
        <v>138</v>
      </c>
      <c r="E6" s="31"/>
    </row>
    <row r="7" spans="1:6" ht="15.6">
      <c r="A7" s="12" t="s">
        <v>22</v>
      </c>
      <c r="B7" s="29"/>
      <c r="C7" s="12" t="s">
        <v>12</v>
      </c>
      <c r="D7" s="32" t="s">
        <v>36</v>
      </c>
      <c r="E7" s="31"/>
      <c r="F7" s="16" t="s">
        <v>24</v>
      </c>
    </row>
    <row r="8" spans="1:6" ht="15.6">
      <c r="A8" s="1"/>
      <c r="B8" s="29"/>
      <c r="C8" s="1"/>
      <c r="D8" s="13"/>
      <c r="E8" s="13"/>
      <c r="F8" s="13"/>
    </row>
    <row r="9" spans="1:6" ht="15.6">
      <c r="A9" s="30">
        <v>1</v>
      </c>
      <c r="B9" s="29"/>
      <c r="C9" s="39" t="s">
        <v>324</v>
      </c>
      <c r="D9" s="17">
        <f>+Payroll!D22+OT!D15</f>
        <v>-1656099.0619999999</v>
      </c>
      <c r="E9" s="17"/>
      <c r="F9" s="147" t="s">
        <v>187</v>
      </c>
    </row>
    <row r="10" spans="1:6" ht="15.6">
      <c r="A10" s="30"/>
      <c r="B10" s="29"/>
      <c r="C10" s="1"/>
      <c r="D10" s="17"/>
      <c r="E10" s="17"/>
      <c r="F10" s="147"/>
    </row>
    <row r="11" spans="1:6" ht="15.6">
      <c r="A11" s="30">
        <v>2</v>
      </c>
      <c r="B11" s="29"/>
      <c r="C11" s="37" t="s">
        <v>79</v>
      </c>
      <c r="D11" s="25">
        <f>D19</f>
        <v>0.25010097243993212</v>
      </c>
      <c r="E11" s="152"/>
      <c r="F11" s="13" t="s">
        <v>61</v>
      </c>
    </row>
    <row r="12" spans="1:6" ht="15.6">
      <c r="A12" s="30"/>
      <c r="B12" s="29"/>
      <c r="C12" s="1"/>
      <c r="D12" s="17"/>
      <c r="E12" s="17"/>
      <c r="F12" s="147"/>
    </row>
    <row r="13" spans="1:6" ht="16.2" thickBot="1">
      <c r="A13" s="30">
        <v>3</v>
      </c>
      <c r="B13" s="29"/>
      <c r="C13" s="1" t="s">
        <v>321</v>
      </c>
      <c r="D13" s="22">
        <f>D9*D11</f>
        <v>-414191.98586305941</v>
      </c>
      <c r="E13" s="17"/>
      <c r="F13" s="147" t="s">
        <v>75</v>
      </c>
    </row>
    <row r="14" spans="1:6" ht="16.2" thickTop="1">
      <c r="A14" s="30"/>
      <c r="B14" s="29"/>
      <c r="C14" s="1"/>
      <c r="D14" s="17"/>
      <c r="E14" s="17"/>
      <c r="F14" s="147"/>
    </row>
    <row r="15" spans="1:6" ht="15.6">
      <c r="A15" s="13"/>
      <c r="B15" s="1"/>
      <c r="C15" s="1"/>
      <c r="D15" s="17"/>
      <c r="E15" s="17"/>
      <c r="F15" s="17"/>
    </row>
    <row r="16" spans="1:6" ht="15.6">
      <c r="A16" s="13"/>
      <c r="B16" s="17"/>
      <c r="C16" s="1"/>
      <c r="D16" s="17"/>
      <c r="E16" s="17"/>
      <c r="F16" s="17"/>
    </row>
    <row r="17" spans="1:8" ht="15.6">
      <c r="A17" s="180">
        <v>4</v>
      </c>
      <c r="B17" s="37"/>
      <c r="C17" s="37" t="s">
        <v>275</v>
      </c>
      <c r="D17" s="181">
        <f>101814-593498+2670470+1116141</f>
        <v>3294927</v>
      </c>
      <c r="E17" s="181"/>
      <c r="F17" s="160" t="s">
        <v>303</v>
      </c>
      <c r="G17" s="181"/>
      <c r="H17" s="37"/>
    </row>
    <row r="18" spans="1:8" ht="15.6">
      <c r="A18" s="180">
        <v>5</v>
      </c>
      <c r="B18" s="37"/>
      <c r="C18" s="37" t="s">
        <v>276</v>
      </c>
      <c r="D18" s="182">
        <f>+'Payroll Tax'!D17</f>
        <v>13174387</v>
      </c>
      <c r="E18" s="183"/>
      <c r="F18" s="160" t="s">
        <v>277</v>
      </c>
      <c r="G18" s="181"/>
      <c r="H18" s="17"/>
    </row>
    <row r="19" spans="1:8" ht="15.6">
      <c r="A19" s="180">
        <v>6</v>
      </c>
      <c r="B19" s="37"/>
      <c r="C19" s="37" t="s">
        <v>79</v>
      </c>
      <c r="D19" s="184">
        <f>+D17/D18</f>
        <v>0.25010097243993212</v>
      </c>
      <c r="E19" s="184"/>
      <c r="F19" s="13" t="s">
        <v>91</v>
      </c>
      <c r="G19" s="184"/>
      <c r="H19" s="37"/>
    </row>
    <row r="20" spans="1:8" ht="15.6">
      <c r="A20" s="180"/>
      <c r="B20" s="37"/>
      <c r="C20" s="37"/>
      <c r="D20" s="37"/>
      <c r="E20" s="37"/>
      <c r="F20" s="180"/>
      <c r="G20" s="37"/>
      <c r="H20" s="37"/>
    </row>
    <row r="21" spans="1:8" ht="15.6">
      <c r="A21" s="28"/>
      <c r="B21" s="28"/>
      <c r="C21" s="28"/>
      <c r="D21" s="28"/>
      <c r="E21" s="28"/>
    </row>
    <row r="22" spans="1:8" ht="15.6">
      <c r="A22" s="202">
        <v>7</v>
      </c>
      <c r="B22" s="28"/>
      <c r="C22" s="7" t="s">
        <v>302</v>
      </c>
      <c r="D22" s="17">
        <v>101814</v>
      </c>
      <c r="E22" s="1"/>
      <c r="F22" s="160" t="s">
        <v>277</v>
      </c>
    </row>
    <row r="23" spans="1:8" ht="15.6">
      <c r="A23" s="180">
        <v>8</v>
      </c>
      <c r="C23" s="7" t="s">
        <v>189</v>
      </c>
      <c r="D23" s="17">
        <v>-593498</v>
      </c>
      <c r="E23" s="1"/>
      <c r="F23" s="160" t="s">
        <v>277</v>
      </c>
    </row>
    <row r="24" spans="1:8" ht="15.6">
      <c r="A24" s="180">
        <v>9</v>
      </c>
      <c r="C24" s="7" t="s">
        <v>157</v>
      </c>
      <c r="D24" s="17">
        <v>2670470</v>
      </c>
      <c r="E24" s="1"/>
      <c r="F24" s="160" t="s">
        <v>277</v>
      </c>
    </row>
    <row r="25" spans="1:8" ht="15.6">
      <c r="A25" s="13">
        <v>10</v>
      </c>
      <c r="B25" s="1"/>
      <c r="C25" s="178" t="s">
        <v>158</v>
      </c>
      <c r="D25" s="18">
        <v>1116141</v>
      </c>
      <c r="E25" s="1"/>
      <c r="F25" s="160" t="s">
        <v>277</v>
      </c>
    </row>
    <row r="26" spans="1:8" ht="15.6">
      <c r="A26" s="207"/>
      <c r="C26" s="7" t="s">
        <v>19</v>
      </c>
      <c r="D26" s="17">
        <f>SUM(D22:D25)</f>
        <v>3294927</v>
      </c>
      <c r="E26" s="1"/>
    </row>
    <row r="27" spans="1:8">
      <c r="D27" s="59"/>
    </row>
  </sheetData>
  <pageMargins left="0.7" right="0.7" top="0.75" bottom="0.75" header="0.3" footer="0.3"/>
  <pageSetup scale="7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1CDB-EF39-476B-BDCD-9EDE575DA76F}">
  <sheetPr>
    <pageSetUpPr fitToPage="1"/>
  </sheetPr>
  <dimension ref="A1:F27"/>
  <sheetViews>
    <sheetView workbookViewId="0">
      <selection activeCell="C14" sqref="C14"/>
    </sheetView>
  </sheetViews>
  <sheetFormatPr defaultRowHeight="14.4"/>
  <cols>
    <col min="1" max="1" width="9" customWidth="1"/>
    <col min="2" max="2" width="2.33203125" customWidth="1"/>
    <col min="3" max="3" width="61.44140625" customWidth="1"/>
    <col min="4" max="4" width="20.6640625" customWidth="1"/>
    <col min="5" max="5" width="3.44140625" customWidth="1"/>
    <col min="6" max="6" width="31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234</v>
      </c>
    </row>
    <row r="4" spans="1:6" ht="15.6">
      <c r="A4" s="36" t="s">
        <v>72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7"/>
    </row>
    <row r="6" spans="1:6" ht="15.6">
      <c r="D6" s="31" t="s">
        <v>138</v>
      </c>
      <c r="E6" s="31"/>
    </row>
    <row r="7" spans="1:6" ht="15.6">
      <c r="A7" s="12" t="s">
        <v>22</v>
      </c>
      <c r="B7" s="29"/>
      <c r="C7" s="12" t="s">
        <v>12</v>
      </c>
      <c r="D7" s="32" t="s">
        <v>36</v>
      </c>
      <c r="E7" s="31"/>
      <c r="F7" s="16" t="s">
        <v>24</v>
      </c>
    </row>
    <row r="8" spans="1:6" ht="15.6">
      <c r="A8" s="1"/>
      <c r="B8" s="29"/>
      <c r="C8" s="1"/>
      <c r="D8" s="13"/>
      <c r="E8" s="13"/>
      <c r="F8" s="13"/>
    </row>
    <row r="9" spans="1:6" ht="30.6">
      <c r="A9" s="30">
        <v>1</v>
      </c>
      <c r="B9" s="29"/>
      <c r="C9" s="39" t="s">
        <v>325</v>
      </c>
      <c r="D9" s="17">
        <f>+Payroll!D22+OT!D15+'Incentive Comp'!D15+Severance!D11</f>
        <v>-3553422.0619999999</v>
      </c>
      <c r="E9" s="17"/>
      <c r="F9" s="147" t="s">
        <v>187</v>
      </c>
    </row>
    <row r="10" spans="1:6" ht="15.6">
      <c r="A10" s="30"/>
      <c r="B10" s="29"/>
      <c r="C10" s="1"/>
      <c r="D10" s="17"/>
      <c r="E10" s="17"/>
      <c r="F10" s="147"/>
    </row>
    <row r="11" spans="1:6" ht="15.6">
      <c r="A11" s="30">
        <v>2</v>
      </c>
      <c r="B11" s="29"/>
      <c r="C11" s="1" t="s">
        <v>88</v>
      </c>
      <c r="D11" s="25">
        <f>D18</f>
        <v>7.5399485380230599E-2</v>
      </c>
      <c r="E11" s="152"/>
      <c r="F11" s="13" t="s">
        <v>61</v>
      </c>
    </row>
    <row r="12" spans="1:6" ht="15.6">
      <c r="A12" s="30"/>
      <c r="B12" s="29"/>
      <c r="C12" s="1"/>
      <c r="D12" s="17"/>
      <c r="E12" s="17"/>
      <c r="F12" s="147"/>
    </row>
    <row r="13" spans="1:6" ht="16.2" thickBot="1">
      <c r="A13" s="30">
        <v>3</v>
      </c>
      <c r="B13" s="29"/>
      <c r="C13" s="1" t="s">
        <v>321</v>
      </c>
      <c r="D13" s="22">
        <f>D9*D11</f>
        <v>-267926.19481355784</v>
      </c>
      <c r="E13" s="17"/>
      <c r="F13" s="147" t="s">
        <v>75</v>
      </c>
    </row>
    <row r="14" spans="1:6" ht="16.2" thickTop="1">
      <c r="A14" s="30"/>
      <c r="B14" s="29"/>
      <c r="C14" s="1"/>
      <c r="D14" s="17"/>
      <c r="E14" s="17"/>
      <c r="F14" s="147"/>
    </row>
    <row r="15" spans="1:6" ht="15.6">
      <c r="A15" s="13"/>
      <c r="B15" s="1"/>
      <c r="C15" s="1"/>
      <c r="D15" s="47"/>
      <c r="E15" s="47"/>
      <c r="F15" s="1"/>
    </row>
    <row r="16" spans="1:6" ht="30">
      <c r="A16" s="13">
        <v>4</v>
      </c>
      <c r="B16" s="1"/>
      <c r="C16" s="1" t="s">
        <v>278</v>
      </c>
      <c r="D16" s="17">
        <v>993342</v>
      </c>
      <c r="E16" s="17"/>
      <c r="F16" s="160" t="s">
        <v>282</v>
      </c>
    </row>
    <row r="17" spans="1:6" ht="15.6">
      <c r="A17" s="13">
        <v>5</v>
      </c>
      <c r="B17" s="1"/>
      <c r="C17" s="37" t="s">
        <v>276</v>
      </c>
      <c r="D17" s="18">
        <v>13174387</v>
      </c>
      <c r="E17" s="17"/>
      <c r="F17" s="160" t="s">
        <v>277</v>
      </c>
    </row>
    <row r="18" spans="1:6" ht="15.6">
      <c r="A18" s="13">
        <v>6</v>
      </c>
      <c r="B18" s="1"/>
      <c r="C18" s="1" t="s">
        <v>88</v>
      </c>
      <c r="D18" s="152">
        <f>+D16/D17</f>
        <v>7.5399485380230599E-2</v>
      </c>
      <c r="E18" s="152"/>
      <c r="F18" s="13" t="s">
        <v>91</v>
      </c>
    </row>
    <row r="19" spans="1:6" ht="15.6">
      <c r="A19" s="13"/>
      <c r="B19" s="1"/>
      <c r="C19" s="1"/>
      <c r="D19" s="1"/>
      <c r="E19" s="1"/>
      <c r="F19" s="1"/>
    </row>
    <row r="20" spans="1:6" ht="15.6">
      <c r="A20" s="13"/>
      <c r="B20" s="1"/>
      <c r="C20" s="1"/>
      <c r="D20" s="1"/>
      <c r="E20" s="1"/>
      <c r="F20" s="1"/>
    </row>
    <row r="21" spans="1:6" ht="15.6">
      <c r="A21" s="1"/>
      <c r="B21" s="1"/>
      <c r="C21" s="1"/>
      <c r="D21" s="1"/>
      <c r="E21" s="1"/>
      <c r="F21" s="1"/>
    </row>
    <row r="22" spans="1:6" ht="15.6">
      <c r="A22" s="1"/>
      <c r="B22" s="1"/>
      <c r="C22" s="1"/>
      <c r="D22" s="1"/>
      <c r="E22" s="1"/>
      <c r="F22" s="1"/>
    </row>
    <row r="23" spans="1:6" ht="15.6">
      <c r="A23" s="1"/>
      <c r="B23" s="1"/>
      <c r="C23" s="1"/>
      <c r="D23" s="1"/>
      <c r="E23" s="1"/>
      <c r="F23" s="1"/>
    </row>
    <row r="24" spans="1:6" ht="15.6">
      <c r="A24" s="1"/>
      <c r="B24" s="1"/>
      <c r="C24" s="1"/>
      <c r="D24" s="1"/>
      <c r="E24" s="1"/>
      <c r="F24" s="1"/>
    </row>
    <row r="25" spans="1:6" ht="15.6">
      <c r="A25" s="1"/>
      <c r="B25" s="1"/>
      <c r="C25" s="17"/>
      <c r="D25" s="1"/>
      <c r="E25" s="1"/>
    </row>
    <row r="26" spans="1:6" ht="15">
      <c r="A26" s="55"/>
    </row>
    <row r="27" spans="1:6" ht="15.6">
      <c r="C27" s="1"/>
    </row>
  </sheetData>
  <pageMargins left="0.7" right="0.7" top="0.75" bottom="0.75" header="0.3" footer="0.3"/>
  <pageSetup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00C5-F407-4C94-8264-24D9533639BC}">
  <sheetPr>
    <pageSetUpPr fitToPage="1"/>
  </sheetPr>
  <dimension ref="A1:G32"/>
  <sheetViews>
    <sheetView workbookViewId="0">
      <selection activeCell="C29" sqref="C29"/>
    </sheetView>
  </sheetViews>
  <sheetFormatPr defaultRowHeight="14.4"/>
  <cols>
    <col min="1" max="1" width="7.88671875"/>
    <col min="2" max="2" width="3" customWidth="1"/>
    <col min="3" max="3" width="66.109375" customWidth="1"/>
    <col min="4" max="4" width="3.33203125" customWidth="1"/>
    <col min="5" max="5" width="17.6640625" customWidth="1"/>
    <col min="6" max="6" width="2.44140625" customWidth="1"/>
    <col min="7" max="7" width="22.33203125" customWidth="1"/>
  </cols>
  <sheetData>
    <row r="1" spans="1:7" ht="15.6">
      <c r="A1" s="1" t="str">
        <f>A!A1</f>
        <v>Kentucky-American Water Company</v>
      </c>
      <c r="B1" s="1"/>
      <c r="C1" s="1"/>
      <c r="D1" s="1"/>
      <c r="G1" s="7" t="str">
        <f>A!H1</f>
        <v>Case No. 2026-00094</v>
      </c>
    </row>
    <row r="2" spans="1:7" ht="15.6">
      <c r="A2" s="1" t="str">
        <f>A!A2</f>
        <v>Forecasted Test Period Twelve Months Ended December 31, 2027</v>
      </c>
      <c r="B2" s="1"/>
      <c r="C2" s="1"/>
      <c r="D2" s="1"/>
      <c r="G2" s="7" t="str">
        <f>A!H2</f>
        <v>Exhibit JD-1</v>
      </c>
    </row>
    <row r="3" spans="1:7" ht="15.6">
      <c r="A3" s="1"/>
      <c r="B3" s="1"/>
      <c r="C3" s="1"/>
      <c r="D3" s="1"/>
      <c r="G3" s="7" t="s">
        <v>235</v>
      </c>
    </row>
    <row r="4" spans="1:7" ht="15.6">
      <c r="A4" s="36" t="s">
        <v>85</v>
      </c>
      <c r="B4" s="1"/>
      <c r="C4" s="1"/>
      <c r="D4" s="1"/>
      <c r="G4" s="7" t="str">
        <f>A!H4</f>
        <v>Page 1 of 1</v>
      </c>
    </row>
    <row r="6" spans="1:7" ht="15.6">
      <c r="A6" s="31" t="s">
        <v>7</v>
      </c>
      <c r="B6" s="36"/>
      <c r="C6" s="36"/>
      <c r="D6" s="36"/>
      <c r="E6" s="31" t="s">
        <v>138</v>
      </c>
      <c r="F6" s="36"/>
      <c r="G6" s="46"/>
    </row>
    <row r="7" spans="1:7" ht="15.6">
      <c r="A7" s="32" t="s">
        <v>11</v>
      </c>
      <c r="B7" s="36"/>
      <c r="C7" s="40" t="s">
        <v>12</v>
      </c>
      <c r="D7" s="36"/>
      <c r="E7" s="32" t="s">
        <v>36</v>
      </c>
      <c r="F7" s="36"/>
      <c r="G7" s="58" t="s">
        <v>24</v>
      </c>
    </row>
    <row r="8" spans="1:7" ht="15.6">
      <c r="A8" s="31"/>
      <c r="B8" s="36"/>
      <c r="C8" s="36"/>
      <c r="D8" s="36"/>
      <c r="E8" s="36"/>
      <c r="F8" s="36"/>
      <c r="G8" s="46"/>
    </row>
    <row r="9" spans="1:7" ht="15.6">
      <c r="A9" s="31"/>
      <c r="B9" s="36"/>
      <c r="C9" s="41" t="s">
        <v>20</v>
      </c>
      <c r="D9" s="36"/>
      <c r="E9" s="36"/>
      <c r="F9" s="36"/>
      <c r="G9" s="36"/>
    </row>
    <row r="10" spans="1:7" ht="30.6">
      <c r="A10" s="31">
        <v>1</v>
      </c>
      <c r="B10" s="36"/>
      <c r="C10" s="36" t="s">
        <v>326</v>
      </c>
      <c r="D10" s="36"/>
      <c r="E10" s="42">
        <f>-SUM('C p 2'!D13:D28)</f>
        <v>-6062610.7760766177</v>
      </c>
      <c r="F10" s="36"/>
      <c r="G10" s="165" t="s">
        <v>304</v>
      </c>
    </row>
    <row r="11" spans="1:7" ht="15.6">
      <c r="A11" s="31"/>
      <c r="B11" s="36"/>
      <c r="C11" s="36"/>
      <c r="D11" s="36"/>
      <c r="E11" s="42"/>
      <c r="F11" s="36"/>
      <c r="G11" s="31"/>
    </row>
    <row r="12" spans="1:7" ht="15.6">
      <c r="A12" s="31">
        <v>2</v>
      </c>
      <c r="B12" s="36"/>
      <c r="C12" s="36" t="s">
        <v>80</v>
      </c>
      <c r="D12" s="36"/>
      <c r="E12" s="48">
        <f>+E24</f>
        <v>303130.53880383092</v>
      </c>
      <c r="F12" s="36"/>
      <c r="G12" s="31" t="s">
        <v>199</v>
      </c>
    </row>
    <row r="13" spans="1:7" ht="15.6">
      <c r="A13" s="31">
        <v>3</v>
      </c>
      <c r="B13" s="36"/>
      <c r="C13" s="36" t="s">
        <v>81</v>
      </c>
      <c r="D13" s="36"/>
      <c r="E13" s="42">
        <f>SUM(E10:E12)</f>
        <v>-5759480.2372727869</v>
      </c>
      <c r="F13" s="36"/>
      <c r="G13" s="31" t="s">
        <v>200</v>
      </c>
    </row>
    <row r="14" spans="1:7" ht="15.6">
      <c r="A14" s="31"/>
      <c r="B14" s="36"/>
      <c r="C14" s="36"/>
      <c r="D14" s="36"/>
      <c r="E14" s="36"/>
      <c r="F14" s="36"/>
      <c r="G14" s="31"/>
    </row>
    <row r="15" spans="1:7" ht="45.6">
      <c r="A15" s="31">
        <v>4</v>
      </c>
      <c r="B15" s="36"/>
      <c r="C15" s="36" t="s">
        <v>82</v>
      </c>
      <c r="D15" s="36"/>
      <c r="E15" s="43">
        <v>0.21</v>
      </c>
      <c r="F15" s="36"/>
      <c r="G15" s="165" t="s">
        <v>281</v>
      </c>
    </row>
    <row r="16" spans="1:7" ht="15.6">
      <c r="A16" s="31"/>
      <c r="B16" s="36"/>
      <c r="C16" s="36"/>
      <c r="D16" s="36"/>
      <c r="E16" s="36"/>
      <c r="F16" s="36"/>
      <c r="G16" s="31"/>
    </row>
    <row r="17" spans="1:7" ht="15.6">
      <c r="A17" s="31">
        <v>5</v>
      </c>
      <c r="B17" s="36"/>
      <c r="C17" s="36" t="s">
        <v>327</v>
      </c>
      <c r="D17" s="36"/>
      <c r="E17" s="44">
        <f>-E13*E15</f>
        <v>1209490.8498272852</v>
      </c>
      <c r="F17" s="36"/>
      <c r="G17" s="185" t="s">
        <v>280</v>
      </c>
    </row>
    <row r="18" spans="1:7" ht="15.6">
      <c r="A18" s="31"/>
      <c r="B18" s="36"/>
      <c r="C18" s="36"/>
      <c r="D18" s="36"/>
      <c r="E18" s="36"/>
      <c r="F18" s="36"/>
      <c r="G18" s="13"/>
    </row>
    <row r="19" spans="1:7" ht="15.6">
      <c r="A19" s="31"/>
      <c r="B19" s="36"/>
      <c r="C19" s="41" t="s">
        <v>83</v>
      </c>
      <c r="D19" s="36"/>
      <c r="E19" s="36"/>
      <c r="F19" s="36"/>
      <c r="G19" s="13"/>
    </row>
    <row r="20" spans="1:7" ht="15.6">
      <c r="A20" s="31">
        <v>6</v>
      </c>
      <c r="B20" s="36"/>
      <c r="C20" s="36" t="s">
        <v>197</v>
      </c>
      <c r="D20" s="36"/>
      <c r="E20" s="34">
        <f>E10</f>
        <v>-6062610.7760766177</v>
      </c>
      <c r="F20" s="36"/>
      <c r="G20" s="13" t="s">
        <v>198</v>
      </c>
    </row>
    <row r="21" spans="1:7" ht="15.6">
      <c r="A21" s="31"/>
      <c r="B21" s="36"/>
      <c r="C21" s="36"/>
      <c r="D21" s="36"/>
      <c r="E21" s="36"/>
      <c r="F21" s="36"/>
      <c r="G21" s="13"/>
    </row>
    <row r="22" spans="1:7" ht="45.6">
      <c r="A22" s="31">
        <v>7</v>
      </c>
      <c r="B22" s="36"/>
      <c r="C22" s="36" t="s">
        <v>83</v>
      </c>
      <c r="D22" s="36"/>
      <c r="E22" s="111">
        <v>0.05</v>
      </c>
      <c r="F22" s="36"/>
      <c r="G22" s="165" t="s">
        <v>281</v>
      </c>
    </row>
    <row r="23" spans="1:7" ht="15.6">
      <c r="A23" s="36"/>
      <c r="B23" s="36"/>
      <c r="C23" s="36"/>
      <c r="D23" s="36"/>
      <c r="E23" s="36"/>
      <c r="F23" s="36"/>
      <c r="G23" s="13"/>
    </row>
    <row r="24" spans="1:7" ht="15.6">
      <c r="A24" s="31">
        <v>8</v>
      </c>
      <c r="B24" s="36"/>
      <c r="C24" s="36" t="s">
        <v>328</v>
      </c>
      <c r="D24" s="36"/>
      <c r="E24" s="44">
        <f>-E22*E20</f>
        <v>303130.53880383092</v>
      </c>
      <c r="F24" s="36"/>
      <c r="G24" s="177" t="s">
        <v>279</v>
      </c>
    </row>
    <row r="25" spans="1:7" ht="15.6">
      <c r="A25" s="36"/>
      <c r="B25" s="36"/>
      <c r="C25" s="36"/>
      <c r="D25" s="36"/>
      <c r="E25" s="36"/>
      <c r="F25" s="36"/>
      <c r="G25" s="13"/>
    </row>
    <row r="26" spans="1:7" ht="16.2" thickBot="1">
      <c r="A26" s="31">
        <v>9</v>
      </c>
      <c r="B26" s="36"/>
      <c r="C26" s="36" t="s">
        <v>329</v>
      </c>
      <c r="D26" s="36"/>
      <c r="E26" s="56">
        <f>+E17+E24</f>
        <v>1512621.3886311161</v>
      </c>
      <c r="F26" s="36"/>
      <c r="G26" s="13" t="s">
        <v>201</v>
      </c>
    </row>
    <row r="27" spans="1:7" ht="16.2" thickTop="1">
      <c r="A27" s="36"/>
      <c r="B27" s="36"/>
      <c r="C27" s="36"/>
      <c r="D27" s="36"/>
      <c r="E27" s="36"/>
      <c r="F27" s="36"/>
      <c r="G27" s="13"/>
    </row>
    <row r="28" spans="1:7" ht="15.6">
      <c r="A28" s="31"/>
      <c r="B28" s="31"/>
      <c r="C28" s="31"/>
      <c r="D28" s="13"/>
      <c r="E28" s="13"/>
      <c r="F28" s="36"/>
      <c r="G28" s="91"/>
    </row>
    <row r="29" spans="1:7" ht="15.6">
      <c r="A29" s="110"/>
      <c r="B29" s="31"/>
      <c r="C29" s="13"/>
      <c r="D29" s="31"/>
      <c r="E29" s="31"/>
      <c r="F29" s="36"/>
      <c r="G29" s="91"/>
    </row>
    <row r="30" spans="1:7" ht="15.6">
      <c r="A30" s="31"/>
      <c r="B30" s="31"/>
      <c r="C30" s="13"/>
      <c r="D30" s="31"/>
      <c r="E30" s="31"/>
      <c r="F30" s="36"/>
      <c r="G30" s="24"/>
    </row>
    <row r="31" spans="1:7" ht="15.6">
      <c r="A31" s="31"/>
      <c r="B31" s="31"/>
      <c r="C31" s="91"/>
      <c r="D31" s="31"/>
      <c r="E31" s="31"/>
      <c r="F31" s="36"/>
      <c r="G31" s="24"/>
    </row>
    <row r="32" spans="1:7" ht="15.6">
      <c r="A32" s="36"/>
      <c r="B32" s="36"/>
      <c r="C32" s="36"/>
      <c r="D32" s="36"/>
      <c r="E32" s="36"/>
      <c r="F32" s="36"/>
      <c r="G32" s="24"/>
    </row>
  </sheetData>
  <pageMargins left="0.7" right="0.7" top="0.75" bottom="0.75" header="0.3" footer="0.3"/>
  <pageSetup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83CB-BCE5-46A0-BF07-7AAB56A59F72}">
  <sheetPr>
    <pageSetUpPr fitToPage="1"/>
  </sheetPr>
  <dimension ref="A1:G32"/>
  <sheetViews>
    <sheetView topLeftCell="A4" workbookViewId="0">
      <selection activeCell="E28" sqref="E28"/>
    </sheetView>
  </sheetViews>
  <sheetFormatPr defaultRowHeight="14.4"/>
  <cols>
    <col min="1" max="1" width="9.109375" customWidth="1"/>
    <col min="2" max="2" width="3.44140625" customWidth="1"/>
    <col min="3" max="3" width="54.33203125" customWidth="1"/>
    <col min="4" max="4" width="2.5546875" customWidth="1"/>
    <col min="5" max="5" width="17.88671875" customWidth="1"/>
    <col min="6" max="6" width="33.88671875" customWidth="1"/>
    <col min="7" max="7" width="12.88671875" customWidth="1"/>
  </cols>
  <sheetData>
    <row r="1" spans="1:7" ht="15.6">
      <c r="A1" s="29" t="str">
        <f>'Inc Tax'!A1</f>
        <v>Kentucky-American Water Company</v>
      </c>
      <c r="B1" s="29"/>
      <c r="C1" s="29"/>
      <c r="D1" s="29"/>
      <c r="E1" s="71"/>
      <c r="F1" s="68" t="str">
        <f>'Inc Tax'!G1</f>
        <v>Case No. 2026-00094</v>
      </c>
    </row>
    <row r="2" spans="1:7" ht="15.6">
      <c r="A2" s="29" t="str">
        <f>'Inc Tax'!A2</f>
        <v>Forecasted Test Period Twelve Months Ended December 31, 2027</v>
      </c>
      <c r="B2" s="29"/>
      <c r="C2" s="29"/>
      <c r="D2" s="29"/>
      <c r="E2" s="71"/>
      <c r="F2" s="68" t="str">
        <f>'Inc Tax'!G2</f>
        <v>Exhibit JD-1</v>
      </c>
    </row>
    <row r="3" spans="1:7" ht="15.6">
      <c r="A3" s="29"/>
      <c r="B3" s="29"/>
      <c r="C3" s="29"/>
      <c r="D3" s="29"/>
      <c r="E3" s="71"/>
      <c r="F3" s="68" t="s">
        <v>236</v>
      </c>
    </row>
    <row r="4" spans="1:7" ht="15.6">
      <c r="A4" s="29" t="s">
        <v>112</v>
      </c>
      <c r="B4" s="29"/>
      <c r="C4" s="29"/>
      <c r="D4" s="29"/>
      <c r="E4" s="71"/>
      <c r="F4" s="68" t="str">
        <f>'Inc Tax'!G4</f>
        <v>Page 1 of 1</v>
      </c>
    </row>
    <row r="5" spans="1:7" ht="15.6">
      <c r="A5" s="29"/>
      <c r="B5" s="29"/>
      <c r="C5" s="29"/>
      <c r="D5" s="29"/>
      <c r="E5" s="31" t="s">
        <v>138</v>
      </c>
      <c r="F5" s="71"/>
    </row>
    <row r="6" spans="1:7" ht="15.6">
      <c r="A6" s="76" t="s">
        <v>113</v>
      </c>
      <c r="B6" s="29"/>
      <c r="C6" s="76" t="s">
        <v>12</v>
      </c>
      <c r="D6" s="29"/>
      <c r="E6" s="32" t="s">
        <v>36</v>
      </c>
      <c r="F6" s="77" t="s">
        <v>24</v>
      </c>
    </row>
    <row r="7" spans="1:7" ht="15.6">
      <c r="A7" s="30">
        <v>1</v>
      </c>
      <c r="B7" s="29"/>
      <c r="C7" s="29" t="s">
        <v>102</v>
      </c>
      <c r="D7" s="29"/>
      <c r="E7" s="73">
        <f>B!E43</f>
        <v>727991091.91329491</v>
      </c>
      <c r="F7" s="30" t="s">
        <v>41</v>
      </c>
    </row>
    <row r="8" spans="1:7" ht="15.6">
      <c r="A8" s="30"/>
      <c r="B8" s="29"/>
      <c r="C8" s="29"/>
      <c r="D8" s="29"/>
      <c r="E8" s="29"/>
      <c r="F8" s="30"/>
    </row>
    <row r="9" spans="1:7" ht="15.6">
      <c r="A9" s="30">
        <v>2</v>
      </c>
      <c r="B9" s="29"/>
      <c r="C9" s="29" t="s">
        <v>103</v>
      </c>
      <c r="D9" s="29"/>
      <c r="E9" s="78">
        <f>+D!I28+D!I30+D!I32</f>
        <v>2.3699999999999999E-2</v>
      </c>
      <c r="F9" s="30" t="s">
        <v>284</v>
      </c>
    </row>
    <row r="10" spans="1:7" ht="15.6">
      <c r="A10" s="30"/>
      <c r="B10" s="29"/>
      <c r="C10" s="29"/>
      <c r="D10" s="29"/>
      <c r="E10" s="29"/>
      <c r="F10" s="30"/>
      <c r="G10" s="59"/>
    </row>
    <row r="11" spans="1:7" ht="15.6">
      <c r="A11" s="30">
        <v>3</v>
      </c>
      <c r="B11" s="29"/>
      <c r="C11" s="29" t="s">
        <v>105</v>
      </c>
      <c r="D11" s="29"/>
      <c r="E11" s="73">
        <f>ROUND(E7*E9,0)</f>
        <v>17253389</v>
      </c>
      <c r="F11" s="30" t="s">
        <v>75</v>
      </c>
    </row>
    <row r="12" spans="1:7" ht="15.6">
      <c r="A12" s="30"/>
      <c r="B12" s="29"/>
      <c r="C12" s="29"/>
      <c r="D12" s="29"/>
      <c r="E12" s="73"/>
      <c r="F12" s="30"/>
    </row>
    <row r="13" spans="1:7" ht="45.6">
      <c r="A13" s="30">
        <v>4</v>
      </c>
      <c r="B13" s="29"/>
      <c r="C13" s="79" t="s">
        <v>104</v>
      </c>
      <c r="D13" s="29"/>
      <c r="E13" s="121">
        <v>17067439</v>
      </c>
      <c r="F13" s="166" t="s">
        <v>283</v>
      </c>
    </row>
    <row r="14" spans="1:7" ht="15.6">
      <c r="A14" s="30"/>
      <c r="B14" s="29"/>
      <c r="C14" s="29"/>
      <c r="D14" s="29"/>
      <c r="E14" s="73"/>
      <c r="F14" s="30"/>
    </row>
    <row r="15" spans="1:7" ht="15.6">
      <c r="A15" s="30">
        <v>5</v>
      </c>
      <c r="B15" s="29"/>
      <c r="C15" s="29" t="s">
        <v>106</v>
      </c>
      <c r="D15" s="29"/>
      <c r="E15" s="80">
        <f>+E11-E13</f>
        <v>185950</v>
      </c>
      <c r="F15" s="30" t="s">
        <v>50</v>
      </c>
    </row>
    <row r="16" spans="1:7" ht="15.6">
      <c r="A16" s="30"/>
      <c r="B16" s="29"/>
      <c r="C16" s="29"/>
      <c r="D16" s="29"/>
      <c r="E16" s="80"/>
      <c r="F16" s="30"/>
    </row>
    <row r="17" spans="1:6" ht="15.6">
      <c r="A17" s="30">
        <v>6</v>
      </c>
      <c r="B17" s="29"/>
      <c r="C17" s="29" t="s">
        <v>107</v>
      </c>
      <c r="D17" s="29"/>
      <c r="E17" s="186">
        <v>0.2495</v>
      </c>
      <c r="F17" s="30" t="s">
        <v>114</v>
      </c>
    </row>
    <row r="18" spans="1:6" ht="15.6">
      <c r="A18" s="30"/>
      <c r="B18" s="29"/>
      <c r="C18" s="29"/>
      <c r="D18" s="29"/>
      <c r="E18" s="29"/>
      <c r="F18" s="30"/>
    </row>
    <row r="19" spans="1:6" ht="16.2" thickBot="1">
      <c r="A19" s="30">
        <v>7</v>
      </c>
      <c r="B19" s="29"/>
      <c r="C19" s="29" t="s">
        <v>251</v>
      </c>
      <c r="D19" s="29"/>
      <c r="E19" s="81">
        <f>-E15*E17</f>
        <v>-46394.525000000001</v>
      </c>
      <c r="F19" s="187" t="s">
        <v>285</v>
      </c>
    </row>
    <row r="20" spans="1:6" ht="16.2" thickTop="1">
      <c r="A20" s="30"/>
      <c r="B20" s="29"/>
      <c r="C20" s="29"/>
      <c r="D20" s="29"/>
      <c r="E20" s="82"/>
      <c r="F20" s="30"/>
    </row>
    <row r="21" spans="1:6" ht="15.6">
      <c r="A21" s="30">
        <v>8</v>
      </c>
      <c r="B21" s="29"/>
      <c r="C21" s="29" t="s">
        <v>108</v>
      </c>
      <c r="D21" s="29"/>
      <c r="E21" s="82">
        <f>-E15*0.05</f>
        <v>-9297.5</v>
      </c>
      <c r="F21" s="187" t="s">
        <v>286</v>
      </c>
    </row>
    <row r="22" spans="1:6" ht="15.6">
      <c r="A22" s="30">
        <v>9</v>
      </c>
      <c r="B22" s="29"/>
      <c r="C22" s="29" t="s">
        <v>109</v>
      </c>
      <c r="D22" s="29"/>
      <c r="E22" s="83">
        <f>(-E15-E21)*0.21</f>
        <v>-37097.025000000001</v>
      </c>
      <c r="F22" s="30" t="s">
        <v>195</v>
      </c>
    </row>
    <row r="23" spans="1:6" ht="16.2" thickBot="1">
      <c r="A23" s="30">
        <v>10</v>
      </c>
      <c r="B23" s="29"/>
      <c r="C23" s="29" t="s">
        <v>252</v>
      </c>
      <c r="D23" s="29"/>
      <c r="E23" s="84">
        <f>+E22+E21</f>
        <v>-46394.525000000001</v>
      </c>
      <c r="F23" s="30"/>
    </row>
    <row r="24" spans="1:6" ht="16.2" thickTop="1">
      <c r="A24" s="30"/>
      <c r="B24" s="29"/>
      <c r="C24" s="29"/>
      <c r="D24" s="29"/>
      <c r="E24" s="29"/>
      <c r="F24" s="29"/>
    </row>
    <row r="25" spans="1:6" ht="15.6">
      <c r="A25" s="30"/>
      <c r="B25" s="29"/>
      <c r="C25" s="29"/>
      <c r="D25" s="29"/>
      <c r="E25" s="85"/>
      <c r="F25" s="29"/>
    </row>
    <row r="26" spans="1:6" ht="30.6">
      <c r="A26" s="30">
        <v>11</v>
      </c>
      <c r="B26" s="29"/>
      <c r="C26" s="68" t="s">
        <v>110</v>
      </c>
      <c r="D26" s="28"/>
      <c r="E26" s="168">
        <v>0.21</v>
      </c>
      <c r="F26" s="165" t="s">
        <v>281</v>
      </c>
    </row>
    <row r="27" spans="1:6" ht="30.6">
      <c r="A27" s="30">
        <v>12</v>
      </c>
      <c r="B27" s="29"/>
      <c r="C27" s="68" t="s">
        <v>111</v>
      </c>
      <c r="D27" s="28"/>
      <c r="E27" s="169">
        <v>0.05</v>
      </c>
      <c r="F27" s="165" t="s">
        <v>281</v>
      </c>
    </row>
    <row r="28" spans="1:6" ht="15.6">
      <c r="A28" s="30">
        <v>13</v>
      </c>
      <c r="B28" s="29"/>
      <c r="C28" s="68" t="s">
        <v>44</v>
      </c>
      <c r="D28" s="28"/>
      <c r="E28" s="168">
        <f>(1-0.05)*0.21</f>
        <v>0.19949999999999998</v>
      </c>
      <c r="F28" s="30" t="s">
        <v>212</v>
      </c>
    </row>
    <row r="29" spans="1:6" ht="15.6">
      <c r="A29" s="30">
        <v>14</v>
      </c>
      <c r="B29" s="71"/>
      <c r="C29" s="68" t="s">
        <v>111</v>
      </c>
      <c r="D29" s="28"/>
      <c r="E29" s="169">
        <v>0.05</v>
      </c>
      <c r="F29" s="30" t="s">
        <v>202</v>
      </c>
    </row>
    <row r="30" spans="1:6" ht="15.6">
      <c r="A30" s="30">
        <v>15</v>
      </c>
      <c r="B30" s="71"/>
      <c r="C30" s="68" t="s">
        <v>107</v>
      </c>
      <c r="D30" s="28"/>
      <c r="E30" s="168">
        <f>SUM(E28:E29)</f>
        <v>0.2495</v>
      </c>
      <c r="F30" s="30" t="s">
        <v>194</v>
      </c>
    </row>
    <row r="31" spans="1:6" ht="15.6">
      <c r="A31" s="71"/>
      <c r="B31" s="71"/>
      <c r="C31" s="86"/>
      <c r="D31" s="28"/>
      <c r="E31" s="170"/>
      <c r="F31" s="167"/>
    </row>
    <row r="32" spans="1:6" ht="15.6">
      <c r="C32" s="28"/>
      <c r="D32" s="28"/>
      <c r="E32" s="28"/>
      <c r="F32" s="1"/>
    </row>
  </sheetData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BF7E-807E-4C73-8060-2A80D9EB105A}">
  <sheetPr>
    <pageSetUpPr fitToPage="1"/>
  </sheetPr>
  <dimension ref="A1:H45"/>
  <sheetViews>
    <sheetView showGridLines="0" topLeftCell="A20" workbookViewId="0">
      <selection activeCell="F36" sqref="F36"/>
    </sheetView>
  </sheetViews>
  <sheetFormatPr defaultRowHeight="14.4"/>
  <cols>
    <col min="1" max="1" width="42.109375" customWidth="1"/>
    <col min="2" max="4" width="17.44140625" customWidth="1"/>
    <col min="5" max="6" width="20.88671875" customWidth="1"/>
    <col min="7" max="7" width="16.5546875" customWidth="1"/>
    <col min="8" max="8" width="14.88671875" customWidth="1"/>
  </cols>
  <sheetData>
    <row r="1" spans="1:8" ht="15.6">
      <c r="A1" s="1" t="str">
        <f>TOC!A2</f>
        <v>Case No. 2026-00094</v>
      </c>
    </row>
    <row r="2" spans="1:8" ht="15.6">
      <c r="A2" s="21" t="s">
        <v>253</v>
      </c>
      <c r="B2" s="21"/>
      <c r="C2" s="21"/>
      <c r="D2" s="21"/>
      <c r="E2" s="52"/>
      <c r="F2" s="52">
        <f>A!D22</f>
        <v>17684458.681864511</v>
      </c>
      <c r="G2" s="52"/>
    </row>
    <row r="3" spans="1:8" ht="15.6">
      <c r="A3" s="49"/>
      <c r="B3" s="49"/>
      <c r="C3" s="49"/>
      <c r="D3" s="49"/>
      <c r="E3" s="52"/>
      <c r="F3" s="52"/>
      <c r="G3" s="52"/>
    </row>
    <row r="4" spans="1:8" ht="15.6">
      <c r="A4" s="21" t="s">
        <v>330</v>
      </c>
      <c r="B4" s="21"/>
      <c r="C4" s="21"/>
      <c r="D4" s="21"/>
      <c r="E4" s="17"/>
      <c r="F4" s="51"/>
      <c r="G4" s="51"/>
    </row>
    <row r="5" spans="1:8" ht="15.6">
      <c r="A5" s="21" t="s">
        <v>94</v>
      </c>
      <c r="B5" s="21"/>
      <c r="C5" s="21"/>
      <c r="D5" s="21"/>
      <c r="E5" s="52"/>
      <c r="F5" s="52">
        <f>-((0.0794-0.065)*B!C43*1.342891)</f>
        <v>-14226027.240262285</v>
      </c>
      <c r="G5" s="52"/>
    </row>
    <row r="6" spans="1:8" ht="15.6">
      <c r="A6" s="21"/>
      <c r="B6" s="21"/>
      <c r="C6" s="21"/>
      <c r="D6" s="21"/>
      <c r="E6" s="52"/>
      <c r="F6" s="52"/>
      <c r="G6" s="52"/>
    </row>
    <row r="7" spans="1:8" ht="15.6">
      <c r="A7" s="62" t="s">
        <v>95</v>
      </c>
      <c r="B7" s="21"/>
      <c r="C7" s="21"/>
      <c r="D7" s="21"/>
      <c r="E7" s="52"/>
      <c r="F7" s="52"/>
      <c r="G7" s="52"/>
      <c r="H7" s="59"/>
    </row>
    <row r="8" spans="1:8" ht="15.6">
      <c r="A8" s="21"/>
      <c r="B8" s="21"/>
      <c r="C8" s="21"/>
      <c r="D8" s="21"/>
      <c r="E8" s="52"/>
      <c r="F8" s="52"/>
      <c r="G8" s="52"/>
      <c r="H8" s="59"/>
    </row>
    <row r="9" spans="1:8" ht="15.6">
      <c r="A9" s="21" t="s">
        <v>56</v>
      </c>
      <c r="B9" s="21"/>
      <c r="C9" s="21"/>
      <c r="D9" s="21"/>
      <c r="E9" s="153">
        <f>(-7674393*0.065)*1.342891</f>
        <v>-669881.76386059506</v>
      </c>
      <c r="F9" s="17"/>
      <c r="G9" s="52"/>
    </row>
    <row r="10" spans="1:8" ht="15.6">
      <c r="A10" s="21"/>
      <c r="B10" s="21"/>
      <c r="C10" s="21"/>
      <c r="D10" s="21"/>
      <c r="E10" s="52"/>
      <c r="F10" s="17"/>
      <c r="G10" s="52"/>
    </row>
    <row r="11" spans="1:8" ht="15.6">
      <c r="A11" s="61" t="s">
        <v>44</v>
      </c>
      <c r="B11" s="61"/>
      <c r="C11" s="61"/>
      <c r="D11" s="61"/>
      <c r="E11" s="52"/>
      <c r="F11" s="17">
        <f>SUM(E9:E10)</f>
        <v>-669881.76386059506</v>
      </c>
    </row>
    <row r="12" spans="1:8" ht="15.6">
      <c r="A12" s="61"/>
      <c r="B12" s="61"/>
      <c r="C12" s="61"/>
      <c r="D12" s="61"/>
      <c r="E12" s="52"/>
      <c r="F12" s="17"/>
    </row>
    <row r="13" spans="1:8" ht="15.6">
      <c r="A13" s="62" t="s">
        <v>96</v>
      </c>
      <c r="B13" s="64" t="s">
        <v>98</v>
      </c>
      <c r="C13" s="64" t="s">
        <v>99</v>
      </c>
      <c r="D13" s="64" t="s">
        <v>100</v>
      </c>
      <c r="E13" s="65" t="s">
        <v>97</v>
      </c>
      <c r="F13" s="17"/>
    </row>
    <row r="14" spans="1:8" ht="15.6">
      <c r="A14" s="21" t="str">
        <f>Payroll!A4</f>
        <v>Payroll Expense</v>
      </c>
      <c r="B14" s="154">
        <f>Payroll!D22</f>
        <v>-1480952.862</v>
      </c>
      <c r="C14" s="154">
        <f>-B14+(B14*B44)</f>
        <v>1111455.1229309998</v>
      </c>
      <c r="D14" s="63">
        <f>A!D20</f>
        <v>1.3428906160469434</v>
      </c>
      <c r="E14" s="53">
        <f>+C14*-D14</f>
        <v>-1492562.6547413415</v>
      </c>
      <c r="G14" s="60"/>
    </row>
    <row r="15" spans="1:8" ht="15.6">
      <c r="A15" s="21" t="str">
        <f>OT!A4</f>
        <v>Overtime Expense</v>
      </c>
      <c r="B15" s="154">
        <f>OT!D15</f>
        <v>-175146.19999999995</v>
      </c>
      <c r="C15" s="154">
        <f>-B15+(B15*B44)</f>
        <v>131447.22309999997</v>
      </c>
      <c r="D15" s="63">
        <v>1.3428906160469434</v>
      </c>
      <c r="E15" s="53">
        <f>+C15*-D15</f>
        <v>-176519.24240641898</v>
      </c>
      <c r="G15" s="60"/>
    </row>
    <row r="16" spans="1:8" ht="15.6">
      <c r="A16" s="21" t="str">
        <f>'Incentive Comp'!A4</f>
        <v xml:space="preserve">Incentive Compensation </v>
      </c>
      <c r="B16" s="154">
        <f>'Incentive Comp'!D15</f>
        <v>-1997770</v>
      </c>
      <c r="C16" s="154">
        <f>-B16+(B16*B44)</f>
        <v>1499326.385</v>
      </c>
      <c r="D16" s="63">
        <v>1.3428906160469434</v>
      </c>
      <c r="E16" s="53">
        <f t="shared" ref="E16:E26" si="0">+C16*-D16</f>
        <v>-2013431.3328080866</v>
      </c>
      <c r="G16" s="60"/>
    </row>
    <row r="17" spans="1:8" ht="15.6">
      <c r="A17" s="21" t="str">
        <f>ESPP!A4</f>
        <v>Employee Stock Purchase Plan Discount</v>
      </c>
      <c r="B17" s="154">
        <f>ESPP!D15</f>
        <v>-49477</v>
      </c>
      <c r="C17" s="154">
        <f>-B17+(B17*B44)</f>
        <v>37132.488499999999</v>
      </c>
      <c r="D17" s="63">
        <v>1.3428906160469434</v>
      </c>
      <c r="E17" s="53">
        <f t="shared" si="0"/>
        <v>-49864.870357121043</v>
      </c>
      <c r="G17" s="60"/>
    </row>
    <row r="18" spans="1:8" ht="15.6">
      <c r="A18" s="21" t="str">
        <f>Severance!A4</f>
        <v>Severance Expense</v>
      </c>
      <c r="B18" s="154">
        <f>Severance!D15</f>
        <v>-100447</v>
      </c>
      <c r="C18" s="154">
        <f>-B18+(B18*B44)</f>
        <v>75385.473499999993</v>
      </c>
      <c r="D18" s="63">
        <v>1.3428906160469434</v>
      </c>
      <c r="E18" s="53">
        <f t="shared" si="0"/>
        <v>-101234.44494940552</v>
      </c>
      <c r="G18" s="60"/>
    </row>
    <row r="19" spans="1:8" ht="15.6">
      <c r="A19" s="21" t="str">
        <f>Temp!A4</f>
        <v>Temporary Help</v>
      </c>
      <c r="B19" s="154">
        <f>Temp!D15</f>
        <v>-100808.2</v>
      </c>
      <c r="C19" s="154">
        <f>-B19+(B19*B44)</f>
        <v>75656.554099999994</v>
      </c>
      <c r="D19" s="63">
        <v>1.3428906160469434</v>
      </c>
      <c r="E19" s="53">
        <f t="shared" si="0"/>
        <v>-101598.47654333789</v>
      </c>
      <c r="G19" s="60"/>
    </row>
    <row r="20" spans="1:8" ht="15.6">
      <c r="A20" s="50" t="str">
        <f>UFW!A4</f>
        <v>Unaccounted For Water</v>
      </c>
      <c r="B20" s="155">
        <f>UFW!D11</f>
        <v>-341582.3334</v>
      </c>
      <c r="C20" s="154">
        <f>-B20+(B20*B44)</f>
        <v>256357.54121669999</v>
      </c>
      <c r="D20" s="63">
        <v>1.3428906160469434</v>
      </c>
      <c r="E20" s="53">
        <f t="shared" si="0"/>
        <v>-344260.13645277394</v>
      </c>
      <c r="G20" s="60"/>
    </row>
    <row r="21" spans="1:8" ht="15.6">
      <c r="A21" s="50" t="str">
        <f>'Rate Case Exp'!A4</f>
        <v>Rate Case Expense</v>
      </c>
      <c r="B21" s="156">
        <f>'Rate Case Exp'!D15</f>
        <v>-238227</v>
      </c>
      <c r="C21" s="154">
        <f>-B21+(B21*B44)</f>
        <v>178789.36350000001</v>
      </c>
      <c r="D21" s="63">
        <v>1.3428906160469434</v>
      </c>
      <c r="E21" s="53">
        <f t="shared" si="0"/>
        <v>-240094.5584931559</v>
      </c>
      <c r="G21" s="60"/>
    </row>
    <row r="22" spans="1:8" ht="15.6">
      <c r="A22" s="21" t="str">
        <f>'Bus Dev'!A4</f>
        <v>Business Development Expense</v>
      </c>
      <c r="B22" s="154">
        <f>'Bus Dev'!D15</f>
        <v>-291898</v>
      </c>
      <c r="C22" s="154">
        <f>-B22+(B22*B44)</f>
        <v>219069.44899999999</v>
      </c>
      <c r="D22" s="63">
        <v>1.3428906160469434</v>
      </c>
      <c r="E22" s="53">
        <f t="shared" si="0"/>
        <v>-294186.30732467445</v>
      </c>
      <c r="G22" s="60"/>
    </row>
    <row r="23" spans="1:8" ht="15.6">
      <c r="A23" s="21" t="str">
        <f>BOD!A4</f>
        <v>Board of Directors Expense</v>
      </c>
      <c r="B23" s="154">
        <f>BOD!D15</f>
        <v>-47223</v>
      </c>
      <c r="C23" s="154">
        <f>-B23+(B23*B44)</f>
        <v>35440.861499999999</v>
      </c>
      <c r="D23" s="63">
        <v>1.3428906160469434</v>
      </c>
      <c r="E23" s="53">
        <f t="shared" si="0"/>
        <v>-47593.200332969398</v>
      </c>
      <c r="G23" s="60"/>
    </row>
    <row r="24" spans="1:8" ht="15.6">
      <c r="A24" s="50" t="str">
        <f>'401(k)'!A4</f>
        <v>401(k) Expense</v>
      </c>
      <c r="B24" s="156">
        <f>'401(k)'!D11</f>
        <v>-30477</v>
      </c>
      <c r="C24" s="154">
        <f>-B24+(B24*B44)</f>
        <v>22872.988499999999</v>
      </c>
      <c r="D24" s="63">
        <v>1.3428906160469434</v>
      </c>
      <c r="E24" s="53">
        <f t="shared" si="0"/>
        <v>-30715.921617599652</v>
      </c>
      <c r="G24" s="60"/>
    </row>
    <row r="25" spans="1:8" ht="15.6">
      <c r="A25" s="50" t="str">
        <f>Lobbying!A4</f>
        <v>Lobbying Expense</v>
      </c>
      <c r="B25" s="156">
        <f>Lobbying!D14</f>
        <v>-473472</v>
      </c>
      <c r="C25" s="154">
        <f>-B25+(B25*B44)</f>
        <v>355340.73600000003</v>
      </c>
      <c r="D25" s="63">
        <v>1.3428906160469434</v>
      </c>
      <c r="E25" s="53">
        <f t="shared" si="0"/>
        <v>-477183.73987361434</v>
      </c>
      <c r="G25" s="60"/>
    </row>
    <row r="26" spans="1:8" ht="15.6">
      <c r="A26" s="50" t="str">
        <f>Dues!A4</f>
        <v>Membership Dues</v>
      </c>
      <c r="B26" s="156">
        <f>Dues!D15</f>
        <v>-53012</v>
      </c>
      <c r="C26" s="154">
        <f>-B26+(B26*B44)</f>
        <v>39785.506000000001</v>
      </c>
      <c r="D26" s="63">
        <v>1.3428906160469434</v>
      </c>
      <c r="E26" s="53">
        <f t="shared" si="0"/>
        <v>-53427.582662079367</v>
      </c>
      <c r="G26" s="60"/>
    </row>
    <row r="27" spans="1:8" ht="15.6">
      <c r="A27" s="50" t="s">
        <v>78</v>
      </c>
      <c r="B27" s="156">
        <f>Benefits!D13</f>
        <v>-414191.98586305941</v>
      </c>
      <c r="C27" s="154">
        <f>-B27+(B27*B44)</f>
        <v>310851.0853902261</v>
      </c>
      <c r="D27" s="63">
        <v>1.3428906160469434</v>
      </c>
      <c r="E27" s="53">
        <f t="shared" ref="E27:E28" si="1">+C27*-D27</f>
        <v>-417439.00555854174</v>
      </c>
      <c r="G27" s="60"/>
    </row>
    <row r="28" spans="1:8" ht="15.6">
      <c r="A28" s="50" t="s">
        <v>72</v>
      </c>
      <c r="B28" s="156">
        <f>'Payroll Tax'!D13</f>
        <v>-267926.19481355784</v>
      </c>
      <c r="C28" s="154">
        <f>-B28+(B28*B44)</f>
        <v>201078.60920757515</v>
      </c>
      <c r="D28" s="63">
        <v>1.3428906160469434</v>
      </c>
      <c r="E28" s="53">
        <f t="shared" si="1"/>
        <v>-270026.57739262318</v>
      </c>
      <c r="F28" s="59"/>
      <c r="G28" s="60"/>
    </row>
    <row r="29" spans="1:8" ht="15.6">
      <c r="A29" s="50"/>
      <c r="B29" s="156"/>
      <c r="C29" s="154"/>
      <c r="D29" s="63"/>
      <c r="E29" s="53"/>
      <c r="G29" s="60"/>
      <c r="H29" s="59"/>
    </row>
    <row r="30" spans="1:8" ht="15.6">
      <c r="A30" s="50"/>
      <c r="B30" s="156"/>
      <c r="C30" s="154"/>
      <c r="D30" s="63"/>
      <c r="E30" s="53"/>
      <c r="G30" s="60"/>
    </row>
    <row r="31" spans="1:8" ht="15.6">
      <c r="A31" s="50"/>
      <c r="B31" s="156"/>
      <c r="C31" s="156"/>
      <c r="D31" s="63"/>
      <c r="E31" s="53"/>
      <c r="G31" s="60"/>
    </row>
    <row r="32" spans="1:8" ht="15.6">
      <c r="A32" s="50" t="s">
        <v>112</v>
      </c>
      <c r="B32" s="156">
        <f>'Int synch '!E19</f>
        <v>-46394.525000000001</v>
      </c>
      <c r="C32" s="156"/>
      <c r="D32" s="63">
        <v>1.3428906160469434</v>
      </c>
      <c r="E32" s="75">
        <f>B32*D32</f>
        <v>-62302.772258455319</v>
      </c>
      <c r="F32" s="71"/>
      <c r="G32" s="17"/>
    </row>
    <row r="33" spans="1:7" ht="15.6">
      <c r="A33" s="157" t="s">
        <v>44</v>
      </c>
      <c r="B33" s="157"/>
      <c r="C33" s="157"/>
      <c r="D33" s="173"/>
      <c r="E33" s="73"/>
      <c r="F33" s="69">
        <f>SUM(E14:E32)</f>
        <v>-6172440.8237721985</v>
      </c>
      <c r="G33" s="60"/>
    </row>
    <row r="34" spans="1:7" ht="15.6">
      <c r="A34" s="50"/>
      <c r="B34" s="50"/>
      <c r="C34" s="50"/>
      <c r="D34" s="120"/>
      <c r="E34" s="73"/>
      <c r="F34" s="73"/>
      <c r="G34" s="60"/>
    </row>
    <row r="35" spans="1:7" ht="15.6">
      <c r="A35" s="20"/>
      <c r="B35" s="20"/>
      <c r="C35" s="20"/>
      <c r="D35" s="20"/>
      <c r="E35" s="17"/>
      <c r="F35" s="18"/>
      <c r="G35" s="60"/>
    </row>
    <row r="36" spans="1:7" ht="16.2" thickBot="1">
      <c r="A36" s="21" t="s">
        <v>337</v>
      </c>
      <c r="B36" s="21"/>
      <c r="C36" s="21"/>
      <c r="D36" s="21"/>
      <c r="E36" s="17"/>
      <c r="F36" s="72">
        <f>SUM(F2:F33)+4</f>
        <v>-3383887.1460305671</v>
      </c>
      <c r="G36" s="112"/>
    </row>
    <row r="37" spans="1:7" ht="16.2" thickTop="1">
      <c r="A37" s="20"/>
      <c r="B37" s="20"/>
      <c r="C37" s="20"/>
      <c r="D37" s="20"/>
      <c r="E37" s="17"/>
      <c r="F37" s="17"/>
      <c r="G37" s="60"/>
    </row>
    <row r="38" spans="1:7" ht="15.6">
      <c r="E38" s="17"/>
      <c r="F38" s="17"/>
      <c r="G38" s="60"/>
    </row>
    <row r="39" spans="1:7" ht="15.6">
      <c r="E39" s="1"/>
      <c r="F39" s="17"/>
      <c r="G39" s="60"/>
    </row>
    <row r="40" spans="1:7" ht="15.6">
      <c r="D40" s="63"/>
      <c r="E40" s="53"/>
      <c r="F40" s="17"/>
      <c r="G40" s="60"/>
    </row>
    <row r="43" spans="1:7">
      <c r="C43" s="67"/>
    </row>
    <row r="44" spans="1:7" ht="15.6">
      <c r="A44" s="1" t="s">
        <v>117</v>
      </c>
      <c r="B44" s="1">
        <f>'Int synch '!E30</f>
        <v>0.2495</v>
      </c>
    </row>
    <row r="45" spans="1:7" ht="15.6">
      <c r="A45" s="1" t="s">
        <v>236</v>
      </c>
      <c r="B45" s="1"/>
    </row>
  </sheetData>
  <pageMargins left="0.7" right="0.7" top="0.75" bottom="0.75" header="0.3" footer="0.3"/>
  <pageSetup scale="66" orientation="portrait" r:id="rId1"/>
  <ignoredErrors>
    <ignoredError sqref="A20:A22 A24 A26 B29 B26 B24 B22 B21 B20 B23 A25:B25 B32 B27:B28" unlockedFormula="1"/>
    <ignoredError sqref="E27:E28 C27:C28" evalError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6B95-9DF5-4042-ACA9-662C64D12540}">
  <sheetPr>
    <pageSetUpPr fitToPage="1"/>
  </sheetPr>
  <dimension ref="A1:I44"/>
  <sheetViews>
    <sheetView showGridLines="0" tabSelected="1" workbookViewId="0">
      <selection activeCell="K26" sqref="K26"/>
    </sheetView>
  </sheetViews>
  <sheetFormatPr defaultRowHeight="14.4"/>
  <cols>
    <col min="1" max="1" width="6.44140625" customWidth="1"/>
    <col min="2" max="2" width="1.5546875" customWidth="1"/>
    <col min="3" max="3" width="26.44140625" customWidth="1"/>
    <col min="4" max="4" width="21.5546875" customWidth="1"/>
    <col min="5" max="5" width="12.109375" customWidth="1"/>
    <col min="6" max="6" width="1.109375" customWidth="1"/>
    <col min="7" max="7" width="12.109375" customWidth="1"/>
    <col min="8" max="8" width="0.88671875" customWidth="1"/>
    <col min="9" max="9" width="12.109375" customWidth="1"/>
  </cols>
  <sheetData>
    <row r="1" spans="1:9" ht="15.6">
      <c r="A1" s="1" t="str">
        <f>A!A1</f>
        <v>Kentucky-American Water Company</v>
      </c>
      <c r="B1" s="1"/>
      <c r="C1" s="1"/>
      <c r="D1" s="1"/>
      <c r="E1" s="1"/>
      <c r="F1" s="1"/>
      <c r="G1" s="2"/>
      <c r="H1" s="2"/>
      <c r="I1" s="7" t="str">
        <f>A!H1</f>
        <v>Case No. 2026-00094</v>
      </c>
    </row>
    <row r="2" spans="1:9" ht="15.6">
      <c r="A2" s="1" t="str">
        <f>A!A2</f>
        <v>Forecasted Test Period Twelve Months Ended December 31, 2027</v>
      </c>
      <c r="B2" s="1"/>
      <c r="C2" s="1"/>
      <c r="D2" s="1"/>
      <c r="E2" s="1"/>
      <c r="F2" s="1"/>
      <c r="G2" s="2"/>
      <c r="H2" s="2"/>
      <c r="I2" s="7" t="str">
        <f>A!H2</f>
        <v>Exhibit JD-1</v>
      </c>
    </row>
    <row r="3" spans="1:9" ht="15.6">
      <c r="A3" s="1"/>
      <c r="B3" s="1"/>
      <c r="C3" s="1"/>
      <c r="D3" s="1"/>
      <c r="E3" s="1"/>
      <c r="F3" s="1"/>
      <c r="G3" s="2"/>
      <c r="H3" s="2"/>
      <c r="I3" s="7" t="s">
        <v>4</v>
      </c>
    </row>
    <row r="4" spans="1:9" ht="15.6">
      <c r="A4" s="8" t="s">
        <v>5</v>
      </c>
      <c r="B4" s="1"/>
      <c r="C4" s="1"/>
      <c r="D4" s="1"/>
      <c r="E4" s="1"/>
      <c r="F4" s="1"/>
      <c r="G4" s="1"/>
      <c r="H4" s="1"/>
      <c r="I4" s="7" t="s">
        <v>6</v>
      </c>
    </row>
    <row r="5" spans="1:9" ht="15.6">
      <c r="A5" s="9"/>
      <c r="B5" s="1"/>
      <c r="C5" s="1"/>
      <c r="D5" s="1"/>
      <c r="E5" s="1"/>
      <c r="F5" s="1"/>
      <c r="G5" s="1"/>
      <c r="H5" s="1"/>
      <c r="I5" s="27"/>
    </row>
    <row r="7" spans="1:9" ht="15.6">
      <c r="A7" s="210" t="s">
        <v>213</v>
      </c>
      <c r="B7" s="211"/>
      <c r="C7" s="211"/>
      <c r="D7" s="211"/>
      <c r="E7" s="211"/>
      <c r="F7" s="211"/>
      <c r="G7" s="211"/>
      <c r="H7" s="211"/>
      <c r="I7" s="212"/>
    </row>
    <row r="8" spans="1:9" ht="15.6">
      <c r="A8" s="97"/>
      <c r="B8" s="2"/>
      <c r="C8" s="2"/>
      <c r="D8" s="2"/>
      <c r="E8" s="2"/>
      <c r="F8" s="2"/>
      <c r="G8" s="2"/>
      <c r="H8" s="2"/>
      <c r="I8" s="98"/>
    </row>
    <row r="9" spans="1:9" ht="15.6">
      <c r="A9" s="99" t="s">
        <v>7</v>
      </c>
      <c r="B9" s="100"/>
      <c r="C9" s="100"/>
      <c r="D9" s="100"/>
      <c r="E9" s="100" t="s">
        <v>8</v>
      </c>
      <c r="F9" s="100"/>
      <c r="G9" s="100" t="s">
        <v>9</v>
      </c>
      <c r="H9" s="100"/>
      <c r="I9" s="101" t="s">
        <v>10</v>
      </c>
    </row>
    <row r="10" spans="1:9" ht="15.6">
      <c r="A10" s="102" t="s">
        <v>11</v>
      </c>
      <c r="B10" s="100"/>
      <c r="C10" s="3" t="s">
        <v>12</v>
      </c>
      <c r="D10" s="3" t="s">
        <v>23</v>
      </c>
      <c r="E10" s="3" t="s">
        <v>13</v>
      </c>
      <c r="F10" s="100"/>
      <c r="G10" s="3" t="s">
        <v>14</v>
      </c>
      <c r="H10" s="100"/>
      <c r="I10" s="103" t="s">
        <v>9</v>
      </c>
    </row>
    <row r="11" spans="1:9" ht="15.6">
      <c r="A11" s="97"/>
      <c r="B11" s="2"/>
      <c r="C11" s="2"/>
      <c r="D11" s="2"/>
      <c r="E11" s="2"/>
      <c r="F11" s="2"/>
      <c r="G11" s="2"/>
      <c r="H11" s="2"/>
      <c r="I11" s="98"/>
    </row>
    <row r="12" spans="1:9" ht="15.6">
      <c r="A12" s="104">
        <v>1</v>
      </c>
      <c r="B12" s="2"/>
      <c r="C12" s="10" t="s">
        <v>16</v>
      </c>
      <c r="D12" s="2">
        <v>3595268.2883120542</v>
      </c>
      <c r="E12" s="4">
        <v>4.5399999999999998E-3</v>
      </c>
      <c r="F12" s="4"/>
      <c r="G12" s="4">
        <v>3.3201461538461534E-2</v>
      </c>
      <c r="H12" s="4"/>
      <c r="I12" s="200">
        <f>ROUND(E12*G12,4)</f>
        <v>2.0000000000000001E-4</v>
      </c>
    </row>
    <row r="13" spans="1:9" ht="15.6">
      <c r="A13" s="106"/>
      <c r="B13" s="2"/>
      <c r="C13" s="2"/>
      <c r="D13" s="2"/>
      <c r="E13" s="4"/>
      <c r="F13" s="4"/>
      <c r="G13" s="4"/>
      <c r="H13" s="4"/>
      <c r="I13" s="200"/>
    </row>
    <row r="14" spans="1:9" ht="15.6">
      <c r="A14" s="106">
        <v>2</v>
      </c>
      <c r="B14" s="2"/>
      <c r="C14" s="2" t="s">
        <v>15</v>
      </c>
      <c r="D14" s="2">
        <v>372174827</v>
      </c>
      <c r="E14" s="4">
        <v>0.46970000000000001</v>
      </c>
      <c r="F14" s="4"/>
      <c r="G14" s="4">
        <v>4.8438724693899392E-2</v>
      </c>
      <c r="H14" s="4"/>
      <c r="I14" s="200">
        <f>ROUND(E14*G14,4)</f>
        <v>2.2800000000000001E-2</v>
      </c>
    </row>
    <row r="15" spans="1:9" ht="15.6">
      <c r="A15" s="106"/>
      <c r="B15" s="2"/>
      <c r="C15" s="2"/>
      <c r="D15" s="2"/>
      <c r="E15" s="4"/>
      <c r="F15" s="4"/>
      <c r="G15" s="4"/>
      <c r="H15" s="4"/>
      <c r="I15" s="200"/>
    </row>
    <row r="16" spans="1:9" ht="15.6">
      <c r="A16" s="106">
        <v>3</v>
      </c>
      <c r="B16" s="2"/>
      <c r="C16" s="10" t="s">
        <v>17</v>
      </c>
      <c r="D16" s="2">
        <v>2246360.060466154</v>
      </c>
      <c r="E16" s="4">
        <v>2.8300000000000001E-3</v>
      </c>
      <c r="F16" s="4"/>
      <c r="G16" s="4">
        <v>8.5000000000000006E-2</v>
      </c>
      <c r="H16" s="4"/>
      <c r="I16" s="200">
        <f>ROUND(E16*G16,4)</f>
        <v>2.0000000000000001E-4</v>
      </c>
    </row>
    <row r="17" spans="1:9" ht="15.6">
      <c r="A17" s="106"/>
      <c r="B17" s="2"/>
      <c r="C17" s="2"/>
      <c r="D17" s="2"/>
      <c r="E17" s="4"/>
      <c r="F17" s="4"/>
      <c r="G17" s="4"/>
      <c r="H17" s="4"/>
      <c r="I17" s="200"/>
    </row>
    <row r="18" spans="1:9" ht="15.6">
      <c r="A18" s="106">
        <v>4</v>
      </c>
      <c r="B18" s="2"/>
      <c r="C18" s="10" t="s">
        <v>45</v>
      </c>
      <c r="D18" s="6">
        <v>414350726</v>
      </c>
      <c r="E18" s="5">
        <v>0.52293000000000001</v>
      </c>
      <c r="F18" s="4"/>
      <c r="G18" s="4">
        <v>0.1075</v>
      </c>
      <c r="H18" s="4"/>
      <c r="I18" s="197">
        <f>ROUND(E18*G18,4)</f>
        <v>5.62E-2</v>
      </c>
    </row>
    <row r="19" spans="1:9" ht="15.6">
      <c r="A19" s="106"/>
      <c r="B19" s="2"/>
      <c r="C19" s="2"/>
      <c r="D19" s="2"/>
      <c r="E19" s="4"/>
      <c r="F19" s="4"/>
      <c r="G19" s="4"/>
      <c r="H19" s="4"/>
      <c r="I19" s="200"/>
    </row>
    <row r="20" spans="1:9" ht="16.2" thickBot="1">
      <c r="A20" s="106">
        <v>5</v>
      </c>
      <c r="B20" s="2"/>
      <c r="C20" s="10" t="s">
        <v>19</v>
      </c>
      <c r="D20" s="2">
        <v>792367182</v>
      </c>
      <c r="E20" s="4">
        <f>SUM(E12:E18)</f>
        <v>1</v>
      </c>
      <c r="F20" s="4"/>
      <c r="G20" s="4"/>
      <c r="H20" s="4"/>
      <c r="I20" s="201">
        <f>SUM(I12:I18)</f>
        <v>7.9399999999999998E-2</v>
      </c>
    </row>
    <row r="21" spans="1:9" ht="15" thickTop="1">
      <c r="A21" s="107"/>
      <c r="I21" s="108"/>
    </row>
    <row r="22" spans="1:9">
      <c r="A22" s="107"/>
      <c r="I22" s="108"/>
    </row>
    <row r="23" spans="1:9" ht="15.6">
      <c r="A23" s="210" t="s">
        <v>335</v>
      </c>
      <c r="B23" s="211"/>
      <c r="C23" s="211"/>
      <c r="D23" s="211"/>
      <c r="E23" s="211"/>
      <c r="F23" s="211"/>
      <c r="G23" s="211"/>
      <c r="H23" s="211"/>
      <c r="I23" s="212"/>
    </row>
    <row r="24" spans="1:9" ht="15.6">
      <c r="A24" s="106"/>
      <c r="B24" s="2"/>
      <c r="C24" s="2"/>
      <c r="D24" s="2"/>
      <c r="E24" s="2"/>
      <c r="F24" s="2"/>
      <c r="G24" s="2"/>
      <c r="H24" s="2"/>
      <c r="I24" s="98"/>
    </row>
    <row r="25" spans="1:9" ht="15.6">
      <c r="A25" s="191" t="s">
        <v>7</v>
      </c>
      <c r="B25" s="192"/>
      <c r="C25" s="192"/>
      <c r="D25" s="192"/>
      <c r="E25" s="100" t="s">
        <v>8</v>
      </c>
      <c r="F25" s="192"/>
      <c r="G25" s="100" t="s">
        <v>9</v>
      </c>
      <c r="H25" s="192"/>
      <c r="I25" s="101" t="s">
        <v>10</v>
      </c>
    </row>
    <row r="26" spans="1:9" ht="15.6">
      <c r="A26" s="193" t="s">
        <v>11</v>
      </c>
      <c r="B26" s="192"/>
      <c r="C26" s="194" t="s">
        <v>12</v>
      </c>
      <c r="D26" s="3"/>
      <c r="E26" s="3" t="s">
        <v>13</v>
      </c>
      <c r="F26" s="192"/>
      <c r="G26" s="3" t="s">
        <v>14</v>
      </c>
      <c r="H26" s="192"/>
      <c r="I26" s="103" t="s">
        <v>9</v>
      </c>
    </row>
    <row r="27" spans="1:9" ht="15.6">
      <c r="A27" s="106"/>
      <c r="B27" s="2"/>
      <c r="C27" s="2"/>
      <c r="D27" s="2"/>
      <c r="E27" s="4"/>
      <c r="F27" s="4"/>
      <c r="G27" s="4"/>
      <c r="H27" s="4"/>
      <c r="I27" s="200"/>
    </row>
    <row r="28" spans="1:9" ht="15.6">
      <c r="A28" s="106">
        <v>6</v>
      </c>
      <c r="B28" s="2"/>
      <c r="C28" s="10" t="s">
        <v>16</v>
      </c>
      <c r="D28" s="2"/>
      <c r="E28" s="4">
        <v>4.5399999999999998E-3</v>
      </c>
      <c r="F28" s="4"/>
      <c r="G28" s="4">
        <v>3.32E-2</v>
      </c>
      <c r="H28" s="4"/>
      <c r="I28" s="200">
        <f>ROUND(E28*G28,4)</f>
        <v>2.0000000000000001E-4</v>
      </c>
    </row>
    <row r="29" spans="1:9" ht="15.6">
      <c r="A29" s="104"/>
      <c r="B29" s="2"/>
      <c r="C29" s="2"/>
      <c r="D29" s="2"/>
      <c r="E29" s="4"/>
      <c r="F29" s="4"/>
      <c r="G29" s="4"/>
      <c r="H29" s="4"/>
      <c r="I29" s="200"/>
    </row>
    <row r="30" spans="1:9" ht="15.6">
      <c r="A30" s="104">
        <v>7</v>
      </c>
      <c r="B30" s="2"/>
      <c r="C30" s="2" t="s">
        <v>15</v>
      </c>
      <c r="D30" s="2"/>
      <c r="E30" s="4">
        <v>0.48089999999999999</v>
      </c>
      <c r="F30" s="4"/>
      <c r="G30" s="4">
        <v>4.8399999999999999E-2</v>
      </c>
      <c r="H30" s="4"/>
      <c r="I30" s="200">
        <f>ROUND(E30*G30,4)</f>
        <v>2.3300000000000001E-2</v>
      </c>
    </row>
    <row r="31" spans="1:9" ht="15.6">
      <c r="A31" s="104"/>
      <c r="B31" s="2"/>
      <c r="C31" s="2"/>
      <c r="D31" s="2"/>
      <c r="E31" s="4"/>
      <c r="F31" s="4"/>
      <c r="G31" s="4"/>
      <c r="H31" s="4"/>
      <c r="I31" s="200"/>
    </row>
    <row r="32" spans="1:9" ht="15.6">
      <c r="A32" s="104">
        <v>8</v>
      </c>
      <c r="B32" s="2"/>
      <c r="C32" s="10" t="s">
        <v>17</v>
      </c>
      <c r="D32" s="2"/>
      <c r="E32" s="4">
        <v>2.8300000000000001E-3</v>
      </c>
      <c r="F32" s="4"/>
      <c r="G32" s="4">
        <v>8.5000000000000006E-2</v>
      </c>
      <c r="H32" s="4"/>
      <c r="I32" s="200">
        <f>ROUND(E32*G32,4)</f>
        <v>2.0000000000000001E-4</v>
      </c>
    </row>
    <row r="33" spans="1:9" ht="15.6">
      <c r="A33" s="104"/>
      <c r="B33" s="2"/>
      <c r="C33" s="2"/>
      <c r="D33" s="2"/>
      <c r="E33" s="4"/>
      <c r="F33" s="4"/>
      <c r="G33" s="4"/>
      <c r="H33" s="4"/>
      <c r="I33" s="200"/>
    </row>
    <row r="34" spans="1:9" ht="15.6">
      <c r="A34" s="104">
        <v>9</v>
      </c>
      <c r="B34" s="2"/>
      <c r="C34" s="10" t="s">
        <v>45</v>
      </c>
      <c r="D34" s="6"/>
      <c r="E34" s="5">
        <v>0.51170000000000004</v>
      </c>
      <c r="F34" s="4"/>
      <c r="G34" s="4">
        <v>8.0699999999999994E-2</v>
      </c>
      <c r="H34" s="4"/>
      <c r="I34" s="197">
        <f>ROUND(E34*G34,4)</f>
        <v>4.1300000000000003E-2</v>
      </c>
    </row>
    <row r="35" spans="1:9" ht="15.6">
      <c r="A35" s="104"/>
      <c r="B35" s="2"/>
      <c r="C35" s="2"/>
      <c r="D35" s="2"/>
      <c r="E35" s="4"/>
      <c r="F35" s="4"/>
      <c r="G35" s="4"/>
      <c r="H35" s="4"/>
      <c r="I35" s="105"/>
    </row>
    <row r="36" spans="1:9" ht="16.2" thickBot="1">
      <c r="A36" s="104">
        <v>10</v>
      </c>
      <c r="B36" s="2"/>
      <c r="C36" s="10" t="s">
        <v>19</v>
      </c>
      <c r="D36" s="2"/>
      <c r="E36" s="4">
        <f>SUM(E27:E35)</f>
        <v>0.99997000000000003</v>
      </c>
      <c r="F36" s="4"/>
      <c r="G36" s="4"/>
      <c r="H36" s="4"/>
      <c r="I36" s="201">
        <f>SUM(I28:I34)</f>
        <v>6.5000000000000002E-2</v>
      </c>
    </row>
    <row r="37" spans="1:9" ht="16.2" thickTop="1">
      <c r="A37" s="195"/>
      <c r="B37" s="6"/>
      <c r="C37" s="196"/>
      <c r="D37" s="6"/>
      <c r="E37" s="5"/>
      <c r="F37" s="5"/>
      <c r="G37" s="5"/>
      <c r="H37" s="5"/>
      <c r="I37" s="197"/>
    </row>
    <row r="38" spans="1:9" ht="15.6">
      <c r="A38" s="198"/>
      <c r="B38" s="2"/>
      <c r="C38" s="10"/>
      <c r="D38" s="2"/>
      <c r="E38" s="4"/>
      <c r="F38" s="4"/>
      <c r="G38" s="4"/>
      <c r="H38" s="4"/>
      <c r="I38" s="4"/>
    </row>
    <row r="39" spans="1:9" ht="15.6">
      <c r="A39" s="198"/>
      <c r="B39" s="2"/>
      <c r="C39" s="10"/>
      <c r="D39" s="2"/>
      <c r="E39" s="4"/>
      <c r="F39" s="4"/>
      <c r="G39" s="4"/>
      <c r="H39" s="4"/>
      <c r="I39" s="4"/>
    </row>
    <row r="40" spans="1:9" ht="15.6">
      <c r="A40" s="198"/>
      <c r="B40" s="2"/>
      <c r="C40" s="10"/>
      <c r="D40" s="2"/>
      <c r="E40" s="4"/>
      <c r="F40" s="4"/>
      <c r="G40" s="4"/>
      <c r="H40" s="4"/>
      <c r="I40" s="4"/>
    </row>
    <row r="41" spans="1:9" ht="15.6">
      <c r="A41" s="199" t="s">
        <v>18</v>
      </c>
      <c r="B41" s="6"/>
      <c r="C41" s="196"/>
      <c r="D41" s="6"/>
      <c r="E41" s="5"/>
      <c r="F41" s="5"/>
      <c r="G41" s="5"/>
      <c r="H41" s="5"/>
      <c r="I41" s="5"/>
    </row>
    <row r="42" spans="1:9" ht="15.6">
      <c r="A42" s="26" t="s">
        <v>196</v>
      </c>
      <c r="B42" s="1"/>
      <c r="C42" s="1"/>
      <c r="D42" s="1"/>
      <c r="E42" s="1"/>
      <c r="F42" s="1"/>
      <c r="G42" s="1"/>
    </row>
    <row r="43" spans="1:9" ht="15.6">
      <c r="A43" s="1" t="s">
        <v>331</v>
      </c>
      <c r="B43" s="1"/>
      <c r="C43" s="1"/>
      <c r="D43" s="1"/>
      <c r="E43" s="1"/>
      <c r="F43" s="1"/>
      <c r="G43" s="1"/>
    </row>
    <row r="44" spans="1:9" ht="15.6">
      <c r="A44" s="28"/>
      <c r="B44" s="28"/>
      <c r="C44" s="28"/>
      <c r="D44" s="28"/>
    </row>
  </sheetData>
  <mergeCells count="2">
    <mergeCell ref="A7:I7"/>
    <mergeCell ref="A23:I23"/>
  </mergeCells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5FE5-AE15-4606-A447-124F5A628E0F}">
  <sheetPr>
    <pageSetUpPr fitToPage="1"/>
  </sheetPr>
  <dimension ref="A1:K51"/>
  <sheetViews>
    <sheetView topLeftCell="A33" workbookViewId="0">
      <selection activeCell="D13" sqref="D13"/>
    </sheetView>
  </sheetViews>
  <sheetFormatPr defaultRowHeight="14.4"/>
  <cols>
    <col min="2" max="2" width="44.33203125" customWidth="1"/>
    <col min="3" max="3" width="20.6640625" customWidth="1"/>
    <col min="4" max="4" width="26.109375" customWidth="1"/>
    <col min="5" max="5" width="20.6640625" customWidth="1"/>
    <col min="7" max="7" width="12.88671875" bestFit="1" customWidth="1"/>
  </cols>
  <sheetData>
    <row r="1" spans="1:11" ht="15.6">
      <c r="A1" s="1" t="str">
        <f>A!A1</f>
        <v>Kentucky-American Water Company</v>
      </c>
      <c r="B1" s="1"/>
      <c r="C1" s="1"/>
      <c r="D1" s="1"/>
      <c r="E1" s="7" t="str">
        <f>A!H1</f>
        <v>Case No. 2026-00094</v>
      </c>
    </row>
    <row r="2" spans="1:11" ht="15.6">
      <c r="A2" s="1" t="str">
        <f>A!A2</f>
        <v>Forecasted Test Period Twelve Months Ended December 31, 2027</v>
      </c>
      <c r="B2" s="1"/>
      <c r="C2" s="1"/>
      <c r="D2" s="1"/>
      <c r="E2" s="7" t="str">
        <f>A!H2</f>
        <v>Exhibit JD-1</v>
      </c>
    </row>
    <row r="3" spans="1:11" ht="15.6">
      <c r="A3" s="1"/>
      <c r="B3" s="1"/>
      <c r="C3" s="1"/>
      <c r="D3" s="1"/>
      <c r="E3" s="7" t="s">
        <v>41</v>
      </c>
    </row>
    <row r="4" spans="1:11" ht="15.6">
      <c r="A4" s="1" t="s">
        <v>217</v>
      </c>
      <c r="B4" s="1"/>
      <c r="C4" s="1"/>
      <c r="D4" s="1"/>
      <c r="E4" s="7" t="str">
        <f>A!H4</f>
        <v>Page 1 of 1</v>
      </c>
    </row>
    <row r="5" spans="1:11" ht="15.6">
      <c r="A5" s="1"/>
      <c r="B5" s="1"/>
      <c r="C5" s="1"/>
      <c r="D5" s="1"/>
      <c r="E5" s="7"/>
    </row>
    <row r="6" spans="1:11" ht="15.6">
      <c r="A6" s="1"/>
      <c r="B6" s="1"/>
      <c r="C6" s="1"/>
      <c r="D6" s="1"/>
      <c r="E6" s="13" t="s">
        <v>37</v>
      </c>
    </row>
    <row r="7" spans="1:11" ht="15.6">
      <c r="B7" s="1"/>
      <c r="C7" s="13" t="s">
        <v>37</v>
      </c>
      <c r="D7" s="13"/>
      <c r="E7" s="13" t="s">
        <v>38</v>
      </c>
    </row>
    <row r="8" spans="1:11" ht="15.6">
      <c r="A8" s="1"/>
      <c r="B8" s="1"/>
      <c r="C8" s="13" t="s">
        <v>38</v>
      </c>
      <c r="D8" s="13" t="s">
        <v>334</v>
      </c>
      <c r="E8" s="13" t="s">
        <v>36</v>
      </c>
      <c r="F8" s="1"/>
      <c r="G8" s="1"/>
      <c r="H8" s="1"/>
      <c r="I8" s="1"/>
      <c r="J8" s="1"/>
      <c r="K8" s="1"/>
    </row>
    <row r="9" spans="1:11" ht="15.6">
      <c r="A9" s="1"/>
      <c r="B9" s="1"/>
      <c r="C9" s="13" t="s">
        <v>36</v>
      </c>
      <c r="D9" s="13" t="s">
        <v>333</v>
      </c>
      <c r="E9" s="13" t="s">
        <v>315</v>
      </c>
      <c r="F9" s="1"/>
      <c r="G9" s="1"/>
      <c r="H9" s="1"/>
      <c r="I9" s="1"/>
      <c r="J9" s="1"/>
      <c r="K9" s="1"/>
    </row>
    <row r="10" spans="1:11" ht="15.6">
      <c r="A10" s="12" t="s">
        <v>22</v>
      </c>
      <c r="B10" s="12" t="s">
        <v>12</v>
      </c>
      <c r="C10" s="16" t="s">
        <v>31</v>
      </c>
      <c r="D10" s="16" t="s">
        <v>42</v>
      </c>
      <c r="E10" s="16" t="s">
        <v>316</v>
      </c>
      <c r="F10" s="1"/>
      <c r="G10" s="1"/>
      <c r="H10" s="1"/>
      <c r="I10" s="1"/>
      <c r="J10" s="1"/>
      <c r="K10" s="1"/>
    </row>
    <row r="11" spans="1:11" ht="15.6">
      <c r="B11" s="1"/>
      <c r="C11" s="13" t="s">
        <v>25</v>
      </c>
      <c r="D11" s="13" t="s">
        <v>26</v>
      </c>
      <c r="E11" s="13" t="s">
        <v>27</v>
      </c>
      <c r="F11" s="13"/>
      <c r="G11" s="13"/>
      <c r="H11" s="1"/>
      <c r="I11" s="1"/>
      <c r="J11" s="1"/>
      <c r="K11" s="1"/>
    </row>
    <row r="12" spans="1:11" ht="15.6">
      <c r="B12" s="1"/>
      <c r="C12" s="13"/>
      <c r="D12" s="13"/>
      <c r="E12" s="13"/>
      <c r="F12" s="13"/>
      <c r="G12" s="13"/>
      <c r="H12" s="1"/>
      <c r="I12" s="1"/>
      <c r="J12" s="1"/>
      <c r="K12" s="1"/>
    </row>
    <row r="13" spans="1:11" ht="15.6">
      <c r="A13" s="13">
        <v>1</v>
      </c>
      <c r="B13" s="1" t="s">
        <v>126</v>
      </c>
      <c r="C13" s="116">
        <v>1233847444.9570692</v>
      </c>
      <c r="D13" s="17"/>
      <c r="E13" s="17">
        <f>+D13+C13</f>
        <v>1233847444.9570692</v>
      </c>
      <c r="F13" s="1"/>
      <c r="G13" s="1"/>
      <c r="H13" s="1"/>
      <c r="I13" s="1"/>
      <c r="J13" s="1"/>
      <c r="K13" s="1"/>
    </row>
    <row r="14" spans="1:11" ht="15.6">
      <c r="A14" s="13"/>
      <c r="B14" s="1"/>
      <c r="C14" s="117"/>
      <c r="D14" s="17"/>
      <c r="E14" s="17"/>
      <c r="F14" s="1"/>
      <c r="G14" s="1"/>
      <c r="H14" s="1"/>
      <c r="I14" s="1"/>
      <c r="J14" s="1"/>
      <c r="K14" s="1"/>
    </row>
    <row r="15" spans="1:11" ht="15.6">
      <c r="A15" s="13">
        <v>2</v>
      </c>
      <c r="B15" s="1" t="s">
        <v>35</v>
      </c>
      <c r="C15" s="114">
        <v>0</v>
      </c>
      <c r="D15" s="17"/>
      <c r="E15" s="17">
        <f>+D15+C15</f>
        <v>0</v>
      </c>
      <c r="F15" s="1"/>
      <c r="G15" s="1"/>
      <c r="H15" s="1"/>
      <c r="I15" s="1"/>
      <c r="J15" s="1"/>
      <c r="K15" s="1"/>
    </row>
    <row r="16" spans="1:11" ht="15.6">
      <c r="A16" s="13"/>
      <c r="B16" s="1"/>
      <c r="C16" s="117"/>
      <c r="D16" s="17"/>
      <c r="E16" s="17"/>
      <c r="F16" s="1"/>
      <c r="G16" s="1"/>
      <c r="H16" s="1"/>
      <c r="I16" s="1"/>
      <c r="J16" s="1"/>
      <c r="K16" s="1"/>
    </row>
    <row r="17" spans="1:11" ht="15.6">
      <c r="A17" s="13">
        <v>3</v>
      </c>
      <c r="B17" s="1" t="s">
        <v>127</v>
      </c>
      <c r="C17" s="118">
        <v>-869241.81996004947</v>
      </c>
      <c r="D17" s="17"/>
      <c r="E17" s="17">
        <f>+D17+C17</f>
        <v>-869241.81996004947</v>
      </c>
      <c r="F17" s="1"/>
      <c r="G17" s="1"/>
      <c r="H17" s="1"/>
      <c r="I17" s="1"/>
      <c r="J17" s="1"/>
      <c r="K17" s="1"/>
    </row>
    <row r="18" spans="1:11" ht="15.6">
      <c r="A18" s="13"/>
      <c r="B18" s="1"/>
      <c r="C18" s="117"/>
      <c r="D18" s="17"/>
      <c r="E18" s="17"/>
      <c r="F18" s="1"/>
      <c r="G18" s="1"/>
      <c r="H18" s="1"/>
      <c r="I18" s="1"/>
      <c r="J18" s="1"/>
      <c r="K18" s="1"/>
    </row>
    <row r="19" spans="1:11" ht="15.6">
      <c r="A19" s="13">
        <v>4</v>
      </c>
      <c r="B19" s="1" t="s">
        <v>128</v>
      </c>
      <c r="C19" s="115">
        <v>-282456312.15397644</v>
      </c>
      <c r="D19" s="18"/>
      <c r="E19" s="18">
        <f>+C19+D19</f>
        <v>-282456312.15397644</v>
      </c>
      <c r="F19" s="1"/>
      <c r="G19" s="1"/>
      <c r="H19" s="1"/>
      <c r="I19" s="1"/>
      <c r="J19" s="1"/>
      <c r="K19" s="1"/>
    </row>
    <row r="20" spans="1:11" ht="15.6">
      <c r="A20" s="13"/>
      <c r="B20" s="1"/>
      <c r="C20" s="17"/>
      <c r="D20" s="17"/>
      <c r="E20" s="17"/>
      <c r="F20" s="1"/>
      <c r="G20" s="1"/>
      <c r="H20" s="1"/>
      <c r="I20" s="1"/>
      <c r="J20" s="1"/>
      <c r="K20" s="1"/>
    </row>
    <row r="21" spans="1:11" ht="15.6">
      <c r="A21" s="13">
        <v>5</v>
      </c>
      <c r="B21" s="1" t="s">
        <v>129</v>
      </c>
      <c r="C21" s="17">
        <f>SUM(C13:C19)</f>
        <v>950521890.9831326</v>
      </c>
      <c r="D21" s="17">
        <f>SUM(D13:D19)</f>
        <v>0</v>
      </c>
      <c r="E21" s="17">
        <f>+C21+D21</f>
        <v>950521890.9831326</v>
      </c>
      <c r="F21" s="1"/>
      <c r="G21" s="1"/>
      <c r="H21" s="1"/>
      <c r="I21" s="1"/>
      <c r="J21" s="1"/>
      <c r="K21" s="1"/>
    </row>
    <row r="22" spans="1:11" ht="15.6">
      <c r="A22" s="13"/>
      <c r="B22" s="1"/>
      <c r="C22" s="17"/>
      <c r="D22" s="17"/>
      <c r="E22" s="17"/>
      <c r="F22" s="1"/>
      <c r="G22" s="1"/>
      <c r="H22" s="1"/>
      <c r="I22" s="1"/>
      <c r="J22" s="1"/>
      <c r="K22" s="1"/>
    </row>
    <row r="23" spans="1:11" ht="15.6">
      <c r="A23" s="13">
        <v>6</v>
      </c>
      <c r="B23" s="1" t="s">
        <v>130</v>
      </c>
      <c r="C23" s="17">
        <v>0</v>
      </c>
      <c r="D23" s="17"/>
      <c r="E23" s="17">
        <f>+D23+C23</f>
        <v>0</v>
      </c>
      <c r="F23" s="1"/>
      <c r="G23" s="1"/>
      <c r="H23" s="1"/>
      <c r="I23" s="1"/>
      <c r="J23" s="1"/>
      <c r="K23" s="1"/>
    </row>
    <row r="24" spans="1:11" ht="15.6">
      <c r="A24" s="13"/>
      <c r="B24" s="1"/>
      <c r="C24" s="17"/>
      <c r="D24" s="17"/>
      <c r="E24" s="17"/>
      <c r="F24" s="1"/>
      <c r="G24" s="1"/>
      <c r="H24" s="1"/>
      <c r="I24" s="1"/>
      <c r="J24" s="1"/>
      <c r="K24" s="1"/>
    </row>
    <row r="25" spans="1:11" ht="15.6">
      <c r="A25" s="13">
        <v>7</v>
      </c>
      <c r="B25" s="1" t="s">
        <v>43</v>
      </c>
      <c r="C25" s="17">
        <v>0</v>
      </c>
      <c r="D25" s="17">
        <f>+E25-C25</f>
        <v>-7674392.7400000002</v>
      </c>
      <c r="E25" s="17">
        <f>CWC!G20</f>
        <v>-7674392.7400000002</v>
      </c>
      <c r="F25" s="1"/>
      <c r="G25" s="1"/>
      <c r="H25" s="1"/>
      <c r="I25" s="1"/>
      <c r="J25" s="1"/>
      <c r="K25" s="1"/>
    </row>
    <row r="26" spans="1:11" ht="15.6">
      <c r="A26" s="13"/>
      <c r="B26" s="1"/>
      <c r="C26" s="17"/>
      <c r="D26" s="17"/>
      <c r="E26" s="17"/>
      <c r="F26" s="1"/>
      <c r="G26" s="1"/>
      <c r="H26" s="1"/>
      <c r="I26" s="1"/>
      <c r="J26" s="1"/>
      <c r="K26" s="1"/>
    </row>
    <row r="27" spans="1:11" ht="15.6">
      <c r="A27" s="13">
        <v>8</v>
      </c>
      <c r="B27" s="1" t="s">
        <v>218</v>
      </c>
      <c r="C27" s="17">
        <v>4596235</v>
      </c>
      <c r="D27" s="17"/>
      <c r="E27" s="17">
        <f>+C27+D27</f>
        <v>4596235</v>
      </c>
      <c r="F27" s="1"/>
      <c r="G27" s="1"/>
      <c r="H27" s="1"/>
      <c r="I27" s="1"/>
      <c r="J27" s="1"/>
      <c r="K27" s="1"/>
    </row>
    <row r="28" spans="1:11" ht="15.6">
      <c r="A28" s="13"/>
      <c r="B28" s="1"/>
      <c r="C28" s="17"/>
      <c r="D28" s="17"/>
      <c r="E28" s="17"/>
      <c r="F28" s="1"/>
      <c r="G28" s="1"/>
      <c r="H28" s="1"/>
      <c r="I28" s="1"/>
      <c r="J28" s="1"/>
      <c r="K28" s="1"/>
    </row>
    <row r="29" spans="1:11" ht="15.6">
      <c r="A29" s="13">
        <v>9</v>
      </c>
      <c r="B29" s="1" t="s">
        <v>131</v>
      </c>
      <c r="C29" s="17">
        <v>-74060867.689691395</v>
      </c>
      <c r="D29" s="17"/>
      <c r="E29" s="17">
        <f t="shared" ref="E29:E39" si="0">+D29+C29</f>
        <v>-74060867.689691395</v>
      </c>
      <c r="F29" s="1"/>
      <c r="G29" s="1"/>
      <c r="H29" s="1"/>
      <c r="I29" s="1"/>
      <c r="J29" s="1"/>
      <c r="K29" s="1"/>
    </row>
    <row r="30" spans="1:11" ht="15.6">
      <c r="A30" s="13"/>
      <c r="B30" s="1"/>
      <c r="C30" s="17"/>
      <c r="D30" s="17"/>
      <c r="E30" s="17"/>
      <c r="F30" s="1"/>
      <c r="G30" s="1"/>
      <c r="H30" s="1"/>
      <c r="I30" s="1"/>
      <c r="J30" s="1"/>
      <c r="K30" s="1"/>
    </row>
    <row r="31" spans="1:11" ht="15.6">
      <c r="A31" s="13">
        <v>10</v>
      </c>
      <c r="B31" s="1" t="s">
        <v>132</v>
      </c>
      <c r="C31" s="17">
        <v>-24270450.010886069</v>
      </c>
      <c r="D31" s="17"/>
      <c r="E31" s="17">
        <f t="shared" si="0"/>
        <v>-24270450.010886069</v>
      </c>
      <c r="F31" s="1"/>
      <c r="G31" s="1"/>
      <c r="H31" s="1"/>
      <c r="I31" s="1"/>
      <c r="J31" s="1"/>
      <c r="K31" s="1"/>
    </row>
    <row r="32" spans="1:11" ht="15.6">
      <c r="A32" s="13"/>
      <c r="B32" s="1"/>
      <c r="C32" s="17"/>
      <c r="D32" s="17"/>
      <c r="E32" s="17"/>
      <c r="F32" s="1"/>
      <c r="G32" s="1"/>
      <c r="H32" s="1"/>
      <c r="I32" s="1"/>
      <c r="J32" s="1"/>
      <c r="K32" s="1"/>
    </row>
    <row r="33" spans="1:11" ht="15.6">
      <c r="A33" s="13">
        <v>11</v>
      </c>
      <c r="B33" s="1" t="s">
        <v>133</v>
      </c>
      <c r="C33" s="17">
        <v>-131978807.62926015</v>
      </c>
      <c r="D33" s="17"/>
      <c r="E33" s="17">
        <f t="shared" si="0"/>
        <v>-131978807.62926015</v>
      </c>
      <c r="F33" s="1"/>
      <c r="G33" s="1"/>
      <c r="H33" s="1"/>
      <c r="I33" s="1"/>
      <c r="J33" s="1"/>
      <c r="K33" s="1"/>
    </row>
    <row r="34" spans="1:11" ht="15.6">
      <c r="A34" s="13"/>
      <c r="B34" s="1"/>
      <c r="C34" s="17"/>
      <c r="D34" s="17"/>
      <c r="E34" s="17"/>
      <c r="F34" s="1"/>
      <c r="G34" s="1"/>
      <c r="H34" s="1"/>
      <c r="I34" s="1"/>
      <c r="J34" s="1"/>
      <c r="K34" s="1"/>
    </row>
    <row r="35" spans="1:11" ht="15.6">
      <c r="A35" s="13">
        <v>12</v>
      </c>
      <c r="B35" s="1" t="s">
        <v>219</v>
      </c>
      <c r="C35" s="17">
        <v>-2</v>
      </c>
      <c r="D35" s="17"/>
      <c r="E35" s="17">
        <f t="shared" si="0"/>
        <v>-2</v>
      </c>
      <c r="F35" s="1"/>
      <c r="G35" s="1"/>
      <c r="H35" s="1"/>
      <c r="I35" s="1"/>
      <c r="J35" s="1"/>
      <c r="K35" s="1"/>
    </row>
    <row r="36" spans="1:11" ht="15.6">
      <c r="A36" s="13"/>
      <c r="B36" s="1"/>
      <c r="C36" s="17"/>
      <c r="D36" s="17"/>
      <c r="E36" s="17"/>
      <c r="F36" s="1"/>
      <c r="G36" s="1"/>
      <c r="H36" s="1"/>
      <c r="I36" s="1"/>
      <c r="J36" s="1"/>
      <c r="K36" s="1"/>
    </row>
    <row r="37" spans="1:11" ht="15.6">
      <c r="A37" s="13">
        <v>13</v>
      </c>
      <c r="B37" s="1" t="s">
        <v>134</v>
      </c>
      <c r="C37" s="17">
        <v>10086905</v>
      </c>
      <c r="D37" s="17"/>
      <c r="E37" s="17">
        <f t="shared" si="0"/>
        <v>10086905</v>
      </c>
      <c r="F37" s="1"/>
      <c r="G37" s="1"/>
      <c r="H37" s="1"/>
      <c r="I37" s="1"/>
      <c r="J37" s="1"/>
      <c r="K37" s="1"/>
    </row>
    <row r="38" spans="1:11" ht="15.6">
      <c r="A38" s="13"/>
      <c r="B38" s="1"/>
      <c r="C38" s="17"/>
      <c r="D38" s="17"/>
      <c r="E38" s="17"/>
      <c r="F38" s="1"/>
      <c r="G38" s="1"/>
      <c r="H38" s="1"/>
      <c r="I38" s="1"/>
      <c r="J38" s="1"/>
      <c r="K38" s="1"/>
    </row>
    <row r="39" spans="1:11" ht="15.6">
      <c r="A39" s="13">
        <v>14</v>
      </c>
      <c r="B39" s="1" t="s">
        <v>135</v>
      </c>
      <c r="C39" s="17">
        <v>770581</v>
      </c>
      <c r="D39" s="17"/>
      <c r="E39" s="17">
        <f t="shared" si="0"/>
        <v>770581</v>
      </c>
      <c r="F39" s="1"/>
      <c r="G39" s="1"/>
      <c r="H39" s="1"/>
      <c r="I39" s="1"/>
      <c r="J39" s="1"/>
      <c r="K39" s="1"/>
    </row>
    <row r="40" spans="1:11" ht="15.6">
      <c r="A40" s="13"/>
      <c r="B40" s="1"/>
      <c r="C40" s="17"/>
      <c r="D40" s="17"/>
      <c r="E40" s="17"/>
      <c r="F40" s="1"/>
      <c r="G40" s="1"/>
      <c r="H40" s="1"/>
      <c r="I40" s="1"/>
      <c r="J40" s="1"/>
      <c r="K40" s="1"/>
    </row>
    <row r="41" spans="1:11" ht="15.6">
      <c r="A41" s="13">
        <v>15</v>
      </c>
      <c r="B41" s="1" t="s">
        <v>136</v>
      </c>
      <c r="C41" s="17">
        <v>0</v>
      </c>
      <c r="D41" s="17"/>
      <c r="E41" s="17">
        <f>+D41+C41</f>
        <v>0</v>
      </c>
      <c r="F41" s="1"/>
      <c r="G41" s="1"/>
      <c r="H41" s="1"/>
      <c r="I41" s="1"/>
      <c r="J41" s="1"/>
      <c r="K41" s="1"/>
    </row>
    <row r="42" spans="1:11" ht="15.6">
      <c r="A42" s="13"/>
      <c r="B42" s="1"/>
      <c r="C42" s="17"/>
      <c r="D42" s="17"/>
      <c r="E42" s="17"/>
      <c r="F42" s="1"/>
      <c r="G42" s="1"/>
      <c r="H42" s="1"/>
      <c r="I42" s="1"/>
      <c r="J42" s="1"/>
      <c r="K42" s="1"/>
    </row>
    <row r="43" spans="1:11" ht="16.2" thickBot="1">
      <c r="A43" s="13">
        <v>16</v>
      </c>
      <c r="B43" s="1" t="s">
        <v>137</v>
      </c>
      <c r="C43" s="19">
        <f>SUM(C21:C42)</f>
        <v>735665484.65329492</v>
      </c>
      <c r="D43" s="19">
        <f>SUM(D21:D42)</f>
        <v>-7674392.7400000002</v>
      </c>
      <c r="E43" s="19">
        <f>SUM(E21:E42)</f>
        <v>727991091.91329491</v>
      </c>
    </row>
    <row r="44" spans="1:11" ht="16.2" thickTop="1">
      <c r="C44" s="17"/>
      <c r="D44" s="17"/>
      <c r="E44" s="17"/>
    </row>
    <row r="45" spans="1:11" ht="15.6">
      <c r="C45" s="17"/>
      <c r="D45" s="17"/>
      <c r="E45" s="17"/>
    </row>
    <row r="46" spans="1:11" ht="15.6">
      <c r="C46" s="17"/>
      <c r="D46" s="17"/>
      <c r="E46" s="17"/>
    </row>
    <row r="47" spans="1:11" ht="15.6">
      <c r="C47" s="17"/>
      <c r="D47" s="17"/>
      <c r="E47" s="17"/>
    </row>
    <row r="48" spans="1:11" ht="15.6">
      <c r="C48" s="17"/>
      <c r="D48" s="17"/>
      <c r="E48" s="17"/>
    </row>
    <row r="49" spans="1:5" ht="15.6">
      <c r="A49" s="12" t="s">
        <v>30</v>
      </c>
      <c r="B49" s="12"/>
      <c r="C49" s="12"/>
      <c r="D49" s="18"/>
      <c r="E49" s="18"/>
    </row>
    <row r="50" spans="1:5" ht="15">
      <c r="A50" s="151" t="s">
        <v>288</v>
      </c>
    </row>
    <row r="51" spans="1:5">
      <c r="A51" s="23"/>
    </row>
  </sheetData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A76B-BB96-4BD5-AC8F-72AB23A332A5}">
  <sheetPr>
    <pageSetUpPr fitToPage="1"/>
  </sheetPr>
  <dimension ref="A1:N105"/>
  <sheetViews>
    <sheetView topLeftCell="A45" workbookViewId="0">
      <selection activeCell="G22" sqref="G22:G23"/>
    </sheetView>
  </sheetViews>
  <sheetFormatPr defaultRowHeight="14.4"/>
  <cols>
    <col min="1" max="1" width="6.33203125" customWidth="1"/>
    <col min="2" max="2" width="56.6640625" customWidth="1"/>
    <col min="3" max="3" width="7.33203125" customWidth="1"/>
    <col min="4" max="4" width="15.5546875" customWidth="1"/>
    <col min="5" max="5" width="3.44140625" customWidth="1"/>
    <col min="6" max="6" width="15.5546875" customWidth="1"/>
    <col min="7" max="7" width="20.6640625" customWidth="1"/>
    <col min="8" max="8" width="15.88671875" customWidth="1"/>
    <col min="9" max="9" width="4.6640625" customWidth="1"/>
    <col min="10" max="10" width="18.33203125" customWidth="1"/>
    <col min="11" max="11" width="13" bestFit="1" customWidth="1"/>
    <col min="12" max="12" width="17.6640625" customWidth="1"/>
    <col min="13" max="13" width="15.44140625" bestFit="1" customWidth="1"/>
    <col min="14" max="14" width="15.5546875" customWidth="1"/>
  </cols>
  <sheetData>
    <row r="1" spans="1:14">
      <c r="A1" s="24" t="str">
        <f>A!A1</f>
        <v>Kentucky-American Water Company</v>
      </c>
      <c r="B1" s="24"/>
      <c r="C1" s="24"/>
      <c r="D1" s="24"/>
      <c r="E1" s="24"/>
      <c r="F1" s="24"/>
      <c r="G1" s="24"/>
      <c r="H1" s="24"/>
      <c r="I1" s="24"/>
      <c r="J1" s="38" t="str">
        <f>TOC!A2</f>
        <v>Case No. 2026-00094</v>
      </c>
      <c r="K1" s="11"/>
      <c r="L1" s="11"/>
      <c r="M1" s="11"/>
    </row>
    <row r="2" spans="1:14">
      <c r="A2" s="24" t="str">
        <f>TOC!A3</f>
        <v>Forecasted Test Period Twelve Months Ended December 31, 2027</v>
      </c>
      <c r="B2" s="24"/>
      <c r="C2" s="24"/>
      <c r="D2" s="24"/>
      <c r="E2" s="24"/>
      <c r="F2" s="24"/>
      <c r="G2" s="24"/>
      <c r="H2" s="24"/>
      <c r="I2" s="24"/>
      <c r="J2" s="38" t="str">
        <f>[1]A!H2</f>
        <v>Exhibit JD-1</v>
      </c>
      <c r="K2" s="11"/>
      <c r="L2" s="11"/>
      <c r="M2" s="11"/>
    </row>
    <row r="3" spans="1:14">
      <c r="A3" s="24"/>
      <c r="B3" s="24"/>
      <c r="C3" s="24"/>
      <c r="D3" s="24"/>
      <c r="E3" s="24"/>
      <c r="F3" s="24"/>
      <c r="G3" s="24"/>
      <c r="H3" s="24"/>
      <c r="I3" s="24"/>
      <c r="J3" s="38" t="s">
        <v>57</v>
      </c>
      <c r="K3" s="11"/>
      <c r="L3" s="11"/>
      <c r="M3" s="11"/>
    </row>
    <row r="4" spans="1:14">
      <c r="A4" s="24" t="s">
        <v>56</v>
      </c>
      <c r="B4" s="24"/>
      <c r="C4" s="24"/>
      <c r="D4" s="24"/>
      <c r="E4" s="24"/>
      <c r="F4" s="24"/>
      <c r="G4" s="24"/>
      <c r="H4" s="24"/>
      <c r="I4" s="24"/>
      <c r="J4" s="38" t="s">
        <v>6</v>
      </c>
      <c r="K4" s="11"/>
      <c r="L4" s="11"/>
      <c r="M4" s="11"/>
    </row>
    <row r="6" spans="1:14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>
      <c r="A7" s="88" t="s">
        <v>59</v>
      </c>
      <c r="B7" s="87"/>
      <c r="C7" s="87"/>
      <c r="D7" s="87"/>
      <c r="E7" s="87"/>
      <c r="F7" s="87"/>
      <c r="G7" s="91" t="s">
        <v>38</v>
      </c>
      <c r="H7" s="87"/>
      <c r="I7" s="87"/>
      <c r="J7" s="87"/>
      <c r="K7" s="87"/>
      <c r="L7" s="87"/>
      <c r="M7" s="87"/>
      <c r="N7" s="87"/>
    </row>
    <row r="8" spans="1:14">
      <c r="A8" s="130" t="s">
        <v>11</v>
      </c>
      <c r="B8" s="130" t="s">
        <v>12</v>
      </c>
      <c r="C8" s="24"/>
      <c r="D8" s="130" t="s">
        <v>52</v>
      </c>
      <c r="E8" s="88"/>
      <c r="F8" s="87"/>
      <c r="G8" s="131" t="s">
        <v>36</v>
      </c>
      <c r="H8" s="87"/>
      <c r="I8" s="87"/>
      <c r="J8" s="24"/>
      <c r="K8" s="24"/>
      <c r="L8" s="24"/>
      <c r="M8" s="87"/>
      <c r="N8" s="87"/>
    </row>
    <row r="9" spans="1:14">
      <c r="A9" s="87"/>
      <c r="B9" s="87"/>
      <c r="C9" s="87"/>
      <c r="D9" s="87"/>
      <c r="E9" s="87"/>
      <c r="F9" s="87"/>
      <c r="G9" s="87"/>
      <c r="H9" s="87"/>
      <c r="I9" s="87"/>
      <c r="J9" s="24"/>
      <c r="K9" s="24"/>
      <c r="L9" s="24"/>
      <c r="M9" s="87"/>
      <c r="N9" s="87"/>
    </row>
    <row r="10" spans="1:14">
      <c r="A10" s="88">
        <v>1</v>
      </c>
      <c r="B10" s="87" t="s">
        <v>139</v>
      </c>
      <c r="C10" s="87"/>
      <c r="D10" s="87"/>
      <c r="E10" s="87"/>
      <c r="F10" s="87"/>
      <c r="G10" s="89">
        <f>G65</f>
        <v>74777136.229566321</v>
      </c>
      <c r="H10" s="87" t="s">
        <v>203</v>
      </c>
      <c r="I10" s="87"/>
      <c r="J10" s="24"/>
      <c r="K10" s="24"/>
      <c r="L10" s="24"/>
      <c r="M10" s="89"/>
      <c r="N10" s="89"/>
    </row>
    <row r="11" spans="1:14">
      <c r="A11" s="88"/>
      <c r="B11" s="87"/>
      <c r="C11" s="87"/>
      <c r="D11" s="87"/>
      <c r="E11" s="87"/>
      <c r="F11" s="87"/>
      <c r="G11" s="87"/>
      <c r="H11" s="87"/>
      <c r="I11" s="87"/>
      <c r="J11" s="24"/>
      <c r="K11" s="24"/>
      <c r="L11" s="24"/>
      <c r="M11" s="87"/>
      <c r="N11" s="87"/>
    </row>
    <row r="12" spans="1:14">
      <c r="A12" s="88">
        <v>2</v>
      </c>
      <c r="B12" s="87" t="s">
        <v>140</v>
      </c>
      <c r="C12" s="87"/>
      <c r="D12" s="87"/>
      <c r="E12" s="87"/>
      <c r="F12" s="87"/>
      <c r="G12" s="87">
        <f>ROUND(G10/365,0)</f>
        <v>204869</v>
      </c>
      <c r="H12" s="87" t="s">
        <v>204</v>
      </c>
      <c r="I12" s="87"/>
      <c r="J12" s="24"/>
      <c r="K12" s="24"/>
      <c r="L12" s="24"/>
      <c r="M12" s="87"/>
      <c r="N12" s="87"/>
    </row>
    <row r="13" spans="1:14">
      <c r="A13" s="88"/>
      <c r="B13" s="87"/>
      <c r="C13" s="87"/>
      <c r="D13" s="87"/>
      <c r="E13" s="87"/>
      <c r="F13" s="87"/>
      <c r="G13" s="87"/>
      <c r="H13" s="87"/>
      <c r="I13" s="87"/>
      <c r="J13" s="24"/>
      <c r="K13" s="24"/>
      <c r="L13" s="24"/>
      <c r="M13" s="87"/>
      <c r="N13" s="87"/>
    </row>
    <row r="14" spans="1:14">
      <c r="A14" s="88">
        <v>3</v>
      </c>
      <c r="B14" s="87" t="s">
        <v>141</v>
      </c>
      <c r="C14" s="87"/>
      <c r="D14" s="87"/>
      <c r="E14" s="87"/>
      <c r="F14" s="87"/>
      <c r="G14" s="87"/>
      <c r="H14" s="87"/>
      <c r="I14" s="87"/>
      <c r="J14" s="24"/>
      <c r="K14" s="24"/>
      <c r="L14" s="24"/>
      <c r="M14" s="87"/>
      <c r="N14" s="87"/>
    </row>
    <row r="15" spans="1:14">
      <c r="A15" s="88"/>
      <c r="B15" s="87"/>
      <c r="C15" s="87"/>
      <c r="D15" s="87"/>
      <c r="E15" s="87"/>
      <c r="F15" s="87"/>
      <c r="G15" s="87"/>
      <c r="H15" s="87"/>
      <c r="I15" s="87"/>
      <c r="J15" s="24"/>
      <c r="K15" s="24"/>
      <c r="L15" s="24"/>
      <c r="M15" s="87"/>
      <c r="N15" s="87"/>
    </row>
    <row r="16" spans="1:14">
      <c r="A16" s="88">
        <v>4</v>
      </c>
      <c r="B16" s="87" t="s">
        <v>142</v>
      </c>
      <c r="C16" s="87"/>
      <c r="D16" s="90">
        <v>39.1</v>
      </c>
      <c r="E16" s="90"/>
      <c r="F16" s="90"/>
      <c r="G16" s="90"/>
      <c r="H16" s="87"/>
      <c r="I16" s="87"/>
      <c r="J16" s="24"/>
      <c r="K16" s="24"/>
      <c r="L16" s="24"/>
      <c r="M16" s="90"/>
      <c r="N16" s="90"/>
    </row>
    <row r="17" spans="1:14">
      <c r="A17" s="88"/>
      <c r="B17" s="87"/>
      <c r="C17" s="87"/>
      <c r="D17" s="90"/>
      <c r="E17" s="90"/>
      <c r="F17" s="87"/>
      <c r="G17" s="87"/>
      <c r="H17" s="87"/>
      <c r="I17" s="87"/>
      <c r="J17" s="24"/>
      <c r="K17" s="24" t="s">
        <v>53</v>
      </c>
      <c r="L17" s="24"/>
      <c r="M17" s="87"/>
      <c r="N17" s="87"/>
    </row>
    <row r="18" spans="1:14">
      <c r="A18" s="88">
        <v>5</v>
      </c>
      <c r="B18" s="87" t="s">
        <v>143</v>
      </c>
      <c r="C18" s="87"/>
      <c r="D18" s="132">
        <f>J67</f>
        <v>76.56</v>
      </c>
      <c r="E18" s="90"/>
      <c r="F18" s="87" t="s">
        <v>206</v>
      </c>
      <c r="G18" s="87"/>
      <c r="H18" s="87"/>
      <c r="I18" s="87"/>
      <c r="J18" s="24"/>
      <c r="K18" s="24"/>
      <c r="L18" s="24"/>
      <c r="M18" s="90"/>
      <c r="N18" s="90"/>
    </row>
    <row r="19" spans="1:14">
      <c r="A19" s="88"/>
      <c r="B19" s="87"/>
      <c r="C19" s="87"/>
      <c r="D19" s="90"/>
      <c r="E19" s="90"/>
      <c r="F19" s="87"/>
      <c r="G19" s="87"/>
      <c r="H19" s="87"/>
      <c r="I19" s="87"/>
      <c r="J19" s="24"/>
      <c r="K19" s="24"/>
      <c r="L19" s="24"/>
      <c r="M19" s="87"/>
      <c r="N19" s="87"/>
    </row>
    <row r="20" spans="1:14" ht="15" thickBot="1">
      <c r="A20" s="88">
        <v>6</v>
      </c>
      <c r="B20" s="87" t="s">
        <v>144</v>
      </c>
      <c r="C20" s="87"/>
      <c r="D20" s="133">
        <f>+D16-D18</f>
        <v>-37.46</v>
      </c>
      <c r="E20" s="90"/>
      <c r="F20" s="87" t="s">
        <v>289</v>
      </c>
      <c r="G20" s="134">
        <f>+D20*G12</f>
        <v>-7674392.7400000002</v>
      </c>
      <c r="H20" s="87" t="s">
        <v>207</v>
      </c>
      <c r="I20" s="87"/>
      <c r="J20" s="24"/>
      <c r="K20" s="24"/>
      <c r="L20" s="24"/>
      <c r="M20" s="90"/>
      <c r="N20" s="90"/>
    </row>
    <row r="21" spans="1:14" ht="15" thickTop="1">
      <c r="A21" s="88"/>
      <c r="B21" s="87"/>
      <c r="C21" s="87"/>
      <c r="D21" s="87"/>
      <c r="E21" s="87"/>
      <c r="F21" s="87"/>
      <c r="G21" s="87"/>
      <c r="H21" s="87"/>
      <c r="I21" s="87"/>
      <c r="J21" s="24"/>
      <c r="K21" s="24"/>
      <c r="L21" s="24"/>
      <c r="M21" s="87"/>
      <c r="N21" s="87"/>
    </row>
    <row r="22" spans="1:14">
      <c r="A22" s="88"/>
      <c r="B22" s="87"/>
      <c r="C22" s="87"/>
      <c r="D22" s="88"/>
      <c r="E22" s="88"/>
      <c r="F22" s="88" t="s">
        <v>334</v>
      </c>
      <c r="G22" s="88" t="s">
        <v>334</v>
      </c>
      <c r="H22" s="88" t="s">
        <v>145</v>
      </c>
      <c r="I22" s="88"/>
      <c r="J22" s="88"/>
      <c r="K22" s="87"/>
      <c r="L22" s="87"/>
      <c r="M22" s="87"/>
      <c r="N22" s="87"/>
    </row>
    <row r="23" spans="1:14">
      <c r="A23" s="88"/>
      <c r="B23" s="87"/>
      <c r="C23" s="87"/>
      <c r="D23" s="88"/>
      <c r="E23" s="88"/>
      <c r="F23" s="88" t="s">
        <v>333</v>
      </c>
      <c r="G23" s="88" t="s">
        <v>333</v>
      </c>
      <c r="H23" s="88" t="s">
        <v>146</v>
      </c>
      <c r="I23" s="88"/>
      <c r="J23" s="88"/>
      <c r="K23" s="87"/>
      <c r="L23" s="87"/>
      <c r="M23" s="87"/>
      <c r="N23" s="87"/>
    </row>
    <row r="24" spans="1:14">
      <c r="A24" s="88" t="s">
        <v>59</v>
      </c>
      <c r="B24" s="87"/>
      <c r="C24" s="87"/>
      <c r="D24" s="88" t="s">
        <v>23</v>
      </c>
      <c r="E24" s="88"/>
      <c r="F24" s="88" t="s">
        <v>311</v>
      </c>
      <c r="G24" s="91" t="s">
        <v>23</v>
      </c>
      <c r="H24" s="88" t="s">
        <v>148</v>
      </c>
      <c r="I24" s="88"/>
      <c r="J24" s="88" t="s">
        <v>149</v>
      </c>
      <c r="K24" s="87"/>
      <c r="L24" s="87"/>
      <c r="M24" s="87"/>
      <c r="N24" s="87"/>
    </row>
    <row r="25" spans="1:14" ht="15.6">
      <c r="A25" s="130" t="s">
        <v>11</v>
      </c>
      <c r="B25" s="130" t="s">
        <v>147</v>
      </c>
      <c r="C25" s="24"/>
      <c r="D25" s="135" t="s">
        <v>25</v>
      </c>
      <c r="E25" s="135"/>
      <c r="F25" s="136" t="s">
        <v>26</v>
      </c>
      <c r="G25" s="136" t="s">
        <v>27</v>
      </c>
      <c r="H25" s="136" t="s">
        <v>39</v>
      </c>
      <c r="I25" s="135"/>
      <c r="J25" s="137" t="s">
        <v>209</v>
      </c>
      <c r="K25" s="88"/>
      <c r="L25" s="24"/>
      <c r="M25" s="87"/>
      <c r="N25" s="87"/>
    </row>
    <row r="26" spans="1:14">
      <c r="A26" s="88">
        <v>7</v>
      </c>
      <c r="B26" s="87" t="s">
        <v>150</v>
      </c>
      <c r="C26" s="87"/>
      <c r="D26" s="87">
        <v>9528061.0000000056</v>
      </c>
      <c r="E26" s="87"/>
      <c r="F26" s="87">
        <f>+Payroll!D18+OT!D15-'Incentive Comp'!D17-'Incentive Comp'!D18</f>
        <v>-1741742.1039999998</v>
      </c>
      <c r="G26" s="92">
        <f>+D26+F26</f>
        <v>7786318.8960000053</v>
      </c>
      <c r="H26" s="125">
        <v>9.5</v>
      </c>
      <c r="I26" s="125"/>
      <c r="J26" s="89">
        <f>ROUND(G26*$H26,0)</f>
        <v>73970030</v>
      </c>
      <c r="K26" s="92"/>
      <c r="L26" s="94"/>
      <c r="M26" s="87"/>
      <c r="N26" s="87"/>
    </row>
    <row r="27" spans="1:14">
      <c r="A27" s="88">
        <v>8</v>
      </c>
      <c r="B27" s="87" t="s">
        <v>151</v>
      </c>
      <c r="C27" s="87"/>
      <c r="D27" s="87">
        <v>6040519.9932829766</v>
      </c>
      <c r="E27" s="87"/>
      <c r="F27" s="87">
        <f>UFW!F16</f>
        <v>-154497.47819999998</v>
      </c>
      <c r="G27" s="92">
        <f t="shared" ref="G27:G50" si="0">+D27+F27</f>
        <v>5886022.5150829768</v>
      </c>
      <c r="H27" s="125">
        <v>24.2</v>
      </c>
      <c r="I27" s="125"/>
      <c r="J27" s="89">
        <f t="shared" ref="J27:J50" si="1">ROUND(G27*$H27,0)</f>
        <v>142441745</v>
      </c>
      <c r="K27" s="93"/>
      <c r="L27" s="95"/>
      <c r="M27" s="87"/>
      <c r="N27" s="87"/>
    </row>
    <row r="28" spans="1:14">
      <c r="A28" s="88">
        <v>9</v>
      </c>
      <c r="B28" s="87" t="s">
        <v>152</v>
      </c>
      <c r="C28" s="87"/>
      <c r="D28" s="87">
        <v>4632445.5045753438</v>
      </c>
      <c r="E28" s="87"/>
      <c r="F28" s="87">
        <f>UFW!F15</f>
        <v>-130638.2484</v>
      </c>
      <c r="G28" s="92">
        <f t="shared" si="0"/>
        <v>4501807.2561753439</v>
      </c>
      <c r="H28" s="126">
        <v>33.200000000000003</v>
      </c>
      <c r="I28" s="126"/>
      <c r="J28" s="89">
        <f t="shared" si="1"/>
        <v>149460001</v>
      </c>
      <c r="K28" s="87"/>
      <c r="L28" s="94"/>
      <c r="M28" s="87"/>
      <c r="N28" s="87"/>
    </row>
    <row r="29" spans="1:14">
      <c r="A29" s="88">
        <v>10</v>
      </c>
      <c r="B29" s="87" t="s">
        <v>153</v>
      </c>
      <c r="C29" s="87"/>
      <c r="D29" s="87">
        <v>201875.33156333328</v>
      </c>
      <c r="E29" s="87"/>
      <c r="F29" s="87">
        <f>UFW!F17</f>
        <v>-39130.673699999999</v>
      </c>
      <c r="G29" s="92">
        <f t="shared" si="0"/>
        <v>162744.6578633333</v>
      </c>
      <c r="H29" s="126">
        <v>38.799999999999997</v>
      </c>
      <c r="I29" s="126"/>
      <c r="J29" s="89">
        <f t="shared" si="1"/>
        <v>6314493</v>
      </c>
      <c r="K29" s="87"/>
      <c r="L29" s="95"/>
      <c r="M29" s="87"/>
      <c r="N29" s="87"/>
    </row>
    <row r="30" spans="1:14">
      <c r="A30" s="88">
        <v>11</v>
      </c>
      <c r="B30" s="87" t="s">
        <v>154</v>
      </c>
      <c r="C30" s="87"/>
      <c r="D30" s="87">
        <v>714836.08411764703</v>
      </c>
      <c r="E30" s="87"/>
      <c r="F30" s="87">
        <f>UFW!F18</f>
        <v>-17315.933099999998</v>
      </c>
      <c r="G30" s="92">
        <f t="shared" si="0"/>
        <v>697520.151017647</v>
      </c>
      <c r="H30" s="126">
        <v>51.5</v>
      </c>
      <c r="I30" s="126"/>
      <c r="J30" s="89">
        <f t="shared" si="1"/>
        <v>35922288</v>
      </c>
      <c r="K30" s="24"/>
      <c r="L30" s="94"/>
      <c r="M30" s="87"/>
      <c r="N30" s="87"/>
    </row>
    <row r="31" spans="1:14">
      <c r="A31" s="88">
        <v>12</v>
      </c>
      <c r="B31" s="87" t="s">
        <v>155</v>
      </c>
      <c r="C31" s="87"/>
      <c r="D31" s="87">
        <v>14821707.589000786</v>
      </c>
      <c r="E31" s="87"/>
      <c r="F31" s="87">
        <f>+Payroll!D20-'Incentive Comp'!D19-'Incentive Comp'!D20+Severance!D15</f>
        <v>-2012573.9580000001</v>
      </c>
      <c r="G31" s="92">
        <f t="shared" si="0"/>
        <v>12809133.631000785</v>
      </c>
      <c r="H31" s="126">
        <f>+H32</f>
        <v>50.7</v>
      </c>
      <c r="I31" s="126" t="s">
        <v>205</v>
      </c>
      <c r="J31" s="89">
        <f t="shared" si="1"/>
        <v>649423075</v>
      </c>
      <c r="K31" s="87"/>
      <c r="L31" s="24"/>
      <c r="M31" s="87"/>
      <c r="N31" s="87"/>
    </row>
    <row r="32" spans="1:14">
      <c r="A32" s="88">
        <v>13</v>
      </c>
      <c r="B32" s="87" t="s">
        <v>156</v>
      </c>
      <c r="C32" s="87"/>
      <c r="D32" s="87">
        <v>1728443.8036502465</v>
      </c>
      <c r="E32" s="87"/>
      <c r="F32" s="87"/>
      <c r="G32" s="92">
        <f t="shared" si="0"/>
        <v>1728443.8036502465</v>
      </c>
      <c r="H32" s="126">
        <v>50.7</v>
      </c>
      <c r="I32" s="126"/>
      <c r="J32" s="89">
        <f t="shared" si="1"/>
        <v>87632101</v>
      </c>
      <c r="K32" s="87"/>
      <c r="L32" s="24"/>
      <c r="M32" s="87"/>
      <c r="N32" s="87"/>
    </row>
    <row r="33" spans="1:14">
      <c r="A33" s="88">
        <v>14</v>
      </c>
      <c r="B33" s="87" t="s">
        <v>157</v>
      </c>
      <c r="C33" s="87"/>
      <c r="D33" s="87">
        <v>1923170.9999999995</v>
      </c>
      <c r="E33" s="87"/>
      <c r="F33" s="87"/>
      <c r="G33" s="92">
        <f t="shared" si="0"/>
        <v>1923170.9999999995</v>
      </c>
      <c r="H33" s="126">
        <v>10.5</v>
      </c>
      <c r="I33" s="126"/>
      <c r="J33" s="89">
        <f t="shared" si="1"/>
        <v>20193296</v>
      </c>
      <c r="K33" s="87"/>
      <c r="L33" s="94"/>
      <c r="M33" s="87"/>
      <c r="N33" s="87"/>
    </row>
    <row r="34" spans="1:14">
      <c r="A34" s="88">
        <v>15</v>
      </c>
      <c r="B34" s="87" t="s">
        <v>189</v>
      </c>
      <c r="C34" s="87"/>
      <c r="D34" s="87">
        <v>-727095</v>
      </c>
      <c r="E34" s="87"/>
      <c r="F34" s="87"/>
      <c r="G34" s="92">
        <f t="shared" si="0"/>
        <v>-727095</v>
      </c>
      <c r="H34" s="126">
        <v>64.5</v>
      </c>
      <c r="I34" s="126"/>
      <c r="J34" s="89">
        <f t="shared" si="1"/>
        <v>-46897628</v>
      </c>
      <c r="K34" s="87"/>
      <c r="L34" s="24"/>
      <c r="M34" s="87"/>
      <c r="N34" s="87"/>
    </row>
    <row r="35" spans="1:14">
      <c r="A35" s="88">
        <v>16</v>
      </c>
      <c r="B35" s="87" t="s">
        <v>158</v>
      </c>
      <c r="C35" s="87"/>
      <c r="D35" s="87">
        <v>811569.44316953071</v>
      </c>
      <c r="E35" s="87"/>
      <c r="F35" s="87">
        <f>+ESPP!D15+'401(k)'!D11+Benefits!D13</f>
        <v>-494145.98586305941</v>
      </c>
      <c r="G35" s="92">
        <f t="shared" si="0"/>
        <v>317423.4573064713</v>
      </c>
      <c r="H35" s="126">
        <v>16.100000000000001</v>
      </c>
      <c r="I35" s="126"/>
      <c r="J35" s="89">
        <f t="shared" si="1"/>
        <v>5110518</v>
      </c>
      <c r="K35" s="87"/>
      <c r="L35" s="24"/>
      <c r="M35" s="87"/>
      <c r="N35" s="87"/>
    </row>
    <row r="36" spans="1:14">
      <c r="A36" s="88">
        <v>17</v>
      </c>
      <c r="B36" s="87" t="s">
        <v>159</v>
      </c>
      <c r="C36" s="87"/>
      <c r="D36" s="87">
        <v>198278.8602</v>
      </c>
      <c r="E36" s="87"/>
      <c r="F36" s="87"/>
      <c r="G36" s="92">
        <f t="shared" si="0"/>
        <v>198278.8602</v>
      </c>
      <c r="H36" s="126">
        <v>-10.8</v>
      </c>
      <c r="I36" s="126"/>
      <c r="J36" s="89">
        <f t="shared" si="1"/>
        <v>-2141412</v>
      </c>
      <c r="K36" s="87"/>
      <c r="L36" s="24"/>
      <c r="M36" s="87"/>
      <c r="N36" s="87"/>
    </row>
    <row r="37" spans="1:14">
      <c r="A37" s="88">
        <v>18</v>
      </c>
      <c r="B37" s="87" t="s">
        <v>188</v>
      </c>
      <c r="C37" s="87"/>
      <c r="D37" s="87">
        <v>2063676.1700000002</v>
      </c>
      <c r="E37" s="87"/>
      <c r="F37" s="87"/>
      <c r="G37" s="92">
        <f t="shared" si="0"/>
        <v>2063676.1700000002</v>
      </c>
      <c r="H37" s="126">
        <v>-96.7</v>
      </c>
      <c r="I37" s="126"/>
      <c r="J37" s="89">
        <f t="shared" si="1"/>
        <v>-199557486</v>
      </c>
      <c r="K37" s="87"/>
      <c r="L37" s="24"/>
      <c r="M37" s="87"/>
      <c r="N37" s="87"/>
    </row>
    <row r="38" spans="1:14">
      <c r="A38" s="88">
        <v>19</v>
      </c>
      <c r="B38" s="87" t="s">
        <v>160</v>
      </c>
      <c r="C38" s="87"/>
      <c r="D38" s="87">
        <v>66516.000318999984</v>
      </c>
      <c r="E38" s="87"/>
      <c r="F38" s="87"/>
      <c r="G38" s="92">
        <f t="shared" si="0"/>
        <v>66516.000318999984</v>
      </c>
      <c r="H38" s="125">
        <v>-23.7</v>
      </c>
      <c r="I38" s="125"/>
      <c r="J38" s="89">
        <f t="shared" si="1"/>
        <v>-1576429</v>
      </c>
      <c r="K38" s="87"/>
      <c r="L38" s="24"/>
      <c r="M38" s="87"/>
      <c r="N38" s="87"/>
    </row>
    <row r="39" spans="1:14">
      <c r="A39" s="88">
        <v>20</v>
      </c>
      <c r="B39" s="87" t="s">
        <v>161</v>
      </c>
      <c r="C39" s="87"/>
      <c r="D39" s="87"/>
      <c r="E39" s="87" t="s">
        <v>208</v>
      </c>
      <c r="F39" s="87"/>
      <c r="G39" s="92"/>
      <c r="H39" s="125"/>
      <c r="I39" s="125"/>
      <c r="J39" s="89"/>
      <c r="K39" s="87"/>
      <c r="L39" s="24"/>
      <c r="M39" s="87"/>
      <c r="N39" s="87"/>
    </row>
    <row r="40" spans="1:14">
      <c r="A40" s="88">
        <v>21</v>
      </c>
      <c r="B40" s="87" t="s">
        <v>162</v>
      </c>
      <c r="C40" s="87"/>
      <c r="D40" s="87">
        <v>1628939.3200714896</v>
      </c>
      <c r="E40" s="87"/>
      <c r="F40" s="87"/>
      <c r="G40" s="92">
        <f t="shared" si="0"/>
        <v>1628939.3200714896</v>
      </c>
      <c r="H40" s="126">
        <v>15.7</v>
      </c>
      <c r="I40" s="126"/>
      <c r="J40" s="89">
        <f t="shared" si="1"/>
        <v>25574347</v>
      </c>
      <c r="K40" s="87"/>
      <c r="L40" s="24"/>
      <c r="M40" s="87"/>
      <c r="N40" s="87"/>
    </row>
    <row r="41" spans="1:14">
      <c r="A41" s="88">
        <v>22</v>
      </c>
      <c r="B41" s="87" t="s">
        <v>163</v>
      </c>
      <c r="C41" s="87"/>
      <c r="D41" s="87"/>
      <c r="E41" s="87" t="str">
        <f>+E39</f>
        <v>[b]</v>
      </c>
      <c r="F41" s="87"/>
      <c r="G41" s="92"/>
      <c r="H41" s="126"/>
      <c r="I41" s="126"/>
      <c r="J41" s="89"/>
      <c r="K41" s="87"/>
      <c r="L41" s="24"/>
      <c r="M41" s="87"/>
      <c r="N41" s="87"/>
    </row>
    <row r="42" spans="1:14">
      <c r="A42" s="88">
        <v>23</v>
      </c>
      <c r="B42" s="87" t="s">
        <v>164</v>
      </c>
      <c r="C42" s="87"/>
      <c r="D42" s="87"/>
      <c r="E42" s="87" t="str">
        <f>+E41</f>
        <v>[b]</v>
      </c>
      <c r="F42" s="87"/>
      <c r="G42" s="92"/>
      <c r="H42" s="126"/>
      <c r="I42" s="126"/>
      <c r="J42" s="89"/>
      <c r="K42" s="87"/>
      <c r="L42" s="24"/>
      <c r="M42" s="87"/>
      <c r="N42" s="87"/>
    </row>
    <row r="43" spans="1:14">
      <c r="A43" s="88">
        <v>24</v>
      </c>
      <c r="B43" s="87" t="s">
        <v>165</v>
      </c>
      <c r="C43" s="87"/>
      <c r="D43" s="87">
        <v>342626.25473333342</v>
      </c>
      <c r="E43" s="87"/>
      <c r="F43" s="87"/>
      <c r="G43" s="92">
        <f t="shared" si="0"/>
        <v>342626.25473333342</v>
      </c>
      <c r="H43" s="126">
        <v>32.6</v>
      </c>
      <c r="I43" s="126"/>
      <c r="J43" s="89">
        <f t="shared" si="1"/>
        <v>11169616</v>
      </c>
      <c r="K43" s="87"/>
      <c r="L43" s="24"/>
      <c r="M43" s="87"/>
      <c r="N43" s="87"/>
    </row>
    <row r="44" spans="1:14">
      <c r="A44" s="88">
        <v>25</v>
      </c>
      <c r="B44" s="87" t="s">
        <v>166</v>
      </c>
      <c r="C44" s="87"/>
      <c r="D44" s="87">
        <v>236418.0028856</v>
      </c>
      <c r="E44" s="87"/>
      <c r="F44" s="87"/>
      <c r="G44" s="92">
        <f t="shared" si="0"/>
        <v>236418.0028856</v>
      </c>
      <c r="H44" s="126">
        <v>35.5</v>
      </c>
      <c r="I44" s="126"/>
      <c r="J44" s="89">
        <f t="shared" si="1"/>
        <v>8392839</v>
      </c>
      <c r="K44" s="87"/>
      <c r="L44" s="24"/>
      <c r="M44" s="87"/>
      <c r="N44" s="87"/>
    </row>
    <row r="45" spans="1:14">
      <c r="A45" s="88">
        <v>26</v>
      </c>
      <c r="B45" s="87" t="s">
        <v>167</v>
      </c>
      <c r="C45" s="87"/>
      <c r="D45" s="87">
        <v>1628523.9921040004</v>
      </c>
      <c r="E45" s="87"/>
      <c r="F45" s="87"/>
      <c r="G45" s="92">
        <f t="shared" si="0"/>
        <v>1628523.9921040004</v>
      </c>
      <c r="H45" s="126">
        <v>23.9</v>
      </c>
      <c r="I45" s="126"/>
      <c r="J45" s="89">
        <f t="shared" si="1"/>
        <v>38921723</v>
      </c>
      <c r="K45" s="87"/>
      <c r="L45" s="24"/>
      <c r="M45" s="87"/>
      <c r="N45" s="87"/>
    </row>
    <row r="46" spans="1:14">
      <c r="A46" s="88">
        <v>27</v>
      </c>
      <c r="B46" s="87" t="s">
        <v>168</v>
      </c>
      <c r="C46" s="87"/>
      <c r="D46" s="87">
        <v>46859.32</v>
      </c>
      <c r="E46" s="87"/>
      <c r="F46" s="87"/>
      <c r="G46" s="92">
        <f t="shared" si="0"/>
        <v>46859.32</v>
      </c>
      <c r="H46" s="126">
        <v>12.7</v>
      </c>
      <c r="I46" s="126"/>
      <c r="J46" s="89">
        <f t="shared" si="1"/>
        <v>595113</v>
      </c>
      <c r="K46" s="87"/>
      <c r="L46" s="24"/>
      <c r="M46" s="87"/>
      <c r="N46" s="87"/>
    </row>
    <row r="47" spans="1:14">
      <c r="A47" s="88">
        <v>28</v>
      </c>
      <c r="B47" s="87" t="s">
        <v>169</v>
      </c>
      <c r="C47" s="87"/>
      <c r="D47" s="87">
        <v>325955.00964800006</v>
      </c>
      <c r="E47" s="87"/>
      <c r="F47" s="87"/>
      <c r="G47" s="92">
        <f t="shared" si="0"/>
        <v>325955.00964800006</v>
      </c>
      <c r="H47" s="126">
        <v>41.1</v>
      </c>
      <c r="I47" s="126"/>
      <c r="J47" s="89">
        <f t="shared" si="1"/>
        <v>13396751</v>
      </c>
      <c r="K47" s="87"/>
      <c r="L47" s="24"/>
      <c r="M47" s="87"/>
      <c r="N47" s="87"/>
    </row>
    <row r="48" spans="1:14">
      <c r="A48" s="88">
        <v>29</v>
      </c>
      <c r="B48" s="87" t="s">
        <v>170</v>
      </c>
      <c r="C48" s="87"/>
      <c r="D48" s="87">
        <v>1161823.28</v>
      </c>
      <c r="E48" s="87"/>
      <c r="F48" s="87">
        <f>+Temp!D15+'Bus Dev'!D15+BOD!D15+Lobbying!D14+Dues!D15</f>
        <v>-966413.2</v>
      </c>
      <c r="G48" s="92">
        <f t="shared" si="0"/>
        <v>195410.08000000007</v>
      </c>
      <c r="H48" s="126">
        <v>34.6</v>
      </c>
      <c r="I48" s="126"/>
      <c r="J48" s="89">
        <f t="shared" si="1"/>
        <v>6761189</v>
      </c>
      <c r="K48" s="87"/>
      <c r="L48" s="24"/>
      <c r="M48" s="87"/>
      <c r="N48" s="87"/>
    </row>
    <row r="49" spans="1:14">
      <c r="A49" s="88">
        <v>30</v>
      </c>
      <c r="B49" s="87" t="s">
        <v>171</v>
      </c>
      <c r="C49" s="87"/>
      <c r="D49" s="87">
        <v>600762.65999999992</v>
      </c>
      <c r="E49" s="87"/>
      <c r="F49" s="87"/>
      <c r="G49" s="92">
        <f t="shared" si="0"/>
        <v>600762.65999999992</v>
      </c>
      <c r="H49" s="126">
        <v>53.3</v>
      </c>
      <c r="I49" s="126"/>
      <c r="J49" s="89">
        <f t="shared" si="1"/>
        <v>32020650</v>
      </c>
      <c r="K49" s="87"/>
      <c r="L49" s="24"/>
      <c r="M49" s="87"/>
      <c r="N49" s="87"/>
    </row>
    <row r="50" spans="1:14">
      <c r="A50" s="88">
        <v>31</v>
      </c>
      <c r="B50" s="87" t="s">
        <v>172</v>
      </c>
      <c r="C50" s="87"/>
      <c r="D50" s="138">
        <v>120150.005922</v>
      </c>
      <c r="E50" s="138"/>
      <c r="F50" s="138"/>
      <c r="G50" s="174">
        <f t="shared" si="0"/>
        <v>120150.005922</v>
      </c>
      <c r="H50" s="126">
        <v>56.2</v>
      </c>
      <c r="I50" s="126"/>
      <c r="J50" s="89">
        <f t="shared" si="1"/>
        <v>6752430</v>
      </c>
      <c r="K50" s="87"/>
      <c r="L50" s="24"/>
      <c r="M50" s="87"/>
      <c r="N50" s="87"/>
    </row>
    <row r="51" spans="1:14">
      <c r="A51" s="88">
        <v>32</v>
      </c>
      <c r="B51" s="87" t="s">
        <v>173</v>
      </c>
      <c r="C51" s="24"/>
      <c r="D51" s="87">
        <f>SUM(D26:D50)</f>
        <v>48096063.625243291</v>
      </c>
      <c r="E51" s="87"/>
      <c r="F51" s="87">
        <f>SUM(F26:F50)</f>
        <v>-5556457.5812630598</v>
      </c>
      <c r="G51" s="87">
        <f>SUM(G26:G50)</f>
        <v>42539606.043980233</v>
      </c>
      <c r="H51" s="126"/>
      <c r="I51" s="126"/>
      <c r="J51" s="139">
        <f>SUM(J26:J50)</f>
        <v>1063879250</v>
      </c>
      <c r="K51" s="87"/>
      <c r="L51" s="206"/>
      <c r="M51" s="87"/>
      <c r="N51" s="87"/>
    </row>
    <row r="52" spans="1:14">
      <c r="A52" s="88"/>
      <c r="B52" s="87"/>
      <c r="C52" s="87"/>
      <c r="D52" s="87"/>
      <c r="E52" s="87"/>
      <c r="F52" s="87"/>
      <c r="G52" s="87"/>
      <c r="H52" s="87"/>
      <c r="I52" s="87"/>
      <c r="J52" s="127"/>
      <c r="K52" s="87"/>
      <c r="L52" s="87"/>
      <c r="M52" s="87"/>
      <c r="N52" s="87"/>
    </row>
    <row r="53" spans="1:14">
      <c r="A53" s="88">
        <v>33</v>
      </c>
      <c r="B53" s="87" t="s">
        <v>174</v>
      </c>
      <c r="C53" s="87"/>
      <c r="D53" s="87"/>
      <c r="E53" s="87" t="str">
        <f>+E42</f>
        <v>[b]</v>
      </c>
      <c r="F53" s="87"/>
      <c r="G53" s="92"/>
      <c r="H53" s="90"/>
      <c r="I53" s="90"/>
      <c r="J53" s="89"/>
      <c r="K53" s="87"/>
      <c r="L53" s="87"/>
      <c r="M53" s="87"/>
      <c r="N53" s="87"/>
    </row>
    <row r="54" spans="1:14">
      <c r="A54" s="88">
        <v>34</v>
      </c>
      <c r="B54" s="87" t="s">
        <v>175</v>
      </c>
      <c r="C54" s="87"/>
      <c r="D54" s="87">
        <v>11940916</v>
      </c>
      <c r="E54" s="87" t="s">
        <v>191</v>
      </c>
      <c r="F54" s="87"/>
      <c r="G54" s="92">
        <f t="shared" ref="G54:G62" si="2">+D54+F54</f>
        <v>11940916</v>
      </c>
      <c r="H54" s="90">
        <v>299.8</v>
      </c>
      <c r="I54" s="90"/>
      <c r="J54" s="89">
        <f t="shared" ref="J54:J62" si="3">ROUND(G54*$H54,0)</f>
        <v>3579886617</v>
      </c>
      <c r="K54" s="87"/>
      <c r="L54" s="87"/>
      <c r="M54" s="87"/>
      <c r="N54" s="87"/>
    </row>
    <row r="55" spans="1:14">
      <c r="A55" s="88">
        <v>35</v>
      </c>
      <c r="B55" s="87" t="s">
        <v>176</v>
      </c>
      <c r="C55" s="87"/>
      <c r="D55" s="87">
        <v>212214</v>
      </c>
      <c r="E55" s="87"/>
      <c r="F55" s="87"/>
      <c r="G55" s="92">
        <f t="shared" si="2"/>
        <v>212214</v>
      </c>
      <c r="H55" s="90">
        <v>-186</v>
      </c>
      <c r="I55" s="90"/>
      <c r="J55" s="89">
        <f t="shared" si="3"/>
        <v>-39471804</v>
      </c>
      <c r="K55" s="87"/>
      <c r="L55" s="87"/>
      <c r="M55" s="87"/>
      <c r="N55" s="87"/>
    </row>
    <row r="56" spans="1:14">
      <c r="A56" s="88">
        <v>36</v>
      </c>
      <c r="B56" s="87" t="s">
        <v>90</v>
      </c>
      <c r="C56" s="87"/>
      <c r="D56" s="87">
        <v>708794</v>
      </c>
      <c r="E56" s="87"/>
      <c r="F56" s="87">
        <f>'Payroll Tax'!D13</f>
        <v>-267926.19481355784</v>
      </c>
      <c r="G56" s="92">
        <f t="shared" si="2"/>
        <v>440867.80518644216</v>
      </c>
      <c r="H56" s="90">
        <v>9.5</v>
      </c>
      <c r="I56" s="90"/>
      <c r="J56" s="89">
        <f t="shared" si="3"/>
        <v>4188244</v>
      </c>
      <c r="K56" s="87"/>
      <c r="L56" s="87"/>
      <c r="M56" s="87"/>
      <c r="N56" s="87"/>
    </row>
    <row r="57" spans="1:14">
      <c r="A57" s="88">
        <v>37</v>
      </c>
      <c r="B57" s="87" t="s">
        <v>177</v>
      </c>
      <c r="C57" s="87"/>
      <c r="D57" s="87">
        <v>478684.91111357755</v>
      </c>
      <c r="E57" s="87"/>
      <c r="F57" s="87">
        <f>'Inc Tax'!E24</f>
        <v>303130.53880383092</v>
      </c>
      <c r="G57" s="92">
        <f>+D57+F57</f>
        <v>781815.4499174084</v>
      </c>
      <c r="H57" s="90">
        <v>30.3</v>
      </c>
      <c r="I57" s="90"/>
      <c r="J57" s="89">
        <f t="shared" si="3"/>
        <v>23689008</v>
      </c>
      <c r="K57" s="87"/>
      <c r="L57" s="87"/>
      <c r="M57" s="87"/>
      <c r="N57" s="87"/>
    </row>
    <row r="58" spans="1:14">
      <c r="A58" s="88">
        <v>38</v>
      </c>
      <c r="B58" s="87" t="s">
        <v>178</v>
      </c>
      <c r="C58" s="87"/>
      <c r="D58" s="87">
        <v>2545779.0806549531</v>
      </c>
      <c r="E58" s="87"/>
      <c r="F58" s="87">
        <f>'Inc Tax'!E17</f>
        <v>1209490.8498272852</v>
      </c>
      <c r="G58" s="92">
        <f>+D58+F58</f>
        <v>3755269.9304822385</v>
      </c>
      <c r="H58" s="90">
        <v>30.3</v>
      </c>
      <c r="I58" s="90"/>
      <c r="J58" s="89">
        <f t="shared" si="3"/>
        <v>113784679</v>
      </c>
      <c r="K58" s="87"/>
      <c r="L58" s="87"/>
      <c r="M58" s="87"/>
      <c r="N58" s="87"/>
    </row>
    <row r="59" spans="1:14">
      <c r="A59" s="88">
        <v>39</v>
      </c>
      <c r="B59" s="87" t="s">
        <v>133</v>
      </c>
      <c r="C59" s="87"/>
      <c r="D59" s="87"/>
      <c r="E59" s="87" t="str">
        <f>+E53</f>
        <v>[b]</v>
      </c>
      <c r="F59" s="87"/>
      <c r="G59" s="92"/>
      <c r="H59" s="90"/>
      <c r="I59" s="90"/>
      <c r="J59" s="89"/>
      <c r="K59" s="87"/>
      <c r="L59" s="87"/>
      <c r="M59" s="87"/>
      <c r="N59" s="87"/>
    </row>
    <row r="60" spans="1:14">
      <c r="A60" s="88">
        <v>40</v>
      </c>
      <c r="B60" s="87" t="s">
        <v>179</v>
      </c>
      <c r="C60" s="87"/>
      <c r="D60" s="87">
        <v>14566932</v>
      </c>
      <c r="E60" s="87"/>
      <c r="F60" s="87"/>
      <c r="G60" s="92">
        <f>+D60+F60</f>
        <v>14566932</v>
      </c>
      <c r="H60" s="90">
        <v>89.4</v>
      </c>
      <c r="I60" s="90"/>
      <c r="J60" s="89">
        <f t="shared" si="3"/>
        <v>1302283721</v>
      </c>
      <c r="K60" s="87"/>
      <c r="M60" s="87"/>
      <c r="N60" s="87"/>
    </row>
    <row r="61" spans="1:14">
      <c r="A61" s="88">
        <v>41</v>
      </c>
      <c r="B61" s="87" t="s">
        <v>180</v>
      </c>
      <c r="C61" s="87"/>
      <c r="D61" s="87">
        <v>337197</v>
      </c>
      <c r="E61" s="87"/>
      <c r="F61" s="87"/>
      <c r="G61" s="92">
        <f t="shared" si="2"/>
        <v>337197</v>
      </c>
      <c r="H61" s="90">
        <v>10.3</v>
      </c>
      <c r="I61" s="90"/>
      <c r="J61" s="89">
        <f t="shared" si="3"/>
        <v>3473129</v>
      </c>
      <c r="K61" s="87"/>
      <c r="L61" s="87"/>
      <c r="M61" s="87"/>
      <c r="N61" s="87"/>
    </row>
    <row r="62" spans="1:14">
      <c r="A62" s="88">
        <v>42</v>
      </c>
      <c r="B62" s="87" t="s">
        <v>181</v>
      </c>
      <c r="C62" s="87"/>
      <c r="D62" s="87">
        <v>202318</v>
      </c>
      <c r="E62" s="87"/>
      <c r="F62" s="87"/>
      <c r="G62" s="92">
        <f t="shared" si="2"/>
        <v>202318</v>
      </c>
      <c r="H62" s="90">
        <v>15.8</v>
      </c>
      <c r="I62" s="90"/>
      <c r="J62" s="89">
        <f t="shared" si="3"/>
        <v>3196624</v>
      </c>
      <c r="K62" s="87"/>
      <c r="L62" s="87"/>
      <c r="M62" s="87"/>
      <c r="N62" s="87"/>
    </row>
    <row r="63" spans="1:14">
      <c r="A63" s="88">
        <v>43</v>
      </c>
      <c r="B63" s="87" t="s">
        <v>182</v>
      </c>
      <c r="C63" s="87"/>
      <c r="D63" s="138"/>
      <c r="E63" s="138" t="str">
        <f>+E59</f>
        <v>[b]</v>
      </c>
      <c r="F63" s="138"/>
      <c r="G63" s="92"/>
      <c r="H63" s="90"/>
      <c r="I63" s="90"/>
      <c r="J63" s="140"/>
      <c r="K63" s="87"/>
      <c r="L63" s="87"/>
      <c r="M63" s="87"/>
      <c r="N63" s="87"/>
    </row>
    <row r="64" spans="1:14">
      <c r="A64" s="88"/>
      <c r="B64" s="87"/>
      <c r="C64" s="87"/>
      <c r="D64" s="87"/>
      <c r="E64" s="87"/>
      <c r="F64" s="87"/>
      <c r="G64" s="139"/>
      <c r="H64" s="87"/>
      <c r="I64" s="87"/>
      <c r="J64" s="90"/>
      <c r="K64" s="87"/>
      <c r="L64" s="87"/>
      <c r="M64" s="89"/>
      <c r="N64" s="89"/>
    </row>
    <row r="65" spans="1:14" ht="15" thickBot="1">
      <c r="A65" s="88">
        <v>44</v>
      </c>
      <c r="B65" s="87" t="s">
        <v>183</v>
      </c>
      <c r="C65" s="87"/>
      <c r="D65" s="141">
        <f>SUM(D51:D63)</f>
        <v>79088898.617011815</v>
      </c>
      <c r="E65" s="141"/>
      <c r="F65" s="141">
        <f>SUM(F51:F63)</f>
        <v>-4311762.387445502</v>
      </c>
      <c r="G65" s="142">
        <f>SUM(G51:G63)</f>
        <v>74777136.229566321</v>
      </c>
      <c r="H65" s="89"/>
      <c r="I65" s="89"/>
      <c r="J65" s="142">
        <f>SUM(J51:J63)</f>
        <v>6054909468</v>
      </c>
      <c r="K65" s="89"/>
      <c r="L65" s="87"/>
      <c r="M65" s="87"/>
      <c r="N65" s="87"/>
    </row>
    <row r="66" spans="1:14" ht="15" thickTop="1">
      <c r="A66" s="88"/>
      <c r="B66" s="87"/>
      <c r="C66" s="87"/>
      <c r="D66" s="87"/>
      <c r="E66" s="87"/>
      <c r="G66" s="128"/>
      <c r="H66" s="87"/>
      <c r="I66" s="87"/>
      <c r="J66" s="87"/>
      <c r="K66" s="87"/>
      <c r="L66" s="87"/>
      <c r="M66" s="87"/>
      <c r="N66" s="87"/>
    </row>
    <row r="67" spans="1:14" ht="15" thickBot="1">
      <c r="A67" s="88">
        <v>45</v>
      </c>
      <c r="B67" s="87" t="s">
        <v>184</v>
      </c>
      <c r="C67" s="87"/>
      <c r="D67" s="87"/>
      <c r="E67" s="87"/>
      <c r="G67" s="87"/>
      <c r="H67" s="87"/>
      <c r="I67" s="87"/>
      <c r="J67" s="133">
        <f>IF(D65=0,0,ROUND(J65/D65,2))</f>
        <v>76.56</v>
      </c>
      <c r="K67" s="87"/>
      <c r="L67" s="90"/>
      <c r="M67" s="90"/>
      <c r="N67" s="90"/>
    </row>
    <row r="68" spans="1:14" ht="15" thickTop="1">
      <c r="A68" s="88"/>
      <c r="F68" s="87"/>
      <c r="G68" s="87"/>
      <c r="H68" s="87"/>
      <c r="I68" s="87"/>
      <c r="J68" s="87"/>
      <c r="K68" s="87"/>
      <c r="L68" s="90"/>
      <c r="M68" s="90"/>
      <c r="N68" s="87"/>
    </row>
    <row r="69" spans="1:14">
      <c r="A69" s="88"/>
      <c r="B69" s="87"/>
      <c r="C69" s="87"/>
      <c r="D69" s="87"/>
      <c r="E69" s="87"/>
      <c r="F69" s="87"/>
      <c r="G69" s="87"/>
      <c r="H69" s="87"/>
      <c r="I69" s="87"/>
      <c r="J69" s="87"/>
      <c r="K69" s="90"/>
      <c r="L69" s="87"/>
      <c r="M69" s="87"/>
      <c r="N69" s="87"/>
    </row>
    <row r="70" spans="1:14">
      <c r="A70" s="88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1:14">
      <c r="A71" s="143" t="s">
        <v>18</v>
      </c>
      <c r="B71" s="138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1:14">
      <c r="A72" s="129" t="s">
        <v>293</v>
      </c>
      <c r="B72" s="87"/>
      <c r="C72" s="87"/>
      <c r="D72" s="87"/>
      <c r="E72" s="87"/>
      <c r="G72" s="87"/>
      <c r="H72" s="87"/>
      <c r="I72" s="87"/>
      <c r="J72" s="87"/>
      <c r="K72" s="87"/>
      <c r="L72" s="87"/>
      <c r="M72" s="87"/>
      <c r="N72" s="87"/>
    </row>
    <row r="73" spans="1:14">
      <c r="A73" s="129" t="s">
        <v>292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1:14">
      <c r="A74" s="88" t="s">
        <v>205</v>
      </c>
      <c r="B74" s="87" t="s">
        <v>290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1:14">
      <c r="A75" s="88" t="s">
        <v>208</v>
      </c>
      <c r="B75" s="87" t="s">
        <v>291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1:14">
      <c r="A76" s="129" t="s">
        <v>313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1:14">
      <c r="A77" s="129" t="s">
        <v>312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1:14">
      <c r="A78" s="91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1:14">
      <c r="A79" s="91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1:14">
      <c r="A80" s="91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>
      <c r="A81" s="91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1:14">
      <c r="A82" s="91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1:14">
      <c r="A83" s="91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4">
      <c r="A84" s="91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1:14">
      <c r="A85" s="91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1:14">
      <c r="A86" s="91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4">
      <c r="A87" s="91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>
      <c r="A88" s="91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1:14">
      <c r="A89" s="91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1:14">
      <c r="A90" s="91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1:14">
      <c r="A91" s="91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1:14">
      <c r="A92" s="91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1:14">
      <c r="A93" s="91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1:14">
      <c r="A94" s="91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1:14">
      <c r="A95" s="91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1:14">
      <c r="A96" s="91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1:14">
      <c r="A97" s="91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1:14">
      <c r="A98" s="91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1:14">
      <c r="A99" s="91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</row>
    <row r="100" spans="1:14">
      <c r="A100" s="91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1:14">
      <c r="A101" s="91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1:14">
      <c r="A102" s="91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1:14">
      <c r="A103" s="91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1:14">
      <c r="A104" s="91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1:14">
      <c r="A105" s="91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</sheetData>
  <pageMargins left="0.7" right="0.7" top="0.75" bottom="0.75" header="0.3" footer="0.3"/>
  <pageSetup scale="55" orientation="portrait" r:id="rId1"/>
  <ignoredErrors>
    <ignoredError sqref="G26:G50 G54:G6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AB44-334F-45D2-8C66-817767501F29}">
  <sheetPr>
    <pageSetUpPr fitToPage="1"/>
  </sheetPr>
  <dimension ref="A1:H31"/>
  <sheetViews>
    <sheetView workbookViewId="0">
      <selection activeCell="G19" sqref="G19"/>
    </sheetView>
  </sheetViews>
  <sheetFormatPr defaultRowHeight="14.4"/>
  <cols>
    <col min="2" max="2" width="44.33203125" customWidth="1"/>
    <col min="3" max="4" width="16.6640625" customWidth="1"/>
    <col min="5" max="5" width="20.109375" customWidth="1"/>
    <col min="7" max="7" width="22.33203125" customWidth="1"/>
  </cols>
  <sheetData>
    <row r="1" spans="1:8" ht="15.6">
      <c r="A1" s="1" t="str">
        <f>A!A1</f>
        <v>Kentucky-American Water Company</v>
      </c>
      <c r="B1" s="1"/>
      <c r="C1" s="1"/>
      <c r="D1" s="1"/>
      <c r="E1" s="7" t="str">
        <f>A!H1</f>
        <v>Case No. 2026-00094</v>
      </c>
    </row>
    <row r="2" spans="1:8" ht="15.6">
      <c r="A2" s="1" t="str">
        <f>A!A2</f>
        <v>Forecasted Test Period Twelve Months Ended December 31, 2027</v>
      </c>
      <c r="B2" s="1"/>
      <c r="C2" s="1"/>
      <c r="D2" s="1"/>
      <c r="E2" s="7" t="str">
        <f>A!H2</f>
        <v>Exhibit JD-1</v>
      </c>
    </row>
    <row r="3" spans="1:8" ht="15.6">
      <c r="A3" s="1"/>
      <c r="B3" s="1"/>
      <c r="C3" s="1"/>
      <c r="D3" s="1"/>
      <c r="E3" s="7" t="s">
        <v>28</v>
      </c>
    </row>
    <row r="4" spans="1:8" ht="15.6">
      <c r="A4" s="1" t="s">
        <v>225</v>
      </c>
      <c r="B4" s="1"/>
      <c r="C4" s="1"/>
      <c r="D4" s="1"/>
      <c r="E4" s="7" t="s">
        <v>54</v>
      </c>
    </row>
    <row r="5" spans="1:8" ht="15.6">
      <c r="A5" s="1"/>
      <c r="B5" s="1"/>
      <c r="C5" s="1"/>
      <c r="D5" s="1"/>
      <c r="E5" s="7"/>
    </row>
    <row r="6" spans="1:8" ht="15.6">
      <c r="A6" s="1"/>
      <c r="B6" s="1"/>
      <c r="C6" s="1"/>
      <c r="D6" s="1"/>
      <c r="E6" s="13" t="s">
        <v>38</v>
      </c>
    </row>
    <row r="7" spans="1:8" ht="15.6">
      <c r="C7" s="13" t="s">
        <v>38</v>
      </c>
      <c r="E7" s="13" t="s">
        <v>36</v>
      </c>
    </row>
    <row r="8" spans="1:8" ht="15.6">
      <c r="B8" s="1"/>
      <c r="C8" s="13" t="s">
        <v>36</v>
      </c>
      <c r="D8" s="13"/>
      <c r="E8" s="13" t="s">
        <v>315</v>
      </c>
      <c r="F8" s="1"/>
      <c r="G8" s="1"/>
      <c r="H8" s="1"/>
    </row>
    <row r="9" spans="1:8" ht="15.6">
      <c r="A9" s="12" t="s">
        <v>22</v>
      </c>
      <c r="B9" s="12" t="s">
        <v>12</v>
      </c>
      <c r="C9" s="16" t="s">
        <v>31</v>
      </c>
      <c r="D9" s="16" t="s">
        <v>42</v>
      </c>
      <c r="E9" s="16" t="s">
        <v>316</v>
      </c>
      <c r="F9" s="1"/>
      <c r="G9" s="1"/>
      <c r="H9" s="1"/>
    </row>
    <row r="10" spans="1:8" ht="15.6">
      <c r="B10" s="1"/>
      <c r="C10" s="13" t="s">
        <v>25</v>
      </c>
      <c r="D10" s="13" t="s">
        <v>26</v>
      </c>
      <c r="E10" s="13" t="s">
        <v>27</v>
      </c>
      <c r="F10" s="1"/>
      <c r="G10" s="1"/>
      <c r="H10" s="1"/>
    </row>
    <row r="11" spans="1:8" ht="15.6">
      <c r="B11" s="1"/>
      <c r="C11" s="1"/>
      <c r="D11" s="1"/>
      <c r="E11" s="1"/>
      <c r="F11" s="1"/>
      <c r="G11" s="1"/>
      <c r="H11" s="1"/>
    </row>
    <row r="12" spans="1:8" ht="15.6">
      <c r="A12" s="13">
        <v>1</v>
      </c>
      <c r="B12" s="1" t="s">
        <v>48</v>
      </c>
      <c r="C12" s="18">
        <v>162484251</v>
      </c>
      <c r="D12" s="18">
        <v>0</v>
      </c>
      <c r="E12" s="18">
        <f>+C12+D12</f>
        <v>162484251</v>
      </c>
      <c r="F12" s="1"/>
      <c r="G12" s="17"/>
      <c r="H12" s="1"/>
    </row>
    <row r="13" spans="1:8" ht="15.6">
      <c r="A13" s="13"/>
      <c r="B13" s="20"/>
      <c r="C13" s="17"/>
      <c r="D13" s="17"/>
      <c r="E13" s="17"/>
      <c r="F13" s="1"/>
      <c r="G13" s="17"/>
      <c r="H13" s="1"/>
    </row>
    <row r="14" spans="1:8" ht="15.6">
      <c r="A14" s="13">
        <v>2</v>
      </c>
      <c r="B14" s="21" t="s">
        <v>122</v>
      </c>
      <c r="C14" s="17"/>
      <c r="D14" s="17"/>
      <c r="E14" s="17"/>
      <c r="F14" s="1"/>
      <c r="G14" s="17"/>
      <c r="H14" s="1"/>
    </row>
    <row r="15" spans="1:8" ht="15.6">
      <c r="A15" s="13">
        <v>3</v>
      </c>
      <c r="B15" s="21" t="s">
        <v>220</v>
      </c>
      <c r="C15" s="17">
        <v>59805797</v>
      </c>
      <c r="D15" s="17">
        <f>-SUM('C p 2'!D13:D26)</f>
        <v>-5794684.5812630598</v>
      </c>
      <c r="E15" s="17">
        <f>+C15+D15</f>
        <v>54011112.418736942</v>
      </c>
      <c r="F15" s="1"/>
      <c r="G15" s="17"/>
      <c r="H15" s="1"/>
    </row>
    <row r="16" spans="1:8" ht="15.6">
      <c r="A16" s="13">
        <v>4</v>
      </c>
      <c r="B16" s="21" t="s">
        <v>221</v>
      </c>
      <c r="C16" s="17">
        <v>37830151</v>
      </c>
      <c r="D16" s="17"/>
      <c r="E16" s="17">
        <f t="shared" ref="E16:E22" si="0">+C16+D16</f>
        <v>37830151</v>
      </c>
      <c r="F16" s="1"/>
      <c r="G16" s="17"/>
      <c r="H16" s="1"/>
    </row>
    <row r="17" spans="1:8" ht="15.6">
      <c r="A17" s="13">
        <v>5</v>
      </c>
      <c r="B17" s="21" t="s">
        <v>123</v>
      </c>
      <c r="C17" s="17">
        <v>-80108</v>
      </c>
      <c r="D17" s="17"/>
      <c r="E17" s="17">
        <f t="shared" si="0"/>
        <v>-80108</v>
      </c>
      <c r="F17" s="1"/>
      <c r="G17" s="17"/>
      <c r="H17" s="1"/>
    </row>
    <row r="18" spans="1:8" ht="15.6">
      <c r="A18" s="13">
        <v>6</v>
      </c>
      <c r="B18" s="21" t="s">
        <v>124</v>
      </c>
      <c r="C18" s="17">
        <v>57080</v>
      </c>
      <c r="D18" s="17"/>
      <c r="E18" s="17">
        <f t="shared" si="0"/>
        <v>57080</v>
      </c>
      <c r="F18" s="1"/>
      <c r="G18" s="17"/>
      <c r="H18" s="1"/>
    </row>
    <row r="19" spans="1:8" ht="15.6">
      <c r="A19" s="13">
        <v>7</v>
      </c>
      <c r="B19" s="21" t="s">
        <v>222</v>
      </c>
      <c r="C19" s="17">
        <v>11768932</v>
      </c>
      <c r="D19" s="17">
        <f>-'C p 2'!D27</f>
        <v>-267926.19481355784</v>
      </c>
      <c r="E19" s="17">
        <f t="shared" si="0"/>
        <v>11501005.805186443</v>
      </c>
      <c r="F19" s="1"/>
      <c r="G19" s="17"/>
      <c r="H19" s="1"/>
    </row>
    <row r="20" spans="1:8" ht="15.6">
      <c r="A20" s="13">
        <v>8</v>
      </c>
      <c r="B20" s="21" t="s">
        <v>224</v>
      </c>
      <c r="C20" s="17">
        <v>-271512</v>
      </c>
      <c r="D20" s="17">
        <f>-'C p 2'!D29</f>
        <v>1466226.8636311162</v>
      </c>
      <c r="E20" s="17">
        <f t="shared" si="0"/>
        <v>1194714.8636311162</v>
      </c>
      <c r="F20" s="1"/>
      <c r="G20" s="17"/>
      <c r="H20" s="1"/>
    </row>
    <row r="21" spans="1:8" ht="15.6">
      <c r="A21" s="13">
        <v>9</v>
      </c>
      <c r="B21" s="21" t="s">
        <v>223</v>
      </c>
      <c r="C21" s="17">
        <v>8131020</v>
      </c>
      <c r="D21" s="17"/>
      <c r="E21" s="17">
        <f t="shared" si="0"/>
        <v>8131020</v>
      </c>
      <c r="F21" s="1"/>
      <c r="G21" s="17"/>
      <c r="H21" s="1"/>
    </row>
    <row r="22" spans="1:8" ht="15.6">
      <c r="A22" s="13">
        <v>10</v>
      </c>
      <c r="B22" s="21" t="s">
        <v>125</v>
      </c>
      <c r="C22" s="18">
        <v>0</v>
      </c>
      <c r="D22" s="18"/>
      <c r="E22" s="18">
        <f t="shared" si="0"/>
        <v>0</v>
      </c>
      <c r="F22" s="1"/>
      <c r="G22" s="17"/>
      <c r="H22" s="1"/>
    </row>
    <row r="23" spans="1:8" ht="15.6">
      <c r="A23" s="13"/>
      <c r="B23" s="21"/>
      <c r="C23" s="17"/>
      <c r="D23" s="17"/>
      <c r="E23" s="17"/>
      <c r="F23" s="1"/>
      <c r="G23" s="1"/>
      <c r="H23" s="1"/>
    </row>
    <row r="24" spans="1:8" ht="15.6">
      <c r="A24" s="13">
        <v>11</v>
      </c>
      <c r="B24" s="21" t="s">
        <v>93</v>
      </c>
      <c r="C24" s="17">
        <f>SUM(C15:C22)+1</f>
        <v>117241361</v>
      </c>
      <c r="D24" s="17">
        <f>SUM(D15:D20)</f>
        <v>-4596383.9124455014</v>
      </c>
      <c r="E24" s="17">
        <f>SUM(E15:E22)</f>
        <v>112644976.0875545</v>
      </c>
      <c r="F24" s="1"/>
      <c r="G24" s="59"/>
      <c r="H24" s="1"/>
    </row>
    <row r="25" spans="1:8" ht="15.6">
      <c r="A25" s="13"/>
      <c r="B25" s="21"/>
      <c r="C25" s="17"/>
      <c r="D25" s="17"/>
      <c r="E25" s="17"/>
      <c r="F25" s="1"/>
      <c r="G25" s="17"/>
      <c r="H25" s="1"/>
    </row>
    <row r="26" spans="1:8" ht="16.2" thickBot="1">
      <c r="A26" s="13">
        <v>12</v>
      </c>
      <c r="B26" s="21" t="s">
        <v>47</v>
      </c>
      <c r="C26" s="22">
        <f>+C12-C24</f>
        <v>45242890</v>
      </c>
      <c r="D26" s="22"/>
      <c r="E26" s="22">
        <f>+E12-E24</f>
        <v>49839274.9124455</v>
      </c>
      <c r="F26" s="1"/>
      <c r="H26" s="1"/>
    </row>
    <row r="27" spans="1:8" ht="16.2" thickTop="1">
      <c r="A27" s="13"/>
      <c r="B27" s="21"/>
      <c r="C27" s="17"/>
      <c r="D27" s="17"/>
      <c r="E27" s="17"/>
      <c r="F27" s="1"/>
      <c r="G27" s="1"/>
      <c r="H27" s="1"/>
    </row>
    <row r="28" spans="1:8" ht="15.6">
      <c r="A28" s="13"/>
      <c r="B28" s="21"/>
      <c r="C28" s="17"/>
      <c r="D28" s="17"/>
      <c r="E28" s="17"/>
      <c r="F28" s="1"/>
      <c r="H28" s="1"/>
    </row>
    <row r="29" spans="1:8" ht="15.6">
      <c r="A29" s="12" t="s">
        <v>30</v>
      </c>
      <c r="B29" s="12"/>
      <c r="C29" s="18"/>
      <c r="D29" s="18"/>
      <c r="E29" s="18"/>
      <c r="F29" s="1"/>
      <c r="G29" s="1"/>
      <c r="H29" s="1"/>
    </row>
    <row r="30" spans="1:8" ht="15.6">
      <c r="A30" s="151" t="s">
        <v>294</v>
      </c>
      <c r="B30" s="1"/>
      <c r="C30" s="17"/>
      <c r="D30" s="17"/>
      <c r="E30" s="17"/>
      <c r="F30" s="1"/>
      <c r="G30" s="1"/>
      <c r="H30" s="1"/>
    </row>
    <row r="31" spans="1:8" ht="15.6">
      <c r="B31" s="1"/>
      <c r="C31" s="1"/>
      <c r="D31" s="1"/>
      <c r="E31" s="1"/>
      <c r="F31" s="1"/>
      <c r="G31" s="1"/>
      <c r="H31" s="1"/>
    </row>
  </sheetData>
  <pageMargins left="0.7" right="0.7" top="0.75" bottom="0.75" header="0.3" footer="0.3"/>
  <pageSetup scale="84" orientation="portrait" r:id="rId1"/>
  <ignoredErrors>
    <ignoredError sqref="D23:E23 E26 D25:E25 D22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DB33-7007-4713-9E89-B24D3D42BAAB}">
  <sheetPr>
    <pageSetUpPr fitToPage="1"/>
  </sheetPr>
  <dimension ref="A1:I52"/>
  <sheetViews>
    <sheetView topLeftCell="A16" workbookViewId="0">
      <selection activeCell="B34" sqref="B34"/>
    </sheetView>
  </sheetViews>
  <sheetFormatPr defaultRowHeight="14.4"/>
  <cols>
    <col min="2" max="2" width="55" customWidth="1"/>
    <col min="3" max="3" width="2.109375" customWidth="1"/>
    <col min="4" max="6" width="20.6640625" customWidth="1"/>
    <col min="7" max="7" width="17.6640625" customWidth="1"/>
    <col min="8" max="8" width="17.109375" customWidth="1"/>
    <col min="9" max="9" width="10" bestFit="1" customWidth="1"/>
  </cols>
  <sheetData>
    <row r="1" spans="1:7" ht="15.6">
      <c r="A1" s="1" t="str">
        <f>A!A1</f>
        <v>Kentucky-American Water Company</v>
      </c>
      <c r="B1" s="1"/>
      <c r="C1" s="1"/>
      <c r="D1" s="1"/>
      <c r="E1" s="7" t="str">
        <f>A!H1</f>
        <v>Case No. 2026-00094</v>
      </c>
    </row>
    <row r="2" spans="1:7" ht="15.6">
      <c r="A2" s="1" t="str">
        <f>A!A2</f>
        <v>Forecasted Test Period Twelve Months Ended December 31, 2027</v>
      </c>
      <c r="B2" s="1"/>
      <c r="C2" s="1"/>
      <c r="D2" s="1"/>
      <c r="E2" s="7" t="str">
        <f>A!H2</f>
        <v>Exhibit JD-1</v>
      </c>
    </row>
    <row r="3" spans="1:7" ht="15.6">
      <c r="A3" s="1"/>
      <c r="B3" s="1"/>
      <c r="C3" s="1"/>
      <c r="D3" s="1"/>
      <c r="E3" s="7" t="str">
        <f>'C'!E3</f>
        <v>Schedule C</v>
      </c>
    </row>
    <row r="4" spans="1:7" ht="15.6">
      <c r="A4" s="1" t="str">
        <f>'C'!A4</f>
        <v>Operating Income</v>
      </c>
      <c r="B4" s="1"/>
      <c r="C4" s="1"/>
      <c r="D4" s="1"/>
      <c r="E4" s="7" t="s">
        <v>55</v>
      </c>
    </row>
    <row r="5" spans="1:7" ht="15.6">
      <c r="A5" s="1"/>
      <c r="B5" s="1"/>
      <c r="C5" s="1"/>
      <c r="D5" s="1"/>
      <c r="E5" s="1"/>
      <c r="F5" s="7"/>
    </row>
    <row r="6" spans="1:7" ht="15.6">
      <c r="A6" s="1"/>
      <c r="B6" s="1"/>
      <c r="C6" s="1"/>
      <c r="D6" s="1"/>
      <c r="E6" s="1"/>
      <c r="F6" s="1"/>
    </row>
    <row r="7" spans="1:7" ht="15.6">
      <c r="A7" s="31" t="s">
        <v>59</v>
      </c>
      <c r="B7" s="31"/>
      <c r="C7" s="31"/>
      <c r="D7" s="31" t="s">
        <v>138</v>
      </c>
      <c r="E7" s="31"/>
      <c r="F7" s="31"/>
    </row>
    <row r="8" spans="1:7" ht="15.6">
      <c r="A8" s="32" t="s">
        <v>11</v>
      </c>
      <c r="B8" s="32" t="s">
        <v>12</v>
      </c>
      <c r="C8" s="31"/>
      <c r="D8" s="32" t="s">
        <v>36</v>
      </c>
      <c r="E8" s="58" t="s">
        <v>84</v>
      </c>
      <c r="F8" s="31"/>
    </row>
    <row r="9" spans="1:7" ht="15.6">
      <c r="A9" s="31" t="s">
        <v>53</v>
      </c>
      <c r="B9" s="31"/>
      <c r="C9" s="31"/>
      <c r="D9" s="31" t="s">
        <v>25</v>
      </c>
      <c r="E9" s="31"/>
      <c r="F9" s="31"/>
    </row>
    <row r="10" spans="1:7" ht="30.6">
      <c r="A10" s="33">
        <v>1</v>
      </c>
      <c r="B10" s="21" t="s">
        <v>118</v>
      </c>
      <c r="C10" s="54"/>
      <c r="D10" s="52">
        <f>'C'!C26</f>
        <v>45242890</v>
      </c>
      <c r="E10" s="39" t="s">
        <v>185</v>
      </c>
      <c r="F10" s="34"/>
    </row>
    <row r="11" spans="1:7" ht="15.6">
      <c r="A11" s="33">
        <f>+A10+1</f>
        <v>2</v>
      </c>
      <c r="B11" s="49"/>
      <c r="C11" s="54"/>
      <c r="D11" s="52"/>
      <c r="E11" s="57"/>
      <c r="F11" s="35"/>
    </row>
    <row r="12" spans="1:7" ht="15.6">
      <c r="A12" s="33">
        <f t="shared" ref="A12:A17" si="0">+A11+1</f>
        <v>3</v>
      </c>
      <c r="B12" s="74" t="s">
        <v>330</v>
      </c>
      <c r="C12" s="1"/>
      <c r="D12" s="51"/>
      <c r="E12" s="57"/>
      <c r="F12" s="35"/>
    </row>
    <row r="13" spans="1:7" ht="15.6">
      <c r="A13" s="33">
        <f t="shared" si="0"/>
        <v>4</v>
      </c>
      <c r="B13" s="21" t="str">
        <f>Payroll!A4</f>
        <v>Payroll Expense</v>
      </c>
      <c r="C13" s="54"/>
      <c r="D13" s="52">
        <f>-Payroll!D22</f>
        <v>1480952.862</v>
      </c>
      <c r="E13" s="1" t="str">
        <f>Payroll!F3</f>
        <v>Schedule C-1</v>
      </c>
      <c r="F13" s="35"/>
    </row>
    <row r="14" spans="1:7" ht="15.6">
      <c r="A14" s="33">
        <f t="shared" si="0"/>
        <v>5</v>
      </c>
      <c r="B14" s="21" t="str">
        <f>OT!A4</f>
        <v>Overtime Expense</v>
      </c>
      <c r="C14" s="54"/>
      <c r="D14" s="52">
        <f>-OT!D15</f>
        <v>175146.19999999995</v>
      </c>
      <c r="E14" s="1" t="str">
        <f>OT!F3</f>
        <v>Schedule C-2</v>
      </c>
      <c r="F14" s="35"/>
      <c r="G14" s="59"/>
    </row>
    <row r="15" spans="1:7" ht="15.6">
      <c r="A15" s="33">
        <f t="shared" si="0"/>
        <v>6</v>
      </c>
      <c r="B15" s="21" t="str">
        <f>'Incentive Comp'!A4</f>
        <v xml:space="preserve">Incentive Compensation </v>
      </c>
      <c r="C15" s="54"/>
      <c r="D15" s="52">
        <f>-'Incentive Comp'!D15</f>
        <v>1997770</v>
      </c>
      <c r="E15" s="1" t="str">
        <f>'Incentive Comp'!G3</f>
        <v>Schedule C-3</v>
      </c>
      <c r="F15" s="35"/>
    </row>
    <row r="16" spans="1:7" ht="15.6">
      <c r="A16" s="33">
        <f t="shared" si="0"/>
        <v>7</v>
      </c>
      <c r="B16" s="21" t="str">
        <f>ESPP!A4</f>
        <v>Employee Stock Purchase Plan Discount</v>
      </c>
      <c r="C16" s="54"/>
      <c r="D16" s="53">
        <f>-ESPP!D15</f>
        <v>49477</v>
      </c>
      <c r="E16" s="1" t="str">
        <f>ESPP!F3</f>
        <v>Schedule C-4</v>
      </c>
      <c r="F16" s="35"/>
    </row>
    <row r="17" spans="1:9" ht="15.6">
      <c r="A17" s="33">
        <f t="shared" si="0"/>
        <v>8</v>
      </c>
      <c r="B17" s="50" t="str">
        <f>Severance!A4</f>
        <v>Severance Expense</v>
      </c>
      <c r="C17" s="54"/>
      <c r="D17" s="53">
        <f>-Severance!D15</f>
        <v>100447</v>
      </c>
      <c r="E17" s="1" t="str">
        <f>Severance!F3</f>
        <v>Schedule C-5</v>
      </c>
      <c r="F17" s="35"/>
    </row>
    <row r="18" spans="1:9" ht="15.6">
      <c r="A18" s="13">
        <v>9</v>
      </c>
      <c r="B18" s="50" t="str">
        <f>Temp!A4</f>
        <v>Temporary Help</v>
      </c>
      <c r="C18" s="1"/>
      <c r="D18" s="17">
        <f>-Temp!D15</f>
        <v>100808.2</v>
      </c>
      <c r="E18" s="1" t="str">
        <f>Temp!F3</f>
        <v>Schedule C-6</v>
      </c>
      <c r="F18" s="1"/>
      <c r="G18" s="1"/>
    </row>
    <row r="19" spans="1:9" ht="15.6">
      <c r="A19" s="13">
        <v>10</v>
      </c>
      <c r="B19" s="21" t="str">
        <f>UFW!A4</f>
        <v>Unaccounted For Water</v>
      </c>
      <c r="C19" s="1"/>
      <c r="D19" s="17">
        <f>-UFW!D11</f>
        <v>341582.3334</v>
      </c>
      <c r="E19" s="1" t="str">
        <f>UFW!F3</f>
        <v>Schedule C-7</v>
      </c>
      <c r="F19" s="1"/>
      <c r="G19" s="17"/>
    </row>
    <row r="20" spans="1:9" ht="15.6">
      <c r="A20" s="13">
        <v>11</v>
      </c>
      <c r="B20" s="50" t="str">
        <f>'Rate Case Exp'!A4</f>
        <v>Rate Case Expense</v>
      </c>
      <c r="C20" s="1"/>
      <c r="D20" s="17">
        <f>-'Rate Case Exp'!D15</f>
        <v>238227</v>
      </c>
      <c r="E20" s="1" t="str">
        <f>'Rate Case Exp'!F3</f>
        <v>Schedule C-8</v>
      </c>
      <c r="F20" s="1"/>
      <c r="G20" s="1"/>
    </row>
    <row r="21" spans="1:9" ht="15.6">
      <c r="A21" s="13">
        <v>12</v>
      </c>
      <c r="B21" s="50" t="str">
        <f>'Bus Dev'!A4</f>
        <v>Business Development Expense</v>
      </c>
      <c r="C21" s="1"/>
      <c r="D21" s="17">
        <f>-'Bus Dev'!D15</f>
        <v>291898</v>
      </c>
      <c r="E21" s="1" t="str">
        <f>'Bus Dev'!F3</f>
        <v>Schedule C-9</v>
      </c>
      <c r="F21" s="1"/>
      <c r="G21" s="17"/>
    </row>
    <row r="22" spans="1:9" ht="15.6">
      <c r="A22" s="13">
        <v>13</v>
      </c>
      <c r="B22" s="50" t="str">
        <f>BOD!A4</f>
        <v>Board of Directors Expense</v>
      </c>
      <c r="C22" s="1"/>
      <c r="D22" s="17">
        <f>-BOD!D15</f>
        <v>47223</v>
      </c>
      <c r="E22" s="1" t="str">
        <f>BOD!F3</f>
        <v>Schedule C-10</v>
      </c>
      <c r="F22" s="17"/>
      <c r="G22" s="59"/>
    </row>
    <row r="23" spans="1:9" ht="15.6">
      <c r="A23" s="13">
        <v>14</v>
      </c>
      <c r="B23" s="50" t="str">
        <f>'401(k)'!A4</f>
        <v>401(k) Expense</v>
      </c>
      <c r="C23" s="1"/>
      <c r="D23" s="17">
        <f>-'401(k)'!D11</f>
        <v>30477</v>
      </c>
      <c r="E23" s="1" t="str">
        <f>'401(k)'!F3</f>
        <v>Schedule C-11</v>
      </c>
      <c r="F23" s="17"/>
      <c r="G23" s="59"/>
    </row>
    <row r="24" spans="1:9" ht="15.6">
      <c r="A24" s="13">
        <v>15</v>
      </c>
      <c r="B24" s="50" t="str">
        <f>Lobbying!A4</f>
        <v>Lobbying Expense</v>
      </c>
      <c r="C24" s="1"/>
      <c r="D24" s="17">
        <f>-Lobbying!D14</f>
        <v>473472</v>
      </c>
      <c r="E24" s="1" t="str">
        <f>Lobbying!F3</f>
        <v>Schedule C-12</v>
      </c>
      <c r="F24" s="17"/>
      <c r="G24" s="59"/>
    </row>
    <row r="25" spans="1:9" ht="15.6">
      <c r="A25" s="13">
        <v>16</v>
      </c>
      <c r="B25" s="50" t="str">
        <f>Dues!A4</f>
        <v>Membership Dues</v>
      </c>
      <c r="C25" s="1"/>
      <c r="D25" s="17">
        <f>-Dues!D15</f>
        <v>53012</v>
      </c>
      <c r="E25" s="1" t="str">
        <f>Dues!F3</f>
        <v>Schedule C-13</v>
      </c>
      <c r="F25" s="17"/>
      <c r="G25" s="59"/>
    </row>
    <row r="26" spans="1:9" ht="15.6">
      <c r="A26" s="13">
        <v>17</v>
      </c>
      <c r="B26" s="50" t="str">
        <f>Benefits!A4</f>
        <v>Benefits Expense</v>
      </c>
      <c r="C26" s="1"/>
      <c r="D26" s="17">
        <f>-Benefits!D13</f>
        <v>414191.98586305941</v>
      </c>
      <c r="E26" s="1" t="str">
        <f>Benefits!F3</f>
        <v>Schedule C-14</v>
      </c>
      <c r="F26" s="17"/>
      <c r="G26" s="59"/>
    </row>
    <row r="27" spans="1:9" ht="15.6">
      <c r="A27" s="13">
        <v>18</v>
      </c>
      <c r="B27" s="50" t="str">
        <f>'Payroll Tax'!A4</f>
        <v>Payroll Tax</v>
      </c>
      <c r="C27" s="1"/>
      <c r="D27" s="17">
        <f>-'Payroll Tax'!D13</f>
        <v>267926.19481355784</v>
      </c>
      <c r="E27" s="1" t="str">
        <f>'Payroll Tax'!F3</f>
        <v>Schedule C-15</v>
      </c>
      <c r="F27" s="17"/>
      <c r="G27" s="59"/>
    </row>
    <row r="28" spans="1:9" ht="15.6">
      <c r="A28" s="13"/>
      <c r="C28" s="1"/>
      <c r="D28" s="17"/>
      <c r="F28" s="17"/>
      <c r="G28" s="59"/>
      <c r="H28" s="59"/>
      <c r="I28" s="59"/>
    </row>
    <row r="29" spans="1:9" ht="30.6">
      <c r="A29" s="13">
        <v>19</v>
      </c>
      <c r="B29" s="50" t="str">
        <f>'Inc Tax'!A4</f>
        <v>Income Tax Expense</v>
      </c>
      <c r="C29" s="1"/>
      <c r="D29" s="73">
        <f>-'Inc Tax'!E26-'Int synch '!E23</f>
        <v>-1466226.8636311162</v>
      </c>
      <c r="E29" s="96" t="s">
        <v>242</v>
      </c>
      <c r="F29" s="59"/>
      <c r="G29" s="17"/>
    </row>
    <row r="30" spans="1:9" ht="15.6">
      <c r="A30" s="13"/>
      <c r="B30" s="50"/>
      <c r="C30" s="1"/>
      <c r="D30" s="29"/>
      <c r="E30" s="39"/>
      <c r="G30" s="17"/>
    </row>
    <row r="31" spans="1:9" ht="16.2" thickBot="1">
      <c r="A31" s="13">
        <v>20</v>
      </c>
      <c r="B31" s="21" t="s">
        <v>317</v>
      </c>
      <c r="C31" s="1"/>
      <c r="D31" s="72">
        <f>SUM(D10:D30)+1</f>
        <v>49839274.912445515</v>
      </c>
      <c r="E31" s="1"/>
      <c r="F31" s="59"/>
      <c r="G31" s="17"/>
    </row>
    <row r="32" spans="1:9" ht="16.2" thickTop="1">
      <c r="A32" s="13"/>
      <c r="B32" s="20"/>
      <c r="C32" s="1"/>
      <c r="D32" s="29"/>
      <c r="E32" s="1"/>
      <c r="F32" s="113"/>
    </row>
    <row r="33" spans="1:6" ht="15.6">
      <c r="A33" s="1"/>
      <c r="B33" s="21"/>
      <c r="C33" s="1"/>
      <c r="D33" s="1"/>
      <c r="E33" s="1"/>
      <c r="F33" s="1"/>
    </row>
    <row r="34" spans="1:6" ht="15.6">
      <c r="A34" s="1"/>
      <c r="B34" s="20"/>
      <c r="C34" s="1"/>
      <c r="D34" s="1"/>
      <c r="E34" s="1"/>
      <c r="F34" s="1"/>
    </row>
    <row r="35" spans="1:6" ht="15.6">
      <c r="A35" s="1"/>
      <c r="B35" s="20"/>
      <c r="C35" s="1"/>
      <c r="D35" s="1"/>
      <c r="E35" s="1"/>
      <c r="F35" s="1"/>
    </row>
    <row r="36" spans="1:6" ht="15.6">
      <c r="A36" s="1"/>
      <c r="B36" s="21"/>
      <c r="C36" s="1"/>
      <c r="D36" s="1"/>
      <c r="E36" s="1"/>
      <c r="F36" s="1"/>
    </row>
    <row r="37" spans="1:6" ht="15.6">
      <c r="A37" s="1"/>
      <c r="B37" s="20"/>
      <c r="C37" s="1"/>
      <c r="D37" s="1"/>
      <c r="E37" s="1"/>
      <c r="F37" s="1"/>
    </row>
    <row r="38" spans="1:6" ht="15.6">
      <c r="A38" s="1"/>
      <c r="B38" s="21"/>
      <c r="C38" s="1"/>
      <c r="D38" s="1"/>
      <c r="E38" s="1"/>
      <c r="F38" s="1"/>
    </row>
    <row r="39" spans="1:6" ht="15.6">
      <c r="A39" s="1"/>
      <c r="B39" s="1"/>
      <c r="C39" s="1"/>
      <c r="D39" s="1"/>
      <c r="E39" s="1"/>
      <c r="F39" s="1"/>
    </row>
    <row r="40" spans="1:6" ht="15.6">
      <c r="A40" s="1"/>
      <c r="B40" s="1"/>
      <c r="C40" s="1"/>
      <c r="D40" s="1"/>
      <c r="E40" s="1"/>
      <c r="F40" s="1"/>
    </row>
    <row r="41" spans="1:6" ht="15.6">
      <c r="A41" s="1"/>
      <c r="B41" s="1"/>
      <c r="C41" s="1"/>
      <c r="D41" s="1"/>
      <c r="E41" s="1"/>
      <c r="F41" s="1"/>
    </row>
    <row r="42" spans="1:6" ht="15.6">
      <c r="A42" s="1"/>
      <c r="B42" s="1"/>
      <c r="C42" s="1"/>
      <c r="D42" s="1"/>
      <c r="E42" s="1"/>
      <c r="F42" s="1"/>
    </row>
    <row r="43" spans="1:6" ht="15.6">
      <c r="A43" s="1"/>
      <c r="B43" s="1"/>
      <c r="C43" s="17"/>
      <c r="D43" s="1"/>
      <c r="E43" s="1"/>
      <c r="F43" s="1"/>
    </row>
    <row r="44" spans="1:6" ht="15.6">
      <c r="A44" s="1"/>
      <c r="B44" s="1"/>
      <c r="C44" s="17"/>
      <c r="D44" s="1"/>
      <c r="E44" s="1"/>
      <c r="F44" s="1"/>
    </row>
    <row r="45" spans="1:6" ht="15.6">
      <c r="A45" s="1"/>
      <c r="B45" s="1"/>
      <c r="C45" s="1"/>
      <c r="D45" s="1"/>
      <c r="E45" s="1"/>
      <c r="F45" s="1"/>
    </row>
    <row r="46" spans="1:6" ht="15.6">
      <c r="A46" s="1"/>
      <c r="B46" s="1"/>
      <c r="C46" s="1"/>
      <c r="D46" s="1"/>
      <c r="E46" s="1"/>
      <c r="F46" s="1"/>
    </row>
    <row r="47" spans="1:6" ht="15.6">
      <c r="A47" s="1"/>
      <c r="B47" s="1"/>
      <c r="C47" s="1"/>
      <c r="D47" s="1"/>
      <c r="E47" s="1"/>
      <c r="F47" s="1"/>
    </row>
    <row r="48" spans="1:6" ht="15.6">
      <c r="A48" s="1"/>
      <c r="B48" s="1"/>
      <c r="C48" s="1"/>
      <c r="D48" s="1"/>
      <c r="E48" s="1"/>
      <c r="F48" s="1"/>
    </row>
    <row r="49" spans="1:6" ht="15.6">
      <c r="A49" s="1"/>
      <c r="B49" s="1"/>
      <c r="C49" s="1"/>
      <c r="D49" s="1"/>
      <c r="E49" s="1"/>
      <c r="F49" s="1"/>
    </row>
    <row r="50" spans="1:6" ht="15.6">
      <c r="A50" s="1"/>
      <c r="B50" s="1"/>
      <c r="C50" s="1"/>
      <c r="D50" s="1"/>
      <c r="E50" s="1"/>
      <c r="F50" s="1"/>
    </row>
    <row r="51" spans="1:6" ht="15.6">
      <c r="A51" s="1"/>
      <c r="B51" s="1"/>
      <c r="C51" s="1"/>
      <c r="D51" s="1"/>
      <c r="E51" s="1"/>
      <c r="F51" s="1"/>
    </row>
    <row r="52" spans="1:6" ht="15.6">
      <c r="A52" s="1"/>
      <c r="B52" s="1"/>
      <c r="C52" s="1"/>
      <c r="D52" s="1"/>
      <c r="E52" s="1"/>
      <c r="F52" s="1"/>
    </row>
  </sheetData>
  <pageMargins left="0.7" right="0.7" top="0.75" bottom="0.75" header="0.3" footer="0.3"/>
  <pageSetup scale="84" orientation="portrait" r:id="rId1"/>
  <ignoredErrors>
    <ignoredError sqref="B29:B30 B17:B24 B25 B26:B27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59D3-375C-40ED-8B9D-807B153B1150}">
  <sheetPr>
    <pageSetUpPr fitToPage="1"/>
  </sheetPr>
  <dimension ref="A1:F29"/>
  <sheetViews>
    <sheetView topLeftCell="A13" workbookViewId="0">
      <selection activeCell="C24" sqref="C24"/>
    </sheetView>
  </sheetViews>
  <sheetFormatPr defaultRowHeight="14.4"/>
  <cols>
    <col min="2" max="2" width="3" customWidth="1"/>
    <col min="3" max="3" width="50.88671875" customWidth="1"/>
    <col min="4" max="4" width="19.6640625" customWidth="1"/>
    <col min="5" max="5" width="3.33203125" customWidth="1"/>
    <col min="6" max="6" width="23.44140625" bestFit="1" customWidth="1"/>
    <col min="10" max="10" width="12.5546875" bestFit="1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63</v>
      </c>
    </row>
    <row r="4" spans="1:6" ht="15.6">
      <c r="A4" s="36" t="s">
        <v>69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.6">
      <c r="A11" s="13">
        <v>1</v>
      </c>
      <c r="B11" s="1"/>
      <c r="C11" s="7" t="s">
        <v>247</v>
      </c>
      <c r="D11" s="17">
        <v>17492276</v>
      </c>
      <c r="E11" s="17"/>
      <c r="F11" s="146" t="s">
        <v>300</v>
      </c>
    </row>
    <row r="12" spans="1:6" ht="45.6">
      <c r="A12" s="13">
        <v>2</v>
      </c>
      <c r="B12" s="1"/>
      <c r="C12" s="7" t="s">
        <v>248</v>
      </c>
      <c r="D12" s="18">
        <v>9932777</v>
      </c>
      <c r="E12" s="17"/>
      <c r="F12" s="146" t="s">
        <v>300</v>
      </c>
    </row>
    <row r="13" spans="1:6" ht="15.6">
      <c r="A13" s="13">
        <v>3</v>
      </c>
      <c r="B13" s="28"/>
      <c r="C13" s="7" t="s">
        <v>249</v>
      </c>
      <c r="D13" s="17">
        <f>+D12+D11</f>
        <v>27425053</v>
      </c>
      <c r="E13" s="17"/>
      <c r="F13" s="13" t="s">
        <v>200</v>
      </c>
    </row>
    <row r="14" spans="1:6" ht="15.6">
      <c r="A14" s="13"/>
      <c r="B14" s="28"/>
      <c r="C14" s="7"/>
      <c r="D14" s="17"/>
      <c r="E14" s="17"/>
      <c r="F14" s="13"/>
    </row>
    <row r="15" spans="1:6" ht="15.6">
      <c r="A15" s="13">
        <v>4</v>
      </c>
      <c r="B15" s="28"/>
      <c r="C15" s="1" t="s">
        <v>332</v>
      </c>
      <c r="D15" s="25">
        <v>-5.3999999999999999E-2</v>
      </c>
      <c r="E15" s="17"/>
      <c r="F15" s="13" t="s">
        <v>87</v>
      </c>
    </row>
    <row r="16" spans="1:6" ht="15.6">
      <c r="A16" s="13"/>
      <c r="B16" s="28"/>
      <c r="C16" s="7"/>
      <c r="D16" s="17"/>
      <c r="E16" s="17"/>
      <c r="F16" s="13"/>
    </row>
    <row r="17" spans="1:6" ht="15.6">
      <c r="A17" s="13"/>
      <c r="C17" s="13"/>
      <c r="D17" s="13"/>
      <c r="E17" s="13"/>
      <c r="F17" s="13"/>
    </row>
    <row r="18" spans="1:6" ht="15.6">
      <c r="A18" s="13">
        <v>5</v>
      </c>
      <c r="C18" s="7" t="s">
        <v>247</v>
      </c>
      <c r="D18" s="17">
        <f>+D11*D15</f>
        <v>-944582.90399999998</v>
      </c>
      <c r="E18" s="17"/>
      <c r="F18" s="13" t="s">
        <v>254</v>
      </c>
    </row>
    <row r="19" spans="1:6" ht="15.6">
      <c r="A19" s="13"/>
      <c r="C19" s="7"/>
      <c r="D19" s="17"/>
      <c r="E19" s="17"/>
      <c r="F19" s="13"/>
    </row>
    <row r="20" spans="1:6" ht="15.6">
      <c r="A20" s="13">
        <v>6</v>
      </c>
      <c r="C20" s="7" t="s">
        <v>248</v>
      </c>
      <c r="D20" s="18">
        <f>+D12*D15</f>
        <v>-536369.95799999998</v>
      </c>
      <c r="E20" s="17"/>
      <c r="F20" s="13" t="s">
        <v>255</v>
      </c>
    </row>
    <row r="21" spans="1:6" ht="15.6">
      <c r="A21" s="13"/>
      <c r="C21" s="7"/>
      <c r="D21" s="17"/>
      <c r="E21" s="17"/>
      <c r="F21" s="13"/>
    </row>
    <row r="22" spans="1:6" ht="16.2" thickBot="1">
      <c r="A22" s="13">
        <v>7</v>
      </c>
      <c r="C22" s="7" t="s">
        <v>318</v>
      </c>
      <c r="D22" s="19">
        <f>SUM(D18:D20)</f>
        <v>-1480952.862</v>
      </c>
      <c r="E22" s="17"/>
      <c r="F22" s="13" t="s">
        <v>256</v>
      </c>
    </row>
    <row r="23" spans="1:6" ht="16.2" thickTop="1">
      <c r="A23" s="13"/>
      <c r="C23" s="1"/>
      <c r="D23" s="28"/>
      <c r="E23" s="28"/>
      <c r="F23" s="13"/>
    </row>
    <row r="24" spans="1:6" ht="15.6">
      <c r="A24" s="13"/>
      <c r="F24" s="13"/>
    </row>
    <row r="25" spans="1:6" ht="15.6">
      <c r="A25" s="13"/>
      <c r="F25" s="13"/>
    </row>
    <row r="26" spans="1:6" ht="15.6">
      <c r="F26" s="13"/>
    </row>
    <row r="27" spans="1:6" ht="15.6">
      <c r="F27" s="13"/>
    </row>
    <row r="28" spans="1:6" ht="15.6">
      <c r="F28" s="13"/>
    </row>
    <row r="29" spans="1:6" ht="15.6">
      <c r="F29" s="13"/>
    </row>
  </sheetData>
  <pageMargins left="0.7" right="0.7" top="0.75" bottom="0.75" header="0.3" footer="0.3"/>
  <pageSetup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24E2-1315-46D2-8C0D-31F95E48DB72}">
  <sheetPr>
    <pageSetUpPr fitToPage="1"/>
  </sheetPr>
  <dimension ref="A1:F26"/>
  <sheetViews>
    <sheetView topLeftCell="A36" workbookViewId="0">
      <selection activeCell="C15" sqref="C15"/>
    </sheetView>
  </sheetViews>
  <sheetFormatPr defaultRowHeight="14.4"/>
  <cols>
    <col min="2" max="2" width="3" customWidth="1"/>
    <col min="3" max="3" width="41.109375" customWidth="1"/>
    <col min="4" max="4" width="19.6640625" customWidth="1"/>
    <col min="5" max="5" width="3.109375" customWidth="1"/>
    <col min="6" max="6" width="22.44140625" customWidth="1"/>
  </cols>
  <sheetData>
    <row r="1" spans="1:6" ht="15.6">
      <c r="A1" s="1" t="str">
        <f>A!A1</f>
        <v>Kentucky-American Water Company</v>
      </c>
      <c r="B1" s="1"/>
      <c r="C1" s="1"/>
      <c r="D1" s="1"/>
      <c r="E1" s="1"/>
      <c r="F1" s="7" t="str">
        <f>A!H1</f>
        <v>Case No. 2026-00094</v>
      </c>
    </row>
    <row r="2" spans="1:6" ht="15.6">
      <c r="A2" s="1" t="str">
        <f>A!A2</f>
        <v>Forecasted Test Period Twelve Months Ended December 31, 2027</v>
      </c>
      <c r="B2" s="1"/>
      <c r="C2" s="1"/>
      <c r="D2" s="1"/>
      <c r="E2" s="1"/>
      <c r="F2" s="7" t="str">
        <f>A!H2</f>
        <v>Exhibit JD-1</v>
      </c>
    </row>
    <row r="3" spans="1:6" ht="15.6">
      <c r="A3" s="1"/>
      <c r="B3" s="1"/>
      <c r="C3" s="1"/>
      <c r="D3" s="1"/>
      <c r="E3" s="1"/>
      <c r="F3" s="7" t="s">
        <v>64</v>
      </c>
    </row>
    <row r="4" spans="1:6" ht="15.6">
      <c r="A4" s="36" t="s">
        <v>226</v>
      </c>
      <c r="B4" s="1"/>
      <c r="C4" s="1"/>
      <c r="D4" s="1"/>
      <c r="E4" s="1"/>
      <c r="F4" s="7" t="str">
        <f>A!H4</f>
        <v>Page 1 of 1</v>
      </c>
    </row>
    <row r="5" spans="1:6" ht="15.6">
      <c r="A5" s="1"/>
      <c r="B5" s="1"/>
      <c r="C5" s="1"/>
      <c r="D5" s="1"/>
      <c r="E5" s="1"/>
      <c r="F5" s="1"/>
    </row>
    <row r="6" spans="1:6" ht="15.6">
      <c r="B6" s="36"/>
      <c r="C6" s="36"/>
      <c r="D6" s="36"/>
      <c r="E6" s="36"/>
      <c r="F6" s="24"/>
    </row>
    <row r="7" spans="1:6" ht="15.6">
      <c r="A7" s="37"/>
      <c r="B7" s="36"/>
      <c r="C7" s="36"/>
      <c r="D7" s="36"/>
      <c r="E7" s="36"/>
      <c r="F7" s="36"/>
    </row>
    <row r="8" spans="1:6" ht="15.6">
      <c r="A8" s="36"/>
      <c r="B8" s="36"/>
      <c r="C8" s="36"/>
      <c r="D8" s="31" t="s">
        <v>138</v>
      </c>
      <c r="E8" s="31"/>
      <c r="F8" s="36"/>
    </row>
    <row r="9" spans="1:6" ht="15.6">
      <c r="A9" s="12" t="s">
        <v>22</v>
      </c>
      <c r="B9" s="1"/>
      <c r="C9" s="12" t="s">
        <v>12</v>
      </c>
      <c r="D9" s="32" t="s">
        <v>36</v>
      </c>
      <c r="E9" s="31"/>
      <c r="F9" s="16" t="s">
        <v>24</v>
      </c>
    </row>
    <row r="10" spans="1:6" ht="15.6">
      <c r="A10" s="1"/>
      <c r="B10" s="1"/>
      <c r="C10" s="1"/>
      <c r="D10" s="13"/>
      <c r="E10" s="13"/>
      <c r="F10" s="13"/>
    </row>
    <row r="11" spans="1:6" ht="45">
      <c r="A11" s="13">
        <v>1</v>
      </c>
      <c r="B11" s="1"/>
      <c r="C11" s="1" t="s">
        <v>58</v>
      </c>
      <c r="D11" s="17">
        <v>1734301</v>
      </c>
      <c r="E11" s="17"/>
      <c r="F11" s="160" t="s">
        <v>295</v>
      </c>
    </row>
    <row r="12" spans="1:6" ht="15.6">
      <c r="A12" s="13"/>
      <c r="B12" s="1"/>
      <c r="C12" s="1"/>
      <c r="D12" s="17"/>
      <c r="E12" s="17"/>
      <c r="F12" s="147"/>
    </row>
    <row r="13" spans="1:6" ht="15.6">
      <c r="A13" s="13">
        <v>2</v>
      </c>
      <c r="B13" s="1"/>
      <c r="C13" s="1" t="s">
        <v>319</v>
      </c>
      <c r="D13" s="18">
        <f>F23</f>
        <v>1559154.8</v>
      </c>
      <c r="E13" s="17"/>
      <c r="F13" s="147" t="s">
        <v>231</v>
      </c>
    </row>
    <row r="14" spans="1:6" ht="15.6">
      <c r="A14" s="13"/>
      <c r="B14" s="1"/>
      <c r="C14" s="1"/>
      <c r="D14" s="17"/>
      <c r="E14" s="17"/>
      <c r="F14" s="147"/>
    </row>
    <row r="15" spans="1:6" ht="16.2" thickBot="1">
      <c r="A15" s="13">
        <v>3</v>
      </c>
      <c r="B15" s="1"/>
      <c r="C15" s="1" t="s">
        <v>321</v>
      </c>
      <c r="D15" s="22">
        <f>+D13-D11</f>
        <v>-175146.19999999995</v>
      </c>
      <c r="E15" s="17"/>
      <c r="F15" s="147" t="s">
        <v>62</v>
      </c>
    </row>
    <row r="16" spans="1:6" ht="16.2" thickTop="1">
      <c r="A16" s="13"/>
      <c r="B16" s="1"/>
      <c r="C16" s="1"/>
      <c r="D16" s="1"/>
      <c r="E16" s="1"/>
      <c r="F16" s="13"/>
    </row>
    <row r="17" spans="1:6" ht="15.6">
      <c r="A17" s="31"/>
      <c r="B17" s="36"/>
      <c r="C17" s="36"/>
      <c r="D17" s="36"/>
      <c r="E17" s="36"/>
      <c r="F17" s="34"/>
    </row>
    <row r="18" spans="1:6" ht="30">
      <c r="A18" s="31">
        <v>4</v>
      </c>
      <c r="B18" s="36"/>
      <c r="C18" s="160" t="s">
        <v>295</v>
      </c>
      <c r="D18" s="36">
        <v>2021</v>
      </c>
      <c r="E18" s="36"/>
      <c r="F18" s="35">
        <v>1126681</v>
      </c>
    </row>
    <row r="19" spans="1:6" ht="30">
      <c r="A19" s="13">
        <v>5</v>
      </c>
      <c r="C19" s="160" t="s">
        <v>295</v>
      </c>
      <c r="D19" s="1">
        <v>2022</v>
      </c>
      <c r="E19" s="1"/>
      <c r="F19" s="17">
        <v>1353622</v>
      </c>
    </row>
    <row r="20" spans="1:6" ht="30">
      <c r="A20" s="13">
        <v>6</v>
      </c>
      <c r="C20" s="160" t="s">
        <v>295</v>
      </c>
      <c r="D20" s="1">
        <v>2023</v>
      </c>
      <c r="E20" s="1"/>
      <c r="F20" s="17">
        <v>1721548</v>
      </c>
    </row>
    <row r="21" spans="1:6" ht="30">
      <c r="A21" s="31">
        <v>7</v>
      </c>
      <c r="C21" s="160" t="s">
        <v>295</v>
      </c>
      <c r="D21" s="36">
        <v>2024</v>
      </c>
      <c r="E21" s="36"/>
      <c r="F21" s="35">
        <v>1595298</v>
      </c>
    </row>
    <row r="22" spans="1:6" ht="30">
      <c r="A22" s="31">
        <v>8</v>
      </c>
      <c r="C22" s="160" t="s">
        <v>295</v>
      </c>
      <c r="D22" s="36">
        <v>2025</v>
      </c>
      <c r="E22" s="36"/>
      <c r="F22" s="109">
        <v>1998625</v>
      </c>
    </row>
    <row r="23" spans="1:6" ht="15.6">
      <c r="A23" s="31">
        <v>9</v>
      </c>
      <c r="D23" s="1" t="s">
        <v>230</v>
      </c>
      <c r="E23" s="1"/>
      <c r="F23" s="17">
        <f>AVERAGE(F18:F22)</f>
        <v>1559154.8</v>
      </c>
    </row>
    <row r="24" spans="1:6" ht="15.6">
      <c r="A24" s="13"/>
    </row>
    <row r="25" spans="1:6" ht="15.6">
      <c r="A25" s="13"/>
    </row>
    <row r="26" spans="1:6" ht="15.6">
      <c r="A26" s="13"/>
    </row>
  </sheetData>
  <pageMargins left="0.7" right="0.7" top="0.75" bottom="0.75" header="0.3" footer="0.3"/>
  <pageSetup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FA60-8241-4441-80E0-29365B6A1097}">
  <sheetPr>
    <pageSetUpPr fitToPage="1"/>
  </sheetPr>
  <dimension ref="A1:I33"/>
  <sheetViews>
    <sheetView topLeftCell="A26" workbookViewId="0">
      <selection activeCell="C13" sqref="C13:C15"/>
    </sheetView>
  </sheetViews>
  <sheetFormatPr defaultRowHeight="14.4"/>
  <cols>
    <col min="2" max="2" width="3" customWidth="1"/>
    <col min="3" max="3" width="57.5546875" customWidth="1"/>
    <col min="4" max="4" width="19.6640625" customWidth="1"/>
    <col min="5" max="5" width="3" customWidth="1"/>
    <col min="6" max="6" width="28" customWidth="1"/>
    <col min="7" max="7" width="18.88671875" customWidth="1"/>
  </cols>
  <sheetData>
    <row r="1" spans="1:7" ht="15.6">
      <c r="A1" s="1" t="str">
        <f>A!A1</f>
        <v>Kentucky-American Water Company</v>
      </c>
      <c r="B1" s="1"/>
      <c r="C1" s="1"/>
      <c r="D1" s="1"/>
      <c r="E1" s="1"/>
      <c r="G1" s="7" t="str">
        <f>A!H1</f>
        <v>Case No. 2026-00094</v>
      </c>
    </row>
    <row r="2" spans="1:7" ht="15.6">
      <c r="A2" s="1" t="str">
        <f>A!A2</f>
        <v>Forecasted Test Period Twelve Months Ended December 31, 2027</v>
      </c>
      <c r="B2" s="1"/>
      <c r="C2" s="1"/>
      <c r="D2" s="1"/>
      <c r="E2" s="1"/>
      <c r="G2" s="7" t="str">
        <f>A!H2</f>
        <v>Exhibit JD-1</v>
      </c>
    </row>
    <row r="3" spans="1:7" ht="15.6">
      <c r="A3" s="1"/>
      <c r="B3" s="1"/>
      <c r="C3" s="1"/>
      <c r="D3" s="1"/>
      <c r="E3" s="1"/>
      <c r="G3" s="7" t="s">
        <v>65</v>
      </c>
    </row>
    <row r="4" spans="1:7" ht="15.6">
      <c r="A4" s="36" t="s">
        <v>71</v>
      </c>
      <c r="B4" s="1"/>
      <c r="C4" s="1"/>
      <c r="D4" s="1"/>
      <c r="E4" s="1"/>
      <c r="G4" s="7" t="str">
        <f>A!H4</f>
        <v>Page 1 of 1</v>
      </c>
    </row>
    <row r="5" spans="1:7" ht="15.6">
      <c r="A5" s="1"/>
      <c r="B5" s="1"/>
      <c r="C5" s="1"/>
      <c r="D5" s="1"/>
      <c r="E5" s="1"/>
      <c r="F5" s="1"/>
    </row>
    <row r="6" spans="1:7" ht="15.6">
      <c r="B6" s="36"/>
      <c r="C6" s="36"/>
      <c r="D6" s="36"/>
      <c r="E6" s="36"/>
      <c r="F6" s="24"/>
    </row>
    <row r="7" spans="1:7" ht="15.6">
      <c r="A7" s="37"/>
      <c r="B7" s="36"/>
      <c r="C7" s="36"/>
      <c r="D7" s="36"/>
      <c r="E7" s="36"/>
      <c r="F7" s="36"/>
    </row>
    <row r="8" spans="1:7" ht="15.6">
      <c r="A8" s="36"/>
      <c r="B8" s="36"/>
      <c r="C8" s="36"/>
      <c r="D8" s="31" t="s">
        <v>192</v>
      </c>
      <c r="E8" s="31"/>
      <c r="F8" s="31"/>
    </row>
    <row r="9" spans="1:7" ht="15.6">
      <c r="A9" s="12" t="s">
        <v>22</v>
      </c>
      <c r="B9" s="1"/>
      <c r="C9" s="12" t="s">
        <v>12</v>
      </c>
      <c r="D9" s="16" t="s">
        <v>36</v>
      </c>
      <c r="E9" s="13"/>
      <c r="F9" s="32" t="s">
        <v>24</v>
      </c>
    </row>
    <row r="10" spans="1:7" ht="15.6">
      <c r="A10" s="1"/>
      <c r="B10" s="1"/>
      <c r="C10" s="1"/>
      <c r="D10" s="13"/>
      <c r="E10" s="13"/>
      <c r="F10" s="13"/>
    </row>
    <row r="11" spans="1:7" ht="15.6">
      <c r="A11" s="13">
        <v>1</v>
      </c>
      <c r="B11" s="1"/>
      <c r="C11" s="1" t="s">
        <v>211</v>
      </c>
      <c r="D11" s="17">
        <v>1997770</v>
      </c>
      <c r="E11" s="17"/>
      <c r="F11" s="160" t="s">
        <v>199</v>
      </c>
      <c r="G11" s="59"/>
    </row>
    <row r="12" spans="1:7" ht="15.6">
      <c r="A12" s="13"/>
      <c r="B12" s="1"/>
      <c r="C12" s="1"/>
      <c r="D12" s="17"/>
      <c r="E12" s="17"/>
      <c r="F12" s="147"/>
    </row>
    <row r="13" spans="1:7" ht="15.6">
      <c r="A13" s="13">
        <v>2</v>
      </c>
      <c r="B13" s="1"/>
      <c r="C13" s="1" t="s">
        <v>320</v>
      </c>
      <c r="D13" s="18">
        <v>0</v>
      </c>
      <c r="E13" s="17"/>
      <c r="F13" s="147" t="s">
        <v>87</v>
      </c>
    </row>
    <row r="14" spans="1:7" ht="15.6">
      <c r="A14" s="13"/>
      <c r="B14" s="1"/>
      <c r="C14" s="1"/>
      <c r="D14" s="17"/>
      <c r="E14" s="17"/>
      <c r="F14" s="147"/>
    </row>
    <row r="15" spans="1:7" ht="16.2" thickBot="1">
      <c r="A15" s="13">
        <v>3</v>
      </c>
      <c r="B15" s="1"/>
      <c r="C15" s="1" t="s">
        <v>321</v>
      </c>
      <c r="D15" s="22">
        <f>+D13-D11</f>
        <v>-1997770</v>
      </c>
      <c r="E15" s="17"/>
      <c r="F15" s="147" t="s">
        <v>62</v>
      </c>
    </row>
    <row r="16" spans="1:7" ht="16.2" thickTop="1">
      <c r="A16" s="13"/>
      <c r="B16" s="1"/>
      <c r="C16" s="1"/>
      <c r="D16" s="1"/>
      <c r="E16" s="1"/>
      <c r="F16" s="1"/>
    </row>
    <row r="17" spans="1:9" ht="30.6">
      <c r="A17" s="13">
        <v>4</v>
      </c>
      <c r="C17" s="7" t="s">
        <v>257</v>
      </c>
      <c r="D17" s="17">
        <v>468081</v>
      </c>
      <c r="E17" s="17"/>
      <c r="F17" s="144" t="s">
        <v>305</v>
      </c>
      <c r="G17" s="1"/>
      <c r="H17" s="1"/>
      <c r="I17" s="1"/>
    </row>
    <row r="18" spans="1:9" ht="30.6">
      <c r="A18" s="13">
        <v>5</v>
      </c>
      <c r="C18" s="7" t="s">
        <v>258</v>
      </c>
      <c r="D18" s="17">
        <v>153932</v>
      </c>
      <c r="E18" s="59"/>
      <c r="F18" s="144" t="s">
        <v>305</v>
      </c>
      <c r="G18" s="1"/>
      <c r="H18" s="1"/>
      <c r="I18" s="1"/>
    </row>
    <row r="19" spans="1:9" ht="30.6">
      <c r="A19" s="13">
        <v>6</v>
      </c>
      <c r="C19" s="7" t="s">
        <v>259</v>
      </c>
      <c r="D19" s="17">
        <v>706204</v>
      </c>
      <c r="F19" s="144" t="s">
        <v>305</v>
      </c>
    </row>
    <row r="20" spans="1:9" ht="30.6">
      <c r="A20" s="13">
        <v>7</v>
      </c>
      <c r="C20" s="7" t="s">
        <v>260</v>
      </c>
      <c r="D20" s="18">
        <v>669553</v>
      </c>
      <c r="F20" s="144" t="s">
        <v>305</v>
      </c>
    </row>
    <row r="21" spans="1:9" ht="15.6">
      <c r="A21" s="13">
        <v>8</v>
      </c>
      <c r="C21" s="7" t="s">
        <v>19</v>
      </c>
      <c r="D21" s="17">
        <f>SUM(D17:D20)</f>
        <v>1997770</v>
      </c>
    </row>
    <row r="22" spans="1:9" ht="15.6">
      <c r="A22" s="13"/>
      <c r="C22" s="1"/>
      <c r="D22" s="1"/>
    </row>
    <row r="23" spans="1:9" ht="15.6">
      <c r="A23" s="1"/>
    </row>
    <row r="24" spans="1:9" ht="15.6">
      <c r="A24" s="31"/>
      <c r="B24" s="36"/>
      <c r="C24" s="36"/>
      <c r="D24" s="36"/>
      <c r="E24" s="36"/>
      <c r="F24" s="34"/>
    </row>
    <row r="25" spans="1:9" ht="15.6">
      <c r="A25" s="13"/>
      <c r="B25" s="1"/>
      <c r="C25" s="31"/>
      <c r="D25" s="1"/>
      <c r="E25" s="13"/>
      <c r="F25" s="13"/>
    </row>
    <row r="26" spans="1:9" ht="15.6">
      <c r="A26" s="13"/>
      <c r="B26" s="1"/>
      <c r="C26" s="31"/>
      <c r="D26" s="177"/>
      <c r="E26" s="13"/>
      <c r="F26" s="13"/>
    </row>
    <row r="27" spans="1:9" ht="15.6">
      <c r="A27" s="13"/>
      <c r="B27" s="1"/>
      <c r="C27" s="7"/>
      <c r="D27" s="17"/>
      <c r="E27" s="17"/>
      <c r="F27" s="175"/>
    </row>
    <row r="28" spans="1:9" ht="15.6">
      <c r="A28" s="13"/>
      <c r="B28" s="1"/>
      <c r="C28" s="7"/>
      <c r="D28" s="17"/>
      <c r="E28" s="17"/>
      <c r="F28" s="175"/>
    </row>
    <row r="29" spans="1:9" ht="15.6">
      <c r="A29" s="13"/>
      <c r="B29" s="1"/>
      <c r="C29" s="7"/>
      <c r="D29" s="17"/>
      <c r="E29" s="17"/>
      <c r="F29" s="13"/>
    </row>
    <row r="30" spans="1:9" ht="15.6">
      <c r="A30" s="13"/>
      <c r="B30" s="1"/>
      <c r="C30" s="1"/>
      <c r="D30" s="147"/>
      <c r="E30" s="147"/>
    </row>
    <row r="31" spans="1:9" ht="15.6">
      <c r="A31" s="13"/>
      <c r="C31" s="1"/>
      <c r="D31" s="17"/>
      <c r="E31" s="17"/>
      <c r="F31" s="1"/>
      <c r="G31" s="1"/>
    </row>
    <row r="32" spans="1:9" ht="15.6">
      <c r="A32" s="12" t="s">
        <v>18</v>
      </c>
      <c r="B32" s="176"/>
      <c r="C32" s="176"/>
      <c r="D32" s="176"/>
      <c r="E32" s="176"/>
      <c r="F32" s="176"/>
      <c r="G32" s="176"/>
    </row>
    <row r="33" spans="1:1" ht="15.6">
      <c r="A33" s="1" t="s">
        <v>306</v>
      </c>
    </row>
  </sheetData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</vt:i4>
      </vt:variant>
    </vt:vector>
  </HeadingPairs>
  <TitlesOfParts>
    <vt:vector size="30" baseType="lpstr">
      <vt:lpstr>TOC</vt:lpstr>
      <vt:lpstr>A</vt:lpstr>
      <vt:lpstr>B</vt:lpstr>
      <vt:lpstr>CWC</vt:lpstr>
      <vt:lpstr>C</vt:lpstr>
      <vt:lpstr>C p 2</vt:lpstr>
      <vt:lpstr>Payroll</vt:lpstr>
      <vt:lpstr>OT</vt:lpstr>
      <vt:lpstr>Incentive Comp</vt:lpstr>
      <vt:lpstr>ESPP</vt:lpstr>
      <vt:lpstr>Severance</vt:lpstr>
      <vt:lpstr>Temp</vt:lpstr>
      <vt:lpstr>UFW</vt:lpstr>
      <vt:lpstr>Rate Case Exp</vt:lpstr>
      <vt:lpstr>Bus Dev</vt:lpstr>
      <vt:lpstr>BOD</vt:lpstr>
      <vt:lpstr>401(k)</vt:lpstr>
      <vt:lpstr>Lobbying</vt:lpstr>
      <vt:lpstr>Dues</vt:lpstr>
      <vt:lpstr>Benefits</vt:lpstr>
      <vt:lpstr>Payroll Tax</vt:lpstr>
      <vt:lpstr>Inc Tax</vt:lpstr>
      <vt:lpstr>Int synch </vt:lpstr>
      <vt:lpstr>SummaryWP</vt:lpstr>
      <vt:lpstr>D</vt:lpstr>
      <vt:lpstr>'C'!Print_Area</vt:lpstr>
      <vt:lpstr>'C p 2'!Print_Area</vt:lpstr>
      <vt:lpstr>CWC!Print_Area</vt:lpstr>
      <vt:lpstr>'Rate Case Exp'!Print_Area</vt:lpstr>
      <vt:lpstr>SummaryWP!Print_Area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Miller</dc:creator>
  <cp:lastModifiedBy>Goad, Angela M (KYOAG)</cp:lastModifiedBy>
  <cp:lastPrinted>2026-08-07T02:39:28Z</cp:lastPrinted>
  <dcterms:created xsi:type="dcterms:W3CDTF">2024-07-16T18:08:30Z</dcterms:created>
  <dcterms:modified xsi:type="dcterms:W3CDTF">2026-08-07T19:12:29Z</dcterms:modified>
</cp:coreProperties>
</file>