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ngfs1\sys\Account\PUBLIC\MWESOLOSKY\Rates\PRP\2026\"/>
    </mc:Choice>
  </mc:AlternateContent>
  <xr:revisionPtr revIDLastSave="0" documentId="13_ncr:1_{125992D4-C45D-4547-A088-AD841A4F3D5D}" xr6:coauthVersionLast="47" xr6:coauthVersionMax="47" xr10:uidLastSave="{00000000-0000-0000-0000-000000000000}"/>
  <bookViews>
    <workbookView xWindow="28680" yWindow="-120" windowWidth="29040" windowHeight="15720" tabRatio="948" xr2:uid="{00000000-000D-0000-FFFF-FFFF00000000}"/>
  </bookViews>
  <sheets>
    <sheet name="Sch I Summary" sheetId="5" r:id="rId1"/>
    <sheet name="Sch II 2023" sheetId="45" r:id="rId2"/>
    <sheet name="Sch 2024 II" sheetId="46" r:id="rId3"/>
    <sheet name="Sch II 2025" sheetId="34" r:id="rId4"/>
    <sheet name="Cost of Service" sheetId="47" r:id="rId5"/>
    <sheet name="Schedule III" sheetId="26" r:id="rId6"/>
    <sheet name="Schedule IV 2025" sheetId="37" r:id="rId7"/>
    <sheet name="Schedule IV 2025 Monthly" sheetId="44" r:id="rId8"/>
    <sheet name="Tax Rates" sheetId="4" r:id="rId9"/>
  </sheets>
  <externalReferences>
    <externalReference r:id="rId10"/>
    <externalReference r:id="rId11"/>
  </externalReferences>
  <definedNames>
    <definedName name="_2019_Capital_Actual_Query">#REF!</definedName>
    <definedName name="_2021_Capital_Budget_Prep_Query">#REF!</definedName>
    <definedName name="_xlnm.Print_Area" localSheetId="5">'Schedule III'!$A$1:$E$37</definedName>
    <definedName name="_xlnm.Print_Area" localSheetId="6">'Schedule IV 2025'!$A$1:$E$150</definedName>
    <definedName name="_xlnm.Print_Titles" localSheetId="6">'Schedule IV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47" l="1"/>
  <c r="X8" i="47"/>
  <c r="X6" i="47"/>
  <c r="Q6" i="47"/>
  <c r="D4" i="47"/>
  <c r="J20" i="5" l="1"/>
  <c r="I20" i="5"/>
  <c r="H20" i="5"/>
  <c r="E20" i="5"/>
  <c r="D20" i="5"/>
  <c r="Q2" i="47"/>
  <c r="R2" i="47"/>
  <c r="S2" i="47"/>
  <c r="V2" i="47"/>
  <c r="W2" i="47"/>
  <c r="Q3" i="47"/>
  <c r="R3" i="47"/>
  <c r="S3" i="47"/>
  <c r="I4" i="47"/>
  <c r="O4" i="47"/>
  <c r="K10" i="47" s="1"/>
  <c r="D6" i="47"/>
  <c r="D12" i="47" s="1"/>
  <c r="I6" i="47"/>
  <c r="I12" i="47" s="1"/>
  <c r="O6" i="47"/>
  <c r="R6" i="47"/>
  <c r="S6" i="47"/>
  <c r="T6" i="47"/>
  <c r="V6" i="47"/>
  <c r="W6" i="47"/>
  <c r="X12" i="47"/>
  <c r="B8" i="47"/>
  <c r="Q8" i="47" s="1"/>
  <c r="T8" i="47" s="1"/>
  <c r="C8" i="47"/>
  <c r="L8" i="47"/>
  <c r="O8" i="47" s="1"/>
  <c r="O12" i="47" s="1"/>
  <c r="M8" i="47"/>
  <c r="R8" i="47"/>
  <c r="S8" i="47"/>
  <c r="V8" i="47"/>
  <c r="B10" i="47"/>
  <c r="Q10" i="47" s="1"/>
  <c r="C10" i="47"/>
  <c r="F10" i="47"/>
  <c r="F12" i="47" s="1"/>
  <c r="G10" i="47"/>
  <c r="G12" i="47" s="1"/>
  <c r="H10" i="47"/>
  <c r="H12" i="47" s="1"/>
  <c r="B12" i="47"/>
  <c r="C12" i="47"/>
  <c r="K12" i="47" l="1"/>
  <c r="V10" i="47"/>
  <c r="V12" i="47" s="1"/>
  <c r="Q12" i="47"/>
  <c r="S10" i="47"/>
  <c r="S12" i="47" s="1"/>
  <c r="W8" i="47"/>
  <c r="R10" i="47"/>
  <c r="R12" i="47" s="1"/>
  <c r="N10" i="47"/>
  <c r="N12" i="47" s="1"/>
  <c r="M10" i="47"/>
  <c r="M12" i="47" s="1"/>
  <c r="L10" i="47"/>
  <c r="K20" i="5"/>
  <c r="H15" i="5"/>
  <c r="H19" i="5" s="1"/>
  <c r="I15" i="5"/>
  <c r="I19" i="5" s="1"/>
  <c r="J15" i="5"/>
  <c r="J19" i="5" s="1"/>
  <c r="L12" i="47" l="1"/>
  <c r="W10" i="47"/>
  <c r="W12" i="47" s="1"/>
  <c r="T10" i="47"/>
  <c r="T12" i="47" s="1"/>
  <c r="K19" i="5"/>
  <c r="E11" i="5"/>
  <c r="G36" i="46"/>
  <c r="E36" i="46"/>
  <c r="G35" i="46"/>
  <c r="G34" i="46"/>
  <c r="G33" i="46"/>
  <c r="G32" i="46"/>
  <c r="L24" i="46"/>
  <c r="L23" i="46"/>
  <c r="C23" i="46"/>
  <c r="L22" i="46"/>
  <c r="C22" i="46"/>
  <c r="L21" i="46"/>
  <c r="L20" i="46"/>
  <c r="C20" i="46"/>
  <c r="L19" i="46"/>
  <c r="K18" i="46"/>
  <c r="K22" i="46" s="1"/>
  <c r="C12" i="46"/>
  <c r="P11" i="46"/>
  <c r="P10" i="46"/>
  <c r="G10" i="46"/>
  <c r="H10" i="46" s="1"/>
  <c r="J10" i="46" s="1"/>
  <c r="D35" i="46" s="1"/>
  <c r="P9" i="46"/>
  <c r="G9" i="46"/>
  <c r="G8" i="46"/>
  <c r="H8" i="46" s="1"/>
  <c r="P7" i="46"/>
  <c r="G7" i="46"/>
  <c r="H7" i="46"/>
  <c r="J7" i="46" s="1"/>
  <c r="D32" i="46" s="1"/>
  <c r="G36" i="45"/>
  <c r="E36" i="45"/>
  <c r="G35" i="45"/>
  <c r="G34" i="45"/>
  <c r="G33" i="45"/>
  <c r="G32" i="45"/>
  <c r="L24" i="45"/>
  <c r="C24" i="45"/>
  <c r="E24" i="45" s="1"/>
  <c r="M24" i="45" s="1"/>
  <c r="K23" i="45"/>
  <c r="C23" i="45"/>
  <c r="K22" i="45"/>
  <c r="C22" i="45"/>
  <c r="E22" i="45" s="1"/>
  <c r="M22" i="45" s="1"/>
  <c r="K21" i="45"/>
  <c r="C21" i="45"/>
  <c r="K20" i="45"/>
  <c r="C20" i="45"/>
  <c r="E20" i="45" s="1"/>
  <c r="M20" i="45" s="1"/>
  <c r="K19" i="45"/>
  <c r="C19" i="45"/>
  <c r="E19" i="45" s="1"/>
  <c r="K18" i="45"/>
  <c r="C12" i="45"/>
  <c r="D11" i="5" s="1"/>
  <c r="P11" i="45"/>
  <c r="P10" i="45"/>
  <c r="G10" i="45"/>
  <c r="H10" i="45"/>
  <c r="J10" i="45" s="1"/>
  <c r="D35" i="45" s="1"/>
  <c r="P9" i="45"/>
  <c r="G9" i="45"/>
  <c r="H9" i="45" s="1"/>
  <c r="J9" i="45" s="1"/>
  <c r="D34" i="45" s="1"/>
  <c r="P8" i="45"/>
  <c r="P7" i="45"/>
  <c r="G7" i="45"/>
  <c r="P6" i="45"/>
  <c r="P12" i="45" l="1"/>
  <c r="G11" i="45" s="1"/>
  <c r="K23" i="46"/>
  <c r="K19" i="46"/>
  <c r="K20" i="46"/>
  <c r="K21" i="46"/>
  <c r="H9" i="46"/>
  <c r="J9" i="46" s="1"/>
  <c r="D34" i="46" s="1"/>
  <c r="F12" i="46"/>
  <c r="P6" i="46"/>
  <c r="C19" i="46"/>
  <c r="G6" i="46"/>
  <c r="L25" i="46"/>
  <c r="C21" i="46"/>
  <c r="P8" i="46"/>
  <c r="J8" i="46"/>
  <c r="D33" i="46" s="1"/>
  <c r="C24" i="46"/>
  <c r="E20" i="46"/>
  <c r="M20" i="46" s="1"/>
  <c r="E22" i="46"/>
  <c r="M22" i="46" s="1"/>
  <c r="E23" i="46"/>
  <c r="M23" i="46" s="1"/>
  <c r="M19" i="45"/>
  <c r="H7" i="45"/>
  <c r="J7" i="45" s="1"/>
  <c r="D32" i="45" s="1"/>
  <c r="H11" i="45"/>
  <c r="J11" i="45" s="1"/>
  <c r="D36" i="45" s="1"/>
  <c r="F36" i="45" s="1"/>
  <c r="H36" i="45" s="1"/>
  <c r="F12" i="45"/>
  <c r="G6" i="45"/>
  <c r="H6" i="45" s="1"/>
  <c r="G8" i="45"/>
  <c r="H8" i="45" s="1"/>
  <c r="J8" i="45" s="1"/>
  <c r="D33" i="45" s="1"/>
  <c r="C25" i="45"/>
  <c r="F19" i="45"/>
  <c r="F20" i="45"/>
  <c r="F22" i="45"/>
  <c r="F24" i="45"/>
  <c r="E21" i="45"/>
  <c r="M21" i="45" s="1"/>
  <c r="E23" i="45"/>
  <c r="M23" i="45" s="1"/>
  <c r="F22" i="46" l="1"/>
  <c r="G22" i="46" s="1"/>
  <c r="N22" i="46" s="1"/>
  <c r="F23" i="46"/>
  <c r="G23" i="46" s="1"/>
  <c r="N23" i="46" s="1"/>
  <c r="E24" i="46"/>
  <c r="M24" i="46" s="1"/>
  <c r="E19" i="46"/>
  <c r="C25" i="46"/>
  <c r="E21" i="46"/>
  <c r="M21" i="46" s="1"/>
  <c r="P12" i="46"/>
  <c r="G11" i="46" s="1"/>
  <c r="H11" i="46" s="1"/>
  <c r="J11" i="46" s="1"/>
  <c r="D36" i="46" s="1"/>
  <c r="F36" i="46" s="1"/>
  <c r="H36" i="46" s="1"/>
  <c r="F20" i="46"/>
  <c r="H6" i="46"/>
  <c r="M25" i="45"/>
  <c r="H12" i="45"/>
  <c r="D13" i="5" s="1"/>
  <c r="J6" i="45"/>
  <c r="G24" i="45"/>
  <c r="N24" i="45" s="1"/>
  <c r="P24" i="45" s="1"/>
  <c r="G19" i="45"/>
  <c r="F23" i="45"/>
  <c r="G12" i="45"/>
  <c r="G22" i="45"/>
  <c r="N22" i="45" s="1"/>
  <c r="G20" i="45"/>
  <c r="N20" i="45" s="1"/>
  <c r="E25" i="45"/>
  <c r="F21" i="45"/>
  <c r="H22" i="46" l="1"/>
  <c r="O22" i="46" s="1"/>
  <c r="P22" i="46" s="1"/>
  <c r="R22" i="46" s="1"/>
  <c r="E34" i="46" s="1"/>
  <c r="F34" i="46" s="1"/>
  <c r="H34" i="46" s="1"/>
  <c r="F24" i="46"/>
  <c r="G20" i="46"/>
  <c r="N20" i="46" s="1"/>
  <c r="F21" i="46"/>
  <c r="H12" i="46"/>
  <c r="E13" i="5" s="1"/>
  <c r="J6" i="46"/>
  <c r="E25" i="46"/>
  <c r="M19" i="46"/>
  <c r="F19" i="46"/>
  <c r="H23" i="46"/>
  <c r="O23" i="46" s="1"/>
  <c r="P23" i="46" s="1"/>
  <c r="R23" i="46" s="1"/>
  <c r="E35" i="46" s="1"/>
  <c r="F35" i="46" s="1"/>
  <c r="H35" i="46" s="1"/>
  <c r="G12" i="46"/>
  <c r="H24" i="45"/>
  <c r="H20" i="45"/>
  <c r="O20" i="45" s="1"/>
  <c r="N19" i="45"/>
  <c r="G23" i="45"/>
  <c r="N23" i="45" s="1"/>
  <c r="G21" i="45"/>
  <c r="N21" i="45" s="1"/>
  <c r="D31" i="45"/>
  <c r="D37" i="45" s="1"/>
  <c r="J12" i="45"/>
  <c r="H22" i="45"/>
  <c r="O22" i="45" s="1"/>
  <c r="F25" i="45"/>
  <c r="H19" i="45"/>
  <c r="M25" i="46" l="1"/>
  <c r="J12" i="46"/>
  <c r="D31" i="46"/>
  <c r="D37" i="46" s="1"/>
  <c r="G21" i="46"/>
  <c r="N21" i="46" s="1"/>
  <c r="H20" i="46"/>
  <c r="O20" i="46" s="1"/>
  <c r="P20" i="46" s="1"/>
  <c r="R20" i="46" s="1"/>
  <c r="E32" i="46" s="1"/>
  <c r="F32" i="46" s="1"/>
  <c r="H32" i="46" s="1"/>
  <c r="G24" i="46"/>
  <c r="N24" i="46" s="1"/>
  <c r="P24" i="46" s="1"/>
  <c r="G19" i="46"/>
  <c r="F25" i="46"/>
  <c r="H23" i="45"/>
  <c r="O23" i="45" s="1"/>
  <c r="N25" i="45"/>
  <c r="G25" i="45"/>
  <c r="H21" i="45"/>
  <c r="O21" i="45" s="1"/>
  <c r="O19" i="45"/>
  <c r="H25" i="45" l="1"/>
  <c r="O25" i="45"/>
  <c r="G25" i="46"/>
  <c r="N19" i="46"/>
  <c r="H19" i="46"/>
  <c r="H24" i="46"/>
  <c r="H21" i="46"/>
  <c r="O21" i="46" s="1"/>
  <c r="P21" i="46" s="1"/>
  <c r="R21" i="46" s="1"/>
  <c r="E33" i="46" s="1"/>
  <c r="F33" i="46" s="1"/>
  <c r="H33" i="46" s="1"/>
  <c r="N25" i="46" l="1"/>
  <c r="H25" i="46"/>
  <c r="O19" i="46"/>
  <c r="O25" i="46" s="1"/>
  <c r="P19" i="46" l="1"/>
  <c r="P25" i="46" l="1"/>
  <c r="R19" i="46"/>
  <c r="E31" i="46" l="1"/>
  <c r="R25" i="46"/>
  <c r="E37" i="46" l="1"/>
  <c r="F31" i="46"/>
  <c r="F37" i="46" l="1"/>
  <c r="H31" i="46"/>
  <c r="H37" i="46" s="1"/>
  <c r="E14" i="5" s="1"/>
  <c r="E15" i="5" s="1"/>
  <c r="L23" i="45" l="1"/>
  <c r="P23" i="45" s="1"/>
  <c r="R23" i="45" s="1"/>
  <c r="E35" i="45" s="1"/>
  <c r="F35" i="45" s="1"/>
  <c r="H35" i="45" s="1"/>
  <c r="L22" i="45" l="1"/>
  <c r="P22" i="45" s="1"/>
  <c r="R22" i="45" s="1"/>
  <c r="E34" i="45" s="1"/>
  <c r="F34" i="45" s="1"/>
  <c r="H34" i="45" s="1"/>
  <c r="L20" i="45" l="1"/>
  <c r="P20" i="45" s="1"/>
  <c r="R20" i="45" s="1"/>
  <c r="E32" i="45" s="1"/>
  <c r="F32" i="45" s="1"/>
  <c r="H32" i="45" s="1"/>
  <c r="L21" i="45"/>
  <c r="P21" i="45" s="1"/>
  <c r="R21" i="45" s="1"/>
  <c r="E33" i="45" s="1"/>
  <c r="F33" i="45" s="1"/>
  <c r="H33" i="45" s="1"/>
  <c r="L19" i="45" l="1"/>
  <c r="L25" i="45" l="1"/>
  <c r="P19" i="45"/>
  <c r="P25" i="45" l="1"/>
  <c r="R19" i="45"/>
  <c r="R25" i="45" l="1"/>
  <c r="E31" i="45"/>
  <c r="E37" i="45" l="1"/>
  <c r="F31" i="45"/>
  <c r="F37" i="45" l="1"/>
  <c r="H31" i="45"/>
  <c r="H37" i="45" s="1"/>
  <c r="D14" i="5" s="1"/>
  <c r="D15" i="5" s="1"/>
  <c r="D19" i="34" l="1"/>
  <c r="D20" i="34"/>
  <c r="J145" i="37"/>
  <c r="J144" i="37"/>
  <c r="J44" i="37" l="1"/>
  <c r="K44" i="37"/>
  <c r="I44" i="37"/>
  <c r="H43" i="37"/>
  <c r="H143" i="37"/>
  <c r="I143" i="37"/>
  <c r="J143" i="37" s="1"/>
  <c r="I140" i="37"/>
  <c r="J140" i="37" s="1"/>
  <c r="H139" i="37"/>
  <c r="I136" i="37"/>
  <c r="J136" i="37" s="1"/>
  <c r="K136" i="37" s="1"/>
  <c r="H135" i="37"/>
  <c r="I132" i="37"/>
  <c r="J132" i="37" s="1"/>
  <c r="H131" i="37"/>
  <c r="I128" i="37"/>
  <c r="H127" i="37"/>
  <c r="I124" i="37"/>
  <c r="H123" i="37"/>
  <c r="I120" i="37"/>
  <c r="H119" i="37"/>
  <c r="I116" i="37"/>
  <c r="H115" i="37"/>
  <c r="I112" i="37"/>
  <c r="H111" i="37"/>
  <c r="I108" i="37"/>
  <c r="H107" i="37"/>
  <c r="I104" i="37"/>
  <c r="H103" i="37"/>
  <c r="I100" i="37"/>
  <c r="H99" i="37"/>
  <c r="I96" i="37"/>
  <c r="H95" i="37"/>
  <c r="I92" i="37"/>
  <c r="H91" i="37"/>
  <c r="I88" i="37"/>
  <c r="H87" i="37"/>
  <c r="I84" i="37"/>
  <c r="H83" i="37"/>
  <c r="H82" i="37"/>
  <c r="I79" i="37"/>
  <c r="H78" i="37"/>
  <c r="H77" i="37"/>
  <c r="I74" i="37"/>
  <c r="H73" i="37"/>
  <c r="H72" i="37"/>
  <c r="I69" i="37"/>
  <c r="H68" i="37"/>
  <c r="I65" i="37"/>
  <c r="H64" i="37"/>
  <c r="H63" i="37"/>
  <c r="I60" i="37"/>
  <c r="H59" i="37"/>
  <c r="I56" i="37"/>
  <c r="H55" i="37"/>
  <c r="J52" i="37"/>
  <c r="J62" i="37"/>
  <c r="K62" i="37" s="1"/>
  <c r="J127" i="37"/>
  <c r="K127" i="37" s="1"/>
  <c r="J128" i="37"/>
  <c r="J131" i="37"/>
  <c r="K131" i="37" s="1"/>
  <c r="J135" i="37"/>
  <c r="K135" i="37" s="1"/>
  <c r="J139" i="37"/>
  <c r="K139" i="37" s="1"/>
  <c r="J51" i="37"/>
  <c r="K51" i="37" s="1"/>
  <c r="H51" i="37"/>
  <c r="H47" i="37"/>
  <c r="J47" i="37" s="1"/>
  <c r="K47" i="37" s="1"/>
  <c r="D141" i="37"/>
  <c r="E140" i="37"/>
  <c r="E141" i="37" s="1"/>
  <c r="D137" i="37"/>
  <c r="E136" i="37"/>
  <c r="E137" i="37" s="1"/>
  <c r="D133" i="37"/>
  <c r="E132" i="37"/>
  <c r="E133" i="37" s="1"/>
  <c r="D129" i="37"/>
  <c r="E128" i="37"/>
  <c r="E129" i="37" s="1"/>
  <c r="D125" i="37"/>
  <c r="E124" i="37"/>
  <c r="E125" i="37" s="1"/>
  <c r="D121" i="37"/>
  <c r="E120" i="37"/>
  <c r="E121" i="37" s="1"/>
  <c r="D117" i="37"/>
  <c r="E116" i="37"/>
  <c r="E117" i="37" s="1"/>
  <c r="D113" i="37"/>
  <c r="E112" i="37"/>
  <c r="E113" i="37" s="1"/>
  <c r="D109" i="37"/>
  <c r="E108" i="37"/>
  <c r="E109" i="37" s="1"/>
  <c r="D105" i="37"/>
  <c r="E104" i="37"/>
  <c r="E105" i="37" s="1"/>
  <c r="D101" i="37"/>
  <c r="E100" i="37"/>
  <c r="E101" i="37" s="1"/>
  <c r="D97" i="37"/>
  <c r="E96" i="37"/>
  <c r="E97" i="37" s="1"/>
  <c r="D93" i="37"/>
  <c r="E92" i="37"/>
  <c r="E93" i="37" s="1"/>
  <c r="D89" i="37"/>
  <c r="E88" i="37"/>
  <c r="E89" i="37" s="1"/>
  <c r="E84" i="37"/>
  <c r="E85" i="37" s="1"/>
  <c r="D83" i="37"/>
  <c r="D82" i="37"/>
  <c r="D85" i="37" s="1"/>
  <c r="D80" i="37"/>
  <c r="E79" i="37"/>
  <c r="E80" i="37" s="1"/>
  <c r="D75" i="37"/>
  <c r="E74" i="37"/>
  <c r="E75" i="37" s="1"/>
  <c r="E69" i="37"/>
  <c r="E70" i="37" s="1"/>
  <c r="D68" i="37"/>
  <c r="D70" i="37" s="1"/>
  <c r="D66" i="37"/>
  <c r="E65" i="37"/>
  <c r="E66" i="37" s="1"/>
  <c r="D61" i="37"/>
  <c r="E60" i="37"/>
  <c r="E61" i="37" s="1"/>
  <c r="E56" i="37"/>
  <c r="E57" i="37" s="1"/>
  <c r="D55" i="37"/>
  <c r="D57" i="37" s="1"/>
  <c r="D53" i="37"/>
  <c r="E52" i="37"/>
  <c r="E53" i="37" s="1"/>
  <c r="D49" i="37"/>
  <c r="E48" i="37"/>
  <c r="E49" i="37" s="1"/>
  <c r="D45" i="37"/>
  <c r="E44" i="37"/>
  <c r="E45" i="37" s="1"/>
  <c r="D40" i="37"/>
  <c r="E39" i="37"/>
  <c r="E40" i="37" s="1"/>
  <c r="E34" i="37"/>
  <c r="E35" i="37" s="1"/>
  <c r="D33" i="37"/>
  <c r="D35" i="37" s="1"/>
  <c r="D31" i="37"/>
  <c r="E30" i="37"/>
  <c r="E31" i="37" s="1"/>
  <c r="E25" i="37"/>
  <c r="E26" i="37" s="1"/>
  <c r="D24" i="37"/>
  <c r="D26" i="37" s="1"/>
  <c r="E21" i="37"/>
  <c r="E22" i="37" s="1"/>
  <c r="D20" i="37"/>
  <c r="D22" i="37" s="1"/>
  <c r="E17" i="37"/>
  <c r="E18" i="37" s="1"/>
  <c r="D16" i="37"/>
  <c r="D15" i="37"/>
  <c r="D18" i="37" s="1"/>
  <c r="E12" i="37"/>
  <c r="E13" i="37" s="1"/>
  <c r="D11" i="37"/>
  <c r="D10" i="37"/>
  <c r="D13" i="37" s="1"/>
  <c r="F30" i="5"/>
  <c r="F29" i="5"/>
  <c r="F28" i="5"/>
  <c r="F27" i="5"/>
  <c r="K52" i="37" l="1"/>
  <c r="K132" i="37"/>
  <c r="K128" i="37"/>
  <c r="K140" i="37"/>
  <c r="D143" i="37"/>
  <c r="E143" i="37"/>
  <c r="K21" i="5" l="1"/>
  <c r="C7" i="34" l="1"/>
  <c r="J124" i="37"/>
  <c r="K124" i="37" s="1"/>
  <c r="J123" i="37"/>
  <c r="K123" i="37" s="1"/>
  <c r="J119" i="37"/>
  <c r="K119" i="37" s="1"/>
  <c r="J115" i="37"/>
  <c r="K115" i="37" s="1"/>
  <c r="J112" i="37"/>
  <c r="K112" i="37" s="1"/>
  <c r="J111" i="37"/>
  <c r="K111" i="37" s="1"/>
  <c r="J108" i="37"/>
  <c r="K108" i="37" s="1"/>
  <c r="J107" i="37"/>
  <c r="K107" i="37" s="1"/>
  <c r="J104" i="37"/>
  <c r="K104" i="37" s="1"/>
  <c r="J103" i="37"/>
  <c r="K103" i="37" s="1"/>
  <c r="J99" i="37"/>
  <c r="K99" i="37" s="1"/>
  <c r="J96" i="37"/>
  <c r="K96" i="37" s="1"/>
  <c r="J95" i="37"/>
  <c r="K95" i="37" s="1"/>
  <c r="J91" i="37"/>
  <c r="K91" i="37" s="1"/>
  <c r="J88" i="37"/>
  <c r="K88" i="37" s="1"/>
  <c r="J84" i="37"/>
  <c r="K84" i="37" s="1"/>
  <c r="J83" i="37"/>
  <c r="K83" i="37" s="1"/>
  <c r="J82" i="37"/>
  <c r="K82" i="37" s="1"/>
  <c r="J79" i="37"/>
  <c r="K79" i="37" s="1"/>
  <c r="J78" i="37"/>
  <c r="K78" i="37" s="1"/>
  <c r="J74" i="37"/>
  <c r="K74" i="37" s="1"/>
  <c r="J73" i="37"/>
  <c r="K73" i="37" s="1"/>
  <c r="J68" i="37"/>
  <c r="K68" i="37" s="1"/>
  <c r="J65" i="37"/>
  <c r="K65" i="37" s="1"/>
  <c r="J64" i="37"/>
  <c r="K64" i="37" s="1"/>
  <c r="J63" i="37"/>
  <c r="K63" i="37" s="1"/>
  <c r="J60" i="37"/>
  <c r="K60" i="37" s="1"/>
  <c r="J59" i="37"/>
  <c r="K59" i="37" s="1"/>
  <c r="J56" i="37"/>
  <c r="K56" i="37" s="1"/>
  <c r="J55" i="37"/>
  <c r="K55" i="37" s="1"/>
  <c r="J43" i="37"/>
  <c r="K43" i="37" s="1"/>
  <c r="H42" i="37"/>
  <c r="J42" i="37" s="1"/>
  <c r="K42" i="37" s="1"/>
  <c r="H38" i="37"/>
  <c r="J38" i="37" s="1"/>
  <c r="K38" i="37" s="1"/>
  <c r="I34" i="37"/>
  <c r="J34" i="37" s="1"/>
  <c r="K34" i="37" s="1"/>
  <c r="H33" i="37"/>
  <c r="J33" i="37" s="1"/>
  <c r="K33" i="37" s="1"/>
  <c r="I30" i="37"/>
  <c r="J30" i="37" s="1"/>
  <c r="H29" i="37"/>
  <c r="J29" i="37" s="1"/>
  <c r="K29" i="37" s="1"/>
  <c r="H28" i="37"/>
  <c r="J28" i="37" s="1"/>
  <c r="K28" i="37" s="1"/>
  <c r="H24" i="37"/>
  <c r="J24" i="37" s="1"/>
  <c r="K24" i="37" s="1"/>
  <c r="J23" i="37"/>
  <c r="K23" i="37" s="1"/>
  <c r="I21" i="37"/>
  <c r="J21" i="37" s="1"/>
  <c r="H20" i="37"/>
  <c r="J20" i="37" s="1"/>
  <c r="K20" i="37" s="1"/>
  <c r="H16" i="37"/>
  <c r="J16" i="37" s="1"/>
  <c r="K16" i="37" s="1"/>
  <c r="H15" i="37"/>
  <c r="J15" i="37" s="1"/>
  <c r="K15" i="37" s="1"/>
  <c r="H11" i="37"/>
  <c r="J11" i="37" s="1"/>
  <c r="K11" i="37" s="1"/>
  <c r="H10" i="37"/>
  <c r="J9" i="37"/>
  <c r="K9" i="37" s="1"/>
  <c r="G8" i="37"/>
  <c r="G143" i="37" s="1"/>
  <c r="J8" i="37" l="1"/>
  <c r="K8" i="37" s="1"/>
  <c r="J87" i="37"/>
  <c r="K87" i="37" s="1"/>
  <c r="I12" i="37"/>
  <c r="I25" i="37"/>
  <c r="J25" i="37" s="1"/>
  <c r="K25" i="37" s="1"/>
  <c r="J92" i="37"/>
  <c r="K92" i="37" s="1"/>
  <c r="I17" i="37"/>
  <c r="J17" i="37" s="1"/>
  <c r="K17" i="37" s="1"/>
  <c r="K21" i="37"/>
  <c r="K30" i="37"/>
  <c r="J10" i="37"/>
  <c r="K10" i="37" s="1"/>
  <c r="H37" i="37"/>
  <c r="J37" i="37" s="1"/>
  <c r="K37" i="37" s="1"/>
  <c r="J77" i="37"/>
  <c r="K77" i="37" s="1"/>
  <c r="J69" i="37"/>
  <c r="K69" i="37" s="1"/>
  <c r="J100" i="37"/>
  <c r="K100" i="37" s="1"/>
  <c r="J116" i="37"/>
  <c r="K116" i="37" s="1"/>
  <c r="I39" i="37"/>
  <c r="J39" i="37" s="1"/>
  <c r="K39" i="37" s="1"/>
  <c r="J72" i="37"/>
  <c r="K72" i="37" s="1"/>
  <c r="J120" i="37"/>
  <c r="K120" i="37" s="1"/>
  <c r="J48" i="37"/>
  <c r="J12" i="37" l="1"/>
  <c r="K143" i="37" l="1"/>
  <c r="K12" i="37"/>
  <c r="P18" i="44" l="1"/>
  <c r="C8" i="34" s="1"/>
  <c r="P17" i="44"/>
  <c r="P16" i="44"/>
  <c r="Q15" i="44"/>
  <c r="Q19" i="44" s="1"/>
  <c r="C15" i="44"/>
  <c r="C19" i="44" s="1"/>
  <c r="P14" i="44"/>
  <c r="P12" i="44" l="1"/>
  <c r="D15" i="44"/>
  <c r="D19" i="44" s="1"/>
  <c r="P10" i="44"/>
  <c r="E15" i="44" l="1"/>
  <c r="E19" i="44" s="1"/>
  <c r="F15" i="44" l="1"/>
  <c r="F19" i="44" s="1"/>
  <c r="G15" i="44" l="1"/>
  <c r="G19" i="44" s="1"/>
  <c r="H15" i="44" l="1"/>
  <c r="I15" i="44" l="1"/>
  <c r="I19" i="44" s="1"/>
  <c r="H19" i="44"/>
  <c r="J15" i="44" l="1"/>
  <c r="J19" i="44" s="1"/>
  <c r="K15" i="44" l="1"/>
  <c r="K19" i="44" s="1"/>
  <c r="P6" i="44" l="1"/>
  <c r="C11" i="34" s="1"/>
  <c r="L15" i="44"/>
  <c r="L19" i="44" s="1"/>
  <c r="M15" i="44" l="1"/>
  <c r="M19" i="44" s="1"/>
  <c r="N15" i="44" l="1"/>
  <c r="N19" i="44" s="1"/>
  <c r="O15" i="44" l="1"/>
  <c r="P9" i="44"/>
  <c r="P15" i="44" l="1"/>
  <c r="C6" i="34" s="1"/>
  <c r="O19" i="44"/>
  <c r="G6" i="34" l="1"/>
  <c r="C12" i="34"/>
  <c r="F11" i="5" s="1"/>
  <c r="P19" i="44"/>
  <c r="C18" i="26"/>
  <c r="G8" i="34" l="1"/>
  <c r="P8" i="34"/>
  <c r="P7" i="34"/>
  <c r="P6" i="34"/>
  <c r="D19" i="5" l="1"/>
  <c r="E19" i="5"/>
  <c r="C32" i="26"/>
  <c r="C31" i="5" l="1"/>
  <c r="D27" i="5" s="1"/>
  <c r="F31" i="5"/>
  <c r="D30" i="5" l="1"/>
  <c r="D29" i="5"/>
  <c r="D28" i="5"/>
  <c r="D31" i="5" l="1"/>
  <c r="G36" i="34" l="1"/>
  <c r="E36" i="34"/>
  <c r="G35" i="34"/>
  <c r="G34" i="34"/>
  <c r="G33" i="34"/>
  <c r="G32" i="34"/>
  <c r="L25" i="34"/>
  <c r="G24" i="34"/>
  <c r="N24" i="34" s="1"/>
  <c r="C23" i="34"/>
  <c r="C22" i="34"/>
  <c r="E22" i="34" s="1"/>
  <c r="K18" i="34"/>
  <c r="K20" i="34" s="1"/>
  <c r="F12" i="34"/>
  <c r="P10" i="34"/>
  <c r="G10" i="34"/>
  <c r="H10" i="34" s="1"/>
  <c r="P9" i="34"/>
  <c r="G9" i="34"/>
  <c r="H9" i="34" s="1"/>
  <c r="E23" i="34" l="1"/>
  <c r="M23" i="34" s="1"/>
  <c r="J9" i="34"/>
  <c r="D34" i="34" s="1"/>
  <c r="J10" i="34"/>
  <c r="D35" i="34" s="1"/>
  <c r="H24" i="34"/>
  <c r="K23" i="34"/>
  <c r="K19" i="34"/>
  <c r="M22" i="34"/>
  <c r="K22" i="34"/>
  <c r="K21" i="34"/>
  <c r="F23" i="34" l="1"/>
  <c r="F22" i="34"/>
  <c r="G23" i="34"/>
  <c r="N23" i="34" s="1"/>
  <c r="H23" i="34" l="1"/>
  <c r="O23" i="34" s="1"/>
  <c r="P23" i="34" s="1"/>
  <c r="R23" i="34" s="1"/>
  <c r="E35" i="34" s="1"/>
  <c r="F35" i="34" s="1"/>
  <c r="H35" i="34" s="1"/>
  <c r="G22" i="34"/>
  <c r="N22" i="34" s="1"/>
  <c r="H22" i="34" l="1"/>
  <c r="O22" i="34" s="1"/>
  <c r="P22" i="34" l="1"/>
  <c r="R22" i="34" s="1"/>
  <c r="E34" i="34" s="1"/>
  <c r="F34" i="34" s="1"/>
  <c r="H34" i="34" s="1"/>
  <c r="W4" i="4" l="1"/>
  <c r="W3" i="4"/>
  <c r="W2" i="4"/>
  <c r="C21" i="34" l="1"/>
  <c r="C20" i="34"/>
  <c r="H8" i="34" l="1"/>
  <c r="G7" i="34"/>
  <c r="H7" i="34" s="1"/>
  <c r="E20" i="34"/>
  <c r="M20" i="34" s="1"/>
  <c r="E21" i="34"/>
  <c r="M21" i="34" s="1"/>
  <c r="C24" i="34"/>
  <c r="E24" i="34" s="1"/>
  <c r="M24" i="34" s="1"/>
  <c r="P24" i="34" s="1"/>
  <c r="C19" i="34"/>
  <c r="P11" i="34"/>
  <c r="J8" i="34" l="1"/>
  <c r="D33" i="34" s="1"/>
  <c r="J7" i="34"/>
  <c r="D32" i="34" s="1"/>
  <c r="P12" i="34"/>
  <c r="G11" i="34" s="1"/>
  <c r="H11" i="34" s="1"/>
  <c r="C25" i="34"/>
  <c r="E19" i="34"/>
  <c r="F19" i="34" s="1"/>
  <c r="F20" i="34"/>
  <c r="F21" i="34"/>
  <c r="H6" i="34"/>
  <c r="G12" i="34" l="1"/>
  <c r="C8" i="26" s="1"/>
  <c r="J11" i="34"/>
  <c r="D36" i="34" s="1"/>
  <c r="F36" i="34" s="1"/>
  <c r="H36" i="34" s="1"/>
  <c r="H12" i="34"/>
  <c r="F13" i="5" s="1"/>
  <c r="J6" i="34"/>
  <c r="G21" i="34"/>
  <c r="N21" i="34" s="1"/>
  <c r="G20" i="34"/>
  <c r="N20" i="34" s="1"/>
  <c r="E25" i="34"/>
  <c r="M19" i="34"/>
  <c r="C20" i="26" l="1"/>
  <c r="H20" i="34"/>
  <c r="O20" i="34" s="1"/>
  <c r="P20" i="34" s="1"/>
  <c r="R20" i="34" s="1"/>
  <c r="E32" i="34" s="1"/>
  <c r="F32" i="34" s="1"/>
  <c r="H32" i="34" s="1"/>
  <c r="H21" i="34"/>
  <c r="O21" i="34" s="1"/>
  <c r="P21" i="34" s="1"/>
  <c r="R21" i="34" s="1"/>
  <c r="E33" i="34" s="1"/>
  <c r="F33" i="34" s="1"/>
  <c r="H33" i="34" s="1"/>
  <c r="D31" i="34"/>
  <c r="D37" i="34" s="1"/>
  <c r="J12" i="34"/>
  <c r="F25" i="34"/>
  <c r="G19" i="34"/>
  <c r="H19" i="34" s="1"/>
  <c r="M25" i="34"/>
  <c r="C22" i="26" l="1"/>
  <c r="C35" i="26" s="1"/>
  <c r="F20" i="5" s="1"/>
  <c r="G20" i="5" s="1"/>
  <c r="L20" i="5" s="1"/>
  <c r="O19" i="34"/>
  <c r="O25" i="34" s="1"/>
  <c r="H25" i="34"/>
  <c r="N19" i="34"/>
  <c r="G25" i="34"/>
  <c r="N25" i="34" l="1"/>
  <c r="P19" i="34"/>
  <c r="P25" i="34" l="1"/>
  <c r="R19" i="34"/>
  <c r="R25" i="34" l="1"/>
  <c r="E31" i="34"/>
  <c r="E37" i="34" l="1"/>
  <c r="F31" i="34"/>
  <c r="H31" i="34" l="1"/>
  <c r="H37" i="34" s="1"/>
  <c r="F14" i="5" s="1"/>
  <c r="F37" i="34"/>
  <c r="F15" i="5" l="1"/>
  <c r="F19" i="5" l="1"/>
  <c r="G19" i="5" s="1"/>
  <c r="G21" i="5" l="1"/>
  <c r="L19" i="5"/>
  <c r="L21" i="5" s="1"/>
  <c r="E29" i="5" s="1"/>
  <c r="G29" i="5" s="1"/>
  <c r="I29" i="5" s="1"/>
  <c r="E30" i="5" l="1"/>
  <c r="G30" i="5" s="1"/>
  <c r="I30" i="5" s="1"/>
  <c r="E27" i="5"/>
  <c r="G27" i="5" s="1"/>
  <c r="I27" i="5" s="1"/>
  <c r="E28" i="5"/>
  <c r="G28" i="5" s="1"/>
  <c r="I28" i="5" s="1"/>
  <c r="E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G6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7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8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9" authorId="0" shapeId="0" xr:uid="{00000000-0006-0000-0300-000004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  <comment ref="G10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Calculating a half year-of depr expense</t>
        </r>
      </text>
    </comment>
  </commentList>
</comments>
</file>

<file path=xl/sharedStrings.xml><?xml version="1.0" encoding="utf-8"?>
<sst xmlns="http://schemas.openxmlformats.org/spreadsheetml/2006/main" count="568" uniqueCount="186">
  <si>
    <t>Transmission Mains</t>
  </si>
  <si>
    <t>Services</t>
  </si>
  <si>
    <t>Depreciation</t>
  </si>
  <si>
    <t>Income Taxes</t>
  </si>
  <si>
    <t>Residential</t>
  </si>
  <si>
    <t>Small Non-Residential</t>
  </si>
  <si>
    <t>Large Non-Residential</t>
  </si>
  <si>
    <t>Interruptible</t>
  </si>
  <si>
    <t>Rate</t>
  </si>
  <si>
    <t>Tax</t>
  </si>
  <si>
    <t>Depr</t>
  </si>
  <si>
    <t>Expense</t>
  </si>
  <si>
    <t>Storage Lines</t>
  </si>
  <si>
    <t>Gathering Lines</t>
  </si>
  <si>
    <t>Tax Life</t>
  </si>
  <si>
    <t>Investment</t>
  </si>
  <si>
    <t>Beginning</t>
  </si>
  <si>
    <t>Ending</t>
  </si>
  <si>
    <t>MACRS</t>
  </si>
  <si>
    <t>Year</t>
  </si>
  <si>
    <t xml:space="preserve">Calendar Year </t>
  </si>
  <si>
    <t>YEAR</t>
  </si>
  <si>
    <t>Bonus</t>
  </si>
  <si>
    <t>Qualifying Tax</t>
  </si>
  <si>
    <t>Percentage</t>
  </si>
  <si>
    <t>Additions</t>
  </si>
  <si>
    <t>Depreciable</t>
  </si>
  <si>
    <t>Base</t>
  </si>
  <si>
    <t>Book</t>
  </si>
  <si>
    <t xml:space="preserve"> Book Depreciation Reserve</t>
  </si>
  <si>
    <t>Tax Depreciation Reserve</t>
  </si>
  <si>
    <t>Book Depr</t>
  </si>
  <si>
    <t>Net Book Value</t>
  </si>
  <si>
    <t>Deferred</t>
  </si>
  <si>
    <t>Timing</t>
  </si>
  <si>
    <t>Difference</t>
  </si>
  <si>
    <t>Net Book</t>
  </si>
  <si>
    <t>Value</t>
  </si>
  <si>
    <t>Less:</t>
  </si>
  <si>
    <t>Accumulated depreciation</t>
  </si>
  <si>
    <t>Accumulated deferred income taxes</t>
  </si>
  <si>
    <t>PRP Worksheet</t>
  </si>
  <si>
    <t>Distribution Mains</t>
  </si>
  <si>
    <t xml:space="preserve">Cumulative </t>
  </si>
  <si>
    <t>Delta Natural Gas Company, Inc.</t>
  </si>
  <si>
    <t>Pipe Replacement Program Filing</t>
  </si>
  <si>
    <t>Return, grossed up for income taxes</t>
  </si>
  <si>
    <t>Statutory</t>
  </si>
  <si>
    <t>various</t>
  </si>
  <si>
    <t>Cost of Removal</t>
  </si>
  <si>
    <t>NA</t>
  </si>
  <si>
    <t xml:space="preserve"> </t>
  </si>
  <si>
    <t>Total</t>
  </si>
  <si>
    <t>COR</t>
  </si>
  <si>
    <t>A</t>
  </si>
  <si>
    <t>Cost of Service Impact from PRP</t>
  </si>
  <si>
    <t>Increased property tax expense</t>
  </si>
  <si>
    <t>Average ad valorem tax rate</t>
  </si>
  <si>
    <t>Cost of Service Items (Schedule III)</t>
  </si>
  <si>
    <t>DELTA NATURAL GAS</t>
  </si>
  <si>
    <t>FOOTAGE</t>
  </si>
  <si>
    <t xml:space="preserve">( A )    Represents cost of removal incurred.  No pipe installed. </t>
  </si>
  <si>
    <t>Increased depreciation expense (Schedule II)</t>
  </si>
  <si>
    <t xml:space="preserve">PLANT </t>
  </si>
  <si>
    <t>DISTRICT BRANCH</t>
  </si>
  <si>
    <t>CLASSIFICATION</t>
  </si>
  <si>
    <t>SIZE AND PIPE INSTALLED</t>
  </si>
  <si>
    <t>TOTAL COST</t>
  </si>
  <si>
    <t>(A)</t>
  </si>
  <si>
    <t>Net Book Value, PSC Report Page 110</t>
  </si>
  <si>
    <t>PRP Net Book Value</t>
  </si>
  <si>
    <t>PRP Property Tax</t>
  </si>
  <si>
    <t>Total increased cost of service</t>
  </si>
  <si>
    <t>Property tax expense for current year is based on plant balances at the end of the prior year</t>
  </si>
  <si>
    <t>Schedule III</t>
  </si>
  <si>
    <t xml:space="preserve">( C )    Delta does not track the footage of each individual service line. </t>
  </si>
  <si>
    <t>( B )    Charges relating to footage reported in prior year.</t>
  </si>
  <si>
    <t>Check Total</t>
  </si>
  <si>
    <t>Dist</t>
  </si>
  <si>
    <t>( D )    These projects are not yet complete.  Footages will be reported in the year projects are closed to plant.</t>
  </si>
  <si>
    <t>Operating expense reductions</t>
  </si>
  <si>
    <t>Maintenance of Transmission and Distribution Mains, per Case</t>
  </si>
  <si>
    <t>4" Plastic</t>
  </si>
  <si>
    <t>2" Plastic</t>
  </si>
  <si>
    <t>(C) (D)</t>
  </si>
  <si>
    <t>0</t>
  </si>
  <si>
    <t>4" Plastic Pipe</t>
  </si>
  <si>
    <t>2" Plastic Pipe</t>
  </si>
  <si>
    <t>2</t>
  </si>
  <si>
    <t>10132842 - Corbin</t>
  </si>
  <si>
    <t>Cost of Removal and Replacement Projects for 01/01/2025 - 12/31/2025</t>
  </si>
  <si>
    <t>10135599 - Stanton</t>
  </si>
  <si>
    <t>10131214 - Nicholasville</t>
  </si>
  <si>
    <t>8" Steel Pipe</t>
  </si>
  <si>
    <t>2" Steel Pipe</t>
  </si>
  <si>
    <t>10126880 - Nicholasville</t>
  </si>
  <si>
    <t>10126882 - Nicholasville</t>
  </si>
  <si>
    <t>10126883 - Nicholasville</t>
  </si>
  <si>
    <t>10135598 - Stanton</t>
  </si>
  <si>
    <t>10136776 - Stanton</t>
  </si>
  <si>
    <t>10132841 - Berea</t>
  </si>
  <si>
    <t>WACC, grossed up for income taxes, PSC assessment, and bad debt</t>
  </si>
  <si>
    <t>Schedule IV</t>
  </si>
  <si>
    <t>Months</t>
  </si>
  <si>
    <t>Classification</t>
  </si>
  <si>
    <t>13 Month
Average</t>
  </si>
  <si>
    <t>Original Estimate</t>
  </si>
  <si>
    <t>Engineering Services Only</t>
  </si>
  <si>
    <t xml:space="preserve">Aldyl-A Replacement </t>
  </si>
  <si>
    <t>Cumulative Total</t>
  </si>
  <si>
    <t>Schedule II 2025</t>
  </si>
  <si>
    <t>Eligible expenditures under the PRP (Schedule II)</t>
  </si>
  <si>
    <t>Current Year Projected PRP Revenue Requirement</t>
  </si>
  <si>
    <t>December 31, 2024</t>
  </si>
  <si>
    <t>2024 Property Tax Expense - PSC Page 262</t>
  </si>
  <si>
    <t>10100886 - Owingsville</t>
  </si>
  <si>
    <t>(B) (C)</t>
  </si>
  <si>
    <t>10100887 - Owingsville</t>
  </si>
  <si>
    <t>28</t>
  </si>
  <si>
    <t>(C)</t>
  </si>
  <si>
    <t>10121916 - Barbourville</t>
  </si>
  <si>
    <t>10100687 - Corbin</t>
  </si>
  <si>
    <t>10086605 - Corbin</t>
  </si>
  <si>
    <t>10132846 - Corbin</t>
  </si>
  <si>
    <t>10137384 - Corbin</t>
  </si>
  <si>
    <t>10138056 - Owingsville</t>
  </si>
  <si>
    <t>11</t>
  </si>
  <si>
    <t>10149237 - Owingsville</t>
  </si>
  <si>
    <t>10100688 - Corbin</t>
  </si>
  <si>
    <t>10086604 - Corbin</t>
  </si>
  <si>
    <t>10145712 - Owingsville</t>
  </si>
  <si>
    <t>10150261 - Williamsburg</t>
  </si>
  <si>
    <t>Engineering Services</t>
  </si>
  <si>
    <t>(D)</t>
  </si>
  <si>
    <t>10141346 - Berea</t>
  </si>
  <si>
    <t>10141347 - Berea</t>
  </si>
  <si>
    <t>10146501 - Owingsville</t>
  </si>
  <si>
    <t>10146500 - Owingsville</t>
  </si>
  <si>
    <t>10146847 - Owingsville</t>
  </si>
  <si>
    <t>10146972 - Manchester</t>
  </si>
  <si>
    <t>Forecasted Period Ending December 31, 2025</t>
  </si>
  <si>
    <t>Cost of Removal and Replacement Projects for 2025</t>
  </si>
  <si>
    <t>Allocated PRP True-Up</t>
  </si>
  <si>
    <t xml:space="preserve"> Class Allocation</t>
  </si>
  <si>
    <t>PRP True-Up Per MCF</t>
  </si>
  <si>
    <t>New PRP Rate</t>
  </si>
  <si>
    <t>887 Distribution Main Maintenance
Current Year Actual Expense (Calendar 2025)</t>
  </si>
  <si>
    <t>Reduction in Operating Expense</t>
  </si>
  <si>
    <t>45</t>
  </si>
  <si>
    <t>21</t>
  </si>
  <si>
    <t>34</t>
  </si>
  <si>
    <t>1</t>
  </si>
  <si>
    <t>3</t>
  </si>
  <si>
    <t>4</t>
  </si>
  <si>
    <t>10147798 - Berea</t>
  </si>
  <si>
    <t>10151652 - Berea</t>
  </si>
  <si>
    <t>10151965 - Corbin</t>
  </si>
  <si>
    <t>2" Steel</t>
  </si>
  <si>
    <t>8" Steel</t>
  </si>
  <si>
    <t>Schedule II 2023</t>
  </si>
  <si>
    <t>Schedule II 2024</t>
  </si>
  <si>
    <r>
      <t xml:space="preserve">Rates Effective: </t>
    </r>
    <r>
      <rPr>
        <b/>
        <u/>
        <sz val="11"/>
        <color theme="1"/>
        <rFont val="Calibri"/>
        <family val="2"/>
        <scheme val="minor"/>
      </rPr>
      <t>January 1, 202</t>
    </r>
    <r>
      <rPr>
        <b/>
        <sz val="11"/>
        <color theme="1"/>
        <rFont val="Calibri"/>
        <family val="2"/>
        <scheme val="minor"/>
      </rPr>
      <t>5</t>
    </r>
  </si>
  <si>
    <t>2023-00343 Dated 12/22/23</t>
  </si>
  <si>
    <t>2023</t>
  </si>
  <si>
    <t>Actuals</t>
  </si>
  <si>
    <t>Estimates As Billed</t>
  </si>
  <si>
    <t>2024-00332 Dated 5/13/25</t>
  </si>
  <si>
    <t>Schedule IV 2025 Monthly</t>
  </si>
  <si>
    <t>2025-00333 Dated 12/17/25</t>
  </si>
  <si>
    <t>Vintage</t>
  </si>
  <si>
    <t>Cost of service</t>
  </si>
  <si>
    <t>Property tax expense</t>
  </si>
  <si>
    <t>Depreciation expense</t>
  </si>
  <si>
    <t>PRP Plant</t>
  </si>
  <si>
    <t>Est</t>
  </si>
  <si>
    <t>Act</t>
  </si>
  <si>
    <t>Total Estimates Billed</t>
  </si>
  <si>
    <t>Year 2</t>
  </si>
  <si>
    <t>Year 1</t>
  </si>
  <si>
    <t>Net PRP Rate Base</t>
  </si>
  <si>
    <t>WACC</t>
  </si>
  <si>
    <t xml:space="preserve">
12/31/2025</t>
  </si>
  <si>
    <t>True up of 2023-00343 Dated December 22, 2023 and 2024-00332 Dated May 13, 2025 with 2023, 2024 and 2025 Estimates replaced with Actuals - Changes Highlighted</t>
  </si>
  <si>
    <t>Rates Per Case No. 2025-00333</t>
  </si>
  <si>
    <t xml:space="preserve"> 7 Months Usage per Case No. 2024-00346</t>
  </si>
  <si>
    <t>Calculated Net Revenue @ Approved Rates per Case No. 
2024-00346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</si>
</sst>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&quot;$&quot;* #,##0.00000_);_(&quot;$&quot;* \(#,##0.00000\);_(&quot;$&quot;* &quot;-&quot;??_);_(@_)"/>
    <numFmt numFmtId="169" formatCode="0.0000%"/>
    <numFmt numFmtId="170" formatCode="[$-409]mmm\-yy;@"/>
    <numFmt numFmtId="171" formatCode="_(&quot;$&quot;* #,##0.000000_);_(&quot;$&quot;* \(#,##0.000000\);_(&quot;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 val="singleAccounting"/>
      <sz val="11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b/>
      <u val="doub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273">
    <xf numFmtId="0" fontId="0" fillId="0" borderId="0" xfId="0"/>
    <xf numFmtId="164" fontId="4" fillId="0" borderId="0" xfId="1" applyNumberFormat="1" applyFont="1" applyFill="1"/>
    <xf numFmtId="164" fontId="4" fillId="0" borderId="1" xfId="1" applyNumberFormat="1" applyFont="1" applyFill="1" applyBorder="1"/>
    <xf numFmtId="167" fontId="0" fillId="0" borderId="0" xfId="2" applyNumberFormat="1" applyFont="1"/>
    <xf numFmtId="164" fontId="4" fillId="0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10" fontId="0" fillId="0" borderId="0" xfId="2" applyNumberFormat="1" applyFont="1" applyFill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3" applyNumberFormat="1" applyFont="1" applyFill="1"/>
    <xf numFmtId="164" fontId="0" fillId="0" borderId="0" xfId="1" applyNumberFormat="1" applyFont="1" applyFill="1"/>
    <xf numFmtId="164" fontId="0" fillId="0" borderId="1" xfId="1" applyNumberFormat="1" applyFont="1" applyFill="1" applyBorder="1"/>
    <xf numFmtId="0" fontId="2" fillId="0" borderId="0" xfId="0" applyFont="1"/>
    <xf numFmtId="10" fontId="0" fillId="0" borderId="1" xfId="2" applyNumberFormat="1" applyFont="1" applyFill="1" applyBorder="1"/>
    <xf numFmtId="4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43" fontId="1" fillId="0" borderId="0" xfId="1" applyFont="1" applyFill="1"/>
    <xf numFmtId="164" fontId="1" fillId="0" borderId="0" xfId="1" applyNumberFormat="1" applyFont="1" applyFill="1" applyBorder="1"/>
    <xf numFmtId="0" fontId="0" fillId="0" borderId="0" xfId="0" applyAlignment="1">
      <alignment horizontal="center" vertical="center"/>
    </xf>
    <xf numFmtId="165" fontId="1" fillId="0" borderId="0" xfId="3" applyNumberFormat="1" applyFont="1" applyFill="1" applyBorder="1"/>
    <xf numFmtId="165" fontId="1" fillId="0" borderId="0" xfId="1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1" xfId="1" quotePrefix="1" applyNumberFormat="1" applyFont="1" applyFill="1" applyBorder="1" applyAlignment="1">
      <alignment horizontal="center" vertical="center"/>
    </xf>
    <xf numFmtId="165" fontId="0" fillId="0" borderId="0" xfId="3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164" fontId="0" fillId="0" borderId="1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1" fillId="0" borderId="0" xfId="3" applyNumberFormat="1" applyFont="1" applyFill="1" applyAlignment="1">
      <alignment vertical="center"/>
    </xf>
    <xf numFmtId="165" fontId="2" fillId="0" borderId="0" xfId="3" applyNumberFormat="1" applyFont="1" applyFill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0" fillId="0" borderId="0" xfId="2" applyNumberFormat="1" applyFont="1" applyFill="1" applyAlignment="1">
      <alignment vertical="center"/>
    </xf>
    <xf numFmtId="44" fontId="0" fillId="0" borderId="0" xfId="0" applyNumberFormat="1" applyAlignment="1">
      <alignment vertical="center"/>
    </xf>
    <xf numFmtId="166" fontId="0" fillId="0" borderId="0" xfId="2" applyNumberFormat="1" applyFont="1" applyFill="1" applyBorder="1" applyAlignment="1">
      <alignment vertical="center"/>
    </xf>
    <xf numFmtId="166" fontId="0" fillId="0" borderId="1" xfId="2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vertical="center"/>
    </xf>
    <xf numFmtId="166" fontId="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0" fontId="0" fillId="0" borderId="0" xfId="0" applyNumberFormat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43" fontId="0" fillId="0" borderId="1" xfId="0" applyNumberForma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0" xfId="0" applyNumberFormat="1" applyAlignment="1">
      <alignment vertical="center"/>
    </xf>
    <xf numFmtId="10" fontId="4" fillId="0" borderId="0" xfId="0" applyNumberFormat="1" applyFont="1" applyAlignment="1">
      <alignment vertical="center"/>
    </xf>
    <xf numFmtId="10" fontId="0" fillId="0" borderId="1" xfId="0" applyNumberForma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7" fontId="0" fillId="0" borderId="0" xfId="0" applyNumberFormat="1"/>
    <xf numFmtId="164" fontId="1" fillId="0" borderId="1" xfId="1" applyNumberFormat="1" applyFont="1" applyFill="1" applyBorder="1"/>
    <xf numFmtId="0" fontId="8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/>
    <xf numFmtId="44" fontId="0" fillId="0" borderId="0" xfId="0" applyNumberFormat="1"/>
    <xf numFmtId="168" fontId="0" fillId="0" borderId="0" xfId="0" applyNumberFormat="1" applyAlignment="1">
      <alignment vertical="center"/>
    </xf>
    <xf numFmtId="165" fontId="0" fillId="0" borderId="0" xfId="0" applyNumberFormat="1"/>
    <xf numFmtId="44" fontId="2" fillId="0" borderId="0" xfId="3" applyFont="1" applyAlignment="1">
      <alignment horizontal="center" vertical="center"/>
    </xf>
    <xf numFmtId="165" fontId="1" fillId="0" borderId="0" xfId="0" applyNumberFormat="1" applyFont="1"/>
    <xf numFmtId="44" fontId="1" fillId="0" borderId="0" xfId="3" applyFont="1"/>
    <xf numFmtId="44" fontId="1" fillId="0" borderId="0" xfId="3" applyFont="1" applyFill="1"/>
    <xf numFmtId="0" fontId="15" fillId="0" borderId="0" xfId="0" applyFont="1" applyAlignment="1">
      <alignment horizontal="right"/>
    </xf>
    <xf numFmtId="9" fontId="8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0" fontId="11" fillId="0" borderId="0" xfId="0" applyFont="1"/>
    <xf numFmtId="49" fontId="8" fillId="0" borderId="0" xfId="0" applyNumberFormat="1" applyFont="1" applyAlignment="1">
      <alignment vertical="center"/>
    </xf>
    <xf numFmtId="164" fontId="8" fillId="0" borderId="0" xfId="1" applyNumberFormat="1" applyFont="1" applyFill="1" applyBorder="1" applyAlignment="1">
      <alignment horizontal="right"/>
    </xf>
    <xf numFmtId="165" fontId="8" fillId="0" borderId="0" xfId="0" applyNumberFormat="1" applyFont="1"/>
    <xf numFmtId="165" fontId="8" fillId="0" borderId="0" xfId="3" applyNumberFormat="1" applyFont="1" applyFill="1" applyBorder="1"/>
    <xf numFmtId="165" fontId="8" fillId="0" borderId="0" xfId="1" applyNumberFormat="1" applyFont="1" applyFill="1" applyBorder="1"/>
    <xf numFmtId="49" fontId="8" fillId="0" borderId="0" xfId="0" quotePrefix="1" applyNumberFormat="1" applyFont="1" applyAlignment="1">
      <alignment vertical="center"/>
    </xf>
    <xf numFmtId="1" fontId="2" fillId="0" borderId="1" xfId="1" quotePrefix="1" applyNumberFormat="1" applyFont="1" applyFill="1" applyBorder="1" applyAlignment="1">
      <alignment horizontal="center" vertical="center"/>
    </xf>
    <xf numFmtId="10" fontId="4" fillId="0" borderId="0" xfId="0" applyNumberFormat="1" applyFont="1"/>
    <xf numFmtId="44" fontId="1" fillId="0" borderId="0" xfId="3" applyFont="1" applyFill="1" applyBorder="1"/>
    <xf numFmtId="44" fontId="1" fillId="0" borderId="0" xfId="3" applyFont="1" applyBorder="1"/>
    <xf numFmtId="44" fontId="2" fillId="0" borderId="0" xfId="3" applyFont="1" applyBorder="1"/>
    <xf numFmtId="15" fontId="0" fillId="0" borderId="0" xfId="0" quotePrefix="1" applyNumberForma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Fill="1" applyAlignment="1">
      <alignment vertical="center"/>
    </xf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0" fontId="8" fillId="0" borderId="0" xfId="0" applyFont="1" applyAlignment="1">
      <alignment horizontal="right"/>
    </xf>
    <xf numFmtId="0" fontId="0" fillId="0" borderId="1" xfId="0" applyBorder="1"/>
    <xf numFmtId="170" fontId="0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wrapText="1"/>
    </xf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wrapText="1"/>
    </xf>
    <xf numFmtId="9" fontId="8" fillId="0" borderId="1" xfId="0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65" fontId="8" fillId="0" borderId="0" xfId="3" applyNumberFormat="1" applyFont="1" applyFill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164" fontId="0" fillId="0" borderId="7" xfId="1" applyNumberFormat="1" applyFont="1" applyFill="1" applyBorder="1" applyAlignment="1">
      <alignment horizontal="center"/>
    </xf>
    <xf numFmtId="164" fontId="0" fillId="0" borderId="7" xfId="1" applyNumberFormat="1" applyFont="1" applyFill="1" applyBorder="1"/>
    <xf numFmtId="164" fontId="0" fillId="0" borderId="7" xfId="1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8" xfId="0" applyBorder="1"/>
    <xf numFmtId="0" fontId="0" fillId="0" borderId="9" xfId="0" applyBorder="1"/>
    <xf numFmtId="170" fontId="2" fillId="0" borderId="1" xfId="1" applyNumberFormat="1" applyFont="1" applyFill="1" applyBorder="1" applyAlignment="1">
      <alignment horizontal="center" wrapText="1"/>
    </xf>
    <xf numFmtId="0" fontId="2" fillId="0" borderId="8" xfId="0" applyFont="1" applyBorder="1"/>
    <xf numFmtId="49" fontId="8" fillId="0" borderId="0" xfId="0" quotePrefix="1" applyNumberFormat="1" applyFont="1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2" fillId="0" borderId="0" xfId="3" applyFont="1" applyFill="1" applyBorder="1" applyAlignment="1">
      <alignment horizontal="center" vertical="center"/>
    </xf>
    <xf numFmtId="44" fontId="2" fillId="0" borderId="0" xfId="0" applyNumberFormat="1" applyFont="1"/>
    <xf numFmtId="43" fontId="1" fillId="0" borderId="0" xfId="1" applyFont="1" applyFill="1" applyBorder="1"/>
    <xf numFmtId="167" fontId="0" fillId="0" borderId="0" xfId="2" applyNumberFormat="1" applyFont="1" applyFill="1" applyAlignment="1">
      <alignment vertical="center"/>
    </xf>
    <xf numFmtId="165" fontId="0" fillId="0" borderId="1" xfId="3" applyNumberFormat="1" applyFont="1" applyFill="1" applyBorder="1" applyAlignment="1">
      <alignment vertical="center"/>
    </xf>
    <xf numFmtId="1" fontId="2" fillId="0" borderId="1" xfId="1" quotePrefix="1" applyNumberFormat="1" applyFont="1" applyFill="1" applyBorder="1" applyAlignment="1">
      <alignment horizontal="center" vertical="center" wrapText="1"/>
    </xf>
    <xf numFmtId="169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165" fontId="0" fillId="2" borderId="0" xfId="3" applyNumberFormat="1" applyFont="1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164" fontId="0" fillId="2" borderId="1" xfId="1" applyNumberFormat="1" applyFont="1" applyFill="1" applyBorder="1" applyAlignment="1">
      <alignment vertical="center"/>
    </xf>
    <xf numFmtId="165" fontId="15" fillId="0" borderId="0" xfId="3" applyNumberFormat="1" applyFont="1" applyFill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5" fontId="15" fillId="0" borderId="1" xfId="0" quotePrefix="1" applyNumberFormat="1" applyFont="1" applyBorder="1" applyAlignment="1">
      <alignment horizontal="center" wrapText="1"/>
    </xf>
    <xf numFmtId="171" fontId="0" fillId="0" borderId="0" xfId="3" applyNumberFormat="1" applyFont="1" applyAlignment="1">
      <alignment vertical="center"/>
    </xf>
    <xf numFmtId="164" fontId="8" fillId="2" borderId="0" xfId="1" applyNumberFormat="1" applyFont="1" applyFill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1" xfId="0" applyNumberFormat="1" applyFont="1" applyFill="1" applyBorder="1" applyAlignment="1">
      <alignment vertical="center"/>
    </xf>
    <xf numFmtId="165" fontId="8" fillId="0" borderId="0" xfId="3" applyNumberFormat="1" applyFont="1" applyFill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0" fontId="18" fillId="0" borderId="0" xfId="0" applyFont="1" applyAlignment="1">
      <alignment horizontal="left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/>
    <xf numFmtId="0" fontId="17" fillId="0" borderId="0" xfId="0" applyFont="1"/>
    <xf numFmtId="0" fontId="19" fillId="0" borderId="0" xfId="1" applyNumberFormat="1" applyFont="1" applyFill="1" applyAlignment="1">
      <alignment horizontal="right"/>
    </xf>
    <xf numFmtId="43" fontId="17" fillId="0" borderId="0" xfId="1" applyFont="1" applyFill="1"/>
    <xf numFmtId="49" fontId="20" fillId="0" borderId="0" xfId="0" applyNumberFormat="1" applyFont="1"/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1" applyFont="1" applyFill="1" applyAlignment="1">
      <alignment horizontal="center"/>
    </xf>
    <xf numFmtId="49" fontId="21" fillId="0" borderId="0" xfId="0" applyNumberFormat="1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3" fontId="22" fillId="0" borderId="0" xfId="1" applyFont="1" applyFill="1" applyAlignment="1">
      <alignment horizontal="center"/>
    </xf>
    <xf numFmtId="49" fontId="17" fillId="0" borderId="0" xfId="0" applyNumberFormat="1" applyFont="1" applyAlignment="1">
      <alignment vertical="center"/>
    </xf>
    <xf numFmtId="49" fontId="17" fillId="0" borderId="0" xfId="0" quotePrefix="1" applyNumberFormat="1" applyFont="1" applyAlignment="1">
      <alignment horizontal="center" vertical="center"/>
    </xf>
    <xf numFmtId="164" fontId="17" fillId="0" borderId="0" xfId="1" applyNumberFormat="1" applyFont="1" applyFill="1" applyBorder="1"/>
    <xf numFmtId="165" fontId="17" fillId="0" borderId="0" xfId="3" applyNumberFormat="1" applyFont="1" applyFill="1" applyBorder="1"/>
    <xf numFmtId="49" fontId="17" fillId="0" borderId="0" xfId="0" quotePrefix="1" applyNumberFormat="1" applyFont="1" applyAlignment="1">
      <alignment horizontal="left" vertical="center"/>
    </xf>
    <xf numFmtId="165" fontId="17" fillId="0" borderId="0" xfId="0" applyNumberFormat="1" applyFont="1"/>
    <xf numFmtId="49" fontId="23" fillId="0" borderId="0" xfId="0" applyNumberFormat="1" applyFont="1" applyAlignment="1">
      <alignment vertical="center"/>
    </xf>
    <xf numFmtId="164" fontId="17" fillId="0" borderId="1" xfId="1" applyNumberFormat="1" applyFont="1" applyFill="1" applyBorder="1" applyAlignment="1">
      <alignment horizontal="right"/>
    </xf>
    <xf numFmtId="165" fontId="17" fillId="0" borderId="0" xfId="1" applyNumberFormat="1" applyFont="1" applyFill="1" applyBorder="1"/>
    <xf numFmtId="49" fontId="23" fillId="0" borderId="0" xfId="0" quotePrefix="1" applyNumberFormat="1" applyFont="1" applyAlignment="1">
      <alignment vertical="center"/>
    </xf>
    <xf numFmtId="164" fontId="23" fillId="0" borderId="2" xfId="1" applyNumberFormat="1" applyFont="1" applyFill="1" applyBorder="1"/>
    <xf numFmtId="165" fontId="23" fillId="0" borderId="2" xfId="3" applyNumberFormat="1" applyFont="1" applyFill="1" applyBorder="1"/>
    <xf numFmtId="49" fontId="17" fillId="0" borderId="0" xfId="0" quotePrefix="1" applyNumberFormat="1" applyFont="1" applyAlignment="1">
      <alignment vertical="center"/>
    </xf>
    <xf numFmtId="164" fontId="17" fillId="0" borderId="0" xfId="1" applyNumberFormat="1" applyFont="1" applyFill="1" applyBorder="1" applyAlignment="1">
      <alignment horizontal="right"/>
    </xf>
    <xf numFmtId="164" fontId="17" fillId="0" borderId="2" xfId="1" applyNumberFormat="1" applyFont="1" applyFill="1" applyBorder="1"/>
    <xf numFmtId="165" fontId="17" fillId="0" borderId="2" xfId="3" applyNumberFormat="1" applyFont="1" applyFill="1" applyBorder="1"/>
    <xf numFmtId="44" fontId="23" fillId="0" borderId="0" xfId="3" applyFont="1" applyFill="1"/>
    <xf numFmtId="164" fontId="23" fillId="0" borderId="0" xfId="1" applyNumberFormat="1" applyFont="1" applyFill="1" applyBorder="1"/>
    <xf numFmtId="165" fontId="23" fillId="0" borderId="0" xfId="3" applyNumberFormat="1" applyFont="1" applyFill="1" applyBorder="1"/>
    <xf numFmtId="0" fontId="24" fillId="0" borderId="0" xfId="0" applyFont="1"/>
    <xf numFmtId="165" fontId="1" fillId="0" borderId="0" xfId="3" applyNumberFormat="1" applyFont="1"/>
    <xf numFmtId="165" fontId="2" fillId="0" borderId="0" xfId="3" applyNumberFormat="1" applyFont="1" applyAlignment="1">
      <alignment horizontal="center" vertical="center"/>
    </xf>
    <xf numFmtId="165" fontId="2" fillId="0" borderId="0" xfId="3" applyNumberFormat="1" applyFont="1" applyAlignment="1">
      <alignment vertical="center"/>
    </xf>
    <xf numFmtId="165" fontId="2" fillId="0" borderId="0" xfId="0" applyNumberFormat="1" applyFont="1"/>
    <xf numFmtId="165" fontId="1" fillId="0" borderId="0" xfId="3" applyNumberFormat="1" applyFont="1" applyFill="1"/>
    <xf numFmtId="165" fontId="2" fillId="0" borderId="0" xfId="3" applyNumberFormat="1" applyFont="1"/>
    <xf numFmtId="165" fontId="16" fillId="0" borderId="0" xfId="3" applyNumberFormat="1" applyFont="1" applyFill="1" applyBorder="1"/>
    <xf numFmtId="165" fontId="1" fillId="0" borderId="0" xfId="3" applyNumberFormat="1" applyFont="1" applyBorder="1"/>
    <xf numFmtId="165" fontId="2" fillId="0" borderId="0" xfId="3" applyNumberFormat="1" applyFont="1" applyBorder="1"/>
    <xf numFmtId="165" fontId="2" fillId="0" borderId="0" xfId="1" applyNumberFormat="1" applyFont="1" applyBorder="1"/>
    <xf numFmtId="165" fontId="2" fillId="0" borderId="0" xfId="3" applyNumberFormat="1" applyFont="1" applyFill="1"/>
    <xf numFmtId="10" fontId="1" fillId="0" borderId="0" xfId="2" applyNumberFormat="1" applyFont="1"/>
    <xf numFmtId="168" fontId="0" fillId="0" borderId="1" xfId="0" applyNumberFormat="1" applyBorder="1" applyAlignment="1">
      <alignment vertical="center"/>
    </xf>
    <xf numFmtId="171" fontId="0" fillId="0" borderId="1" xfId="3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164" fontId="8" fillId="0" borderId="0" xfId="1" applyNumberFormat="1" applyFont="1" applyFill="1"/>
    <xf numFmtId="164" fontId="8" fillId="0" borderId="0" xfId="0" applyNumberFormat="1" applyFont="1"/>
    <xf numFmtId="10" fontId="8" fillId="0" borderId="0" xfId="2" applyNumberFormat="1" applyFont="1" applyFill="1"/>
    <xf numFmtId="165" fontId="8" fillId="0" borderId="0" xfId="3" applyNumberFormat="1" applyFont="1" applyFill="1"/>
    <xf numFmtId="164" fontId="8" fillId="0" borderId="1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164" fontId="8" fillId="0" borderId="1" xfId="0" applyNumberFormat="1" applyFont="1" applyBorder="1"/>
    <xf numFmtId="10" fontId="8" fillId="0" borderId="1" xfId="2" applyNumberFormat="1" applyFont="1" applyFill="1" applyBorder="1"/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0" xfId="1" applyNumberFormat="1" applyFont="1" applyFill="1" applyAlignment="1">
      <alignment vertical="center"/>
    </xf>
    <xf numFmtId="167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15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10" fontId="8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1" fontId="1" fillId="0" borderId="0" xfId="1" quotePrefix="1" applyNumberFormat="1" applyFont="1" applyFill="1" applyBorder="1" applyAlignment="1">
      <alignment horizontal="center" vertical="center"/>
    </xf>
    <xf numFmtId="1" fontId="1" fillId="0" borderId="1" xfId="1" quotePrefix="1" applyNumberFormat="1" applyFont="1" applyFill="1" applyBorder="1" applyAlignment="1">
      <alignment horizontal="center" vertical="center" wrapText="1"/>
    </xf>
    <xf numFmtId="1" fontId="1" fillId="0" borderId="0" xfId="1" quotePrefix="1" applyNumberFormat="1" applyFont="1" applyFill="1" applyBorder="1" applyAlignment="1">
      <alignment horizontal="center" vertical="center" wrapText="1"/>
    </xf>
    <xf numFmtId="164" fontId="1" fillId="0" borderId="0" xfId="1" quotePrefix="1" applyNumberFormat="1" applyFont="1" applyFill="1" applyBorder="1" applyAlignment="1">
      <alignment horizontal="center" vertical="center"/>
    </xf>
    <xf numFmtId="1" fontId="1" fillId="0" borderId="2" xfId="1" quotePrefix="1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vertical="center"/>
    </xf>
    <xf numFmtId="166" fontId="8" fillId="0" borderId="1" xfId="0" applyNumberFormat="1" applyFont="1" applyBorder="1" applyAlignment="1">
      <alignment vertical="center"/>
    </xf>
    <xf numFmtId="0" fontId="14" fillId="0" borderId="0" xfId="0" applyFont="1"/>
    <xf numFmtId="0" fontId="25" fillId="0" borderId="0" xfId="0" applyFont="1"/>
    <xf numFmtId="164" fontId="14" fillId="0" borderId="0" xfId="1" applyNumberFormat="1" applyFont="1"/>
    <xf numFmtId="164" fontId="25" fillId="0" borderId="0" xfId="1" applyNumberFormat="1" applyFont="1"/>
    <xf numFmtId="164" fontId="25" fillId="0" borderId="0" xfId="0" applyNumberFormat="1" applyFont="1"/>
    <xf numFmtId="164" fontId="14" fillId="0" borderId="0" xfId="1" applyNumberFormat="1" applyFont="1" applyAlignment="1">
      <alignment horizontal="center"/>
    </xf>
    <xf numFmtId="164" fontId="26" fillId="0" borderId="0" xfId="1" applyNumberFormat="1" applyFont="1"/>
    <xf numFmtId="164" fontId="26" fillId="0" borderId="0" xfId="1" applyNumberFormat="1" applyFont="1" applyAlignment="1">
      <alignment horizontal="center"/>
    </xf>
    <xf numFmtId="164" fontId="27" fillId="0" borderId="0" xfId="1" applyNumberFormat="1" applyFont="1"/>
    <xf numFmtId="164" fontId="25" fillId="0" borderId="0" xfId="1" applyNumberFormat="1" applyFont="1" applyAlignment="1">
      <alignment horizontal="center"/>
    </xf>
    <xf numFmtId="164" fontId="28" fillId="0" borderId="0" xfId="1" applyNumberFormat="1" applyFont="1"/>
    <xf numFmtId="164" fontId="28" fillId="0" borderId="0" xfId="0" applyNumberFormat="1" applyFont="1"/>
    <xf numFmtId="164" fontId="29" fillId="0" borderId="0" xfId="1" applyNumberFormat="1" applyFont="1"/>
    <xf numFmtId="164" fontId="28" fillId="0" borderId="0" xfId="1" applyNumberFormat="1" applyFont="1" applyAlignment="1">
      <alignment horizontal="center"/>
    </xf>
    <xf numFmtId="164" fontId="29" fillId="0" borderId="0" xfId="0" applyNumberFormat="1" applyFont="1"/>
    <xf numFmtId="164" fontId="14" fillId="0" borderId="0" xfId="0" applyNumberFormat="1" applyFont="1"/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5" fontId="8" fillId="2" borderId="0" xfId="3" applyNumberFormat="1" applyFont="1" applyFill="1" applyAlignment="1">
      <alignment vertical="center"/>
    </xf>
    <xf numFmtId="165" fontId="8" fillId="0" borderId="0" xfId="3" applyNumberFormat="1" applyFont="1" applyAlignment="1">
      <alignment vertical="center"/>
    </xf>
    <xf numFmtId="165" fontId="0" fillId="0" borderId="0" xfId="3" applyNumberFormat="1" applyFont="1" applyAlignment="1">
      <alignment vertical="center"/>
    </xf>
    <xf numFmtId="165" fontId="8" fillId="0" borderId="1" xfId="3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6">
    <cellStyle name="Comma" xfId="1" builtinId="3"/>
    <cellStyle name="Comma 2" xfId="5" xr:uid="{00000000-0005-0000-0000-000001000000}"/>
    <cellStyle name="Currency" xfId="3" builtinId="4"/>
    <cellStyle name="Normal" xfId="0" builtinId="0"/>
    <cellStyle name="Normal 2" xfId="4" xr:uid="{00000000-0005-0000-0000-000005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ngfs1\sys\Account\PUBLIC\MWESOLOSKY\Rates\PRP\2026\2026%20PRP%20Filing%20Estimate.xlsx" TargetMode="External"/><Relationship Id="rId1" Type="http://schemas.openxmlformats.org/officeDocument/2006/relationships/externalLinkPath" Target="2026%20PRP%20Filing%20Estim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2946\Downloads\2023_PRP_Adjustment_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 I Summary"/>
      <sheetName val="Sch II 2023 Yr 1"/>
      <sheetName val="Sch II 2023 Yr 2"/>
      <sheetName val="Sch II 2023 Yr 3"/>
      <sheetName val="Sch II 2023 Yr 4"/>
      <sheetName val="Sch II 2024 Yr 1"/>
      <sheetName val="Sch II 2024 Yr 2"/>
      <sheetName val="Sch II 2024 Yr 3"/>
      <sheetName val="Sch II 2025 Yr 1"/>
      <sheetName val="Sch II 2025 Yr 2"/>
      <sheetName val="Sch II 2026 Yr 1"/>
      <sheetName val="Schedule III"/>
      <sheetName val="Schedule IV 2023 Monthly"/>
      <sheetName val="Schedule IV 2024 Monthly"/>
      <sheetName val="Schedule IV 2025"/>
      <sheetName val="Schedule IV 2026"/>
      <sheetName val="Schedule VI"/>
      <sheetName val="Schedule VII"/>
      <sheetName val="Schedule VIII"/>
      <sheetName val="Schedule IX"/>
      <sheetName val="Tax Rates"/>
    </sheetNames>
    <sheetDataSet>
      <sheetData sheetId="0" refreshError="1"/>
      <sheetData sheetId="1">
        <row r="19">
          <cell r="E19">
            <v>-2581885</v>
          </cell>
        </row>
        <row r="20">
          <cell r="E20">
            <v>-259059</v>
          </cell>
        </row>
        <row r="21">
          <cell r="E21">
            <v>-258937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-61720</v>
          </cell>
        </row>
      </sheetData>
      <sheetData sheetId="2">
        <row r="19">
          <cell r="E19">
            <v>-2865389</v>
          </cell>
          <cell r="P19">
            <v>-5447274</v>
          </cell>
        </row>
        <row r="20">
          <cell r="E20">
            <v>-152233</v>
          </cell>
          <cell r="P20">
            <v>-411292</v>
          </cell>
        </row>
        <row r="21">
          <cell r="E21">
            <v>-411685</v>
          </cell>
          <cell r="P21">
            <v>-670622</v>
          </cell>
        </row>
        <row r="22">
          <cell r="E22">
            <v>0</v>
          </cell>
          <cell r="P22">
            <v>0</v>
          </cell>
        </row>
        <row r="23">
          <cell r="E23">
            <v>0</v>
          </cell>
          <cell r="P23">
            <v>0</v>
          </cell>
        </row>
        <row r="24">
          <cell r="E24">
            <v>-100594</v>
          </cell>
          <cell r="P24">
            <v>-162314</v>
          </cell>
        </row>
      </sheetData>
      <sheetData sheetId="3" refreshError="1"/>
      <sheetData sheetId="4" refreshError="1"/>
      <sheetData sheetId="5">
        <row r="19">
          <cell r="E19">
            <v>-3051305</v>
          </cell>
          <cell r="P19">
            <v>-3051305</v>
          </cell>
        </row>
        <row r="20">
          <cell r="E20">
            <v>0</v>
          </cell>
          <cell r="P20">
            <v>0</v>
          </cell>
        </row>
        <row r="21">
          <cell r="E21">
            <v>-367191</v>
          </cell>
          <cell r="P21">
            <v>-367191</v>
          </cell>
        </row>
        <row r="22">
          <cell r="E22">
            <v>0</v>
          </cell>
          <cell r="P22">
            <v>0</v>
          </cell>
        </row>
        <row r="23">
          <cell r="E23">
            <v>0</v>
          </cell>
          <cell r="P23">
            <v>0</v>
          </cell>
        </row>
        <row r="24">
          <cell r="E24">
            <v>-96051</v>
          </cell>
          <cell r="P24">
            <v>-96051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</row>
        <row r="2">
          <cell r="A2">
            <v>7</v>
          </cell>
          <cell r="B2">
            <v>0.1429</v>
          </cell>
          <cell r="C2">
            <v>0.24490000000000001</v>
          </cell>
          <cell r="D2">
            <v>0.1749</v>
          </cell>
          <cell r="E2">
            <v>0.1249</v>
          </cell>
          <cell r="F2">
            <v>8.9300000000000004E-2</v>
          </cell>
          <cell r="G2">
            <v>8.9200000000000002E-2</v>
          </cell>
          <cell r="H2">
            <v>8.9300000000000004E-2</v>
          </cell>
          <cell r="I2">
            <v>4.4600000000000001E-2</v>
          </cell>
          <cell r="W2">
            <v>1.0000000000000002</v>
          </cell>
        </row>
        <row r="3">
          <cell r="A3">
            <v>15</v>
          </cell>
          <cell r="B3">
            <v>0.05</v>
          </cell>
          <cell r="C3">
            <v>9.5000000000000001E-2</v>
          </cell>
          <cell r="D3">
            <v>8.5500000000000007E-2</v>
          </cell>
          <cell r="E3">
            <v>7.6999999999999999E-2</v>
          </cell>
          <cell r="F3">
            <v>6.93E-2</v>
          </cell>
          <cell r="G3">
            <v>6.2300000000000001E-2</v>
          </cell>
          <cell r="H3">
            <v>5.8999999999999997E-2</v>
          </cell>
          <cell r="I3">
            <v>5.8999999999999997E-2</v>
          </cell>
          <cell r="J3">
            <v>5.91E-2</v>
          </cell>
          <cell r="K3">
            <v>5.8999999999999997E-2</v>
          </cell>
          <cell r="L3">
            <v>5.91E-2</v>
          </cell>
          <cell r="M3">
            <v>5.8999999999999997E-2</v>
          </cell>
          <cell r="N3">
            <v>5.91E-2</v>
          </cell>
          <cell r="O3">
            <v>5.8999999999999997E-2</v>
          </cell>
          <cell r="P3">
            <v>5.91E-2</v>
          </cell>
          <cell r="Q3">
            <v>2.9499999999999998E-2</v>
          </cell>
          <cell r="W3">
            <v>1.0000000000000002</v>
          </cell>
        </row>
        <row r="4">
          <cell r="A4">
            <v>20</v>
          </cell>
          <cell r="B4">
            <v>3.7499999999999999E-2</v>
          </cell>
          <cell r="C4">
            <v>7.2190000000000004E-2</v>
          </cell>
          <cell r="D4">
            <v>6.6769999999999996E-2</v>
          </cell>
          <cell r="E4">
            <v>6.1769999999999999E-2</v>
          </cell>
          <cell r="F4">
            <v>5.713E-2</v>
          </cell>
          <cell r="G4">
            <v>5.2850000000000001E-2</v>
          </cell>
          <cell r="H4">
            <v>4.888E-2</v>
          </cell>
          <cell r="I4">
            <v>4.5220000000000003E-2</v>
          </cell>
          <cell r="J4">
            <v>4.462E-2</v>
          </cell>
          <cell r="K4">
            <v>4.4609999999999997E-2</v>
          </cell>
          <cell r="L4">
            <v>4.462E-2</v>
          </cell>
          <cell r="M4">
            <v>4.4610000000000004E-2</v>
          </cell>
          <cell r="N4">
            <v>4.462E-2</v>
          </cell>
          <cell r="O4">
            <v>4.4610000000000004E-2</v>
          </cell>
          <cell r="P4">
            <v>4.462E-2</v>
          </cell>
          <cell r="Q4">
            <v>4.4610000000000004E-2</v>
          </cell>
          <cell r="R4">
            <v>4.462E-2</v>
          </cell>
          <cell r="S4">
            <v>4.4610000000000004E-2</v>
          </cell>
          <cell r="T4">
            <v>4.462E-2</v>
          </cell>
          <cell r="U4">
            <v>4.4610000000000004E-2</v>
          </cell>
          <cell r="V4">
            <v>2.231E-2</v>
          </cell>
          <cell r="W4">
            <v>1.0000000000000002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I Summary"/>
      <sheetName val="Sch II 2023"/>
      <sheetName val="Schedule III"/>
      <sheetName val="Schedule IV 2023 "/>
      <sheetName val="Schedule IV 2023 Monthly"/>
      <sheetName val="Tax Rates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</row>
        <row r="2">
          <cell r="A2">
            <v>7</v>
          </cell>
          <cell r="B2">
            <v>0.14285999999999999</v>
          </cell>
          <cell r="C2">
            <v>0.24490000000000001</v>
          </cell>
          <cell r="D2">
            <v>0.17491999999999999</v>
          </cell>
          <cell r="E2">
            <v>0.12495000000000001</v>
          </cell>
          <cell r="F2">
            <v>8.9249999999999996E-2</v>
          </cell>
          <cell r="G2">
            <v>8.9249999999999996E-2</v>
          </cell>
          <cell r="H2">
            <v>8.9249999999999996E-2</v>
          </cell>
          <cell r="I2">
            <v>4.462E-2</v>
          </cell>
          <cell r="J2"/>
          <cell r="K2"/>
          <cell r="W2">
            <v>1.0000000000000002</v>
          </cell>
        </row>
        <row r="3">
          <cell r="A3">
            <v>15</v>
          </cell>
          <cell r="B3">
            <v>0.05</v>
          </cell>
          <cell r="C3">
            <v>9.5000000000000001E-2</v>
          </cell>
          <cell r="D3">
            <v>8.5500000000000007E-2</v>
          </cell>
          <cell r="E3">
            <v>7.6950000000000005E-2</v>
          </cell>
          <cell r="F3">
            <v>6.9250000000000006E-2</v>
          </cell>
          <cell r="G3">
            <v>6.2330000000000003E-2</v>
          </cell>
          <cell r="H3">
            <v>5.9049999999999998E-2</v>
          </cell>
          <cell r="I3">
            <v>5.9049999999999998E-2</v>
          </cell>
          <cell r="J3">
            <v>5.9049999999999998E-2</v>
          </cell>
          <cell r="K3">
            <v>5.9049999999999998E-2</v>
          </cell>
          <cell r="L3">
            <v>5.9049999999999998E-2</v>
          </cell>
          <cell r="M3">
            <v>5.9049999999999998E-2</v>
          </cell>
          <cell r="N3">
            <v>5.9049999999999998E-2</v>
          </cell>
          <cell r="O3">
            <v>5.9049999999999998E-2</v>
          </cell>
          <cell r="P3">
            <v>5.9049999999999998E-2</v>
          </cell>
          <cell r="Q3">
            <v>2.9520000000000001E-2</v>
          </cell>
          <cell r="W3">
            <v>1.0000000000000004</v>
          </cell>
        </row>
        <row r="4">
          <cell r="A4">
            <v>20</v>
          </cell>
          <cell r="B4">
            <v>3.7499999999999999E-2</v>
          </cell>
          <cell r="C4">
            <v>7.2190000000000004E-2</v>
          </cell>
          <cell r="D4">
            <v>6.6769999999999996E-2</v>
          </cell>
          <cell r="E4">
            <v>6.1769999999999999E-2</v>
          </cell>
          <cell r="F4">
            <v>5.713E-2</v>
          </cell>
          <cell r="G4">
            <v>5.2850000000000001E-2</v>
          </cell>
          <cell r="H4">
            <v>4.888E-2</v>
          </cell>
          <cell r="I4">
            <v>4.5220000000000003E-2</v>
          </cell>
          <cell r="J4">
            <v>4.462E-2</v>
          </cell>
          <cell r="K4">
            <v>4.4609999999999997E-2</v>
          </cell>
          <cell r="L4">
            <v>4.462E-2</v>
          </cell>
          <cell r="M4">
            <v>4.4610000000000004E-2</v>
          </cell>
          <cell r="N4">
            <v>4.462E-2</v>
          </cell>
          <cell r="O4">
            <v>4.4610000000000004E-2</v>
          </cell>
          <cell r="P4">
            <v>4.462E-2</v>
          </cell>
          <cell r="Q4">
            <v>4.4610000000000004E-2</v>
          </cell>
          <cell r="R4">
            <v>4.462E-2</v>
          </cell>
          <cell r="S4">
            <v>4.4610000000000004E-2</v>
          </cell>
          <cell r="T4">
            <v>4.462E-2</v>
          </cell>
          <cell r="U4">
            <v>4.4610000000000004E-2</v>
          </cell>
          <cell r="V4">
            <v>2.231E-2</v>
          </cell>
          <cell r="W4">
            <v>1.0000000000000002</v>
          </cell>
        </row>
        <row r="5">
          <cell r="K5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view="pageLayout" topLeftCell="A7" zoomScaleNormal="100" workbookViewId="0">
      <selection activeCell="C23" sqref="C23"/>
    </sheetView>
  </sheetViews>
  <sheetFormatPr defaultColWidth="9.140625" defaultRowHeight="15" x14ac:dyDescent="0.25"/>
  <cols>
    <col min="1" max="1" width="3.5703125" style="25" customWidth="1"/>
    <col min="2" max="2" width="37.28515625" style="25" customWidth="1"/>
    <col min="3" max="3" width="18.42578125" style="25" bestFit="1" customWidth="1"/>
    <col min="4" max="4" width="12.140625" style="25" bestFit="1" customWidth="1"/>
    <col min="5" max="5" width="11.42578125" style="25" customWidth="1"/>
    <col min="6" max="6" width="12.140625" style="25" bestFit="1" customWidth="1"/>
    <col min="7" max="7" width="11.85546875" style="25" customWidth="1"/>
    <col min="8" max="8" width="11.5703125" style="25" customWidth="1"/>
    <col min="9" max="10" width="12.140625" style="25" bestFit="1" customWidth="1"/>
    <col min="11" max="11" width="13.5703125" style="25" bestFit="1" customWidth="1"/>
    <col min="12" max="12" width="11.85546875" style="25" bestFit="1" customWidth="1"/>
    <col min="13" max="13" width="11.5703125" style="25" bestFit="1" customWidth="1"/>
    <col min="14" max="16384" width="9.140625" style="25"/>
  </cols>
  <sheetData>
    <row r="1" spans="1:16" x14ac:dyDescent="0.25">
      <c r="A1" s="24" t="s">
        <v>44</v>
      </c>
    </row>
    <row r="2" spans="1:16" x14ac:dyDescent="0.25">
      <c r="A2" s="24" t="s">
        <v>45</v>
      </c>
    </row>
    <row r="3" spans="1:16" x14ac:dyDescent="0.25">
      <c r="A3" s="24" t="s">
        <v>140</v>
      </c>
    </row>
    <row r="4" spans="1:16" x14ac:dyDescent="0.25">
      <c r="A4" s="24" t="s">
        <v>161</v>
      </c>
    </row>
    <row r="6" spans="1:16" x14ac:dyDescent="0.25">
      <c r="A6" s="142" t="s">
        <v>182</v>
      </c>
      <c r="B6" s="142"/>
      <c r="C6" s="142"/>
      <c r="D6" s="142"/>
      <c r="E6" s="142"/>
      <c r="F6" s="142"/>
      <c r="G6" s="142"/>
      <c r="H6" s="142"/>
      <c r="I6" s="142"/>
      <c r="J6" s="142"/>
    </row>
    <row r="8" spans="1:16" x14ac:dyDescent="0.25">
      <c r="D8" s="266" t="s">
        <v>164</v>
      </c>
      <c r="E8" s="266"/>
      <c r="F8" s="266"/>
      <c r="G8" s="24"/>
      <c r="H8" s="266" t="s">
        <v>165</v>
      </c>
      <c r="I8" s="266"/>
      <c r="J8" s="266"/>
    </row>
    <row r="9" spans="1:16" x14ac:dyDescent="0.25">
      <c r="D9" s="96">
        <v>2023</v>
      </c>
      <c r="E9" s="96">
        <v>2024</v>
      </c>
      <c r="F9" s="96">
        <v>2025</v>
      </c>
      <c r="G9" s="96" t="s">
        <v>52</v>
      </c>
      <c r="H9" s="139" t="s">
        <v>163</v>
      </c>
      <c r="I9" s="96">
        <v>2024</v>
      </c>
      <c r="J9" s="96">
        <v>2025</v>
      </c>
      <c r="K9" s="139" t="s">
        <v>52</v>
      </c>
      <c r="L9" s="26" t="s">
        <v>35</v>
      </c>
    </row>
    <row r="10" spans="1:16" ht="45" customHeight="1" x14ac:dyDescent="0.25">
      <c r="D10" s="236" t="s">
        <v>168</v>
      </c>
      <c r="E10" s="236" t="s">
        <v>168</v>
      </c>
      <c r="F10" s="239" t="s">
        <v>167</v>
      </c>
      <c r="G10" s="235"/>
      <c r="H10" s="236" t="s">
        <v>162</v>
      </c>
      <c r="I10" s="236" t="s">
        <v>166</v>
      </c>
      <c r="J10" s="236" t="s">
        <v>166</v>
      </c>
      <c r="K10" s="237"/>
      <c r="L10" s="238"/>
    </row>
    <row r="11" spans="1:16" x14ac:dyDescent="0.25">
      <c r="A11" s="25">
        <v>1</v>
      </c>
      <c r="B11" s="25" t="s">
        <v>111</v>
      </c>
      <c r="D11" s="143">
        <f>'Sch II 2023'!C12</f>
        <v>6691501.563000001</v>
      </c>
      <c r="E11" s="143">
        <f>'Sch 2024 II'!C12</f>
        <v>8915083.5700000003</v>
      </c>
      <c r="F11" s="143">
        <f>'Sch II 2025'!C12</f>
        <v>4310900.5176923061</v>
      </c>
      <c r="G11" s="67"/>
      <c r="H11" s="67">
        <v>8456789</v>
      </c>
      <c r="I11" s="67">
        <v>7733404</v>
      </c>
      <c r="J11" s="67">
        <v>2666161</v>
      </c>
      <c r="K11" s="27"/>
      <c r="L11" s="31"/>
    </row>
    <row r="12" spans="1:16" x14ac:dyDescent="0.25">
      <c r="A12" s="25">
        <v>2</v>
      </c>
      <c r="B12" s="25" t="s">
        <v>38</v>
      </c>
      <c r="D12" s="28"/>
      <c r="E12" s="28"/>
      <c r="F12" s="28"/>
      <c r="G12" s="34"/>
      <c r="H12" s="34"/>
      <c r="I12" s="34"/>
      <c r="J12" s="34"/>
      <c r="K12" s="28"/>
    </row>
    <row r="13" spans="1:16" x14ac:dyDescent="0.25">
      <c r="A13" s="25">
        <v>3</v>
      </c>
      <c r="B13" s="29" t="s">
        <v>39</v>
      </c>
      <c r="D13" s="144">
        <f>'Sch II 2023'!H12</f>
        <v>-300658</v>
      </c>
      <c r="E13" s="144">
        <f>'Sch 2024 II'!H12</f>
        <v>-379407</v>
      </c>
      <c r="F13" s="144">
        <f>'Sch II 2025'!H12</f>
        <v>-129066</v>
      </c>
      <c r="G13" s="34"/>
      <c r="H13" s="34">
        <v>-383505</v>
      </c>
      <c r="I13" s="34">
        <v>-353293</v>
      </c>
      <c r="J13" s="34">
        <v>-79015</v>
      </c>
      <c r="K13" s="28"/>
      <c r="L13" s="48"/>
    </row>
    <row r="14" spans="1:16" x14ac:dyDescent="0.25">
      <c r="A14" s="25">
        <v>4</v>
      </c>
      <c r="B14" s="29" t="s">
        <v>40</v>
      </c>
      <c r="D14" s="145">
        <f>'Sch II 2023'!H37</f>
        <v>-1594516</v>
      </c>
      <c r="E14" s="145">
        <f>'Sch 2024 II'!H37</f>
        <v>-2129651</v>
      </c>
      <c r="F14" s="145">
        <f>'Sch II 2025'!H37</f>
        <v>-1024851</v>
      </c>
      <c r="G14" s="34"/>
      <c r="H14" s="30">
        <v>-1941250</v>
      </c>
      <c r="I14" s="30">
        <v>-1841337</v>
      </c>
      <c r="J14" s="30">
        <v>-645493</v>
      </c>
      <c r="K14" s="34"/>
      <c r="L14" s="48"/>
      <c r="M14" s="116"/>
      <c r="N14" s="116"/>
      <c r="O14" s="116"/>
    </row>
    <row r="15" spans="1:16" x14ac:dyDescent="0.25">
      <c r="A15" s="25">
        <v>5</v>
      </c>
      <c r="B15" s="25" t="s">
        <v>179</v>
      </c>
      <c r="D15" s="144">
        <f t="shared" ref="D15:E15" si="0">SUM(D11:D14)</f>
        <v>4796327.563000001</v>
      </c>
      <c r="E15" s="144">
        <f t="shared" si="0"/>
        <v>6406025.5700000003</v>
      </c>
      <c r="F15" s="144">
        <f>SUM(F11:F14)</f>
        <v>3156983.5176923061</v>
      </c>
      <c r="G15" s="34"/>
      <c r="H15" s="34">
        <f>SUM(H11:H14)</f>
        <v>6132034</v>
      </c>
      <c r="I15" s="34">
        <f>SUM(I11:I14)</f>
        <v>5538774</v>
      </c>
      <c r="J15" s="34">
        <f>SUM(J11:J14)</f>
        <v>1941653</v>
      </c>
      <c r="K15" s="34"/>
      <c r="L15" s="31"/>
      <c r="P15" s="48"/>
    </row>
    <row r="16" spans="1:16" x14ac:dyDescent="0.25">
      <c r="E16" s="118"/>
      <c r="F16" s="118"/>
      <c r="G16" s="118"/>
      <c r="H16" s="118"/>
      <c r="I16" s="118"/>
      <c r="J16" s="118"/>
      <c r="K16" s="118"/>
    </row>
    <row r="17" spans="1:12" x14ac:dyDescent="0.25">
      <c r="A17" s="25">
        <v>6</v>
      </c>
      <c r="B17" s="102" t="s">
        <v>180</v>
      </c>
      <c r="D17" s="140">
        <v>6.6917000000000004E-2</v>
      </c>
      <c r="E17" s="140">
        <v>6.6917000000000004E-2</v>
      </c>
      <c r="F17" s="140">
        <v>6.6917000000000004E-2</v>
      </c>
      <c r="G17" s="140"/>
      <c r="H17" s="140">
        <v>6.6917000000000004E-2</v>
      </c>
      <c r="I17" s="140">
        <v>6.6917000000000004E-2</v>
      </c>
      <c r="J17" s="140">
        <v>6.6917000000000004E-2</v>
      </c>
      <c r="K17" s="140"/>
    </row>
    <row r="18" spans="1:12" x14ac:dyDescent="0.25">
      <c r="A18" s="25">
        <v>7</v>
      </c>
      <c r="B18" s="25" t="s">
        <v>101</v>
      </c>
      <c r="D18" s="140">
        <v>8.3149000000000001E-2</v>
      </c>
      <c r="E18" s="140">
        <v>8.3149000000000001E-2</v>
      </c>
      <c r="F18" s="140">
        <v>8.3149000000000001E-2</v>
      </c>
      <c r="G18" s="140"/>
      <c r="H18" s="140">
        <v>8.3149000000000001E-2</v>
      </c>
      <c r="I18" s="140">
        <v>8.3149000000000001E-2</v>
      </c>
      <c r="J18" s="140">
        <v>8.3149000000000001E-2</v>
      </c>
      <c r="K18" s="140"/>
    </row>
    <row r="19" spans="1:12" x14ac:dyDescent="0.25">
      <c r="A19" s="25">
        <v>8</v>
      </c>
      <c r="B19" s="25" t="s">
        <v>46</v>
      </c>
      <c r="D19" s="262">
        <f t="shared" ref="D19:E19" si="1">+D18*D15</f>
        <v>398809.84053588711</v>
      </c>
      <c r="E19" s="262">
        <f t="shared" si="1"/>
        <v>532654.62011993001</v>
      </c>
      <c r="F19" s="262">
        <f>+F18*F15</f>
        <v>262500.02251259756</v>
      </c>
      <c r="G19" s="262">
        <f>SUM(D19:F19)</f>
        <v>1193964.4831684146</v>
      </c>
      <c r="H19" s="263">
        <f>+H18*H15</f>
        <v>509872.49506600003</v>
      </c>
      <c r="I19" s="263">
        <f>+I18*I15</f>
        <v>460543.51932600001</v>
      </c>
      <c r="J19" s="263">
        <f>+J18*J15</f>
        <v>161446.505297</v>
      </c>
      <c r="K19" s="263">
        <f>SUM(H19:J19)</f>
        <v>1131862.519689</v>
      </c>
      <c r="L19" s="264">
        <f>+G19-K19</f>
        <v>62101.963479414582</v>
      </c>
    </row>
    <row r="20" spans="1:12" x14ac:dyDescent="0.25">
      <c r="A20" s="25">
        <v>9</v>
      </c>
      <c r="B20" s="25" t="s">
        <v>58</v>
      </c>
      <c r="D20" s="264">
        <f>'Cost of Service'!V12</f>
        <v>276624.36414989631</v>
      </c>
      <c r="E20" s="264">
        <f>'Cost of Service'!W12</f>
        <v>370055.60943969147</v>
      </c>
      <c r="F20" s="157">
        <f>'Schedule III'!C35</f>
        <v>142197.2626576061</v>
      </c>
      <c r="G20" s="265">
        <f>SUM(D20:F20)</f>
        <v>788877.23624719377</v>
      </c>
      <c r="H20" s="265">
        <f>'Cost of Service'!B12</f>
        <v>384204.71844429057</v>
      </c>
      <c r="I20" s="265">
        <f>'Cost of Service'!G12</f>
        <v>294893.31029075012</v>
      </c>
      <c r="J20" s="265">
        <f>'Cost of Service'!H12</f>
        <v>99481.383094572157</v>
      </c>
      <c r="K20" s="265">
        <f>SUM(H20:J20)</f>
        <v>778579.4118296128</v>
      </c>
      <c r="L20" s="138">
        <f>+G20-K20</f>
        <v>10297.824417580967</v>
      </c>
    </row>
    <row r="21" spans="1:12" x14ac:dyDescent="0.25">
      <c r="A21" s="25">
        <v>10</v>
      </c>
      <c r="B21" s="25" t="s">
        <v>112</v>
      </c>
      <c r="F21" s="141"/>
      <c r="G21" s="141">
        <f>G19+G20</f>
        <v>1982841.7194156083</v>
      </c>
      <c r="H21" s="141"/>
      <c r="I21" s="141"/>
      <c r="J21" s="141"/>
      <c r="K21" s="141">
        <f>K19+K20</f>
        <v>1910441.9315186129</v>
      </c>
      <c r="L21" s="146">
        <f>+L20+L19</f>
        <v>72399.787896995549</v>
      </c>
    </row>
    <row r="22" spans="1:12" x14ac:dyDescent="0.25">
      <c r="F22" s="32"/>
      <c r="G22" s="32"/>
      <c r="H22" s="32"/>
      <c r="I22" s="32"/>
      <c r="J22" s="32"/>
      <c r="K22" s="32"/>
    </row>
    <row r="23" spans="1:12" x14ac:dyDescent="0.25">
      <c r="E23" s="32"/>
      <c r="F23" s="32"/>
      <c r="G23" s="33"/>
      <c r="H23" s="33"/>
    </row>
    <row r="25" spans="1:12" x14ac:dyDescent="0.25">
      <c r="F25" s="37"/>
    </row>
    <row r="26" spans="1:12" ht="74.25" customHeight="1" x14ac:dyDescent="0.25">
      <c r="C26" s="114" t="s">
        <v>185</v>
      </c>
      <c r="D26" s="114" t="s">
        <v>143</v>
      </c>
      <c r="E26" s="114" t="s">
        <v>142</v>
      </c>
      <c r="F26" s="148" t="s">
        <v>184</v>
      </c>
      <c r="G26" s="114" t="s">
        <v>144</v>
      </c>
      <c r="H26" s="114" t="s">
        <v>183</v>
      </c>
      <c r="I26" s="114" t="s">
        <v>145</v>
      </c>
    </row>
    <row r="27" spans="1:12" x14ac:dyDescent="0.25">
      <c r="A27" s="25">
        <v>12</v>
      </c>
      <c r="B27" s="29" t="s">
        <v>4</v>
      </c>
      <c r="C27" s="157">
        <v>22439709</v>
      </c>
      <c r="D27" s="40">
        <f>C27/C31</f>
        <v>0.5234048871769108</v>
      </c>
      <c r="E27" s="153">
        <f>ROUND(D27*L$21,0)</f>
        <v>37894</v>
      </c>
      <c r="F27" s="150">
        <f>351185+368</f>
        <v>351553</v>
      </c>
      <c r="G27" s="155">
        <f>E27/F27</f>
        <v>0.10779029051096137</v>
      </c>
      <c r="H27" s="76">
        <v>0.85228999999999999</v>
      </c>
      <c r="I27" s="149">
        <f>+H27+G27</f>
        <v>0.96008029051096133</v>
      </c>
      <c r="J27" s="35"/>
    </row>
    <row r="28" spans="1:12" x14ac:dyDescent="0.25">
      <c r="A28" s="25">
        <v>13</v>
      </c>
      <c r="B28" s="29" t="s">
        <v>5</v>
      </c>
      <c r="C28" s="103">
        <v>6815974</v>
      </c>
      <c r="D28" s="40">
        <f>C28/C31</f>
        <v>0.15898219101106692</v>
      </c>
      <c r="E28" s="153">
        <f>ROUND(D28*L$21,0)</f>
        <v>11510</v>
      </c>
      <c r="F28" s="150">
        <f>146082+6271</f>
        <v>152353</v>
      </c>
      <c r="G28" s="155">
        <f>E28/F28</f>
        <v>7.554823337906047E-2</v>
      </c>
      <c r="H28" s="76">
        <v>0.66003999999999996</v>
      </c>
      <c r="I28" s="149">
        <f t="shared" ref="I28:I30" si="2">+H28+G28</f>
        <v>0.73558823337906043</v>
      </c>
      <c r="J28" s="35"/>
    </row>
    <row r="29" spans="1:12" x14ac:dyDescent="0.25">
      <c r="A29" s="25">
        <v>14</v>
      </c>
      <c r="B29" s="29" t="s">
        <v>6</v>
      </c>
      <c r="C29" s="158">
        <v>11525282</v>
      </c>
      <c r="D29" s="42">
        <f>C29/C31</f>
        <v>0.26882652198796697</v>
      </c>
      <c r="E29" s="153">
        <f>ROUND(D29*L$21,0)</f>
        <v>19463</v>
      </c>
      <c r="F29" s="151">
        <f>277623+800363</f>
        <v>1077986</v>
      </c>
      <c r="G29" s="155">
        <f>E29/F29</f>
        <v>1.8054965463373363E-2</v>
      </c>
      <c r="H29" s="76">
        <v>0.32108999999999999</v>
      </c>
      <c r="I29" s="149">
        <f t="shared" si="2"/>
        <v>0.33914496546337336</v>
      </c>
      <c r="J29" s="35"/>
    </row>
    <row r="30" spans="1:12" x14ac:dyDescent="0.25">
      <c r="A30" s="25">
        <v>15</v>
      </c>
      <c r="B30" s="29" t="s">
        <v>7</v>
      </c>
      <c r="C30" s="147">
        <v>2091598</v>
      </c>
      <c r="D30" s="43">
        <f>C30/C31</f>
        <v>4.8786399824055304E-2</v>
      </c>
      <c r="E30" s="154">
        <f>ROUND(D30*L$21,0)</f>
        <v>3532</v>
      </c>
      <c r="F30" s="152">
        <f>7547+847850</f>
        <v>855397</v>
      </c>
      <c r="G30" s="156">
        <f>E30/F30</f>
        <v>4.1290769081490817E-3</v>
      </c>
      <c r="H30" s="205">
        <v>8.3180000000000004E-2</v>
      </c>
      <c r="I30" s="206">
        <f t="shared" si="2"/>
        <v>8.7309076908149083E-2</v>
      </c>
      <c r="J30" s="35"/>
    </row>
    <row r="31" spans="1:12" x14ac:dyDescent="0.25">
      <c r="A31" s="25">
        <v>16</v>
      </c>
      <c r="B31" s="25" t="s">
        <v>52</v>
      </c>
      <c r="C31" s="27">
        <f>SUM(C27:C30)</f>
        <v>42872563</v>
      </c>
      <c r="D31" s="40">
        <f>SUM(D27:D30)</f>
        <v>1</v>
      </c>
      <c r="E31" s="153">
        <f>SUM(E27:E30)</f>
        <v>72399</v>
      </c>
      <c r="F31" s="144">
        <f>SUM(F27:F30)</f>
        <v>2437289</v>
      </c>
      <c r="G31" s="41"/>
      <c r="H31" s="41"/>
      <c r="J31" s="34"/>
    </row>
  </sheetData>
  <mergeCells count="2">
    <mergeCell ref="D8:F8"/>
    <mergeCell ref="H8:J8"/>
  </mergeCells>
  <pageMargins left="0.7" right="0.7" top="0.75" bottom="0.75" header="0.3" footer="0.3"/>
  <pageSetup scale="72" orientation="landscape" r:id="rId1"/>
  <headerFooter>
    <oddHeader>&amp;RSchedule I
True Up Filed 2026</oddHeader>
  </headerFooter>
  <ignoredErrors>
    <ignoredError sqref="G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5053-0F6A-4E03-9388-5ADF78780AD8}">
  <sheetPr>
    <pageSetUpPr fitToPage="1"/>
  </sheetPr>
  <dimension ref="A1:R41"/>
  <sheetViews>
    <sheetView workbookViewId="0">
      <selection activeCell="D8" sqref="D8"/>
    </sheetView>
  </sheetViews>
  <sheetFormatPr defaultColWidth="9.140625" defaultRowHeight="15" x14ac:dyDescent="0.25"/>
  <cols>
    <col min="1" max="1" width="3" style="71" customWidth="1"/>
    <col min="2" max="2" width="18.5703125" style="71" bestFit="1" customWidth="1"/>
    <col min="3" max="3" width="11.140625" style="71" bestFit="1" customWidth="1"/>
    <col min="4" max="4" width="13.7109375" style="71" bestFit="1" customWidth="1"/>
    <col min="5" max="5" width="14" style="71" bestFit="1" customWidth="1"/>
    <col min="6" max="6" width="12.7109375" style="71" customWidth="1"/>
    <col min="7" max="7" width="12.5703125" style="71" bestFit="1" customWidth="1"/>
    <col min="8" max="8" width="13.28515625" style="71" bestFit="1" customWidth="1"/>
    <col min="9" max="9" width="2.7109375" style="71" customWidth="1"/>
    <col min="10" max="10" width="10.7109375" style="71" customWidth="1"/>
    <col min="11" max="11" width="8.140625" style="71" bestFit="1" customWidth="1"/>
    <col min="12" max="14" width="11.28515625" style="71" bestFit="1" customWidth="1"/>
    <col min="15" max="15" width="9.140625" style="71"/>
    <col min="16" max="16" width="12.28515625" style="71" bestFit="1" customWidth="1"/>
    <col min="17" max="17" width="2.7109375" style="71" customWidth="1"/>
    <col min="18" max="18" width="15.28515625" style="71" bestFit="1" customWidth="1"/>
    <col min="19" max="16384" width="9.140625" style="71"/>
  </cols>
  <sheetData>
    <row r="1" spans="1:18" x14ac:dyDescent="0.25">
      <c r="A1" s="207" t="s">
        <v>20</v>
      </c>
      <c r="B1" s="208"/>
      <c r="C1" s="207">
        <v>2023</v>
      </c>
      <c r="R1" s="106" t="s">
        <v>159</v>
      </c>
    </row>
    <row r="2" spans="1:18" x14ac:dyDescent="0.25">
      <c r="A2" s="207" t="s">
        <v>41</v>
      </c>
      <c r="D2" s="209"/>
      <c r="F2" s="267" t="s">
        <v>29</v>
      </c>
      <c r="G2" s="267"/>
      <c r="H2" s="267"/>
      <c r="R2" s="106" t="s">
        <v>177</v>
      </c>
    </row>
    <row r="3" spans="1:18" x14ac:dyDescent="0.25">
      <c r="D3" s="209" t="s">
        <v>31</v>
      </c>
      <c r="G3" s="209"/>
      <c r="J3" s="209" t="s">
        <v>28</v>
      </c>
    </row>
    <row r="4" spans="1:18" x14ac:dyDescent="0.25">
      <c r="C4" s="209">
        <v>2023</v>
      </c>
      <c r="D4" s="209" t="s">
        <v>19</v>
      </c>
      <c r="F4" s="209"/>
      <c r="G4" s="209" t="s">
        <v>2</v>
      </c>
      <c r="H4" s="209"/>
      <c r="J4" s="209" t="s">
        <v>36</v>
      </c>
      <c r="O4" s="209" t="s">
        <v>53</v>
      </c>
      <c r="P4" s="209" t="s">
        <v>53</v>
      </c>
    </row>
    <row r="5" spans="1:18" x14ac:dyDescent="0.25">
      <c r="C5" s="210" t="s">
        <v>15</v>
      </c>
      <c r="D5" s="210">
        <v>2</v>
      </c>
      <c r="F5" s="210" t="s">
        <v>16</v>
      </c>
      <c r="G5" s="210" t="s">
        <v>11</v>
      </c>
      <c r="H5" s="210" t="s">
        <v>17</v>
      </c>
      <c r="J5" s="210" t="s">
        <v>37</v>
      </c>
      <c r="O5" s="210" t="s">
        <v>8</v>
      </c>
      <c r="P5" s="210" t="s">
        <v>10</v>
      </c>
    </row>
    <row r="6" spans="1:18" x14ac:dyDescent="0.25">
      <c r="A6" s="71">
        <v>1</v>
      </c>
      <c r="B6" s="71" t="s">
        <v>42</v>
      </c>
      <c r="C6" s="211">
        <v>5447273.830000001</v>
      </c>
      <c r="D6" s="97">
        <v>3.1E-2</v>
      </c>
      <c r="F6" s="211">
        <v>-78747</v>
      </c>
      <c r="G6" s="211">
        <f>ROUND(IF(D$5=1,-D6*C6,-D6*C6),0)</f>
        <v>-168865</v>
      </c>
      <c r="H6" s="211">
        <f t="shared" ref="H6:H11" si="0">SUM(F6:G6)</f>
        <v>-247612</v>
      </c>
      <c r="J6" s="212">
        <f t="shared" ref="J6:J11" si="1">C6+H6</f>
        <v>5199661.830000001</v>
      </c>
      <c r="O6" s="213">
        <v>1E-4</v>
      </c>
      <c r="P6" s="214">
        <f>ROUND(IF(D$5=1,-O6*C6,-O6*C6),0)</f>
        <v>-545</v>
      </c>
    </row>
    <row r="7" spans="1:18" x14ac:dyDescent="0.25">
      <c r="A7" s="71">
        <v>2</v>
      </c>
      <c r="B7" s="71" t="s">
        <v>0</v>
      </c>
      <c r="C7" s="211">
        <v>411291.71</v>
      </c>
      <c r="D7" s="97">
        <v>2.9000000000000001E-2</v>
      </c>
      <c r="F7" s="211">
        <v>-7461</v>
      </c>
      <c r="G7" s="211">
        <f>ROUND(IF(D$5=1,-D7*C7,-D7*C7),0)</f>
        <v>-11927</v>
      </c>
      <c r="H7" s="211">
        <f t="shared" si="0"/>
        <v>-19388</v>
      </c>
      <c r="J7" s="212">
        <f t="shared" si="1"/>
        <v>391903.71</v>
      </c>
      <c r="O7" s="213">
        <v>2.0000000000000001E-4</v>
      </c>
      <c r="P7" s="212">
        <f>ROUND(IF(D$5=1,-O7*C7,-O7*C7),0)</f>
        <v>-82</v>
      </c>
    </row>
    <row r="8" spans="1:18" x14ac:dyDescent="0.25">
      <c r="A8" s="71">
        <v>3</v>
      </c>
      <c r="B8" s="71" t="s">
        <v>1</v>
      </c>
      <c r="C8" s="211">
        <v>670622.02300000004</v>
      </c>
      <c r="D8" s="97">
        <v>3.1E-2</v>
      </c>
      <c r="F8" s="211">
        <v>-8027</v>
      </c>
      <c r="G8" s="211">
        <f>ROUND(IF(D$5=1,-D8*C8,-D8*C8),0)</f>
        <v>-20789</v>
      </c>
      <c r="H8" s="211">
        <f t="shared" si="0"/>
        <v>-28816</v>
      </c>
      <c r="J8" s="212">
        <f t="shared" si="1"/>
        <v>641806.02300000004</v>
      </c>
      <c r="O8" s="213">
        <v>4.1999999999999997E-3</v>
      </c>
      <c r="P8" s="212">
        <f>ROUND(IF(D$5=1,-O8*C8,-O8*C8),0)</f>
        <v>-2817</v>
      </c>
    </row>
    <row r="9" spans="1:18" x14ac:dyDescent="0.25">
      <c r="A9" s="71">
        <v>4</v>
      </c>
      <c r="B9" s="71" t="s">
        <v>13</v>
      </c>
      <c r="C9" s="211"/>
      <c r="D9" s="97">
        <v>2.2499999999999999E-2</v>
      </c>
      <c r="F9" s="211">
        <v>0</v>
      </c>
      <c r="G9" s="211">
        <f>ROUND(IF(D$5=1,-0.5*D9*C9,-D9*C9),0)</f>
        <v>0</v>
      </c>
      <c r="H9" s="211">
        <f t="shared" si="0"/>
        <v>0</v>
      </c>
      <c r="J9" s="212">
        <f t="shared" si="1"/>
        <v>0</v>
      </c>
      <c r="O9" s="213">
        <v>0</v>
      </c>
      <c r="P9" s="212">
        <f>IF(D$5=1,-0.5*O9*C9,-O9*C9)</f>
        <v>0</v>
      </c>
    </row>
    <row r="10" spans="1:18" x14ac:dyDescent="0.25">
      <c r="A10" s="71">
        <v>5</v>
      </c>
      <c r="B10" s="71" t="s">
        <v>12</v>
      </c>
      <c r="C10" s="211"/>
      <c r="D10" s="97">
        <v>2.0500000000000001E-2</v>
      </c>
      <c r="F10" s="211">
        <v>0</v>
      </c>
      <c r="G10" s="211">
        <f>ROUND(IF(D$5=1,-0.5*D10*C10,-D10*C10),0)</f>
        <v>0</v>
      </c>
      <c r="H10" s="211">
        <f t="shared" si="0"/>
        <v>0</v>
      </c>
      <c r="J10" s="212">
        <f t="shared" si="1"/>
        <v>0</v>
      </c>
      <c r="O10" s="213">
        <v>0</v>
      </c>
      <c r="P10" s="212">
        <f>IF(D$5=1,-0.5*O10*C10,-O10*C10)</f>
        <v>0</v>
      </c>
    </row>
    <row r="11" spans="1:18" x14ac:dyDescent="0.25">
      <c r="A11" s="71">
        <v>6</v>
      </c>
      <c r="B11" s="71" t="s">
        <v>49</v>
      </c>
      <c r="C11" s="215">
        <v>162314</v>
      </c>
      <c r="D11" s="216" t="s">
        <v>48</v>
      </c>
      <c r="F11" s="215">
        <v>-1398</v>
      </c>
      <c r="G11" s="215">
        <f>P12</f>
        <v>-3444</v>
      </c>
      <c r="H11" s="215">
        <f t="shared" si="0"/>
        <v>-4842</v>
      </c>
      <c r="J11" s="217">
        <f t="shared" si="1"/>
        <v>157472</v>
      </c>
      <c r="O11" s="218">
        <v>0</v>
      </c>
      <c r="P11" s="217">
        <f>IF(D$5=1,-0.5*O11*C11,-O11*C11)</f>
        <v>0</v>
      </c>
    </row>
    <row r="12" spans="1:18" x14ac:dyDescent="0.25">
      <c r="C12" s="211">
        <f>SUM(C6:C11)</f>
        <v>6691501.563000001</v>
      </c>
      <c r="D12" s="211"/>
      <c r="F12" s="211">
        <f>SUM(F5:F11)</f>
        <v>-95633</v>
      </c>
      <c r="G12" s="211">
        <f>SUM(G5:G11)</f>
        <v>-205025</v>
      </c>
      <c r="H12" s="211">
        <f>SUM(H5:H11)</f>
        <v>-300658</v>
      </c>
      <c r="J12" s="212">
        <f>SUM(J6:J11)</f>
        <v>6390843.563000001</v>
      </c>
      <c r="O12" s="212"/>
      <c r="P12" s="214">
        <f>SUM(P5:P11)</f>
        <v>-3444</v>
      </c>
    </row>
    <row r="13" spans="1:18" x14ac:dyDescent="0.25">
      <c r="C13" s="211"/>
      <c r="D13" s="211"/>
      <c r="E13" s="211"/>
      <c r="F13" s="211"/>
      <c r="M13" s="209"/>
    </row>
    <row r="14" spans="1:18" x14ac:dyDescent="0.25">
      <c r="M14" s="209"/>
    </row>
    <row r="15" spans="1:18" x14ac:dyDescent="0.25">
      <c r="D15" s="209"/>
    </row>
    <row r="16" spans="1:18" x14ac:dyDescent="0.25">
      <c r="A16" s="102"/>
      <c r="B16" s="102"/>
      <c r="C16" s="102"/>
      <c r="D16" s="219" t="s">
        <v>23</v>
      </c>
      <c r="E16" s="102"/>
      <c r="F16" s="102"/>
      <c r="G16" s="220">
        <v>0</v>
      </c>
      <c r="H16" s="102"/>
      <c r="I16" s="102"/>
      <c r="J16" s="83"/>
      <c r="K16" s="219" t="s">
        <v>18</v>
      </c>
      <c r="L16" s="268" t="s">
        <v>30</v>
      </c>
      <c r="M16" s="268"/>
      <c r="N16" s="268"/>
      <c r="O16" s="268"/>
      <c r="P16" s="268"/>
      <c r="Q16" s="102"/>
      <c r="R16" s="219" t="s">
        <v>9</v>
      </c>
    </row>
    <row r="17" spans="1:18" x14ac:dyDescent="0.25">
      <c r="A17" s="102"/>
      <c r="B17" s="102"/>
      <c r="C17" s="219" t="s">
        <v>28</v>
      </c>
      <c r="D17" s="219" t="s">
        <v>11</v>
      </c>
      <c r="E17" s="219" t="s">
        <v>9</v>
      </c>
      <c r="F17" s="219" t="s">
        <v>9</v>
      </c>
      <c r="G17" s="219" t="s">
        <v>22</v>
      </c>
      <c r="H17" s="219" t="s">
        <v>26</v>
      </c>
      <c r="I17" s="102"/>
      <c r="J17" s="219"/>
      <c r="K17" s="219" t="s">
        <v>21</v>
      </c>
      <c r="L17" s="219"/>
      <c r="M17" s="219" t="s">
        <v>9</v>
      </c>
      <c r="N17" s="219" t="s">
        <v>22</v>
      </c>
      <c r="O17" s="219" t="s">
        <v>18</v>
      </c>
      <c r="P17" s="219"/>
      <c r="Q17" s="102"/>
      <c r="R17" s="219" t="s">
        <v>36</v>
      </c>
    </row>
    <row r="18" spans="1:18" x14ac:dyDescent="0.25">
      <c r="A18" s="102"/>
      <c r="B18" s="102"/>
      <c r="C18" s="221" t="s">
        <v>15</v>
      </c>
      <c r="D18" s="221" t="s">
        <v>24</v>
      </c>
      <c r="E18" s="221" t="s">
        <v>11</v>
      </c>
      <c r="F18" s="221" t="s">
        <v>25</v>
      </c>
      <c r="G18" s="221" t="s">
        <v>2</v>
      </c>
      <c r="H18" s="221" t="s">
        <v>27</v>
      </c>
      <c r="I18" s="102"/>
      <c r="J18" s="221" t="s">
        <v>14</v>
      </c>
      <c r="K18" s="221">
        <f>D5</f>
        <v>2</v>
      </c>
      <c r="L18" s="221" t="s">
        <v>16</v>
      </c>
      <c r="M18" s="221" t="s">
        <v>11</v>
      </c>
      <c r="N18" s="221" t="s">
        <v>10</v>
      </c>
      <c r="O18" s="221" t="s">
        <v>10</v>
      </c>
      <c r="P18" s="221" t="s">
        <v>17</v>
      </c>
      <c r="Q18" s="102"/>
      <c r="R18" s="221" t="s">
        <v>37</v>
      </c>
    </row>
    <row r="19" spans="1:18" x14ac:dyDescent="0.25">
      <c r="A19" s="102">
        <v>7</v>
      </c>
      <c r="B19" s="102" t="s">
        <v>42</v>
      </c>
      <c r="C19" s="103">
        <f t="shared" ref="C19:C24" si="2">C6</f>
        <v>5447273.830000001</v>
      </c>
      <c r="D19" s="240">
        <v>1</v>
      </c>
      <c r="E19" s="103">
        <f>ROUND(C19*-D19,0)-'[1]Sch II 2023 Yr 1'!E19-'[1]Sch II 2023 Yr 2'!E19</f>
        <v>0</v>
      </c>
      <c r="F19" s="103">
        <f>C19+E19+'[1]Sch II 2023 Yr 1'!E19+'[1]Sch II 2023 Yr 2'!E19</f>
        <v>-0.16999999899417162</v>
      </c>
      <c r="G19" s="103">
        <f t="shared" ref="G19:G24" si="3">ROUND(F19*-$G$16,0)</f>
        <v>0</v>
      </c>
      <c r="H19" s="222">
        <f t="shared" ref="H19:H24" si="4">F19+G19</f>
        <v>-0.16999999899417162</v>
      </c>
      <c r="I19" s="102"/>
      <c r="J19" s="102">
        <v>20</v>
      </c>
      <c r="K19" s="223">
        <f>IFERROR(VLOOKUP(J19,'[2]Tax Rates'!$A$1:$AA$12,$K$18+1,FALSE),0)</f>
        <v>7.2190000000000004E-2</v>
      </c>
      <c r="L19" s="222">
        <f>+'[1]Sch II 2023 Yr 2'!P19</f>
        <v>-5447274</v>
      </c>
      <c r="M19" s="224">
        <f t="shared" ref="M19:M24" si="5">E19</f>
        <v>0</v>
      </c>
      <c r="N19" s="224">
        <f t="shared" ref="N19:N24" si="6">G19</f>
        <v>0</v>
      </c>
      <c r="O19" s="103">
        <f>ROUND(K19*-H19,0)</f>
        <v>0</v>
      </c>
      <c r="P19" s="222">
        <f t="shared" ref="P19:P24" si="7">SUM(L19:O19)</f>
        <v>-5447274</v>
      </c>
      <c r="Q19" s="102"/>
      <c r="R19" s="224">
        <f>C19+P19</f>
        <v>-0.16999999899417162</v>
      </c>
    </row>
    <row r="20" spans="1:18" x14ac:dyDescent="0.25">
      <c r="A20" s="102">
        <v>8</v>
      </c>
      <c r="B20" s="102" t="s">
        <v>0</v>
      </c>
      <c r="C20" s="158">
        <f t="shared" si="2"/>
        <v>411291.71</v>
      </c>
      <c r="D20" s="240">
        <v>1</v>
      </c>
      <c r="E20" s="103">
        <f>ROUND(C20*-D20,0)-'[1]Sch II 2023 Yr 1'!E20-'[1]Sch II 2023 Yr 2'!E20</f>
        <v>0</v>
      </c>
      <c r="F20" s="103">
        <f>C20+E20+'[1]Sch II 2023 Yr 1'!E20+'[1]Sch II 2023 Yr 2'!E20</f>
        <v>-0.28999999997904524</v>
      </c>
      <c r="G20" s="103">
        <f t="shared" si="3"/>
        <v>0</v>
      </c>
      <c r="H20" s="222">
        <f t="shared" si="4"/>
        <v>-0.28999999997904524</v>
      </c>
      <c r="I20" s="102"/>
      <c r="J20" s="102">
        <v>15</v>
      </c>
      <c r="K20" s="223">
        <f>IFERROR(VLOOKUP(J20,'[2]Tax Rates'!$A$1:$AA$12,$K$18+1,FALSE),0)</f>
        <v>9.5000000000000001E-2</v>
      </c>
      <c r="L20" s="222">
        <f>+'[1]Sch II 2023 Yr 2'!P20</f>
        <v>-411292</v>
      </c>
      <c r="M20" s="224">
        <f t="shared" si="5"/>
        <v>0</v>
      </c>
      <c r="N20" s="224">
        <f t="shared" si="6"/>
        <v>0</v>
      </c>
      <c r="O20" s="103">
        <f>ROUND(K20*-H20,0)</f>
        <v>0</v>
      </c>
      <c r="P20" s="222">
        <f t="shared" si="7"/>
        <v>-411292</v>
      </c>
      <c r="Q20" s="102"/>
      <c r="R20" s="224">
        <f>C20+P20</f>
        <v>-0.28999999997904524</v>
      </c>
    </row>
    <row r="21" spans="1:18" x14ac:dyDescent="0.25">
      <c r="A21" s="102">
        <v>9</v>
      </c>
      <c r="B21" s="102" t="s">
        <v>1</v>
      </c>
      <c r="C21" s="158">
        <f t="shared" si="2"/>
        <v>670622.02300000004</v>
      </c>
      <c r="D21" s="240">
        <v>1</v>
      </c>
      <c r="E21" s="103">
        <f>ROUND(C21*-D21,0)-'[1]Sch II 2023 Yr 1'!E21-'[1]Sch II 2023 Yr 2'!E21</f>
        <v>0</v>
      </c>
      <c r="F21" s="103">
        <f>C21+E21+'[1]Sch II 2023 Yr 1'!E21+'[1]Sch II 2023 Yr 2'!E21</f>
        <v>2.3000000044703484E-2</v>
      </c>
      <c r="G21" s="158">
        <f t="shared" si="3"/>
        <v>0</v>
      </c>
      <c r="H21" s="222">
        <f t="shared" si="4"/>
        <v>2.3000000044703484E-2</v>
      </c>
      <c r="I21" s="102"/>
      <c r="J21" s="102">
        <v>20</v>
      </c>
      <c r="K21" s="223">
        <f>IFERROR(VLOOKUP(J21,'[2]Tax Rates'!$A$1:$AA$12,$K$18+1,FALSE),0)</f>
        <v>7.2190000000000004E-2</v>
      </c>
      <c r="L21" s="222">
        <f>+'[1]Sch II 2023 Yr 2'!P21</f>
        <v>-670622</v>
      </c>
      <c r="M21" s="224">
        <f t="shared" si="5"/>
        <v>0</v>
      </c>
      <c r="N21" s="224">
        <f t="shared" si="6"/>
        <v>0</v>
      </c>
      <c r="O21" s="103">
        <f>ROUND(K21*-H21,0)</f>
        <v>0</v>
      </c>
      <c r="P21" s="222">
        <f t="shared" si="7"/>
        <v>-670622</v>
      </c>
      <c r="Q21" s="102"/>
      <c r="R21" s="224">
        <f>C21+P21</f>
        <v>2.3000000044703484E-2</v>
      </c>
    </row>
    <row r="22" spans="1:18" x14ac:dyDescent="0.25">
      <c r="A22" s="102">
        <v>10</v>
      </c>
      <c r="B22" s="102" t="s">
        <v>13</v>
      </c>
      <c r="C22" s="158">
        <f t="shared" si="2"/>
        <v>0</v>
      </c>
      <c r="D22" s="240">
        <v>0</v>
      </c>
      <c r="E22" s="103">
        <f>ROUND(C22*-D22,0)-'[1]Sch II 2023 Yr 1'!E22-'[1]Sch II 2023 Yr 2'!E22</f>
        <v>0</v>
      </c>
      <c r="F22" s="103">
        <f>C22+E22+'[1]Sch II 2023 Yr 1'!E22+'[1]Sch II 2023 Yr 2'!E22</f>
        <v>0</v>
      </c>
      <c r="G22" s="158">
        <f t="shared" si="3"/>
        <v>0</v>
      </c>
      <c r="H22" s="222">
        <f t="shared" si="4"/>
        <v>0</v>
      </c>
      <c r="I22" s="102"/>
      <c r="J22" s="102">
        <v>7</v>
      </c>
      <c r="K22" s="223">
        <f>IFERROR(VLOOKUP(J22,'[2]Tax Rates'!$A$1:$AA$12,$K$18+1,FALSE),0)</f>
        <v>0.24490000000000001</v>
      </c>
      <c r="L22" s="222">
        <f>+'[1]Sch II 2023 Yr 2'!P22</f>
        <v>0</v>
      </c>
      <c r="M22" s="224">
        <f t="shared" si="5"/>
        <v>0</v>
      </c>
      <c r="N22" s="224">
        <f t="shared" si="6"/>
        <v>0</v>
      </c>
      <c r="O22" s="103">
        <f>ROUND(K22*-H22,0)</f>
        <v>0</v>
      </c>
      <c r="P22" s="222">
        <f t="shared" si="7"/>
        <v>0</v>
      </c>
      <c r="Q22" s="102"/>
      <c r="R22" s="224">
        <f>C22+P22</f>
        <v>0</v>
      </c>
    </row>
    <row r="23" spans="1:18" x14ac:dyDescent="0.25">
      <c r="A23" s="102">
        <v>11</v>
      </c>
      <c r="B23" s="102" t="s">
        <v>12</v>
      </c>
      <c r="C23" s="158">
        <f t="shared" si="2"/>
        <v>0</v>
      </c>
      <c r="D23" s="240">
        <v>0</v>
      </c>
      <c r="E23" s="103">
        <f>ROUND(C23*-D23,0)-'[1]Sch II 2023 Yr 1'!E23-'[1]Sch II 2023 Yr 2'!E23</f>
        <v>0</v>
      </c>
      <c r="F23" s="103">
        <f>C23+E23+'[1]Sch II 2023 Yr 1'!E23+'[1]Sch II 2023 Yr 2'!E23</f>
        <v>0</v>
      </c>
      <c r="G23" s="158">
        <f t="shared" si="3"/>
        <v>0</v>
      </c>
      <c r="H23" s="222">
        <f t="shared" si="4"/>
        <v>0</v>
      </c>
      <c r="I23" s="102"/>
      <c r="J23" s="102">
        <v>15</v>
      </c>
      <c r="K23" s="223">
        <f>IFERROR(VLOOKUP(J23,'[2]Tax Rates'!$A$1:$AA$12,$K$18+1,FALSE),0)</f>
        <v>9.5000000000000001E-2</v>
      </c>
      <c r="L23" s="222">
        <f>+'[1]Sch II 2023 Yr 2'!P23</f>
        <v>0</v>
      </c>
      <c r="M23" s="224">
        <f t="shared" si="5"/>
        <v>0</v>
      </c>
      <c r="N23" s="224">
        <f t="shared" si="6"/>
        <v>0</v>
      </c>
      <c r="O23" s="103">
        <f>ROUND(K23*-H23,0)</f>
        <v>0</v>
      </c>
      <c r="P23" s="222">
        <f t="shared" si="7"/>
        <v>0</v>
      </c>
      <c r="Q23" s="102"/>
      <c r="R23" s="224">
        <f>C23+P23</f>
        <v>0</v>
      </c>
    </row>
    <row r="24" spans="1:18" x14ac:dyDescent="0.25">
      <c r="A24" s="102">
        <v>12</v>
      </c>
      <c r="B24" s="102" t="s">
        <v>49</v>
      </c>
      <c r="C24" s="147">
        <f t="shared" si="2"/>
        <v>162314</v>
      </c>
      <c r="D24" s="241">
        <v>1</v>
      </c>
      <c r="E24" s="147">
        <f>ROUND(C24*-D24,0)-'[1]Sch II 2023 Yr 1'!E24-'[1]Sch II 2023 Yr 2'!E24</f>
        <v>0</v>
      </c>
      <c r="F24" s="103">
        <f>C24+E24+'[1]Sch II 2023 Yr 1'!E24+'[1]Sch II 2023 Yr 2'!E24</f>
        <v>0</v>
      </c>
      <c r="G24" s="147">
        <f t="shared" si="3"/>
        <v>0</v>
      </c>
      <c r="H24" s="225">
        <f t="shared" si="4"/>
        <v>0</v>
      </c>
      <c r="I24" s="102"/>
      <c r="J24" s="226" t="s">
        <v>50</v>
      </c>
      <c r="K24" s="227" t="s">
        <v>50</v>
      </c>
      <c r="L24" s="225">
        <f>+'[1]Sch II 2023 Yr 2'!P24</f>
        <v>-162314</v>
      </c>
      <c r="M24" s="228">
        <f t="shared" si="5"/>
        <v>0</v>
      </c>
      <c r="N24" s="229">
        <f t="shared" si="6"/>
        <v>0</v>
      </c>
      <c r="O24" s="147">
        <v>0</v>
      </c>
      <c r="P24" s="225">
        <f t="shared" si="7"/>
        <v>-162314</v>
      </c>
      <c r="Q24" s="102"/>
      <c r="R24" s="230" t="s">
        <v>50</v>
      </c>
    </row>
    <row r="25" spans="1:18" x14ac:dyDescent="0.25">
      <c r="A25" s="102"/>
      <c r="B25" s="102"/>
      <c r="C25" s="103">
        <f>SUM(C18:C24)</f>
        <v>6691501.563000001</v>
      </c>
      <c r="D25" s="102"/>
      <c r="E25" s="103">
        <f>SUM(E19:E24)</f>
        <v>0</v>
      </c>
      <c r="F25" s="103">
        <f>SUM(F19:F24)</f>
        <v>-0.43699999892851338</v>
      </c>
      <c r="G25" s="103">
        <f>SUM(G19:G24)</f>
        <v>0</v>
      </c>
      <c r="H25" s="222">
        <f>SUM(H19:H24)</f>
        <v>-0.43699999892851338</v>
      </c>
      <c r="I25" s="102"/>
      <c r="J25" s="102"/>
      <c r="K25" s="102"/>
      <c r="L25" s="222">
        <f>SUM(L19:L24)</f>
        <v>-6691502</v>
      </c>
      <c r="M25" s="103">
        <f>SUM(M19:M24)</f>
        <v>0</v>
      </c>
      <c r="N25" s="103">
        <f>SUM(N19:N24)</f>
        <v>0</v>
      </c>
      <c r="O25" s="103">
        <f>SUM(O19:O24)</f>
        <v>0</v>
      </c>
      <c r="P25" s="222">
        <f>SUM(P19:P24)</f>
        <v>-6691502</v>
      </c>
      <c r="Q25" s="102"/>
      <c r="R25" s="224">
        <f>SUM(R19:R24)</f>
        <v>-0.43699999892851338</v>
      </c>
    </row>
    <row r="26" spans="1:18" x14ac:dyDescent="0.25">
      <c r="A26" s="102"/>
      <c r="B26" s="102"/>
      <c r="C26" s="103"/>
      <c r="D26" s="102"/>
      <c r="E26" s="103"/>
      <c r="F26" s="103"/>
      <c r="G26" s="103"/>
      <c r="H26" s="222"/>
      <c r="I26" s="102"/>
      <c r="J26" s="222"/>
      <c r="K26" s="103"/>
      <c r="L26" s="103"/>
      <c r="M26" s="103"/>
      <c r="N26" s="222"/>
      <c r="O26" s="102"/>
      <c r="P26" s="102"/>
      <c r="Q26" s="102"/>
      <c r="R26" s="102"/>
    </row>
    <row r="27" spans="1:18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</row>
    <row r="28" spans="1:18" x14ac:dyDescent="0.25">
      <c r="A28" s="102"/>
      <c r="B28" s="102"/>
      <c r="C28" s="102"/>
      <c r="D28" s="102"/>
      <c r="E28" s="103"/>
      <c r="F28" s="219" t="s">
        <v>43</v>
      </c>
      <c r="G28" s="219"/>
      <c r="H28" s="231"/>
      <c r="I28" s="102"/>
      <c r="J28" s="102"/>
      <c r="K28" s="102"/>
      <c r="L28" s="102"/>
      <c r="M28" s="102"/>
      <c r="N28" s="102"/>
      <c r="O28" s="102"/>
      <c r="P28" s="102"/>
      <c r="Q28" s="102"/>
      <c r="R28" s="102"/>
    </row>
    <row r="29" spans="1:18" x14ac:dyDescent="0.25">
      <c r="A29" s="102"/>
      <c r="B29" s="102"/>
      <c r="C29" s="102"/>
      <c r="D29" s="268" t="s">
        <v>32</v>
      </c>
      <c r="E29" s="268"/>
      <c r="F29" s="219" t="s">
        <v>34</v>
      </c>
      <c r="G29" s="219" t="s">
        <v>47</v>
      </c>
      <c r="H29" s="219" t="s">
        <v>33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 x14ac:dyDescent="0.25">
      <c r="A30" s="102"/>
      <c r="B30" s="102"/>
      <c r="C30" s="102"/>
      <c r="D30" s="221" t="s">
        <v>28</v>
      </c>
      <c r="E30" s="221" t="s">
        <v>9</v>
      </c>
      <c r="F30" s="221" t="s">
        <v>35</v>
      </c>
      <c r="G30" s="221" t="s">
        <v>8</v>
      </c>
      <c r="H30" s="221" t="s">
        <v>3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x14ac:dyDescent="0.25">
      <c r="A31" s="102">
        <v>13</v>
      </c>
      <c r="B31" s="102" t="s">
        <v>42</v>
      </c>
      <c r="C31" s="102"/>
      <c r="D31" s="224">
        <f t="shared" ref="D31:D36" si="8">J6</f>
        <v>5199661.830000001</v>
      </c>
      <c r="E31" s="224">
        <f t="shared" ref="E31:E36" si="9">R19</f>
        <v>-0.16999999899417162</v>
      </c>
      <c r="F31" s="224">
        <f>E31-D31</f>
        <v>-5199662</v>
      </c>
      <c r="G31" s="231">
        <v>0.2495</v>
      </c>
      <c r="H31" s="224">
        <f>ROUND(F31*G31,0)</f>
        <v>-1297316</v>
      </c>
      <c r="I31" s="102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x14ac:dyDescent="0.25">
      <c r="A32" s="102">
        <v>14</v>
      </c>
      <c r="B32" s="102" t="s">
        <v>0</v>
      </c>
      <c r="C32" s="102"/>
      <c r="D32" s="224">
        <f t="shared" si="8"/>
        <v>391903.71</v>
      </c>
      <c r="E32" s="224">
        <f t="shared" si="9"/>
        <v>-0.28999999997904524</v>
      </c>
      <c r="F32" s="224">
        <f>E32-D32</f>
        <v>-391904</v>
      </c>
      <c r="G32" s="231">
        <f>G31</f>
        <v>0.2495</v>
      </c>
      <c r="H32" s="224">
        <f t="shared" ref="H32:H36" si="10">ROUND(F32*G32,0)</f>
        <v>-97780</v>
      </c>
      <c r="I32" s="102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18" x14ac:dyDescent="0.25">
      <c r="A33" s="102">
        <v>15</v>
      </c>
      <c r="B33" s="102" t="s">
        <v>1</v>
      </c>
      <c r="C33" s="102"/>
      <c r="D33" s="224">
        <f t="shared" si="8"/>
        <v>641806.02300000004</v>
      </c>
      <c r="E33" s="224">
        <f t="shared" si="9"/>
        <v>2.3000000044703484E-2</v>
      </c>
      <c r="F33" s="224">
        <f>E33-D33</f>
        <v>-641806</v>
      </c>
      <c r="G33" s="231">
        <f>G31</f>
        <v>0.2495</v>
      </c>
      <c r="H33" s="224">
        <f t="shared" si="10"/>
        <v>-160131</v>
      </c>
      <c r="I33" s="102"/>
      <c r="J33" s="102"/>
      <c r="K33" s="102"/>
      <c r="L33" s="102"/>
      <c r="M33" s="102"/>
      <c r="N33" s="102"/>
      <c r="O33" s="102"/>
      <c r="P33" s="102"/>
      <c r="Q33" s="102"/>
      <c r="R33" s="102"/>
    </row>
    <row r="34" spans="1:18" x14ac:dyDescent="0.25">
      <c r="A34" s="102">
        <v>16</v>
      </c>
      <c r="B34" s="102" t="s">
        <v>13</v>
      </c>
      <c r="C34" s="102"/>
      <c r="D34" s="224">
        <f t="shared" si="8"/>
        <v>0</v>
      </c>
      <c r="E34" s="224">
        <f t="shared" si="9"/>
        <v>0</v>
      </c>
      <c r="F34" s="224">
        <f>E34-D34</f>
        <v>0</v>
      </c>
      <c r="G34" s="231">
        <f>G31</f>
        <v>0.2495</v>
      </c>
      <c r="H34" s="224">
        <f t="shared" si="10"/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</row>
    <row r="35" spans="1:18" x14ac:dyDescent="0.25">
      <c r="A35" s="102">
        <v>17</v>
      </c>
      <c r="B35" s="102" t="s">
        <v>12</v>
      </c>
      <c r="C35" s="102"/>
      <c r="D35" s="224">
        <f t="shared" si="8"/>
        <v>0</v>
      </c>
      <c r="E35" s="224">
        <f t="shared" si="9"/>
        <v>0</v>
      </c>
      <c r="F35" s="224">
        <f>E35-D35</f>
        <v>0</v>
      </c>
      <c r="G35" s="231">
        <f>G31</f>
        <v>0.2495</v>
      </c>
      <c r="H35" s="224">
        <f t="shared" si="10"/>
        <v>0</v>
      </c>
      <c r="I35" s="102"/>
      <c r="J35" s="102"/>
      <c r="K35" s="102"/>
      <c r="L35" s="102"/>
      <c r="M35" s="102"/>
      <c r="N35" s="102"/>
      <c r="O35" s="102"/>
      <c r="P35" s="102"/>
      <c r="Q35" s="102"/>
      <c r="R35" s="102"/>
    </row>
    <row r="36" spans="1:18" x14ac:dyDescent="0.25">
      <c r="A36" s="102">
        <v>18</v>
      </c>
      <c r="B36" s="102" t="s">
        <v>49</v>
      </c>
      <c r="C36" s="102"/>
      <c r="D36" s="228">
        <f t="shared" si="8"/>
        <v>157472</v>
      </c>
      <c r="E36" s="230" t="str">
        <f t="shared" si="9"/>
        <v>NA</v>
      </c>
      <c r="F36" s="228">
        <f>-D36</f>
        <v>-157472</v>
      </c>
      <c r="G36" s="232">
        <f>G31</f>
        <v>0.2495</v>
      </c>
      <c r="H36" s="228">
        <f t="shared" si="10"/>
        <v>-39289</v>
      </c>
      <c r="I36" s="102"/>
      <c r="J36" s="102"/>
      <c r="K36" s="102"/>
      <c r="L36" s="102"/>
      <c r="M36" s="102"/>
      <c r="N36" s="102"/>
      <c r="O36" s="102"/>
      <c r="P36" s="102"/>
      <c r="Q36" s="102"/>
      <c r="R36" s="102"/>
    </row>
    <row r="37" spans="1:18" x14ac:dyDescent="0.25">
      <c r="A37" s="102"/>
      <c r="B37" s="102"/>
      <c r="C37" s="102"/>
      <c r="D37" s="224">
        <f>SUM(D31:D36)</f>
        <v>6390843.563000001</v>
      </c>
      <c r="E37" s="224">
        <f>SUM(E31:E36)</f>
        <v>-0.43699999892851338</v>
      </c>
      <c r="F37" s="224">
        <f>SUM(F31:F36)</f>
        <v>-6390844</v>
      </c>
      <c r="G37" s="102"/>
      <c r="H37" s="224">
        <f>SUM(H31:H36)</f>
        <v>-1594516</v>
      </c>
      <c r="I37" s="102"/>
      <c r="J37" s="102"/>
      <c r="K37" s="102"/>
      <c r="L37" s="102"/>
      <c r="M37" s="102"/>
      <c r="N37" s="102"/>
      <c r="O37" s="102"/>
      <c r="P37" s="102"/>
      <c r="Q37" s="102"/>
      <c r="R37" s="102"/>
    </row>
    <row r="39" spans="1:18" x14ac:dyDescent="0.25">
      <c r="B39" s="212"/>
      <c r="D39" s="212"/>
    </row>
    <row r="40" spans="1:18" x14ac:dyDescent="0.25">
      <c r="A40" s="233"/>
      <c r="B40" s="102"/>
      <c r="C40" s="102"/>
      <c r="D40" s="102"/>
    </row>
    <row r="41" spans="1:18" x14ac:dyDescent="0.25">
      <c r="A41" s="233"/>
      <c r="C41" s="102"/>
      <c r="D41" s="102"/>
    </row>
  </sheetData>
  <mergeCells count="3">
    <mergeCell ref="F2:H2"/>
    <mergeCell ref="L16:P16"/>
    <mergeCell ref="D29:E29"/>
  </mergeCells>
  <pageMargins left="0.7" right="0.7" top="0.75" bottom="0.75" header="0.3" footer="0.3"/>
  <pageSetup scale="6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049C-3287-45A9-A8D3-047DB513F407}">
  <sheetPr>
    <pageSetUpPr autoPageBreaks="0" fitToPage="1"/>
  </sheetPr>
  <dimension ref="A1:R40"/>
  <sheetViews>
    <sheetView zoomScaleNormal="100" workbookViewId="0">
      <selection activeCell="F13" sqref="F13"/>
    </sheetView>
  </sheetViews>
  <sheetFormatPr defaultRowHeight="15" x14ac:dyDescent="0.25"/>
  <cols>
    <col min="1" max="1" width="3.5703125" customWidth="1"/>
    <col min="2" max="2" width="18.5703125" bestFit="1" customWidth="1"/>
    <col min="3" max="3" width="12.7109375" customWidth="1"/>
    <col min="4" max="4" width="14" bestFit="1" customWidth="1"/>
    <col min="5" max="5" width="11.28515625" bestFit="1" customWidth="1"/>
    <col min="6" max="6" width="12.7109375" customWidth="1"/>
    <col min="7" max="7" width="12.42578125" bestFit="1" customWidth="1"/>
    <col min="8" max="8" width="13.140625" bestFit="1" customWidth="1"/>
    <col min="9" max="9" width="2.7109375" customWidth="1"/>
    <col min="10" max="10" width="10.7109375" customWidth="1"/>
    <col min="11" max="11" width="8.140625" bestFit="1" customWidth="1"/>
    <col min="12" max="12" width="12.7109375" customWidth="1"/>
    <col min="13" max="14" width="11.28515625" bestFit="1" customWidth="1"/>
    <col min="15" max="15" width="9.7109375" bestFit="1" customWidth="1"/>
    <col min="16" max="16" width="11.28515625" bestFit="1" customWidth="1"/>
    <col min="17" max="17" width="2.7109375" customWidth="1"/>
    <col min="18" max="18" width="13.7109375" bestFit="1" customWidth="1"/>
  </cols>
  <sheetData>
    <row r="1" spans="1:18" x14ac:dyDescent="0.25">
      <c r="A1" s="14" t="s">
        <v>20</v>
      </c>
      <c r="B1" s="234"/>
      <c r="C1" s="234">
        <v>2024</v>
      </c>
      <c r="D1" s="71"/>
      <c r="R1" s="106" t="s">
        <v>160</v>
      </c>
    </row>
    <row r="2" spans="1:18" x14ac:dyDescent="0.25">
      <c r="A2" s="14" t="s">
        <v>41</v>
      </c>
      <c r="D2" s="9"/>
      <c r="F2" s="269" t="s">
        <v>29</v>
      </c>
      <c r="G2" s="269"/>
      <c r="H2" s="269"/>
      <c r="R2" s="106" t="s">
        <v>177</v>
      </c>
    </row>
    <row r="3" spans="1:18" x14ac:dyDescent="0.25">
      <c r="D3" s="10" t="s">
        <v>31</v>
      </c>
      <c r="G3" s="9"/>
      <c r="J3" s="10" t="s">
        <v>28</v>
      </c>
    </row>
    <row r="4" spans="1:18" x14ac:dyDescent="0.25">
      <c r="C4" s="10">
        <v>2024</v>
      </c>
      <c r="D4" s="10" t="s">
        <v>19</v>
      </c>
      <c r="F4" s="10"/>
      <c r="G4" s="10" t="s">
        <v>2</v>
      </c>
      <c r="H4" s="10"/>
      <c r="J4" s="10" t="s">
        <v>36</v>
      </c>
      <c r="O4" s="10" t="s">
        <v>53</v>
      </c>
      <c r="P4" s="10" t="s">
        <v>53</v>
      </c>
    </row>
    <row r="5" spans="1:18" x14ac:dyDescent="0.25">
      <c r="C5" s="72" t="s">
        <v>15</v>
      </c>
      <c r="D5" s="7">
        <v>2</v>
      </c>
      <c r="F5" s="72" t="s">
        <v>16</v>
      </c>
      <c r="G5" s="72" t="s">
        <v>11</v>
      </c>
      <c r="H5" s="72" t="s">
        <v>17</v>
      </c>
      <c r="J5" s="72" t="s">
        <v>37</v>
      </c>
      <c r="O5" s="72" t="s">
        <v>8</v>
      </c>
      <c r="P5" s="72" t="s">
        <v>10</v>
      </c>
    </row>
    <row r="6" spans="1:18" x14ac:dyDescent="0.25">
      <c r="A6">
        <v>1</v>
      </c>
      <c r="B6" t="s">
        <v>42</v>
      </c>
      <c r="C6" s="1">
        <v>7596219.4199999999</v>
      </c>
      <c r="D6" s="97">
        <v>3.0499999999999999E-2</v>
      </c>
      <c r="F6" s="1">
        <v>-93065</v>
      </c>
      <c r="G6" s="12">
        <f>ROUND(IF(D$5=1,-0.5*D6*C6,-D6*C6),0)</f>
        <v>-231685</v>
      </c>
      <c r="H6" s="12">
        <f t="shared" ref="H6:H11" si="0">SUM(F6:G6)</f>
        <v>-324750</v>
      </c>
      <c r="J6" s="5">
        <f t="shared" ref="J6:J11" si="1">C6+H6</f>
        <v>7271469.4199999999</v>
      </c>
      <c r="O6" s="8">
        <v>1E-4</v>
      </c>
      <c r="P6" s="11">
        <f>ROUND(IF(D$5=1,-O6*C6,-O6*C6),0)</f>
        <v>-760</v>
      </c>
    </row>
    <row r="7" spans="1:18" x14ac:dyDescent="0.25">
      <c r="A7">
        <v>2</v>
      </c>
      <c r="B7" t="s">
        <v>0</v>
      </c>
      <c r="C7" s="1">
        <v>0</v>
      </c>
      <c r="D7" s="97">
        <v>2.8799999999999999E-2</v>
      </c>
      <c r="F7" s="1">
        <v>0</v>
      </c>
      <c r="G7" s="12">
        <f>ROUND(IF(D$5=1,-0.5*D7*C7,-D7*C7),0)</f>
        <v>0</v>
      </c>
      <c r="H7" s="12">
        <f t="shared" si="0"/>
        <v>0</v>
      </c>
      <c r="J7" s="5">
        <f t="shared" si="1"/>
        <v>0</v>
      </c>
      <c r="O7" s="8">
        <v>2.0000000000000001E-4</v>
      </c>
      <c r="P7" s="5">
        <f>ROUND(IF(D$5=1,-0.5*O7*C7,-O7*C7),0)</f>
        <v>0</v>
      </c>
    </row>
    <row r="8" spans="1:18" x14ac:dyDescent="0.25">
      <c r="A8">
        <v>3</v>
      </c>
      <c r="B8" t="s">
        <v>1</v>
      </c>
      <c r="C8" s="1">
        <v>1155320.24</v>
      </c>
      <c r="D8" s="97">
        <v>3.1E-2</v>
      </c>
      <c r="F8" s="1">
        <v>-11383</v>
      </c>
      <c r="G8" s="12">
        <f>ROUND(IF(D$5=1,-0.5*D8*C8,-D8*C8),0)</f>
        <v>-35815</v>
      </c>
      <c r="H8" s="12">
        <f t="shared" si="0"/>
        <v>-47198</v>
      </c>
      <c r="J8" s="5">
        <f t="shared" si="1"/>
        <v>1108122.24</v>
      </c>
      <c r="O8" s="8">
        <v>4.1999999999999997E-3</v>
      </c>
      <c r="P8" s="5">
        <f>ROUND(IF(D$5=1,-O8*C8,-O8*C8),0)</f>
        <v>-4852</v>
      </c>
    </row>
    <row r="9" spans="1:18" x14ac:dyDescent="0.25">
      <c r="A9">
        <v>4</v>
      </c>
      <c r="B9" t="s">
        <v>13</v>
      </c>
      <c r="C9" s="1"/>
      <c r="D9" s="97">
        <v>2.2499999999999999E-2</v>
      </c>
      <c r="F9" s="1">
        <v>0</v>
      </c>
      <c r="G9" s="12">
        <f>ROUND(IF(D$5=1,-0.5*D9*C9,-D9*C9),0)</f>
        <v>0</v>
      </c>
      <c r="H9" s="12">
        <f t="shared" si="0"/>
        <v>0</v>
      </c>
      <c r="J9" s="5">
        <f t="shared" si="1"/>
        <v>0</v>
      </c>
      <c r="O9" s="8">
        <v>0</v>
      </c>
      <c r="P9" s="5">
        <f>IF(D$5=1,-0.5*O9*C9,-O9*C9)</f>
        <v>0</v>
      </c>
    </row>
    <row r="10" spans="1:18" x14ac:dyDescent="0.25">
      <c r="A10">
        <v>5</v>
      </c>
      <c r="B10" t="s">
        <v>12</v>
      </c>
      <c r="C10" s="1"/>
      <c r="D10" s="97">
        <v>2.0500000000000001E-2</v>
      </c>
      <c r="F10" s="1">
        <v>0</v>
      </c>
      <c r="G10" s="12">
        <f>ROUND(IF(D$5=1,-0.5*D10*C10,-D10*C10),0)</f>
        <v>0</v>
      </c>
      <c r="H10" s="12">
        <f t="shared" si="0"/>
        <v>0</v>
      </c>
      <c r="J10" s="5">
        <f t="shared" si="1"/>
        <v>0</v>
      </c>
      <c r="O10" s="8">
        <v>0</v>
      </c>
      <c r="P10" s="5">
        <f>IF(D$5=1,-0.5*O10*C10,-O10*C10)</f>
        <v>0</v>
      </c>
    </row>
    <row r="11" spans="1:18" x14ac:dyDescent="0.25">
      <c r="A11">
        <v>6</v>
      </c>
      <c r="B11" t="s">
        <v>49</v>
      </c>
      <c r="C11" s="2">
        <v>163543.90999999997</v>
      </c>
      <c r="D11" s="4" t="s">
        <v>48</v>
      </c>
      <c r="F11" s="2">
        <v>-1847</v>
      </c>
      <c r="G11" s="13">
        <f>P12</f>
        <v>-5612</v>
      </c>
      <c r="H11" s="13">
        <f t="shared" si="0"/>
        <v>-7459</v>
      </c>
      <c r="J11" s="6">
        <f t="shared" si="1"/>
        <v>156084.90999999997</v>
      </c>
      <c r="O11" s="15">
        <v>0</v>
      </c>
      <c r="P11" s="6">
        <f>IF(D$5=1,-0.5*O11*C11,-O11*C11)</f>
        <v>0</v>
      </c>
    </row>
    <row r="12" spans="1:18" x14ac:dyDescent="0.25">
      <c r="C12" s="12">
        <f>SUM(C6:C11)</f>
        <v>8915083.5700000003</v>
      </c>
      <c r="D12" s="12"/>
      <c r="F12" s="1">
        <f>SUM(F5:F11)</f>
        <v>-106295</v>
      </c>
      <c r="G12" s="12">
        <f>SUM(G5:G11)</f>
        <v>-273112</v>
      </c>
      <c r="H12" s="12">
        <f>SUM(H5:H11)</f>
        <v>-379407</v>
      </c>
      <c r="J12" s="5">
        <f>SUM(J6:J11)</f>
        <v>8535676.5700000003</v>
      </c>
      <c r="O12" s="5"/>
      <c r="P12" s="11">
        <f>SUM(P5:P11)</f>
        <v>-5612</v>
      </c>
    </row>
    <row r="13" spans="1:18" x14ac:dyDescent="0.25">
      <c r="C13" s="12"/>
      <c r="D13" s="12"/>
      <c r="E13" s="12"/>
      <c r="F13" s="12"/>
      <c r="M13" s="10"/>
    </row>
    <row r="14" spans="1:18" x14ac:dyDescent="0.25">
      <c r="M14" s="10"/>
    </row>
    <row r="15" spans="1:18" x14ac:dyDescent="0.25">
      <c r="D15" s="10"/>
    </row>
    <row r="16" spans="1:18" x14ac:dyDescent="0.25">
      <c r="A16" s="25"/>
      <c r="B16" s="25"/>
      <c r="C16" s="25"/>
      <c r="D16" s="38" t="s">
        <v>23</v>
      </c>
      <c r="E16" s="25"/>
      <c r="F16" s="25"/>
      <c r="G16" s="45">
        <v>0</v>
      </c>
      <c r="H16" s="25"/>
      <c r="I16" s="25"/>
      <c r="J16" s="46"/>
      <c r="K16" s="38" t="s">
        <v>18</v>
      </c>
      <c r="L16" s="266" t="s">
        <v>30</v>
      </c>
      <c r="M16" s="266"/>
      <c r="N16" s="266"/>
      <c r="O16" s="266"/>
      <c r="P16" s="266"/>
      <c r="Q16" s="25"/>
      <c r="R16" s="38" t="s">
        <v>9</v>
      </c>
    </row>
    <row r="17" spans="1:18" x14ac:dyDescent="0.25">
      <c r="A17" s="25"/>
      <c r="B17" s="25"/>
      <c r="C17" s="38" t="s">
        <v>28</v>
      </c>
      <c r="D17" s="38" t="s">
        <v>11</v>
      </c>
      <c r="E17" s="38" t="s">
        <v>9</v>
      </c>
      <c r="F17" s="38" t="s">
        <v>9</v>
      </c>
      <c r="G17" s="38" t="s">
        <v>22</v>
      </c>
      <c r="H17" s="38" t="s">
        <v>26</v>
      </c>
      <c r="I17" s="25"/>
      <c r="J17" s="38"/>
      <c r="K17" s="38" t="s">
        <v>21</v>
      </c>
      <c r="L17" s="38"/>
      <c r="M17" s="38" t="s">
        <v>9</v>
      </c>
      <c r="N17" s="38" t="s">
        <v>22</v>
      </c>
      <c r="O17" s="38" t="s">
        <v>18</v>
      </c>
      <c r="P17" s="38"/>
      <c r="Q17" s="25"/>
      <c r="R17" s="38" t="s">
        <v>36</v>
      </c>
    </row>
    <row r="18" spans="1:18" x14ac:dyDescent="0.25">
      <c r="A18" s="25"/>
      <c r="B18" s="25"/>
      <c r="C18" s="39" t="s">
        <v>15</v>
      </c>
      <c r="D18" s="39" t="s">
        <v>24</v>
      </c>
      <c r="E18" s="39" t="s">
        <v>11</v>
      </c>
      <c r="F18" s="39" t="s">
        <v>25</v>
      </c>
      <c r="G18" s="39" t="s">
        <v>2</v>
      </c>
      <c r="H18" s="39" t="s">
        <v>27</v>
      </c>
      <c r="I18" s="25"/>
      <c r="J18" s="39" t="s">
        <v>14</v>
      </c>
      <c r="K18" s="39">
        <f>D5</f>
        <v>2</v>
      </c>
      <c r="L18" s="39" t="s">
        <v>16</v>
      </c>
      <c r="M18" s="39" t="s">
        <v>11</v>
      </c>
      <c r="N18" s="39" t="s">
        <v>10</v>
      </c>
      <c r="O18" s="39" t="s">
        <v>10</v>
      </c>
      <c r="P18" s="39" t="s">
        <v>17</v>
      </c>
      <c r="Q18" s="25"/>
      <c r="R18" s="39" t="s">
        <v>37</v>
      </c>
    </row>
    <row r="19" spans="1:18" x14ac:dyDescent="0.25">
      <c r="A19" s="25">
        <v>7</v>
      </c>
      <c r="B19" s="25" t="s">
        <v>42</v>
      </c>
      <c r="C19" s="28">
        <f t="shared" ref="C19:C24" si="2">C6</f>
        <v>7596219.4199999999</v>
      </c>
      <c r="D19" s="83">
        <v>1</v>
      </c>
      <c r="E19" s="28">
        <f>ROUND(C19*-D19,0)-'[1]Sch II 2024 Yr 1'!E19</f>
        <v>-4544914</v>
      </c>
      <c r="F19" s="48">
        <f>C19+E19+'[1]Sch II 2024 Yr 1'!E19</f>
        <v>0.41999999992549419</v>
      </c>
      <c r="G19" s="48">
        <f t="shared" ref="G19:G24" si="3">ROUND(F19*-$G$16,0)</f>
        <v>0</v>
      </c>
      <c r="H19" s="49">
        <f t="shared" ref="H19:H24" si="4">F19+G19</f>
        <v>0.41999999992549419</v>
      </c>
      <c r="I19" s="25"/>
      <c r="J19" s="25">
        <v>20</v>
      </c>
      <c r="K19" s="50">
        <f>IFERROR(VLOOKUP(J19,'[1]Tax Rates'!$A$1:$AA$12,$K$18+1,FALSE),0)</f>
        <v>7.2190000000000004E-2</v>
      </c>
      <c r="L19" s="51">
        <f>+'[1]Sch II 2024 Yr 1'!P19</f>
        <v>-3051305</v>
      </c>
      <c r="M19" s="48">
        <f t="shared" ref="M19:M24" si="5">E19</f>
        <v>-4544914</v>
      </c>
      <c r="N19" s="48">
        <f t="shared" ref="N19:N24" si="6">G19</f>
        <v>0</v>
      </c>
      <c r="O19" s="28">
        <f>ROUND(K19*-H19,0)</f>
        <v>0</v>
      </c>
      <c r="P19" s="52">
        <f t="shared" ref="P19:P24" si="7">SUM(L19:O19)</f>
        <v>-7596219</v>
      </c>
      <c r="Q19" s="25"/>
      <c r="R19" s="48">
        <f>C19+P19</f>
        <v>0.41999999992549419</v>
      </c>
    </row>
    <row r="20" spans="1:18" x14ac:dyDescent="0.25">
      <c r="A20" s="25">
        <v>8</v>
      </c>
      <c r="B20" s="25" t="s">
        <v>0</v>
      </c>
      <c r="C20" s="28">
        <f t="shared" si="2"/>
        <v>0</v>
      </c>
      <c r="D20" s="240">
        <v>0</v>
      </c>
      <c r="E20" s="28">
        <f>ROUND(C20*-D20,0)-'[1]Sch II 2024 Yr 1'!E20</f>
        <v>0</v>
      </c>
      <c r="F20" s="48">
        <f>C20+E20+'[1]Sch II 2024 Yr 1'!E20</f>
        <v>0</v>
      </c>
      <c r="G20" s="48">
        <f t="shared" si="3"/>
        <v>0</v>
      </c>
      <c r="H20" s="49">
        <f t="shared" si="4"/>
        <v>0</v>
      </c>
      <c r="I20" s="25"/>
      <c r="J20" s="25">
        <v>15</v>
      </c>
      <c r="K20" s="50">
        <f>IFERROR(VLOOKUP(J20,'[1]Tax Rates'!$A$1:$AA$12,$K$18+1,FALSE),0)</f>
        <v>9.5000000000000001E-2</v>
      </c>
      <c r="L20" s="51">
        <f>+'[1]Sch II 2024 Yr 1'!P20</f>
        <v>0</v>
      </c>
      <c r="M20" s="48">
        <f t="shared" si="5"/>
        <v>0</v>
      </c>
      <c r="N20" s="48">
        <f t="shared" si="6"/>
        <v>0</v>
      </c>
      <c r="O20" s="28">
        <f>ROUND(K20*-H20,0)</f>
        <v>0</v>
      </c>
      <c r="P20" s="52">
        <f t="shared" si="7"/>
        <v>0</v>
      </c>
      <c r="Q20" s="25"/>
      <c r="R20" s="48">
        <f>C20+P20</f>
        <v>0</v>
      </c>
    </row>
    <row r="21" spans="1:18" x14ac:dyDescent="0.25">
      <c r="A21" s="25">
        <v>9</v>
      </c>
      <c r="B21" s="25" t="s">
        <v>1</v>
      </c>
      <c r="C21" s="34">
        <f t="shared" si="2"/>
        <v>1155320.24</v>
      </c>
      <c r="D21" s="84">
        <v>1</v>
      </c>
      <c r="E21" s="28">
        <f>ROUND(C21*-D21,0)-'[1]Sch II 2024 Yr 1'!E21</f>
        <v>-788129</v>
      </c>
      <c r="F21" s="48">
        <f>C21+E21+'[1]Sch II 2024 Yr 1'!E21</f>
        <v>0.23999999999068677</v>
      </c>
      <c r="G21" s="48">
        <f t="shared" si="3"/>
        <v>0</v>
      </c>
      <c r="H21" s="49">
        <f t="shared" si="4"/>
        <v>0.23999999999068677</v>
      </c>
      <c r="I21" s="25"/>
      <c r="J21" s="25">
        <v>20</v>
      </c>
      <c r="K21" s="50">
        <f>IFERROR(VLOOKUP(J21,'[1]Tax Rates'!$A$1:$AA$12,$K$18+1,FALSE),0)</f>
        <v>7.2190000000000004E-2</v>
      </c>
      <c r="L21" s="51">
        <f>+'[1]Sch II 2024 Yr 1'!P21</f>
        <v>-367191</v>
      </c>
      <c r="M21" s="48">
        <f t="shared" si="5"/>
        <v>-788129</v>
      </c>
      <c r="N21" s="48">
        <f t="shared" si="6"/>
        <v>0</v>
      </c>
      <c r="O21" s="28">
        <f>ROUND(K21*-H21,0)</f>
        <v>0</v>
      </c>
      <c r="P21" s="52">
        <f t="shared" si="7"/>
        <v>-1155320</v>
      </c>
      <c r="Q21" s="25"/>
      <c r="R21" s="48">
        <f>C21+P21</f>
        <v>0.23999999999068677</v>
      </c>
    </row>
    <row r="22" spans="1:18" x14ac:dyDescent="0.25">
      <c r="A22" s="25">
        <v>10</v>
      </c>
      <c r="B22" s="25" t="s">
        <v>13</v>
      </c>
      <c r="C22" s="34">
        <f t="shared" si="2"/>
        <v>0</v>
      </c>
      <c r="D22" s="47">
        <v>0</v>
      </c>
      <c r="E22" s="28">
        <f>ROUND(C22*-D22,0)-'[1]Sch II 2024 Yr 1'!E22</f>
        <v>0</v>
      </c>
      <c r="F22" s="48">
        <f>C22+E22+'[1]Sch II 2024 Yr 1'!E22</f>
        <v>0</v>
      </c>
      <c r="G22" s="48">
        <f t="shared" si="3"/>
        <v>0</v>
      </c>
      <c r="H22" s="49">
        <f t="shared" si="4"/>
        <v>0</v>
      </c>
      <c r="I22" s="25"/>
      <c r="J22" s="25">
        <v>7</v>
      </c>
      <c r="K22" s="50">
        <f>IFERROR(VLOOKUP(J22,'[1]Tax Rates'!$A$1:$AA$12,$K$18+1,FALSE),0)</f>
        <v>0.24490000000000001</v>
      </c>
      <c r="L22" s="51">
        <f>+'[1]Sch II 2024 Yr 1'!P22</f>
        <v>0</v>
      </c>
      <c r="M22" s="48">
        <f t="shared" si="5"/>
        <v>0</v>
      </c>
      <c r="N22" s="48">
        <f t="shared" si="6"/>
        <v>0</v>
      </c>
      <c r="O22" s="28">
        <f>ROUND(K22*-H22,0)</f>
        <v>0</v>
      </c>
      <c r="P22" s="52">
        <f t="shared" si="7"/>
        <v>0</v>
      </c>
      <c r="Q22" s="25"/>
      <c r="R22" s="48">
        <f>C22+P22</f>
        <v>0</v>
      </c>
    </row>
    <row r="23" spans="1:18" x14ac:dyDescent="0.25">
      <c r="A23" s="25">
        <v>11</v>
      </c>
      <c r="B23" s="25" t="s">
        <v>12</v>
      </c>
      <c r="C23" s="34">
        <f t="shared" si="2"/>
        <v>0</v>
      </c>
      <c r="D23" s="47">
        <v>0</v>
      </c>
      <c r="E23" s="28">
        <f>ROUND(C23*-D23,0)-'[1]Sch II 2024 Yr 1'!E23</f>
        <v>0</v>
      </c>
      <c r="F23" s="48">
        <f>C23+E23+'[1]Sch II 2024 Yr 1'!E23</f>
        <v>0</v>
      </c>
      <c r="G23" s="48">
        <f t="shared" si="3"/>
        <v>0</v>
      </c>
      <c r="H23" s="49">
        <f t="shared" si="4"/>
        <v>0</v>
      </c>
      <c r="I23" s="25"/>
      <c r="J23" s="25">
        <v>15</v>
      </c>
      <c r="K23" s="50">
        <f>IFERROR(VLOOKUP(J23,'[1]Tax Rates'!$A$1:$AA$12,$K$18+1,FALSE),0)</f>
        <v>9.5000000000000001E-2</v>
      </c>
      <c r="L23" s="51">
        <f>+'[1]Sch II 2024 Yr 1'!P23</f>
        <v>0</v>
      </c>
      <c r="M23" s="48">
        <f t="shared" si="5"/>
        <v>0</v>
      </c>
      <c r="N23" s="48">
        <f t="shared" si="6"/>
        <v>0</v>
      </c>
      <c r="O23" s="28">
        <f>ROUND(K23*-H23,0)</f>
        <v>0</v>
      </c>
      <c r="P23" s="52">
        <f t="shared" si="7"/>
        <v>0</v>
      </c>
      <c r="Q23" s="25"/>
      <c r="R23" s="48">
        <f>C23+P23</f>
        <v>0</v>
      </c>
    </row>
    <row r="24" spans="1:18" x14ac:dyDescent="0.25">
      <c r="A24" s="25">
        <v>12</v>
      </c>
      <c r="B24" s="25" t="s">
        <v>49</v>
      </c>
      <c r="C24" s="30">
        <f t="shared" si="2"/>
        <v>163543.90999999997</v>
      </c>
      <c r="D24" s="115">
        <v>1</v>
      </c>
      <c r="E24" s="30">
        <f>ROUND(C24*-D24,0)-'[1]Sch II 2024 Yr 1'!E24</f>
        <v>-67493</v>
      </c>
      <c r="F24" s="53">
        <f>C24+E24+'[1]Sch II 2024 Yr 1'!E24</f>
        <v>-9.0000000025611371E-2</v>
      </c>
      <c r="G24" s="53">
        <f t="shared" si="3"/>
        <v>0</v>
      </c>
      <c r="H24" s="54">
        <f t="shared" si="4"/>
        <v>-9.0000000025611371E-2</v>
      </c>
      <c r="I24" s="25"/>
      <c r="J24" s="21" t="s">
        <v>50</v>
      </c>
      <c r="K24" s="55" t="s">
        <v>50</v>
      </c>
      <c r="L24" s="56">
        <f>+'[1]Sch II 2024 Yr 1'!P24</f>
        <v>-96051</v>
      </c>
      <c r="M24" s="53">
        <f t="shared" si="5"/>
        <v>-67493</v>
      </c>
      <c r="N24" s="57">
        <f t="shared" si="6"/>
        <v>0</v>
      </c>
      <c r="O24" s="30">
        <v>0</v>
      </c>
      <c r="P24" s="58">
        <f t="shared" si="7"/>
        <v>-163544</v>
      </c>
      <c r="Q24" s="25"/>
      <c r="R24" s="59" t="s">
        <v>50</v>
      </c>
    </row>
    <row r="25" spans="1:18" x14ac:dyDescent="0.25">
      <c r="A25" s="25"/>
      <c r="B25" s="25"/>
      <c r="C25" s="28">
        <f>SUM(C18:C24)</f>
        <v>8915083.5700000003</v>
      </c>
      <c r="D25" s="25"/>
      <c r="E25" s="28">
        <f>SUM(E19:E24)</f>
        <v>-5400536</v>
      </c>
      <c r="F25" s="28">
        <f>SUM(F19:F24)</f>
        <v>0.5699999998905696</v>
      </c>
      <c r="G25" s="28">
        <f>SUM(G19:G24)</f>
        <v>0</v>
      </c>
      <c r="H25" s="52">
        <f>SUM(H19:H24)</f>
        <v>0.5699999998905696</v>
      </c>
      <c r="I25" s="25"/>
      <c r="J25" s="25"/>
      <c r="K25" s="25"/>
      <c r="L25" s="52">
        <f>SUM(L19:L24)</f>
        <v>-3514547</v>
      </c>
      <c r="M25" s="28">
        <f>SUM(M19:M24)</f>
        <v>-5400536</v>
      </c>
      <c r="N25" s="28">
        <f>SUM(N19:N24)</f>
        <v>0</v>
      </c>
      <c r="O25" s="28">
        <f>SUM(O19:O24)</f>
        <v>0</v>
      </c>
      <c r="P25" s="52">
        <f>SUM(P19:P24)</f>
        <v>-8915083</v>
      </c>
      <c r="Q25" s="25"/>
      <c r="R25" s="48">
        <f>SUM(R19:R24)</f>
        <v>0.65999999991618097</v>
      </c>
    </row>
    <row r="26" spans="1:18" x14ac:dyDescent="0.25">
      <c r="A26" s="25"/>
      <c r="B26" s="25"/>
      <c r="C26" s="28"/>
      <c r="D26" s="25"/>
      <c r="E26" s="28"/>
      <c r="F26" s="28"/>
      <c r="G26" s="28"/>
      <c r="H26" s="52"/>
      <c r="I26" s="25"/>
      <c r="J26" s="52"/>
      <c r="K26" s="28"/>
      <c r="L26" s="28"/>
      <c r="M26" s="28"/>
      <c r="N26" s="52"/>
      <c r="O26" s="25"/>
      <c r="P26" s="25"/>
      <c r="Q26" s="25"/>
      <c r="R26" s="25"/>
    </row>
    <row r="27" spans="1:18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5">
      <c r="A28" s="25"/>
      <c r="B28" s="25"/>
      <c r="C28" s="25"/>
      <c r="D28" s="25"/>
      <c r="E28" s="28"/>
      <c r="F28" s="38" t="s">
        <v>43</v>
      </c>
      <c r="G28" s="60"/>
      <c r="H28" s="61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25">
      <c r="A29" s="25"/>
      <c r="B29" s="25"/>
      <c r="C29" s="25"/>
      <c r="D29" s="266" t="s">
        <v>32</v>
      </c>
      <c r="E29" s="266"/>
      <c r="F29" s="38" t="s">
        <v>34</v>
      </c>
      <c r="G29" s="38" t="s">
        <v>47</v>
      </c>
      <c r="H29" s="38" t="s">
        <v>33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5">
      <c r="A30" s="25"/>
      <c r="B30" s="25"/>
      <c r="C30" s="25"/>
      <c r="D30" s="39" t="s">
        <v>28</v>
      </c>
      <c r="E30" s="39" t="s">
        <v>9</v>
      </c>
      <c r="F30" s="39" t="s">
        <v>35</v>
      </c>
      <c r="G30" s="39" t="s">
        <v>8</v>
      </c>
      <c r="H30" s="39" t="s">
        <v>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5">
        <v>13</v>
      </c>
      <c r="B31" s="25" t="s">
        <v>42</v>
      </c>
      <c r="C31" s="25"/>
      <c r="D31" s="48">
        <f t="shared" ref="D31:D36" si="8">J6</f>
        <v>7271469.4199999999</v>
      </c>
      <c r="E31" s="48">
        <f t="shared" ref="E31:E36" si="9">R19</f>
        <v>0.41999999992549419</v>
      </c>
      <c r="F31" s="48">
        <f>E31-D31</f>
        <v>-7271469</v>
      </c>
      <c r="G31" s="62">
        <v>0.2495</v>
      </c>
      <c r="H31" s="48">
        <f>ROUND(F31*G31,0)</f>
        <v>-1814232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25">
        <v>14</v>
      </c>
      <c r="B32" s="25" t="s">
        <v>0</v>
      </c>
      <c r="C32" s="25"/>
      <c r="D32" s="48">
        <f>J7</f>
        <v>0</v>
      </c>
      <c r="E32" s="48">
        <f t="shared" si="9"/>
        <v>0</v>
      </c>
      <c r="F32" s="48">
        <f>E32-D32</f>
        <v>0</v>
      </c>
      <c r="G32" s="61">
        <f>G31</f>
        <v>0.2495</v>
      </c>
      <c r="H32" s="48">
        <f t="shared" ref="H32:H36" si="10">ROUND(F32*G32,0)</f>
        <v>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25">
        <v>15</v>
      </c>
      <c r="B33" s="25" t="s">
        <v>1</v>
      </c>
      <c r="C33" s="25"/>
      <c r="D33" s="48">
        <f t="shared" si="8"/>
        <v>1108122.24</v>
      </c>
      <c r="E33" s="48">
        <f t="shared" si="9"/>
        <v>0.23999999999068677</v>
      </c>
      <c r="F33" s="48">
        <f>E33-D33</f>
        <v>-1108122</v>
      </c>
      <c r="G33" s="61">
        <f>G31</f>
        <v>0.2495</v>
      </c>
      <c r="H33" s="48">
        <f t="shared" si="10"/>
        <v>-276476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25">
        <v>16</v>
      </c>
      <c r="B34" s="25" t="s">
        <v>13</v>
      </c>
      <c r="C34" s="25"/>
      <c r="D34" s="48">
        <f t="shared" si="8"/>
        <v>0</v>
      </c>
      <c r="E34" s="48">
        <f t="shared" si="9"/>
        <v>0</v>
      </c>
      <c r="F34" s="48">
        <f>E34-D34</f>
        <v>0</v>
      </c>
      <c r="G34" s="61">
        <f>G31</f>
        <v>0.2495</v>
      </c>
      <c r="H34" s="48">
        <f t="shared" si="10"/>
        <v>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25">
        <v>17</v>
      </c>
      <c r="B35" s="25" t="s">
        <v>12</v>
      </c>
      <c r="C35" s="25"/>
      <c r="D35" s="48">
        <f t="shared" si="8"/>
        <v>0</v>
      </c>
      <c r="E35" s="48">
        <f t="shared" si="9"/>
        <v>0</v>
      </c>
      <c r="F35" s="48">
        <f>E35-D35</f>
        <v>0</v>
      </c>
      <c r="G35" s="61">
        <f>G31</f>
        <v>0.2495</v>
      </c>
      <c r="H35" s="48">
        <f t="shared" si="10"/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25">
        <v>18</v>
      </c>
      <c r="B36" s="25" t="s">
        <v>49</v>
      </c>
      <c r="C36" s="25"/>
      <c r="D36" s="53">
        <f t="shared" si="8"/>
        <v>156084.90999999997</v>
      </c>
      <c r="E36" s="59" t="str">
        <f t="shared" si="9"/>
        <v>NA</v>
      </c>
      <c r="F36" s="53">
        <f>-D36</f>
        <v>-156084.90999999997</v>
      </c>
      <c r="G36" s="63">
        <f>G31</f>
        <v>0.2495</v>
      </c>
      <c r="H36" s="53">
        <f t="shared" si="10"/>
        <v>-38943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25"/>
      <c r="B37" s="25"/>
      <c r="C37" s="25"/>
      <c r="D37" s="48">
        <f>SUM(D31:D36)</f>
        <v>8535676.5700000003</v>
      </c>
      <c r="E37" s="48">
        <f>SUM(E31:E36)</f>
        <v>0.65999999991618097</v>
      </c>
      <c r="F37" s="48">
        <f>SUM(F31:F36)</f>
        <v>-8535675.9100000001</v>
      </c>
      <c r="G37" s="25"/>
      <c r="H37" s="48">
        <f>SUM(H31:H36)</f>
        <v>-2129651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9" spans="1:18" x14ac:dyDescent="0.25">
      <c r="A39" s="6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</sheetData>
  <mergeCells count="3">
    <mergeCell ref="F2:H2"/>
    <mergeCell ref="L16:P16"/>
    <mergeCell ref="D29:E29"/>
  </mergeCells>
  <pageMargins left="0.7" right="0.7" top="0.75" bottom="0.75" header="0.3" footer="0.3"/>
  <pageSetup scale="6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0"/>
  <sheetViews>
    <sheetView zoomScaleNormal="100" workbookViewId="0">
      <selection activeCell="R3" sqref="R3"/>
    </sheetView>
  </sheetViews>
  <sheetFormatPr defaultRowHeight="15" x14ac:dyDescent="0.25"/>
  <cols>
    <col min="1" max="1" width="3" customWidth="1"/>
    <col min="2" max="2" width="18.5703125" bestFit="1" customWidth="1"/>
    <col min="3" max="4" width="12.7109375" customWidth="1"/>
    <col min="5" max="5" width="11.28515625" bestFit="1" customWidth="1"/>
    <col min="6" max="6" width="12.7109375" customWidth="1"/>
    <col min="7" max="7" width="12.42578125" bestFit="1" customWidth="1"/>
    <col min="8" max="8" width="13.140625" bestFit="1" customWidth="1"/>
    <col min="9" max="9" width="2.7109375" customWidth="1"/>
    <col min="10" max="10" width="10.7109375" customWidth="1"/>
    <col min="11" max="11" width="8.140625" bestFit="1" customWidth="1"/>
    <col min="12" max="12" width="9.85546875" bestFit="1" customWidth="1"/>
    <col min="13" max="14" width="11.28515625" bestFit="1" customWidth="1"/>
    <col min="15" max="15" width="8.42578125" bestFit="1" customWidth="1"/>
    <col min="16" max="16" width="11.28515625" bestFit="1" customWidth="1"/>
    <col min="17" max="17" width="2.7109375" customWidth="1"/>
    <col min="18" max="18" width="13.7109375" bestFit="1" customWidth="1"/>
  </cols>
  <sheetData>
    <row r="1" spans="1:18" x14ac:dyDescent="0.25">
      <c r="A1" s="14" t="s">
        <v>20</v>
      </c>
      <c r="B1" s="82"/>
      <c r="C1" s="82">
        <v>2025</v>
      </c>
      <c r="R1" s="106" t="s">
        <v>110</v>
      </c>
    </row>
    <row r="2" spans="1:18" x14ac:dyDescent="0.25">
      <c r="A2" s="14" t="s">
        <v>41</v>
      </c>
      <c r="D2" s="9"/>
      <c r="F2" s="269" t="s">
        <v>29</v>
      </c>
      <c r="G2" s="269"/>
      <c r="H2" s="269"/>
      <c r="R2" s="106" t="s">
        <v>178</v>
      </c>
    </row>
    <row r="3" spans="1:18" x14ac:dyDescent="0.25">
      <c r="D3" s="10" t="s">
        <v>31</v>
      </c>
      <c r="G3" s="9"/>
      <c r="J3" s="10" t="s">
        <v>28</v>
      </c>
    </row>
    <row r="4" spans="1:18" x14ac:dyDescent="0.25">
      <c r="C4" s="10">
        <v>2025</v>
      </c>
      <c r="D4" s="10" t="s">
        <v>19</v>
      </c>
      <c r="F4" s="10"/>
      <c r="G4" s="10" t="s">
        <v>2</v>
      </c>
      <c r="H4" s="10"/>
      <c r="J4" s="10" t="s">
        <v>36</v>
      </c>
      <c r="O4" s="10" t="s">
        <v>53</v>
      </c>
      <c r="P4" s="10" t="s">
        <v>53</v>
      </c>
    </row>
    <row r="5" spans="1:18" x14ac:dyDescent="0.25">
      <c r="C5" s="72" t="s">
        <v>15</v>
      </c>
      <c r="D5" s="7">
        <v>1</v>
      </c>
      <c r="F5" s="72" t="s">
        <v>16</v>
      </c>
      <c r="G5" s="72" t="s">
        <v>11</v>
      </c>
      <c r="H5" s="72" t="s">
        <v>17</v>
      </c>
      <c r="J5" s="72" t="s">
        <v>37</v>
      </c>
      <c r="O5" s="72" t="s">
        <v>8</v>
      </c>
      <c r="P5" s="72" t="s">
        <v>10</v>
      </c>
    </row>
    <row r="6" spans="1:18" x14ac:dyDescent="0.25">
      <c r="A6">
        <v>1</v>
      </c>
      <c r="B6" t="s">
        <v>42</v>
      </c>
      <c r="C6" s="1">
        <f>'Schedule IV 2025 Monthly'!P15</f>
        <v>4051890.1915384606</v>
      </c>
      <c r="D6" s="97">
        <v>3.0499999999999999E-2</v>
      </c>
      <c r="F6" s="1">
        <v>0</v>
      </c>
      <c r="G6" s="12">
        <f>ROUND(IF(D$5=1,-D6*C6,-D6*C6),0)</f>
        <v>-123583</v>
      </c>
      <c r="H6" s="12">
        <f t="shared" ref="H6:H11" si="0">SUM(F6:G6)</f>
        <v>-123583</v>
      </c>
      <c r="J6" s="5">
        <f t="shared" ref="J6:J11" si="1">C6+H6</f>
        <v>3928307.1915384606</v>
      </c>
      <c r="O6" s="8">
        <v>1E-4</v>
      </c>
      <c r="P6" s="11">
        <f>ROUND(IF(D$5=1,-O6*C6,-O6*C6),0)</f>
        <v>-405</v>
      </c>
    </row>
    <row r="7" spans="1:18" x14ac:dyDescent="0.25">
      <c r="A7">
        <v>2</v>
      </c>
      <c r="B7" t="s">
        <v>0</v>
      </c>
      <c r="C7" s="1">
        <f>'Schedule IV 2025 Monthly'!Q21</f>
        <v>0</v>
      </c>
      <c r="D7" s="97">
        <v>2.8799999999999999E-2</v>
      </c>
      <c r="F7" s="1">
        <v>0</v>
      </c>
      <c r="G7" s="12">
        <f>ROUND(IF(D$5=1,-0.5*D7*C7,-D7*C7),0)</f>
        <v>0</v>
      </c>
      <c r="H7" s="12">
        <f t="shared" si="0"/>
        <v>0</v>
      </c>
      <c r="J7" s="5">
        <f t="shared" si="1"/>
        <v>0</v>
      </c>
      <c r="O7" s="8">
        <v>2.0000000000000001E-4</v>
      </c>
      <c r="P7" s="5">
        <f>ROUND(IF(D$5=1,-O7*C7,-O7*C7),0)</f>
        <v>0</v>
      </c>
    </row>
    <row r="8" spans="1:18" x14ac:dyDescent="0.25">
      <c r="A8">
        <v>3</v>
      </c>
      <c r="B8" t="s">
        <v>1</v>
      </c>
      <c r="C8" s="1">
        <f>'Schedule IV 2025 Monthly'!P18</f>
        <v>144262.71076923076</v>
      </c>
      <c r="D8" s="97">
        <v>3.1E-2</v>
      </c>
      <c r="F8" s="1">
        <v>0</v>
      </c>
      <c r="G8" s="12">
        <f>ROUND(IF(D$5=1,-D8*C8,-D8*C8),0)</f>
        <v>-4472</v>
      </c>
      <c r="H8" s="12">
        <f t="shared" si="0"/>
        <v>-4472</v>
      </c>
      <c r="J8" s="5">
        <f t="shared" si="1"/>
        <v>139790.71076923076</v>
      </c>
      <c r="O8" s="8">
        <v>4.1999999999999997E-3</v>
      </c>
      <c r="P8" s="5">
        <f>ROUND(IF(D$5=1,-O8*C8,-O8*C8),0)</f>
        <v>-606</v>
      </c>
    </row>
    <row r="9" spans="1:18" x14ac:dyDescent="0.25">
      <c r="A9">
        <v>4</v>
      </c>
      <c r="B9" t="s">
        <v>13</v>
      </c>
      <c r="C9" s="1"/>
      <c r="D9" s="97">
        <v>2.2499999999999999E-2</v>
      </c>
      <c r="F9" s="1">
        <v>0</v>
      </c>
      <c r="G9" s="12">
        <f>ROUND(IF(D$5=1,-0.5*D9*C9,-D9*C9),0)</f>
        <v>0</v>
      </c>
      <c r="H9" s="12">
        <f t="shared" si="0"/>
        <v>0</v>
      </c>
      <c r="J9" s="5">
        <f t="shared" si="1"/>
        <v>0</v>
      </c>
      <c r="O9" s="8">
        <v>0</v>
      </c>
      <c r="P9" s="5">
        <f>IF(D$5=1,-0.5*O9*C9,-O9*C9)</f>
        <v>0</v>
      </c>
    </row>
    <row r="10" spans="1:18" x14ac:dyDescent="0.25">
      <c r="A10">
        <v>5</v>
      </c>
      <c r="B10" t="s">
        <v>12</v>
      </c>
      <c r="C10" s="1"/>
      <c r="D10" s="97">
        <v>2.0500000000000001E-2</v>
      </c>
      <c r="F10" s="1">
        <v>0</v>
      </c>
      <c r="G10" s="12">
        <f>ROUND(IF(D$5=1,-0.5*D10*C10,-D10*C10),0)</f>
        <v>0</v>
      </c>
      <c r="H10" s="12">
        <f t="shared" si="0"/>
        <v>0</v>
      </c>
      <c r="J10" s="5">
        <f t="shared" si="1"/>
        <v>0</v>
      </c>
      <c r="O10" s="8">
        <v>0</v>
      </c>
      <c r="P10" s="5">
        <f>IF(D$5=1,-0.5*O10*C10,-O10*C10)</f>
        <v>0</v>
      </c>
    </row>
    <row r="11" spans="1:18" x14ac:dyDescent="0.25">
      <c r="A11">
        <v>6</v>
      </c>
      <c r="B11" t="s">
        <v>49</v>
      </c>
      <c r="C11" s="2">
        <f>'Schedule IV 2025 Monthly'!P6</f>
        <v>114747.61538461539</v>
      </c>
      <c r="D11" s="4" t="s">
        <v>48</v>
      </c>
      <c r="F11" s="2">
        <v>0</v>
      </c>
      <c r="G11" s="13">
        <f>P12</f>
        <v>-1011</v>
      </c>
      <c r="H11" s="13">
        <f t="shared" si="0"/>
        <v>-1011</v>
      </c>
      <c r="J11" s="6">
        <f t="shared" si="1"/>
        <v>113736.61538461539</v>
      </c>
      <c r="O11" s="15">
        <v>0</v>
      </c>
      <c r="P11" s="6">
        <f>IF(D$5=1,-0.5*O11*C11,-O11*C11)</f>
        <v>0</v>
      </c>
    </row>
    <row r="12" spans="1:18" x14ac:dyDescent="0.25">
      <c r="C12" s="12">
        <f>SUM(C6:C11)</f>
        <v>4310900.5176923061</v>
      </c>
      <c r="D12" s="12"/>
      <c r="F12" s="1">
        <f>SUM(F5:F11)</f>
        <v>0</v>
      </c>
      <c r="G12" s="12">
        <f>SUM(G5:G11)</f>
        <v>-129066</v>
      </c>
      <c r="H12" s="12">
        <f>SUM(H5:H11)</f>
        <v>-129066</v>
      </c>
      <c r="J12" s="5">
        <f>SUM(J6:J11)</f>
        <v>4181834.517692307</v>
      </c>
      <c r="O12" s="5"/>
      <c r="P12" s="11">
        <f>SUM(P5:P11)</f>
        <v>-1011</v>
      </c>
    </row>
    <row r="13" spans="1:18" x14ac:dyDescent="0.25">
      <c r="C13" s="12"/>
      <c r="D13" s="12"/>
      <c r="E13" s="12"/>
      <c r="F13" s="12"/>
      <c r="M13" s="10"/>
    </row>
    <row r="14" spans="1:18" x14ac:dyDescent="0.25">
      <c r="M14" s="10"/>
    </row>
    <row r="15" spans="1:18" x14ac:dyDescent="0.25">
      <c r="D15" s="10"/>
    </row>
    <row r="16" spans="1:18" x14ac:dyDescent="0.25">
      <c r="A16" s="25"/>
      <c r="B16" s="25"/>
      <c r="C16" s="25"/>
      <c r="D16" s="38" t="s">
        <v>23</v>
      </c>
      <c r="E16" s="25"/>
      <c r="F16" s="25"/>
      <c r="G16" s="45">
        <v>0</v>
      </c>
      <c r="H16" s="25"/>
      <c r="I16" s="25"/>
      <c r="J16" s="46"/>
      <c r="K16" s="38" t="s">
        <v>18</v>
      </c>
      <c r="L16" s="266" t="s">
        <v>30</v>
      </c>
      <c r="M16" s="266"/>
      <c r="N16" s="266"/>
      <c r="O16" s="266"/>
      <c r="P16" s="266"/>
      <c r="Q16" s="25"/>
      <c r="R16" s="38" t="s">
        <v>9</v>
      </c>
    </row>
    <row r="17" spans="1:18" x14ac:dyDescent="0.25">
      <c r="A17" s="25"/>
      <c r="B17" s="25"/>
      <c r="C17" s="38" t="s">
        <v>28</v>
      </c>
      <c r="D17" s="38" t="s">
        <v>11</v>
      </c>
      <c r="E17" s="38" t="s">
        <v>9</v>
      </c>
      <c r="F17" s="38" t="s">
        <v>9</v>
      </c>
      <c r="G17" s="38" t="s">
        <v>22</v>
      </c>
      <c r="H17" s="38" t="s">
        <v>26</v>
      </c>
      <c r="I17" s="25"/>
      <c r="J17" s="38"/>
      <c r="K17" s="38" t="s">
        <v>21</v>
      </c>
      <c r="L17" s="38"/>
      <c r="M17" s="38" t="s">
        <v>9</v>
      </c>
      <c r="N17" s="38" t="s">
        <v>22</v>
      </c>
      <c r="O17" s="38" t="s">
        <v>18</v>
      </c>
      <c r="P17" s="38"/>
      <c r="Q17" s="25"/>
      <c r="R17" s="38" t="s">
        <v>36</v>
      </c>
    </row>
    <row r="18" spans="1:18" x14ac:dyDescent="0.25">
      <c r="A18" s="25"/>
      <c r="B18" s="25"/>
      <c r="C18" s="39" t="s">
        <v>15</v>
      </c>
      <c r="D18" s="39" t="s">
        <v>24</v>
      </c>
      <c r="E18" s="39" t="s">
        <v>11</v>
      </c>
      <c r="F18" s="39" t="s">
        <v>25</v>
      </c>
      <c r="G18" s="39" t="s">
        <v>2</v>
      </c>
      <c r="H18" s="39" t="s">
        <v>27</v>
      </c>
      <c r="I18" s="25"/>
      <c r="J18" s="39" t="s">
        <v>14</v>
      </c>
      <c r="K18" s="39">
        <f>D5</f>
        <v>1</v>
      </c>
      <c r="L18" s="39" t="s">
        <v>16</v>
      </c>
      <c r="M18" s="39" t="s">
        <v>11</v>
      </c>
      <c r="N18" s="39" t="s">
        <v>10</v>
      </c>
      <c r="O18" s="39" t="s">
        <v>10</v>
      </c>
      <c r="P18" s="39" t="s">
        <v>17</v>
      </c>
      <c r="Q18" s="25"/>
      <c r="R18" s="39" t="s">
        <v>37</v>
      </c>
    </row>
    <row r="19" spans="1:18" x14ac:dyDescent="0.25">
      <c r="A19" s="25">
        <v>7</v>
      </c>
      <c r="B19" s="25" t="s">
        <v>42</v>
      </c>
      <c r="C19" s="28">
        <f t="shared" ref="C19:C24" si="2">C6</f>
        <v>4051890.1915384606</v>
      </c>
      <c r="D19" s="83">
        <f>100%-'Schedule IV 2025'!J145</f>
        <v>0.98097047962728467</v>
      </c>
      <c r="E19" s="28">
        <f>ROUND(C19*-D19,0)</f>
        <v>-3974785</v>
      </c>
      <c r="F19" s="48">
        <f>C19+E19</f>
        <v>77105.191538460553</v>
      </c>
      <c r="G19" s="48">
        <f t="shared" ref="G19:G24" si="3">ROUND(F19*-$G$16,0)</f>
        <v>0</v>
      </c>
      <c r="H19" s="49">
        <f t="shared" ref="H19:H24" si="4">F19+G19</f>
        <v>77105.191538460553</v>
      </c>
      <c r="I19" s="25"/>
      <c r="J19" s="25">
        <v>20</v>
      </c>
      <c r="K19" s="50">
        <f>IFERROR(VLOOKUP(J19,'Tax Rates'!$A$1:$AA$12,$K$18+1,FALSE),0)</f>
        <v>3.7499999999999999E-2</v>
      </c>
      <c r="L19" s="51">
        <v>0</v>
      </c>
      <c r="M19" s="48">
        <f t="shared" ref="M19:M24" si="5">E19</f>
        <v>-3974785</v>
      </c>
      <c r="N19" s="48">
        <f t="shared" ref="N19:N24" si="6">G19</f>
        <v>0</v>
      </c>
      <c r="O19" s="28">
        <f>ROUND(K19*-H19,0)</f>
        <v>-2891</v>
      </c>
      <c r="P19" s="52">
        <f t="shared" ref="P19:P24" si="7">SUM(L19:O19)</f>
        <v>-3977676</v>
      </c>
      <c r="Q19" s="25"/>
      <c r="R19" s="48">
        <f>C19+P19</f>
        <v>74214.191538460553</v>
      </c>
    </row>
    <row r="20" spans="1:18" x14ac:dyDescent="0.25">
      <c r="A20" s="25">
        <v>8</v>
      </c>
      <c r="B20" s="25" t="s">
        <v>0</v>
      </c>
      <c r="C20" s="34">
        <f t="shared" si="2"/>
        <v>0</v>
      </c>
      <c r="D20" s="83">
        <f>100%</f>
        <v>1</v>
      </c>
      <c r="E20" s="28">
        <f>ROUND(C20*-D20,0)</f>
        <v>0</v>
      </c>
      <c r="F20" s="48">
        <f>C20+E20</f>
        <v>0</v>
      </c>
      <c r="G20" s="48">
        <f t="shared" si="3"/>
        <v>0</v>
      </c>
      <c r="H20" s="49">
        <f t="shared" si="4"/>
        <v>0</v>
      </c>
      <c r="I20" s="25"/>
      <c r="J20" s="25">
        <v>15</v>
      </c>
      <c r="K20" s="50">
        <f>IFERROR(VLOOKUP(J20,'Tax Rates'!$A$1:$AA$12,$K$18+1,FALSE),0)</f>
        <v>0.05</v>
      </c>
      <c r="L20" s="51">
        <v>0</v>
      </c>
      <c r="M20" s="48">
        <f t="shared" si="5"/>
        <v>0</v>
      </c>
      <c r="N20" s="48">
        <f t="shared" si="6"/>
        <v>0</v>
      </c>
      <c r="O20" s="28">
        <f>ROUND(K20*-H20,0)</f>
        <v>0</v>
      </c>
      <c r="P20" s="52">
        <f t="shared" si="7"/>
        <v>0</v>
      </c>
      <c r="Q20" s="25"/>
      <c r="R20" s="48">
        <f>C20+P20</f>
        <v>0</v>
      </c>
    </row>
    <row r="21" spans="1:18" x14ac:dyDescent="0.25">
      <c r="A21" s="25">
        <v>9</v>
      </c>
      <c r="B21" s="25" t="s">
        <v>1</v>
      </c>
      <c r="C21" s="34">
        <f t="shared" si="2"/>
        <v>144262.71076923076</v>
      </c>
      <c r="D21" s="84">
        <v>1</v>
      </c>
      <c r="E21" s="28">
        <f>ROUND(C21*-D21,0)</f>
        <v>-144263</v>
      </c>
      <c r="F21" s="48">
        <f>C21+E21</f>
        <v>-0.2892307692382019</v>
      </c>
      <c r="G21" s="48">
        <f t="shared" si="3"/>
        <v>0</v>
      </c>
      <c r="H21" s="49">
        <f t="shared" si="4"/>
        <v>-0.2892307692382019</v>
      </c>
      <c r="I21" s="25"/>
      <c r="J21" s="25">
        <v>20</v>
      </c>
      <c r="K21" s="50">
        <f>IFERROR(VLOOKUP(J21,'Tax Rates'!$A$1:$AA$12,$K$18+1,FALSE),0)</f>
        <v>3.7499999999999999E-2</v>
      </c>
      <c r="L21" s="51">
        <v>0</v>
      </c>
      <c r="M21" s="48">
        <f t="shared" si="5"/>
        <v>-144263</v>
      </c>
      <c r="N21" s="48">
        <f t="shared" si="6"/>
        <v>0</v>
      </c>
      <c r="O21" s="28">
        <f>ROUND(K21*-H21,0)</f>
        <v>0</v>
      </c>
      <c r="P21" s="52">
        <f t="shared" si="7"/>
        <v>-144263</v>
      </c>
      <c r="Q21" s="25"/>
      <c r="R21" s="48">
        <f>C21+P21</f>
        <v>-0.2892307692382019</v>
      </c>
    </row>
    <row r="22" spans="1:18" x14ac:dyDescent="0.25">
      <c r="A22" s="25">
        <v>10</v>
      </c>
      <c r="B22" s="25" t="s">
        <v>13</v>
      </c>
      <c r="C22" s="34">
        <f t="shared" si="2"/>
        <v>0</v>
      </c>
      <c r="D22" s="47">
        <v>0</v>
      </c>
      <c r="E22" s="28">
        <f t="shared" ref="E22:E24" si="8">ROUND(C22*-D22,0)</f>
        <v>0</v>
      </c>
      <c r="F22" s="48">
        <f>C22+E22</f>
        <v>0</v>
      </c>
      <c r="G22" s="48">
        <f t="shared" si="3"/>
        <v>0</v>
      </c>
      <c r="H22" s="49">
        <f t="shared" si="4"/>
        <v>0</v>
      </c>
      <c r="I22" s="25"/>
      <c r="J22" s="25">
        <v>7</v>
      </c>
      <c r="K22" s="50">
        <f>IFERROR(VLOOKUP(J22,'Tax Rates'!$A$1:$AA$12,$K$18+1,FALSE),0)</f>
        <v>0.1429</v>
      </c>
      <c r="L22" s="51">
        <v>0</v>
      </c>
      <c r="M22" s="48">
        <f t="shared" si="5"/>
        <v>0</v>
      </c>
      <c r="N22" s="48">
        <f t="shared" si="6"/>
        <v>0</v>
      </c>
      <c r="O22" s="28">
        <f>ROUND(K22*-H22,0)</f>
        <v>0</v>
      </c>
      <c r="P22" s="52">
        <f t="shared" si="7"/>
        <v>0</v>
      </c>
      <c r="Q22" s="25"/>
      <c r="R22" s="48">
        <f>C22+P22</f>
        <v>0</v>
      </c>
    </row>
    <row r="23" spans="1:18" x14ac:dyDescent="0.25">
      <c r="A23" s="25">
        <v>11</v>
      </c>
      <c r="B23" s="25" t="s">
        <v>12</v>
      </c>
      <c r="C23" s="34">
        <f t="shared" si="2"/>
        <v>0</v>
      </c>
      <c r="D23" s="47">
        <v>0</v>
      </c>
      <c r="E23" s="28">
        <f t="shared" si="8"/>
        <v>0</v>
      </c>
      <c r="F23" s="48">
        <f>C23+E23</f>
        <v>0</v>
      </c>
      <c r="G23" s="48">
        <f t="shared" si="3"/>
        <v>0</v>
      </c>
      <c r="H23" s="49">
        <f t="shared" si="4"/>
        <v>0</v>
      </c>
      <c r="I23" s="25"/>
      <c r="J23" s="25">
        <v>15</v>
      </c>
      <c r="K23" s="50">
        <f>IFERROR(VLOOKUP(J23,'Tax Rates'!$A$1:$AA$12,$K$18+1,FALSE),0)</f>
        <v>0.05</v>
      </c>
      <c r="L23" s="51">
        <v>0</v>
      </c>
      <c r="M23" s="48">
        <f t="shared" si="5"/>
        <v>0</v>
      </c>
      <c r="N23" s="48">
        <f t="shared" si="6"/>
        <v>0</v>
      </c>
      <c r="O23" s="28">
        <f>ROUND(K23*-H23,0)</f>
        <v>0</v>
      </c>
      <c r="P23" s="52">
        <f t="shared" si="7"/>
        <v>0</v>
      </c>
      <c r="Q23" s="25"/>
      <c r="R23" s="48">
        <f>C23+P23</f>
        <v>0</v>
      </c>
    </row>
    <row r="24" spans="1:18" x14ac:dyDescent="0.25">
      <c r="A24" s="25">
        <v>12</v>
      </c>
      <c r="B24" s="25" t="s">
        <v>49</v>
      </c>
      <c r="C24" s="30">
        <f t="shared" si="2"/>
        <v>114747.61538461539</v>
      </c>
      <c r="D24" s="115">
        <v>1</v>
      </c>
      <c r="E24" s="30">
        <f t="shared" si="8"/>
        <v>-114748</v>
      </c>
      <c r="F24" s="53">
        <v>0</v>
      </c>
      <c r="G24" s="53">
        <f t="shared" si="3"/>
        <v>0</v>
      </c>
      <c r="H24" s="54">
        <f t="shared" si="4"/>
        <v>0</v>
      </c>
      <c r="I24" s="25"/>
      <c r="J24" s="21" t="s">
        <v>50</v>
      </c>
      <c r="K24" s="55" t="s">
        <v>50</v>
      </c>
      <c r="L24" s="56">
        <v>0</v>
      </c>
      <c r="M24" s="53">
        <f t="shared" si="5"/>
        <v>-114748</v>
      </c>
      <c r="N24" s="57">
        <f t="shared" si="6"/>
        <v>0</v>
      </c>
      <c r="O24" s="30">
        <v>0</v>
      </c>
      <c r="P24" s="58">
        <f t="shared" si="7"/>
        <v>-114748</v>
      </c>
      <c r="Q24" s="25"/>
      <c r="R24" s="59" t="s">
        <v>50</v>
      </c>
    </row>
    <row r="25" spans="1:18" x14ac:dyDescent="0.25">
      <c r="A25" s="25"/>
      <c r="B25" s="25"/>
      <c r="C25" s="28">
        <f>SUM(C18:C24)</f>
        <v>4310900.5176923061</v>
      </c>
      <c r="D25" s="25"/>
      <c r="E25" s="28">
        <f>SUM(E19:E24)</f>
        <v>-4233796</v>
      </c>
      <c r="F25" s="28">
        <f>SUM(F19:F24)</f>
        <v>77104.902307691314</v>
      </c>
      <c r="G25" s="28">
        <f>SUM(G19:G24)</f>
        <v>0</v>
      </c>
      <c r="H25" s="52">
        <f>SUM(H19:H24)</f>
        <v>77104.902307691314</v>
      </c>
      <c r="I25" s="25"/>
      <c r="J25" s="25"/>
      <c r="K25" s="25"/>
      <c r="L25" s="52">
        <f>SUM(L19:L24)</f>
        <v>0</v>
      </c>
      <c r="M25" s="28">
        <f>SUM(M19:M24)</f>
        <v>-4233796</v>
      </c>
      <c r="N25" s="28">
        <f>SUM(N19:N24)</f>
        <v>0</v>
      </c>
      <c r="O25" s="28">
        <f>SUM(O19:O24)</f>
        <v>-2891</v>
      </c>
      <c r="P25" s="52">
        <f>SUM(P19:P24)</f>
        <v>-4236687</v>
      </c>
      <c r="Q25" s="25"/>
      <c r="R25" s="48">
        <f>SUM(R19:R24)</f>
        <v>74213.902307691314</v>
      </c>
    </row>
    <row r="26" spans="1:18" x14ac:dyDescent="0.25">
      <c r="A26" s="25"/>
      <c r="B26" s="25"/>
      <c r="C26" s="28"/>
      <c r="D26" s="25"/>
      <c r="E26" s="28"/>
      <c r="F26" s="28"/>
      <c r="G26" s="28"/>
      <c r="H26" s="52"/>
      <c r="I26" s="25"/>
      <c r="J26" s="52"/>
      <c r="K26" s="28"/>
      <c r="L26" s="28"/>
      <c r="M26" s="28"/>
      <c r="N26" s="52"/>
      <c r="O26" s="25"/>
      <c r="P26" s="25"/>
      <c r="Q26" s="25"/>
      <c r="R26" s="25"/>
    </row>
    <row r="27" spans="1:18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5">
      <c r="A28" s="25"/>
      <c r="B28" s="25"/>
      <c r="C28" s="25"/>
      <c r="D28" s="25"/>
      <c r="E28" s="28"/>
      <c r="F28" s="38" t="s">
        <v>43</v>
      </c>
      <c r="G28" s="60"/>
      <c r="H28" s="61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18" x14ac:dyDescent="0.25">
      <c r="A29" s="25"/>
      <c r="B29" s="25"/>
      <c r="C29" s="25"/>
      <c r="D29" s="266" t="s">
        <v>32</v>
      </c>
      <c r="E29" s="266"/>
      <c r="F29" s="38" t="s">
        <v>34</v>
      </c>
      <c r="G29" s="38" t="s">
        <v>47</v>
      </c>
      <c r="H29" s="38" t="s">
        <v>33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5">
      <c r="A30" s="25"/>
      <c r="B30" s="25"/>
      <c r="C30" s="25"/>
      <c r="D30" s="39" t="s">
        <v>28</v>
      </c>
      <c r="E30" s="39" t="s">
        <v>9</v>
      </c>
      <c r="F30" s="39" t="s">
        <v>35</v>
      </c>
      <c r="G30" s="39" t="s">
        <v>8</v>
      </c>
      <c r="H30" s="39" t="s">
        <v>3</v>
      </c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5">
        <v>13</v>
      </c>
      <c r="B31" s="25" t="s">
        <v>42</v>
      </c>
      <c r="C31" s="25"/>
      <c r="D31" s="48">
        <f t="shared" ref="D31:D36" si="9">J6</f>
        <v>3928307.1915384606</v>
      </c>
      <c r="E31" s="48">
        <f t="shared" ref="E31:E36" si="10">R19</f>
        <v>74214.191538460553</v>
      </c>
      <c r="F31" s="48">
        <f>E31-D31</f>
        <v>-3854093</v>
      </c>
      <c r="G31" s="62">
        <v>0.2495</v>
      </c>
      <c r="H31" s="48">
        <f>ROUND(F31*G31,0)</f>
        <v>-961596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25">
        <v>14</v>
      </c>
      <c r="B32" s="25" t="s">
        <v>0</v>
      </c>
      <c r="C32" s="25"/>
      <c r="D32" s="48">
        <f t="shared" si="9"/>
        <v>0</v>
      </c>
      <c r="E32" s="48">
        <f t="shared" si="10"/>
        <v>0</v>
      </c>
      <c r="F32" s="48">
        <f>E32-D32</f>
        <v>0</v>
      </c>
      <c r="G32" s="61">
        <f>G31</f>
        <v>0.2495</v>
      </c>
      <c r="H32" s="48">
        <f t="shared" ref="H32:H36" si="11">ROUND(F32*G32,0)</f>
        <v>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25">
        <v>15</v>
      </c>
      <c r="B33" s="25" t="s">
        <v>1</v>
      </c>
      <c r="C33" s="25"/>
      <c r="D33" s="48">
        <f t="shared" si="9"/>
        <v>139790.71076923076</v>
      </c>
      <c r="E33" s="48">
        <f t="shared" si="10"/>
        <v>-0.2892307692382019</v>
      </c>
      <c r="F33" s="48">
        <f>E33-D33</f>
        <v>-139791</v>
      </c>
      <c r="G33" s="61">
        <f>G31</f>
        <v>0.2495</v>
      </c>
      <c r="H33" s="48">
        <f t="shared" si="11"/>
        <v>-34878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25">
        <v>16</v>
      </c>
      <c r="B34" s="25" t="s">
        <v>13</v>
      </c>
      <c r="C34" s="25"/>
      <c r="D34" s="48">
        <f t="shared" si="9"/>
        <v>0</v>
      </c>
      <c r="E34" s="48">
        <f t="shared" si="10"/>
        <v>0</v>
      </c>
      <c r="F34" s="48">
        <f>E34-D34</f>
        <v>0</v>
      </c>
      <c r="G34" s="61">
        <f>G31</f>
        <v>0.2495</v>
      </c>
      <c r="H34" s="48">
        <f t="shared" si="11"/>
        <v>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25">
        <v>17</v>
      </c>
      <c r="B35" s="25" t="s">
        <v>12</v>
      </c>
      <c r="C35" s="25"/>
      <c r="D35" s="48">
        <f t="shared" si="9"/>
        <v>0</v>
      </c>
      <c r="E35" s="48">
        <f t="shared" si="10"/>
        <v>0</v>
      </c>
      <c r="F35" s="48">
        <f>E35-D35</f>
        <v>0</v>
      </c>
      <c r="G35" s="61">
        <f>G31</f>
        <v>0.2495</v>
      </c>
      <c r="H35" s="48">
        <f t="shared" si="11"/>
        <v>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25">
        <v>18</v>
      </c>
      <c r="B36" s="25" t="s">
        <v>49</v>
      </c>
      <c r="C36" s="25"/>
      <c r="D36" s="53">
        <f t="shared" si="9"/>
        <v>113736.61538461539</v>
      </c>
      <c r="E36" s="59" t="str">
        <f t="shared" si="10"/>
        <v>NA</v>
      </c>
      <c r="F36" s="53">
        <f>-D36</f>
        <v>-113736.61538461539</v>
      </c>
      <c r="G36" s="63">
        <f>G31</f>
        <v>0.2495</v>
      </c>
      <c r="H36" s="53">
        <f t="shared" si="11"/>
        <v>-28377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25"/>
      <c r="B37" s="25"/>
      <c r="C37" s="25"/>
      <c r="D37" s="48">
        <f>SUM(D31:D36)</f>
        <v>4181834.517692307</v>
      </c>
      <c r="E37" s="48">
        <f>SUM(E31:E36)</f>
        <v>74213.902307691314</v>
      </c>
      <c r="F37" s="48">
        <f>SUM(F31:F36)</f>
        <v>-4107620.6153846155</v>
      </c>
      <c r="G37" s="25"/>
      <c r="H37" s="48">
        <f>SUM(H31:H36)</f>
        <v>-1024851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9" spans="1:18" x14ac:dyDescent="0.25">
      <c r="A39" s="6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</sheetData>
  <mergeCells count="3">
    <mergeCell ref="F2:H2"/>
    <mergeCell ref="L16:P16"/>
    <mergeCell ref="D29:E29"/>
  </mergeCells>
  <pageMargins left="0.7" right="0.7" top="0.75" bottom="0.75" header="0.3" footer="0.3"/>
  <pageSetup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17B9-0743-497E-B9BC-658416B43F93}">
  <sheetPr>
    <pageSetUpPr fitToPage="1"/>
  </sheetPr>
  <dimension ref="A1:X35"/>
  <sheetViews>
    <sheetView view="pageLayout" zoomScaleNormal="100" zoomScaleSheetLayoutView="100" workbookViewId="0">
      <selection activeCell="G28" sqref="G28"/>
    </sheetView>
  </sheetViews>
  <sheetFormatPr defaultColWidth="9.140625" defaultRowHeight="12" x14ac:dyDescent="0.2"/>
  <cols>
    <col min="1" max="1" width="24.85546875" style="242" bestFit="1" customWidth="1"/>
    <col min="2" max="3" width="9" style="242" bestFit="1" customWidth="1"/>
    <col min="4" max="4" width="9.85546875" style="242" bestFit="1" customWidth="1"/>
    <col min="5" max="5" width="1.7109375" style="242" customWidth="1"/>
    <col min="6" max="6" width="9" style="242" bestFit="1" customWidth="1"/>
    <col min="7" max="8" width="9" style="243" bestFit="1" customWidth="1"/>
    <col min="9" max="9" width="9.85546875" style="242" bestFit="1" customWidth="1"/>
    <col min="10" max="10" width="1.42578125" style="242" customWidth="1"/>
    <col min="11" max="14" width="9" style="242" bestFit="1" customWidth="1"/>
    <col min="15" max="15" width="9.85546875" style="242" bestFit="1" customWidth="1"/>
    <col min="16" max="16" width="2" style="242" customWidth="1"/>
    <col min="17" max="18" width="7.7109375" style="242" bestFit="1" customWidth="1"/>
    <col min="19" max="19" width="6.85546875" style="242" bestFit="1" customWidth="1"/>
    <col min="20" max="20" width="9.85546875" style="242" bestFit="1" customWidth="1"/>
    <col min="21" max="21" width="2" style="242" customWidth="1"/>
    <col min="22" max="24" width="7.7109375" style="243" bestFit="1" customWidth="1"/>
    <col min="25" max="16384" width="9.140625" style="242"/>
  </cols>
  <sheetData>
    <row r="1" spans="1:24" x14ac:dyDescent="0.2">
      <c r="B1" s="270" t="s">
        <v>162</v>
      </c>
      <c r="C1" s="270"/>
      <c r="D1" s="270"/>
      <c r="F1" s="270" t="s">
        <v>166</v>
      </c>
      <c r="G1" s="270"/>
      <c r="H1" s="270"/>
      <c r="I1" s="270"/>
      <c r="K1" s="270" t="s">
        <v>168</v>
      </c>
      <c r="L1" s="270"/>
      <c r="M1" s="270"/>
      <c r="N1" s="270"/>
      <c r="O1" s="270"/>
      <c r="Q1" s="271" t="s">
        <v>176</v>
      </c>
      <c r="R1" s="271"/>
      <c r="S1" s="271"/>
      <c r="T1" s="271"/>
      <c r="V1" s="271" t="s">
        <v>164</v>
      </c>
      <c r="W1" s="271"/>
      <c r="X1" s="271"/>
    </row>
    <row r="2" spans="1:24" x14ac:dyDescent="0.2">
      <c r="B2" s="260">
        <v>2023</v>
      </c>
      <c r="C2" s="261">
        <v>2024</v>
      </c>
      <c r="D2" s="261" t="s">
        <v>52</v>
      </c>
      <c r="F2" s="261">
        <v>2023</v>
      </c>
      <c r="G2" s="260">
        <v>2024</v>
      </c>
      <c r="H2" s="260">
        <v>2025</v>
      </c>
      <c r="I2" s="261" t="s">
        <v>52</v>
      </c>
      <c r="K2" s="260">
        <v>2023</v>
      </c>
      <c r="L2" s="260">
        <v>2024</v>
      </c>
      <c r="M2" s="261">
        <v>2025</v>
      </c>
      <c r="N2" s="261">
        <v>2026</v>
      </c>
      <c r="O2" s="261" t="s">
        <v>52</v>
      </c>
      <c r="Q2" s="260">
        <f>+B2</f>
        <v>2023</v>
      </c>
      <c r="R2" s="260">
        <f>+G2</f>
        <v>2024</v>
      </c>
      <c r="S2" s="260">
        <f>+H2</f>
        <v>2025</v>
      </c>
      <c r="T2" s="260" t="s">
        <v>52</v>
      </c>
      <c r="V2" s="260">
        <f>+K2</f>
        <v>2023</v>
      </c>
      <c r="W2" s="260">
        <f>+L2</f>
        <v>2024</v>
      </c>
      <c r="X2" s="260" t="s">
        <v>52</v>
      </c>
    </row>
    <row r="3" spans="1:24" x14ac:dyDescent="0.2">
      <c r="B3" s="258" t="s">
        <v>174</v>
      </c>
      <c r="C3" s="259" t="s">
        <v>175</v>
      </c>
      <c r="F3" s="259" t="s">
        <v>175</v>
      </c>
      <c r="G3" s="258" t="s">
        <v>174</v>
      </c>
      <c r="H3" s="258" t="s">
        <v>174</v>
      </c>
      <c r="K3" s="258" t="s">
        <v>175</v>
      </c>
      <c r="L3" s="258" t="s">
        <v>175</v>
      </c>
      <c r="M3" s="259" t="s">
        <v>174</v>
      </c>
      <c r="N3" s="259" t="s">
        <v>174</v>
      </c>
      <c r="Q3" s="258" t="str">
        <f>+B3</f>
        <v>Est</v>
      </c>
      <c r="R3" s="258" t="str">
        <f>+G3</f>
        <v>Est</v>
      </c>
      <c r="S3" s="258" t="str">
        <f>+H3</f>
        <v>Est</v>
      </c>
      <c r="T3" s="258"/>
    </row>
    <row r="4" spans="1:24" x14ac:dyDescent="0.2">
      <c r="A4" s="243" t="s">
        <v>173</v>
      </c>
      <c r="B4" s="251">
        <v>8456789</v>
      </c>
      <c r="C4" s="247">
        <v>3560648</v>
      </c>
      <c r="D4" s="257">
        <f>+C4+B4</f>
        <v>12017437</v>
      </c>
      <c r="F4" s="247">
        <v>6691502</v>
      </c>
      <c r="G4" s="251">
        <v>7733404</v>
      </c>
      <c r="H4" s="251">
        <v>2666161</v>
      </c>
      <c r="I4" s="257">
        <f>SUM(F4:H4)</f>
        <v>17091067</v>
      </c>
      <c r="K4" s="246">
        <v>6691502</v>
      </c>
      <c r="L4" s="246">
        <v>8915084</v>
      </c>
      <c r="M4" s="244">
        <v>8605646</v>
      </c>
      <c r="N4" s="244">
        <v>2927405</v>
      </c>
      <c r="O4" s="257">
        <f>SUM(K4:N4)</f>
        <v>27139637</v>
      </c>
      <c r="Q4" s="258"/>
      <c r="R4" s="258"/>
      <c r="S4" s="258"/>
      <c r="T4" s="258"/>
      <c r="V4" s="246"/>
      <c r="W4" s="246"/>
      <c r="X4" s="246"/>
    </row>
    <row r="5" spans="1:24" x14ac:dyDescent="0.2">
      <c r="A5" s="243"/>
      <c r="B5" s="258"/>
      <c r="C5" s="259"/>
      <c r="F5" s="259"/>
      <c r="G5" s="258"/>
      <c r="H5" s="258"/>
      <c r="K5" s="243"/>
      <c r="L5" s="243"/>
      <c r="Q5" s="258"/>
      <c r="R5" s="258"/>
      <c r="S5" s="258"/>
      <c r="T5" s="258"/>
    </row>
    <row r="6" spans="1:24" x14ac:dyDescent="0.2">
      <c r="A6" s="243" t="s">
        <v>172</v>
      </c>
      <c r="B6" s="245">
        <v>255670</v>
      </c>
      <c r="C6" s="244">
        <v>53396</v>
      </c>
      <c r="D6" s="244">
        <f>+C6+B6</f>
        <v>309066</v>
      </c>
      <c r="E6" s="244"/>
      <c r="F6" s="244">
        <v>202220</v>
      </c>
      <c r="G6" s="245">
        <v>235529</v>
      </c>
      <c r="H6" s="245">
        <v>79015</v>
      </c>
      <c r="I6" s="257">
        <f>SUM(F6:H6)</f>
        <v>516764</v>
      </c>
      <c r="J6" s="244"/>
      <c r="K6" s="246">
        <v>201950</v>
      </c>
      <c r="L6" s="246">
        <v>270567</v>
      </c>
      <c r="M6" s="257">
        <v>256897</v>
      </c>
      <c r="N6" s="257">
        <v>84353</v>
      </c>
      <c r="O6" s="244">
        <f>SUM(K6:N6)</f>
        <v>813767</v>
      </c>
      <c r="P6" s="244"/>
      <c r="Q6" s="251">
        <f>+B6</f>
        <v>255670</v>
      </c>
      <c r="R6" s="251">
        <f>+G6</f>
        <v>235529</v>
      </c>
      <c r="S6" s="251">
        <f>+H6</f>
        <v>79015</v>
      </c>
      <c r="T6" s="251">
        <f>SUM(Q6:S6)</f>
        <v>570214</v>
      </c>
      <c r="U6" s="244"/>
      <c r="V6" s="246">
        <f>+K6</f>
        <v>201950</v>
      </c>
      <c r="W6" s="246">
        <f>+L6</f>
        <v>270567</v>
      </c>
      <c r="X6" s="245">
        <f>+W6+V6</f>
        <v>472517</v>
      </c>
    </row>
    <row r="7" spans="1:24" x14ac:dyDescent="0.2">
      <c r="A7" s="243"/>
      <c r="B7" s="245"/>
      <c r="C7" s="244"/>
      <c r="D7" s="244"/>
      <c r="E7" s="244"/>
      <c r="F7" s="244"/>
      <c r="G7" s="245"/>
      <c r="H7" s="245"/>
      <c r="I7" s="244"/>
      <c r="J7" s="244"/>
      <c r="K7" s="245"/>
      <c r="L7" s="245"/>
      <c r="M7" s="244"/>
      <c r="N7" s="244"/>
      <c r="O7" s="244"/>
      <c r="P7" s="244"/>
      <c r="Q7" s="251"/>
      <c r="R7" s="251"/>
      <c r="S7" s="251"/>
      <c r="T7" s="251"/>
      <c r="U7" s="244"/>
      <c r="X7" s="245"/>
    </row>
    <row r="8" spans="1:24" x14ac:dyDescent="0.2">
      <c r="A8" s="243" t="s">
        <v>80</v>
      </c>
      <c r="B8" s="245">
        <f>+$D8/$D4*B4</f>
        <v>-12908.150101140534</v>
      </c>
      <c r="C8" s="244">
        <f>+$D8/$D4*C4</f>
        <v>-5434.8498988594656</v>
      </c>
      <c r="D8" s="244">
        <v>-18343</v>
      </c>
      <c r="E8" s="244"/>
      <c r="F8" s="244">
        <v>0</v>
      </c>
      <c r="G8" s="245">
        <v>0</v>
      </c>
      <c r="H8" s="245">
        <v>0</v>
      </c>
      <c r="I8" s="244">
        <v>0</v>
      </c>
      <c r="J8" s="244"/>
      <c r="K8" s="246">
        <v>0</v>
      </c>
      <c r="L8" s="246">
        <f>+G8</f>
        <v>0</v>
      </c>
      <c r="M8" s="257">
        <f>+H8</f>
        <v>0</v>
      </c>
      <c r="N8" s="257"/>
      <c r="O8" s="244">
        <f>SUM(K8:M8)</f>
        <v>0</v>
      </c>
      <c r="P8" s="244"/>
      <c r="Q8" s="251">
        <f>+B8</f>
        <v>-12908.150101140534</v>
      </c>
      <c r="R8" s="251">
        <f>+G8</f>
        <v>0</v>
      </c>
      <c r="S8" s="251">
        <f>+H8</f>
        <v>0</v>
      </c>
      <c r="T8" s="251">
        <f>SUM(Q8:S8)</f>
        <v>-12908.150101140534</v>
      </c>
      <c r="U8" s="244"/>
      <c r="V8" s="246">
        <f>+K8</f>
        <v>0</v>
      </c>
      <c r="W8" s="246">
        <f>+L8</f>
        <v>0</v>
      </c>
      <c r="X8" s="245">
        <f>+W8+V8</f>
        <v>0</v>
      </c>
    </row>
    <row r="9" spans="1:24" x14ac:dyDescent="0.2">
      <c r="A9" s="243"/>
      <c r="B9" s="245"/>
      <c r="C9" s="244"/>
      <c r="D9" s="244"/>
      <c r="E9" s="244"/>
      <c r="F9" s="244"/>
      <c r="G9" s="245"/>
      <c r="H9" s="245"/>
      <c r="I9" s="244"/>
      <c r="J9" s="244"/>
      <c r="K9" s="245"/>
      <c r="L9" s="245"/>
      <c r="M9" s="244"/>
      <c r="N9" s="244"/>
      <c r="O9" s="244"/>
      <c r="P9" s="244"/>
      <c r="Q9" s="251"/>
      <c r="R9" s="251"/>
      <c r="S9" s="251"/>
      <c r="T9" s="251"/>
      <c r="U9" s="244"/>
      <c r="X9" s="245"/>
    </row>
    <row r="10" spans="1:24" ht="14.25" x14ac:dyDescent="0.35">
      <c r="A10" s="243" t="s">
        <v>171</v>
      </c>
      <c r="B10" s="252">
        <f>+$D10/$D4*B4</f>
        <v>141442.86854543109</v>
      </c>
      <c r="C10" s="254">
        <f>+$D10/$D4*C4</f>
        <v>59553.131454568887</v>
      </c>
      <c r="D10" s="254">
        <v>200996</v>
      </c>
      <c r="E10" s="254"/>
      <c r="F10" s="254">
        <f>+$I10/$I4*F4</f>
        <v>51366.30661467772</v>
      </c>
      <c r="G10" s="252">
        <f>+$I10/$I4*G4</f>
        <v>59364.310290750138</v>
      </c>
      <c r="H10" s="252">
        <f>+$I10/$I4*H4</f>
        <v>20466.383094572153</v>
      </c>
      <c r="I10" s="254">
        <v>131197</v>
      </c>
      <c r="J10" s="254"/>
      <c r="K10" s="253">
        <f>+$O10/$O4*K4</f>
        <v>74674.364149896326</v>
      </c>
      <c r="L10" s="253">
        <f>+$O10/$O4*L4</f>
        <v>99488.60943969147</v>
      </c>
      <c r="M10" s="256">
        <f>+$O10/$O4*M4</f>
        <v>96035.41075667298</v>
      </c>
      <c r="N10" s="256">
        <f>+$O10/$O4*N4</f>
        <v>32668.615653739213</v>
      </c>
      <c r="O10" s="254">
        <v>302867</v>
      </c>
      <c r="P10" s="254"/>
      <c r="Q10" s="255">
        <f>+B10</f>
        <v>141442.86854543109</v>
      </c>
      <c r="R10" s="255">
        <f>+G10</f>
        <v>59364.310290750138</v>
      </c>
      <c r="S10" s="255">
        <f>+H10</f>
        <v>20466.383094572153</v>
      </c>
      <c r="T10" s="255">
        <f>SUM(Q10:S10)</f>
        <v>221273.56193075338</v>
      </c>
      <c r="U10" s="254"/>
      <c r="V10" s="253">
        <f>+K10</f>
        <v>74674.364149896326</v>
      </c>
      <c r="W10" s="253">
        <f>+L10</f>
        <v>99488.60943969147</v>
      </c>
      <c r="X10" s="253">
        <f>+W10+V10</f>
        <v>174162.97358958778</v>
      </c>
    </row>
    <row r="11" spans="1:24" x14ac:dyDescent="0.2">
      <c r="A11" s="243"/>
      <c r="B11" s="245"/>
      <c r="C11" s="244"/>
      <c r="D11" s="244"/>
      <c r="E11" s="244"/>
      <c r="F11" s="244"/>
      <c r="G11" s="245"/>
      <c r="H11" s="245"/>
      <c r="I11" s="244"/>
      <c r="J11" s="244"/>
      <c r="K11" s="245"/>
      <c r="L11" s="245"/>
      <c r="M11" s="244"/>
      <c r="N11" s="244"/>
      <c r="O11" s="244"/>
      <c r="P11" s="244"/>
      <c r="Q11" s="251"/>
      <c r="R11" s="251"/>
      <c r="S11" s="251"/>
      <c r="T11" s="251"/>
      <c r="U11" s="244"/>
      <c r="X11" s="245"/>
    </row>
    <row r="12" spans="1:24" ht="14.25" x14ac:dyDescent="0.35">
      <c r="A12" s="243" t="s">
        <v>170</v>
      </c>
      <c r="B12" s="248">
        <f>+B10+B8+B6</f>
        <v>384204.71844429057</v>
      </c>
      <c r="C12" s="250">
        <f>+C10+C8+C6</f>
        <v>107514.28155570943</v>
      </c>
      <c r="D12" s="250">
        <f>+D10+D8+D6</f>
        <v>491719</v>
      </c>
      <c r="E12" s="250"/>
      <c r="F12" s="250">
        <f>+F10+F8+F6</f>
        <v>253586.30661467771</v>
      </c>
      <c r="G12" s="248">
        <f>+G10+G8+G6</f>
        <v>294893.31029075012</v>
      </c>
      <c r="H12" s="248">
        <f>+H10+H8+H6</f>
        <v>99481.383094572157</v>
      </c>
      <c r="I12" s="250">
        <f>+I10+I8+I6</f>
        <v>647961</v>
      </c>
      <c r="J12" s="250"/>
      <c r="K12" s="250">
        <f>+K10+K8+K6</f>
        <v>276624.36414989631</v>
      </c>
      <c r="L12" s="250">
        <f>+L10+L8+L6</f>
        <v>370055.60943969147</v>
      </c>
      <c r="M12" s="250">
        <f>+M10+M8+M6</f>
        <v>352932.41075667297</v>
      </c>
      <c r="N12" s="250">
        <f>+N10+N8+N6</f>
        <v>117021.61565373921</v>
      </c>
      <c r="O12" s="250">
        <f>+O10+O8+O6</f>
        <v>1116634</v>
      </c>
      <c r="P12" s="250"/>
      <c r="Q12" s="249">
        <f>+Q10+Q8+Q6</f>
        <v>384204.71844429057</v>
      </c>
      <c r="R12" s="249">
        <f>+R10+R8+R6</f>
        <v>294893.31029075012</v>
      </c>
      <c r="S12" s="249">
        <f>+S10+S8+S6</f>
        <v>99481.383094572157</v>
      </c>
      <c r="T12" s="249">
        <f>+T10+T8+T6</f>
        <v>778579.41182961292</v>
      </c>
      <c r="U12" s="249"/>
      <c r="V12" s="249">
        <f>+V10+V8+V6</f>
        <v>276624.36414989631</v>
      </c>
      <c r="W12" s="249">
        <f>+W10+W8+W6</f>
        <v>370055.60943969147</v>
      </c>
      <c r="X12" s="248">
        <f>+X10+X8+X6</f>
        <v>646679.97358958772</v>
      </c>
    </row>
    <row r="13" spans="1:24" x14ac:dyDescent="0.2">
      <c r="B13" s="244"/>
      <c r="C13" s="244"/>
      <c r="D13" s="244"/>
      <c r="E13" s="244"/>
      <c r="F13" s="247"/>
      <c r="G13" s="245"/>
      <c r="H13" s="245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</row>
    <row r="14" spans="1:24" x14ac:dyDescent="0.2">
      <c r="B14" s="244"/>
      <c r="C14" s="244"/>
      <c r="D14" s="244"/>
      <c r="E14" s="244"/>
      <c r="F14" s="244"/>
      <c r="G14" s="245"/>
      <c r="H14" s="245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</row>
    <row r="15" spans="1:24" x14ac:dyDescent="0.2">
      <c r="B15" s="244"/>
      <c r="C15" s="244"/>
      <c r="D15" s="244"/>
      <c r="E15" s="244"/>
      <c r="F15" s="244"/>
      <c r="G15" s="245"/>
      <c r="H15" s="245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</row>
    <row r="16" spans="1:24" x14ac:dyDescent="0.2">
      <c r="B16" s="244"/>
      <c r="C16" s="244"/>
      <c r="D16" s="244"/>
      <c r="E16" s="244"/>
      <c r="F16" s="244"/>
      <c r="G16" s="245"/>
      <c r="H16" s="245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</row>
    <row r="17" spans="2:22" x14ac:dyDescent="0.2">
      <c r="B17" s="244"/>
      <c r="C17" s="244"/>
      <c r="D17" s="244"/>
      <c r="E17" s="244"/>
      <c r="F17" s="244"/>
      <c r="G17" s="245"/>
      <c r="H17" s="245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6"/>
    </row>
    <row r="18" spans="2:22" x14ac:dyDescent="0.2">
      <c r="B18" s="244"/>
      <c r="C18" s="244"/>
      <c r="D18" s="244"/>
      <c r="E18" s="244"/>
      <c r="F18" s="244"/>
      <c r="G18" s="245"/>
      <c r="H18" s="245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</row>
    <row r="19" spans="2:22" x14ac:dyDescent="0.2">
      <c r="B19" s="244"/>
      <c r="C19" s="244"/>
      <c r="D19" s="244"/>
      <c r="E19" s="244"/>
      <c r="F19" s="244"/>
      <c r="G19" s="245"/>
      <c r="H19" s="245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</row>
    <row r="20" spans="2:22" x14ac:dyDescent="0.2">
      <c r="B20" s="244"/>
      <c r="C20" s="244"/>
      <c r="D20" s="244"/>
      <c r="E20" s="244"/>
      <c r="F20" s="244"/>
      <c r="G20" s="245"/>
      <c r="H20" s="245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6"/>
    </row>
    <row r="21" spans="2:22" x14ac:dyDescent="0.2">
      <c r="B21" s="244"/>
      <c r="C21" s="244"/>
      <c r="D21" s="244"/>
      <c r="E21" s="244"/>
      <c r="F21" s="244"/>
      <c r="G21" s="245"/>
      <c r="H21" s="245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</row>
    <row r="22" spans="2:22" x14ac:dyDescent="0.2">
      <c r="B22" s="244"/>
      <c r="C22" s="244"/>
      <c r="D22" s="244"/>
      <c r="E22" s="244"/>
      <c r="F22" s="244"/>
      <c r="G22" s="245"/>
      <c r="H22" s="245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</row>
    <row r="23" spans="2:22" x14ac:dyDescent="0.2">
      <c r="B23" s="244"/>
      <c r="C23" s="244"/>
      <c r="D23" s="244"/>
      <c r="E23" s="244"/>
      <c r="F23" s="244"/>
      <c r="G23" s="245"/>
      <c r="H23" s="245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</row>
    <row r="24" spans="2:22" x14ac:dyDescent="0.2">
      <c r="B24" s="244"/>
      <c r="C24" s="244"/>
      <c r="D24" s="244"/>
      <c r="E24" s="244"/>
      <c r="F24" s="244"/>
      <c r="G24" s="245"/>
      <c r="H24" s="245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</row>
    <row r="25" spans="2:22" x14ac:dyDescent="0.2">
      <c r="B25" s="244"/>
      <c r="C25" s="244"/>
      <c r="D25" s="244"/>
      <c r="E25" s="244"/>
      <c r="F25" s="244"/>
      <c r="G25" s="245"/>
      <c r="H25" s="245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</row>
    <row r="26" spans="2:22" x14ac:dyDescent="0.2">
      <c r="B26" s="244"/>
      <c r="C26" s="244"/>
      <c r="D26" s="244"/>
      <c r="E26" s="244"/>
      <c r="F26" s="244"/>
      <c r="G26" s="245"/>
      <c r="H26" s="245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</row>
    <row r="27" spans="2:22" x14ac:dyDescent="0.2">
      <c r="B27" s="244"/>
      <c r="C27" s="244"/>
      <c r="D27" s="244"/>
      <c r="E27" s="244"/>
      <c r="F27" s="244"/>
      <c r="G27" s="245"/>
      <c r="H27" s="245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</row>
    <row r="28" spans="2:22" x14ac:dyDescent="0.2">
      <c r="B28" s="244"/>
      <c r="C28" s="244"/>
      <c r="D28" s="244"/>
      <c r="E28" s="244"/>
      <c r="F28" s="244"/>
      <c r="G28" s="245"/>
      <c r="H28" s="245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</row>
    <row r="29" spans="2:22" x14ac:dyDescent="0.2">
      <c r="B29" s="244"/>
      <c r="C29" s="244"/>
      <c r="D29" s="244"/>
      <c r="E29" s="244"/>
      <c r="F29" s="244"/>
      <c r="G29" s="245"/>
      <c r="H29" s="245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</row>
    <row r="30" spans="2:22" x14ac:dyDescent="0.2">
      <c r="B30" s="244"/>
      <c r="C30" s="244"/>
      <c r="D30" s="244"/>
      <c r="E30" s="244"/>
      <c r="F30" s="244"/>
      <c r="G30" s="245"/>
      <c r="H30" s="245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</row>
    <row r="31" spans="2:22" x14ac:dyDescent="0.2">
      <c r="B31" s="244"/>
      <c r="C31" s="244"/>
      <c r="D31" s="244"/>
      <c r="E31" s="244"/>
      <c r="F31" s="244"/>
      <c r="G31" s="245"/>
      <c r="H31" s="245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</row>
    <row r="32" spans="2:22" x14ac:dyDescent="0.2">
      <c r="B32" s="244"/>
      <c r="C32" s="244"/>
      <c r="D32" s="244"/>
      <c r="E32" s="244"/>
      <c r="F32" s="244"/>
      <c r="G32" s="245"/>
      <c r="H32" s="245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</row>
    <row r="33" spans="2:21" x14ac:dyDescent="0.2">
      <c r="B33" s="244"/>
      <c r="C33" s="244"/>
      <c r="D33" s="244"/>
      <c r="E33" s="244"/>
      <c r="F33" s="244"/>
      <c r="G33" s="245"/>
      <c r="H33" s="245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</row>
    <row r="34" spans="2:21" x14ac:dyDescent="0.2">
      <c r="B34" s="244"/>
      <c r="C34" s="244"/>
      <c r="D34" s="244"/>
      <c r="E34" s="244"/>
      <c r="F34" s="244"/>
      <c r="G34" s="245"/>
      <c r="H34" s="245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</row>
    <row r="35" spans="2:21" x14ac:dyDescent="0.2">
      <c r="B35" s="244"/>
      <c r="C35" s="244"/>
      <c r="D35" s="244"/>
      <c r="E35" s="244"/>
      <c r="F35" s="244"/>
      <c r="G35" s="245"/>
      <c r="H35" s="245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</row>
  </sheetData>
  <mergeCells count="5">
    <mergeCell ref="B1:D1"/>
    <mergeCell ref="F1:I1"/>
    <mergeCell ref="K1:O1"/>
    <mergeCell ref="V1:X1"/>
    <mergeCell ref="Q1:T1"/>
  </mergeCells>
  <pageMargins left="0.7" right="0.7" top="0.75" bottom="0.75" header="0.3" footer="0.3"/>
  <pageSetup scale="61" fitToHeight="0" orientation="landscape" verticalDpi="0" r:id="rId1"/>
  <headerFooter>
    <oddHeader>&amp;RSchedule III
2023-2025 Estimates
2023-2024 Actuals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7"/>
  <sheetViews>
    <sheetView view="pageBreakPreview" zoomScaleNormal="80" zoomScaleSheetLayoutView="100" workbookViewId="0">
      <selection activeCell="G28" sqref="G28"/>
    </sheetView>
  </sheetViews>
  <sheetFormatPr defaultColWidth="9.140625" defaultRowHeight="15" x14ac:dyDescent="0.25"/>
  <cols>
    <col min="1" max="1" width="4.7109375" style="25" customWidth="1"/>
    <col min="2" max="2" width="74.28515625" style="25" bestFit="1" customWidth="1"/>
    <col min="3" max="3" width="12.5703125" style="25" bestFit="1" customWidth="1"/>
    <col min="4" max="4" width="2.7109375" style="25" customWidth="1"/>
    <col min="5" max="16384" width="9.140625" style="25"/>
  </cols>
  <sheetData>
    <row r="1" spans="1:5" x14ac:dyDescent="0.25">
      <c r="A1" s="24" t="s">
        <v>44</v>
      </c>
      <c r="E1" s="65" t="s">
        <v>74</v>
      </c>
    </row>
    <row r="2" spans="1:5" x14ac:dyDescent="0.25">
      <c r="A2" s="24" t="s">
        <v>55</v>
      </c>
    </row>
    <row r="3" spans="1:5" x14ac:dyDescent="0.25">
      <c r="A3" s="66"/>
      <c r="B3" s="66"/>
      <c r="C3" s="66"/>
      <c r="D3" s="66"/>
    </row>
    <row r="5" spans="1:5" x14ac:dyDescent="0.25">
      <c r="A5" s="24" t="s">
        <v>62</v>
      </c>
    </row>
    <row r="6" spans="1:5" x14ac:dyDescent="0.25">
      <c r="B6" s="24"/>
    </row>
    <row r="7" spans="1:5" x14ac:dyDescent="0.25">
      <c r="B7" s="24" t="s">
        <v>169</v>
      </c>
      <c r="C7" s="38">
        <v>2025</v>
      </c>
    </row>
    <row r="8" spans="1:5" x14ac:dyDescent="0.25">
      <c r="C8" s="117">
        <f>-'Sch II 2025'!G12</f>
        <v>129066</v>
      </c>
    </row>
    <row r="9" spans="1:5" x14ac:dyDescent="0.25">
      <c r="B9" s="24"/>
    </row>
    <row r="10" spans="1:5" x14ac:dyDescent="0.25">
      <c r="A10" s="66"/>
      <c r="B10" s="66"/>
      <c r="C10" s="66"/>
      <c r="D10" s="66"/>
    </row>
    <row r="12" spans="1:5" x14ac:dyDescent="0.25">
      <c r="A12" s="24" t="s">
        <v>56</v>
      </c>
      <c r="C12" s="27"/>
      <c r="D12" s="27"/>
    </row>
    <row r="13" spans="1:5" x14ac:dyDescent="0.25">
      <c r="A13" s="44" t="s">
        <v>54</v>
      </c>
      <c r="B13" s="101" t="s">
        <v>113</v>
      </c>
      <c r="C13" s="24"/>
      <c r="D13" s="24"/>
    </row>
    <row r="14" spans="1:5" x14ac:dyDescent="0.25">
      <c r="B14" s="29" t="s">
        <v>69</v>
      </c>
      <c r="C14" s="28">
        <v>197156696</v>
      </c>
    </row>
    <row r="16" spans="1:5" x14ac:dyDescent="0.25">
      <c r="B16" s="25" t="s">
        <v>114</v>
      </c>
      <c r="C16" s="28">
        <v>2358443</v>
      </c>
    </row>
    <row r="18" spans="1:4" x14ac:dyDescent="0.25">
      <c r="B18" s="25" t="s">
        <v>57</v>
      </c>
      <c r="C18" s="137">
        <f>C16/C14</f>
        <v>1.1962276949498078E-2</v>
      </c>
    </row>
    <row r="20" spans="1:4" x14ac:dyDescent="0.25">
      <c r="B20" s="25" t="s">
        <v>70</v>
      </c>
      <c r="C20" s="30">
        <f>SUM('Sch I Summary'!F11:F13)</f>
        <v>4181834.5176923061</v>
      </c>
    </row>
    <row r="22" spans="1:4" x14ac:dyDescent="0.25">
      <c r="B22" s="25" t="s">
        <v>71</v>
      </c>
      <c r="C22" s="31">
        <f>C18*C20</f>
        <v>50024.262657606087</v>
      </c>
    </row>
    <row r="23" spans="1:4" x14ac:dyDescent="0.25">
      <c r="A23" s="66"/>
      <c r="B23" s="66"/>
      <c r="C23" s="66"/>
      <c r="D23" s="66"/>
    </row>
    <row r="25" spans="1:4" x14ac:dyDescent="0.25">
      <c r="A25" s="24" t="s">
        <v>80</v>
      </c>
    </row>
    <row r="27" spans="1:4" ht="15" customHeight="1" x14ac:dyDescent="0.25">
      <c r="B27" s="272" t="s">
        <v>81</v>
      </c>
    </row>
    <row r="28" spans="1:4" x14ac:dyDescent="0.25">
      <c r="A28" s="65"/>
      <c r="B28" s="272"/>
      <c r="C28" s="67">
        <v>180758</v>
      </c>
    </row>
    <row r="29" spans="1:4" x14ac:dyDescent="0.25">
      <c r="C29" s="67"/>
    </row>
    <row r="30" spans="1:4" ht="30" customHeight="1" x14ac:dyDescent="0.25">
      <c r="B30" s="85" t="s">
        <v>146</v>
      </c>
      <c r="C30" s="138">
        <v>143865</v>
      </c>
    </row>
    <row r="31" spans="1:4" x14ac:dyDescent="0.25">
      <c r="C31" s="67"/>
    </row>
    <row r="32" spans="1:4" x14ac:dyDescent="0.25">
      <c r="B32" s="25" t="s">
        <v>147</v>
      </c>
      <c r="C32" s="67">
        <f>IF(C28&gt;C30,C30-C28,0)</f>
        <v>-36893</v>
      </c>
      <c r="D32" s="67"/>
    </row>
    <row r="33" spans="1:4" x14ac:dyDescent="0.25">
      <c r="A33" s="66"/>
      <c r="B33" s="66"/>
      <c r="C33" s="66"/>
      <c r="D33" s="66"/>
    </row>
    <row r="35" spans="1:4" x14ac:dyDescent="0.25">
      <c r="A35" s="24" t="s">
        <v>72</v>
      </c>
      <c r="B35" s="24"/>
      <c r="C35" s="36">
        <f>C8+C32+C22</f>
        <v>142197.2626576061</v>
      </c>
    </row>
    <row r="37" spans="1:4" x14ac:dyDescent="0.25">
      <c r="A37" s="44" t="s">
        <v>54</v>
      </c>
      <c r="B37" s="68" t="s">
        <v>73</v>
      </c>
    </row>
  </sheetData>
  <mergeCells count="1">
    <mergeCell ref="B27:B28"/>
  </mergeCells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7"/>
  <sheetViews>
    <sheetView view="pageBreakPreview" topLeftCell="A131" zoomScaleNormal="100" zoomScaleSheetLayoutView="100" workbookViewId="0">
      <selection activeCell="K144" sqref="K144"/>
    </sheetView>
  </sheetViews>
  <sheetFormatPr defaultRowHeight="15" x14ac:dyDescent="0.25"/>
  <cols>
    <col min="1" max="1" width="24" customWidth="1"/>
    <col min="2" max="2" width="22" customWidth="1"/>
    <col min="3" max="3" width="28.42578125" customWidth="1"/>
    <col min="4" max="4" width="9.5703125" bestFit="1" customWidth="1"/>
    <col min="5" max="5" width="15.28515625" bestFit="1" customWidth="1"/>
    <col min="7" max="7" width="12.5703125" style="21" bestFit="1" customWidth="1"/>
    <col min="8" max="9" width="15.28515625" style="133" bestFit="1" customWidth="1"/>
    <col min="10" max="10" width="15.28515625" style="77" bestFit="1" customWidth="1"/>
    <col min="11" max="11" width="14.28515625" style="77" bestFit="1" customWidth="1"/>
    <col min="254" max="254" width="32" customWidth="1"/>
    <col min="255" max="255" width="18.7109375" customWidth="1"/>
    <col min="256" max="256" width="9.140625" customWidth="1"/>
    <col min="257" max="257" width="13.28515625" customWidth="1"/>
    <col min="258" max="258" width="16.7109375" customWidth="1"/>
    <col min="259" max="259" width="29.140625" customWidth="1"/>
    <col min="510" max="510" width="32" customWidth="1"/>
    <col min="511" max="511" width="18.7109375" customWidth="1"/>
    <col min="512" max="512" width="9.140625" customWidth="1"/>
    <col min="513" max="513" width="13.28515625" customWidth="1"/>
    <col min="514" max="514" width="16.7109375" customWidth="1"/>
    <col min="515" max="515" width="29.140625" customWidth="1"/>
    <col min="766" max="766" width="32" customWidth="1"/>
    <col min="767" max="767" width="18.7109375" customWidth="1"/>
    <col min="768" max="768" width="9.140625" customWidth="1"/>
    <col min="769" max="769" width="13.28515625" customWidth="1"/>
    <col min="770" max="770" width="16.7109375" customWidth="1"/>
    <col min="771" max="771" width="29.140625" customWidth="1"/>
    <col min="1022" max="1022" width="32" customWidth="1"/>
    <col min="1023" max="1023" width="18.7109375" customWidth="1"/>
    <col min="1024" max="1024" width="9.140625" customWidth="1"/>
    <col min="1025" max="1025" width="13.28515625" customWidth="1"/>
    <col min="1026" max="1026" width="16.7109375" customWidth="1"/>
    <col min="1027" max="1027" width="29.140625" customWidth="1"/>
    <col min="1278" max="1278" width="32" customWidth="1"/>
    <col min="1279" max="1279" width="18.7109375" customWidth="1"/>
    <col min="1280" max="1280" width="9.140625" customWidth="1"/>
    <col min="1281" max="1281" width="13.28515625" customWidth="1"/>
    <col min="1282" max="1282" width="16.7109375" customWidth="1"/>
    <col min="1283" max="1283" width="29.140625" customWidth="1"/>
    <col min="1534" max="1534" width="32" customWidth="1"/>
    <col min="1535" max="1535" width="18.7109375" customWidth="1"/>
    <col min="1536" max="1536" width="9.140625" customWidth="1"/>
    <col min="1537" max="1537" width="13.28515625" customWidth="1"/>
    <col min="1538" max="1538" width="16.7109375" customWidth="1"/>
    <col min="1539" max="1539" width="29.140625" customWidth="1"/>
    <col min="1790" max="1790" width="32" customWidth="1"/>
    <col min="1791" max="1791" width="18.7109375" customWidth="1"/>
    <col min="1792" max="1792" width="9.140625" customWidth="1"/>
    <col min="1793" max="1793" width="13.28515625" customWidth="1"/>
    <col min="1794" max="1794" width="16.7109375" customWidth="1"/>
    <col min="1795" max="1795" width="29.140625" customWidth="1"/>
    <col min="2046" max="2046" width="32" customWidth="1"/>
    <col min="2047" max="2047" width="18.7109375" customWidth="1"/>
    <col min="2048" max="2048" width="9.140625" customWidth="1"/>
    <col min="2049" max="2049" width="13.28515625" customWidth="1"/>
    <col min="2050" max="2050" width="16.7109375" customWidth="1"/>
    <col min="2051" max="2051" width="29.140625" customWidth="1"/>
    <col min="2302" max="2302" width="32" customWidth="1"/>
    <col min="2303" max="2303" width="18.7109375" customWidth="1"/>
    <col min="2304" max="2304" width="9.140625" customWidth="1"/>
    <col min="2305" max="2305" width="13.28515625" customWidth="1"/>
    <col min="2306" max="2306" width="16.7109375" customWidth="1"/>
    <col min="2307" max="2307" width="29.140625" customWidth="1"/>
    <col min="2558" max="2558" width="32" customWidth="1"/>
    <col min="2559" max="2559" width="18.7109375" customWidth="1"/>
    <col min="2560" max="2560" width="9.140625" customWidth="1"/>
    <col min="2561" max="2561" width="13.28515625" customWidth="1"/>
    <col min="2562" max="2562" width="16.7109375" customWidth="1"/>
    <col min="2563" max="2563" width="29.140625" customWidth="1"/>
    <col min="2814" max="2814" width="32" customWidth="1"/>
    <col min="2815" max="2815" width="18.7109375" customWidth="1"/>
    <col min="2816" max="2816" width="9.140625" customWidth="1"/>
    <col min="2817" max="2817" width="13.28515625" customWidth="1"/>
    <col min="2818" max="2818" width="16.7109375" customWidth="1"/>
    <col min="2819" max="2819" width="29.140625" customWidth="1"/>
    <col min="3070" max="3070" width="32" customWidth="1"/>
    <col min="3071" max="3071" width="18.7109375" customWidth="1"/>
    <col min="3072" max="3072" width="9.140625" customWidth="1"/>
    <col min="3073" max="3073" width="13.28515625" customWidth="1"/>
    <col min="3074" max="3074" width="16.7109375" customWidth="1"/>
    <col min="3075" max="3075" width="29.140625" customWidth="1"/>
    <col min="3326" max="3326" width="32" customWidth="1"/>
    <col min="3327" max="3327" width="18.7109375" customWidth="1"/>
    <col min="3328" max="3328" width="9.140625" customWidth="1"/>
    <col min="3329" max="3329" width="13.28515625" customWidth="1"/>
    <col min="3330" max="3330" width="16.7109375" customWidth="1"/>
    <col min="3331" max="3331" width="29.140625" customWidth="1"/>
    <col min="3582" max="3582" width="32" customWidth="1"/>
    <col min="3583" max="3583" width="18.7109375" customWidth="1"/>
    <col min="3584" max="3584" width="9.140625" customWidth="1"/>
    <col min="3585" max="3585" width="13.28515625" customWidth="1"/>
    <col min="3586" max="3586" width="16.7109375" customWidth="1"/>
    <col min="3587" max="3587" width="29.140625" customWidth="1"/>
    <col min="3838" max="3838" width="32" customWidth="1"/>
    <col min="3839" max="3839" width="18.7109375" customWidth="1"/>
    <col min="3840" max="3840" width="9.140625" customWidth="1"/>
    <col min="3841" max="3841" width="13.28515625" customWidth="1"/>
    <col min="3842" max="3842" width="16.7109375" customWidth="1"/>
    <col min="3843" max="3843" width="29.140625" customWidth="1"/>
    <col min="4094" max="4094" width="32" customWidth="1"/>
    <col min="4095" max="4095" width="18.7109375" customWidth="1"/>
    <col min="4096" max="4096" width="9.140625" customWidth="1"/>
    <col min="4097" max="4097" width="13.28515625" customWidth="1"/>
    <col min="4098" max="4098" width="16.7109375" customWidth="1"/>
    <col min="4099" max="4099" width="29.140625" customWidth="1"/>
    <col min="4350" max="4350" width="32" customWidth="1"/>
    <col min="4351" max="4351" width="18.7109375" customWidth="1"/>
    <col min="4352" max="4352" width="9.140625" customWidth="1"/>
    <col min="4353" max="4353" width="13.28515625" customWidth="1"/>
    <col min="4354" max="4354" width="16.7109375" customWidth="1"/>
    <col min="4355" max="4355" width="29.140625" customWidth="1"/>
    <col min="4606" max="4606" width="32" customWidth="1"/>
    <col min="4607" max="4607" width="18.7109375" customWidth="1"/>
    <col min="4608" max="4608" width="9.140625" customWidth="1"/>
    <col min="4609" max="4609" width="13.28515625" customWidth="1"/>
    <col min="4610" max="4610" width="16.7109375" customWidth="1"/>
    <col min="4611" max="4611" width="29.140625" customWidth="1"/>
    <col min="4862" max="4862" width="32" customWidth="1"/>
    <col min="4863" max="4863" width="18.7109375" customWidth="1"/>
    <col min="4864" max="4864" width="9.140625" customWidth="1"/>
    <col min="4865" max="4865" width="13.28515625" customWidth="1"/>
    <col min="4866" max="4866" width="16.7109375" customWidth="1"/>
    <col min="4867" max="4867" width="29.140625" customWidth="1"/>
    <col min="5118" max="5118" width="32" customWidth="1"/>
    <col min="5119" max="5119" width="18.7109375" customWidth="1"/>
    <col min="5120" max="5120" width="9.140625" customWidth="1"/>
    <col min="5121" max="5121" width="13.28515625" customWidth="1"/>
    <col min="5122" max="5122" width="16.7109375" customWidth="1"/>
    <col min="5123" max="5123" width="29.140625" customWidth="1"/>
    <col min="5374" max="5374" width="32" customWidth="1"/>
    <col min="5375" max="5375" width="18.7109375" customWidth="1"/>
    <col min="5376" max="5376" width="9.140625" customWidth="1"/>
    <col min="5377" max="5377" width="13.28515625" customWidth="1"/>
    <col min="5378" max="5378" width="16.7109375" customWidth="1"/>
    <col min="5379" max="5379" width="29.140625" customWidth="1"/>
    <col min="5630" max="5630" width="32" customWidth="1"/>
    <col min="5631" max="5631" width="18.7109375" customWidth="1"/>
    <col min="5632" max="5632" width="9.140625" customWidth="1"/>
    <col min="5633" max="5633" width="13.28515625" customWidth="1"/>
    <col min="5634" max="5634" width="16.7109375" customWidth="1"/>
    <col min="5635" max="5635" width="29.140625" customWidth="1"/>
    <col min="5886" max="5886" width="32" customWidth="1"/>
    <col min="5887" max="5887" width="18.7109375" customWidth="1"/>
    <col min="5888" max="5888" width="9.140625" customWidth="1"/>
    <col min="5889" max="5889" width="13.28515625" customWidth="1"/>
    <col min="5890" max="5890" width="16.7109375" customWidth="1"/>
    <col min="5891" max="5891" width="29.140625" customWidth="1"/>
    <col min="6142" max="6142" width="32" customWidth="1"/>
    <col min="6143" max="6143" width="18.7109375" customWidth="1"/>
    <col min="6144" max="6144" width="9.140625" customWidth="1"/>
    <col min="6145" max="6145" width="13.28515625" customWidth="1"/>
    <col min="6146" max="6146" width="16.7109375" customWidth="1"/>
    <col min="6147" max="6147" width="29.140625" customWidth="1"/>
    <col min="6398" max="6398" width="32" customWidth="1"/>
    <col min="6399" max="6399" width="18.7109375" customWidth="1"/>
    <col min="6400" max="6400" width="9.140625" customWidth="1"/>
    <col min="6401" max="6401" width="13.28515625" customWidth="1"/>
    <col min="6402" max="6402" width="16.7109375" customWidth="1"/>
    <col min="6403" max="6403" width="29.140625" customWidth="1"/>
    <col min="6654" max="6654" width="32" customWidth="1"/>
    <col min="6655" max="6655" width="18.7109375" customWidth="1"/>
    <col min="6656" max="6656" width="9.140625" customWidth="1"/>
    <col min="6657" max="6657" width="13.28515625" customWidth="1"/>
    <col min="6658" max="6658" width="16.7109375" customWidth="1"/>
    <col min="6659" max="6659" width="29.140625" customWidth="1"/>
    <col min="6910" max="6910" width="32" customWidth="1"/>
    <col min="6911" max="6911" width="18.7109375" customWidth="1"/>
    <col min="6912" max="6912" width="9.140625" customWidth="1"/>
    <col min="6913" max="6913" width="13.28515625" customWidth="1"/>
    <col min="6914" max="6914" width="16.7109375" customWidth="1"/>
    <col min="6915" max="6915" width="29.140625" customWidth="1"/>
    <col min="7166" max="7166" width="32" customWidth="1"/>
    <col min="7167" max="7167" width="18.7109375" customWidth="1"/>
    <col min="7168" max="7168" width="9.140625" customWidth="1"/>
    <col min="7169" max="7169" width="13.28515625" customWidth="1"/>
    <col min="7170" max="7170" width="16.7109375" customWidth="1"/>
    <col min="7171" max="7171" width="29.140625" customWidth="1"/>
    <col min="7422" max="7422" width="32" customWidth="1"/>
    <col min="7423" max="7423" width="18.7109375" customWidth="1"/>
    <col min="7424" max="7424" width="9.140625" customWidth="1"/>
    <col min="7425" max="7425" width="13.28515625" customWidth="1"/>
    <col min="7426" max="7426" width="16.7109375" customWidth="1"/>
    <col min="7427" max="7427" width="29.140625" customWidth="1"/>
    <col min="7678" max="7678" width="32" customWidth="1"/>
    <col min="7679" max="7679" width="18.7109375" customWidth="1"/>
    <col min="7680" max="7680" width="9.140625" customWidth="1"/>
    <col min="7681" max="7681" width="13.28515625" customWidth="1"/>
    <col min="7682" max="7682" width="16.7109375" customWidth="1"/>
    <col min="7683" max="7683" width="29.140625" customWidth="1"/>
    <col min="7934" max="7934" width="32" customWidth="1"/>
    <col min="7935" max="7935" width="18.7109375" customWidth="1"/>
    <col min="7936" max="7936" width="9.140625" customWidth="1"/>
    <col min="7937" max="7937" width="13.28515625" customWidth="1"/>
    <col min="7938" max="7938" width="16.7109375" customWidth="1"/>
    <col min="7939" max="7939" width="29.140625" customWidth="1"/>
    <col min="8190" max="8190" width="32" customWidth="1"/>
    <col min="8191" max="8191" width="18.7109375" customWidth="1"/>
    <col min="8192" max="8192" width="9.140625" customWidth="1"/>
    <col min="8193" max="8193" width="13.28515625" customWidth="1"/>
    <col min="8194" max="8194" width="16.7109375" customWidth="1"/>
    <col min="8195" max="8195" width="29.140625" customWidth="1"/>
    <col min="8446" max="8446" width="32" customWidth="1"/>
    <col min="8447" max="8447" width="18.7109375" customWidth="1"/>
    <col min="8448" max="8448" width="9.140625" customWidth="1"/>
    <col min="8449" max="8449" width="13.28515625" customWidth="1"/>
    <col min="8450" max="8450" width="16.7109375" customWidth="1"/>
    <col min="8451" max="8451" width="29.140625" customWidth="1"/>
    <col min="8702" max="8702" width="32" customWidth="1"/>
    <col min="8703" max="8703" width="18.7109375" customWidth="1"/>
    <col min="8704" max="8704" width="9.140625" customWidth="1"/>
    <col min="8705" max="8705" width="13.28515625" customWidth="1"/>
    <col min="8706" max="8706" width="16.7109375" customWidth="1"/>
    <col min="8707" max="8707" width="29.140625" customWidth="1"/>
    <col min="8958" max="8958" width="32" customWidth="1"/>
    <col min="8959" max="8959" width="18.7109375" customWidth="1"/>
    <col min="8960" max="8960" width="9.140625" customWidth="1"/>
    <col min="8961" max="8961" width="13.28515625" customWidth="1"/>
    <col min="8962" max="8962" width="16.7109375" customWidth="1"/>
    <col min="8963" max="8963" width="29.140625" customWidth="1"/>
    <col min="9214" max="9214" width="32" customWidth="1"/>
    <col min="9215" max="9215" width="18.7109375" customWidth="1"/>
    <col min="9216" max="9216" width="9.140625" customWidth="1"/>
    <col min="9217" max="9217" width="13.28515625" customWidth="1"/>
    <col min="9218" max="9218" width="16.7109375" customWidth="1"/>
    <col min="9219" max="9219" width="29.140625" customWidth="1"/>
    <col min="9470" max="9470" width="32" customWidth="1"/>
    <col min="9471" max="9471" width="18.7109375" customWidth="1"/>
    <col min="9472" max="9472" width="9.140625" customWidth="1"/>
    <col min="9473" max="9473" width="13.28515625" customWidth="1"/>
    <col min="9474" max="9474" width="16.7109375" customWidth="1"/>
    <col min="9475" max="9475" width="29.140625" customWidth="1"/>
    <col min="9726" max="9726" width="32" customWidth="1"/>
    <col min="9727" max="9727" width="18.7109375" customWidth="1"/>
    <col min="9728" max="9728" width="9.140625" customWidth="1"/>
    <col min="9729" max="9729" width="13.28515625" customWidth="1"/>
    <col min="9730" max="9730" width="16.7109375" customWidth="1"/>
    <col min="9731" max="9731" width="29.140625" customWidth="1"/>
    <col min="9982" max="9982" width="32" customWidth="1"/>
    <col min="9983" max="9983" width="18.7109375" customWidth="1"/>
    <col min="9984" max="9984" width="9.140625" customWidth="1"/>
    <col min="9985" max="9985" width="13.28515625" customWidth="1"/>
    <col min="9986" max="9986" width="16.7109375" customWidth="1"/>
    <col min="9987" max="9987" width="29.140625" customWidth="1"/>
    <col min="10238" max="10238" width="32" customWidth="1"/>
    <col min="10239" max="10239" width="18.7109375" customWidth="1"/>
    <col min="10240" max="10240" width="9.140625" customWidth="1"/>
    <col min="10241" max="10241" width="13.28515625" customWidth="1"/>
    <col min="10242" max="10242" width="16.7109375" customWidth="1"/>
    <col min="10243" max="10243" width="29.140625" customWidth="1"/>
    <col min="10494" max="10494" width="32" customWidth="1"/>
    <col min="10495" max="10495" width="18.7109375" customWidth="1"/>
    <col min="10496" max="10496" width="9.140625" customWidth="1"/>
    <col min="10497" max="10497" width="13.28515625" customWidth="1"/>
    <col min="10498" max="10498" width="16.7109375" customWidth="1"/>
    <col min="10499" max="10499" width="29.140625" customWidth="1"/>
    <col min="10750" max="10750" width="32" customWidth="1"/>
    <col min="10751" max="10751" width="18.7109375" customWidth="1"/>
    <col min="10752" max="10752" width="9.140625" customWidth="1"/>
    <col min="10753" max="10753" width="13.28515625" customWidth="1"/>
    <col min="10754" max="10754" width="16.7109375" customWidth="1"/>
    <col min="10755" max="10755" width="29.140625" customWidth="1"/>
    <col min="11006" max="11006" width="32" customWidth="1"/>
    <col min="11007" max="11007" width="18.7109375" customWidth="1"/>
    <col min="11008" max="11008" width="9.140625" customWidth="1"/>
    <col min="11009" max="11009" width="13.28515625" customWidth="1"/>
    <col min="11010" max="11010" width="16.7109375" customWidth="1"/>
    <col min="11011" max="11011" width="29.140625" customWidth="1"/>
    <col min="11262" max="11262" width="32" customWidth="1"/>
    <col min="11263" max="11263" width="18.7109375" customWidth="1"/>
    <col min="11264" max="11264" width="9.140625" customWidth="1"/>
    <col min="11265" max="11265" width="13.28515625" customWidth="1"/>
    <col min="11266" max="11266" width="16.7109375" customWidth="1"/>
    <col min="11267" max="11267" width="29.140625" customWidth="1"/>
    <col min="11518" max="11518" width="32" customWidth="1"/>
    <col min="11519" max="11519" width="18.7109375" customWidth="1"/>
    <col min="11520" max="11520" width="9.140625" customWidth="1"/>
    <col min="11521" max="11521" width="13.28515625" customWidth="1"/>
    <col min="11522" max="11522" width="16.7109375" customWidth="1"/>
    <col min="11523" max="11523" width="29.140625" customWidth="1"/>
    <col min="11774" max="11774" width="32" customWidth="1"/>
    <col min="11775" max="11775" width="18.7109375" customWidth="1"/>
    <col min="11776" max="11776" width="9.140625" customWidth="1"/>
    <col min="11777" max="11777" width="13.28515625" customWidth="1"/>
    <col min="11778" max="11778" width="16.7109375" customWidth="1"/>
    <col min="11779" max="11779" width="29.140625" customWidth="1"/>
    <col min="12030" max="12030" width="32" customWidth="1"/>
    <col min="12031" max="12031" width="18.7109375" customWidth="1"/>
    <col min="12032" max="12032" width="9.140625" customWidth="1"/>
    <col min="12033" max="12033" width="13.28515625" customWidth="1"/>
    <col min="12034" max="12034" width="16.7109375" customWidth="1"/>
    <col min="12035" max="12035" width="29.140625" customWidth="1"/>
    <col min="12286" max="12286" width="32" customWidth="1"/>
    <col min="12287" max="12287" width="18.7109375" customWidth="1"/>
    <col min="12288" max="12288" width="9.140625" customWidth="1"/>
    <col min="12289" max="12289" width="13.28515625" customWidth="1"/>
    <col min="12290" max="12290" width="16.7109375" customWidth="1"/>
    <col min="12291" max="12291" width="29.140625" customWidth="1"/>
    <col min="12542" max="12542" width="32" customWidth="1"/>
    <col min="12543" max="12543" width="18.7109375" customWidth="1"/>
    <col min="12544" max="12544" width="9.140625" customWidth="1"/>
    <col min="12545" max="12545" width="13.28515625" customWidth="1"/>
    <col min="12546" max="12546" width="16.7109375" customWidth="1"/>
    <col min="12547" max="12547" width="29.140625" customWidth="1"/>
    <col min="12798" max="12798" width="32" customWidth="1"/>
    <col min="12799" max="12799" width="18.7109375" customWidth="1"/>
    <col min="12800" max="12800" width="9.140625" customWidth="1"/>
    <col min="12801" max="12801" width="13.28515625" customWidth="1"/>
    <col min="12802" max="12802" width="16.7109375" customWidth="1"/>
    <col min="12803" max="12803" width="29.140625" customWidth="1"/>
    <col min="13054" max="13054" width="32" customWidth="1"/>
    <col min="13055" max="13055" width="18.7109375" customWidth="1"/>
    <col min="13056" max="13056" width="9.140625" customWidth="1"/>
    <col min="13057" max="13057" width="13.28515625" customWidth="1"/>
    <col min="13058" max="13058" width="16.7109375" customWidth="1"/>
    <col min="13059" max="13059" width="29.140625" customWidth="1"/>
    <col min="13310" max="13310" width="32" customWidth="1"/>
    <col min="13311" max="13311" width="18.7109375" customWidth="1"/>
    <col min="13312" max="13312" width="9.140625" customWidth="1"/>
    <col min="13313" max="13313" width="13.28515625" customWidth="1"/>
    <col min="13314" max="13314" width="16.7109375" customWidth="1"/>
    <col min="13315" max="13315" width="29.140625" customWidth="1"/>
    <col min="13566" max="13566" width="32" customWidth="1"/>
    <col min="13567" max="13567" width="18.7109375" customWidth="1"/>
    <col min="13568" max="13568" width="9.140625" customWidth="1"/>
    <col min="13569" max="13569" width="13.28515625" customWidth="1"/>
    <col min="13570" max="13570" width="16.7109375" customWidth="1"/>
    <col min="13571" max="13571" width="29.140625" customWidth="1"/>
    <col min="13822" max="13822" width="32" customWidth="1"/>
    <col min="13823" max="13823" width="18.7109375" customWidth="1"/>
    <col min="13824" max="13824" width="9.140625" customWidth="1"/>
    <col min="13825" max="13825" width="13.28515625" customWidth="1"/>
    <col min="13826" max="13826" width="16.7109375" customWidth="1"/>
    <col min="13827" max="13827" width="29.140625" customWidth="1"/>
    <col min="14078" max="14078" width="32" customWidth="1"/>
    <col min="14079" max="14079" width="18.7109375" customWidth="1"/>
    <col min="14080" max="14080" width="9.140625" customWidth="1"/>
    <col min="14081" max="14081" width="13.28515625" customWidth="1"/>
    <col min="14082" max="14082" width="16.7109375" customWidth="1"/>
    <col min="14083" max="14083" width="29.140625" customWidth="1"/>
    <col min="14334" max="14334" width="32" customWidth="1"/>
    <col min="14335" max="14335" width="18.7109375" customWidth="1"/>
    <col min="14336" max="14336" width="9.140625" customWidth="1"/>
    <col min="14337" max="14337" width="13.28515625" customWidth="1"/>
    <col min="14338" max="14338" width="16.7109375" customWidth="1"/>
    <col min="14339" max="14339" width="29.140625" customWidth="1"/>
    <col min="14590" max="14590" width="32" customWidth="1"/>
    <col min="14591" max="14591" width="18.7109375" customWidth="1"/>
    <col min="14592" max="14592" width="9.140625" customWidth="1"/>
    <col min="14593" max="14593" width="13.28515625" customWidth="1"/>
    <col min="14594" max="14594" width="16.7109375" customWidth="1"/>
    <col min="14595" max="14595" width="29.140625" customWidth="1"/>
    <col min="14846" max="14846" width="32" customWidth="1"/>
    <col min="14847" max="14847" width="18.7109375" customWidth="1"/>
    <col min="14848" max="14848" width="9.140625" customWidth="1"/>
    <col min="14849" max="14849" width="13.28515625" customWidth="1"/>
    <col min="14850" max="14850" width="16.7109375" customWidth="1"/>
    <col min="14851" max="14851" width="29.140625" customWidth="1"/>
    <col min="15102" max="15102" width="32" customWidth="1"/>
    <col min="15103" max="15103" width="18.7109375" customWidth="1"/>
    <col min="15104" max="15104" width="9.140625" customWidth="1"/>
    <col min="15105" max="15105" width="13.28515625" customWidth="1"/>
    <col min="15106" max="15106" width="16.7109375" customWidth="1"/>
    <col min="15107" max="15107" width="29.140625" customWidth="1"/>
    <col min="15358" max="15358" width="32" customWidth="1"/>
    <col min="15359" max="15359" width="18.7109375" customWidth="1"/>
    <col min="15360" max="15360" width="9.140625" customWidth="1"/>
    <col min="15361" max="15361" width="13.28515625" customWidth="1"/>
    <col min="15362" max="15362" width="16.7109375" customWidth="1"/>
    <col min="15363" max="15363" width="29.140625" customWidth="1"/>
    <col min="15614" max="15614" width="32" customWidth="1"/>
    <col min="15615" max="15615" width="18.7109375" customWidth="1"/>
    <col min="15616" max="15616" width="9.140625" customWidth="1"/>
    <col min="15617" max="15617" width="13.28515625" customWidth="1"/>
    <col min="15618" max="15618" width="16.7109375" customWidth="1"/>
    <col min="15619" max="15619" width="29.140625" customWidth="1"/>
    <col min="15870" max="15870" width="32" customWidth="1"/>
    <col min="15871" max="15871" width="18.7109375" customWidth="1"/>
    <col min="15872" max="15872" width="9.140625" customWidth="1"/>
    <col min="15873" max="15873" width="13.28515625" customWidth="1"/>
    <col min="15874" max="15874" width="16.7109375" customWidth="1"/>
    <col min="15875" max="15875" width="29.140625" customWidth="1"/>
    <col min="16126" max="16126" width="32" customWidth="1"/>
    <col min="16127" max="16127" width="18.7109375" customWidth="1"/>
    <col min="16128" max="16128" width="9.140625" customWidth="1"/>
    <col min="16129" max="16129" width="13.28515625" customWidth="1"/>
    <col min="16130" max="16130" width="16.7109375" customWidth="1"/>
    <col min="16131" max="16131" width="29.140625" customWidth="1"/>
  </cols>
  <sheetData>
    <row r="1" spans="1:11" x14ac:dyDescent="0.25">
      <c r="A1" s="159" t="s">
        <v>59</v>
      </c>
      <c r="B1" s="160"/>
      <c r="C1" s="161"/>
      <c r="D1" s="162"/>
      <c r="E1" s="163"/>
      <c r="G1" s="80"/>
      <c r="H1" s="193"/>
      <c r="I1" s="193"/>
      <c r="J1" s="193"/>
      <c r="K1" s="79"/>
    </row>
    <row r="2" spans="1:11" x14ac:dyDescent="0.25">
      <c r="A2" s="159" t="s">
        <v>90</v>
      </c>
      <c r="B2" s="160"/>
      <c r="C2" s="161"/>
      <c r="D2" s="162"/>
      <c r="E2" s="164"/>
      <c r="G2" s="80"/>
      <c r="H2" s="193"/>
      <c r="I2" s="193"/>
      <c r="J2" s="193"/>
      <c r="K2" s="79"/>
    </row>
    <row r="3" spans="1:11" x14ac:dyDescent="0.25">
      <c r="A3" s="165"/>
      <c r="B3" s="160"/>
      <c r="C3" s="161"/>
      <c r="D3" s="162"/>
      <c r="E3" s="164"/>
      <c r="G3" s="80"/>
      <c r="H3" s="193"/>
      <c r="I3" s="193"/>
      <c r="J3" s="193"/>
      <c r="K3" s="79"/>
    </row>
    <row r="4" spans="1:11" x14ac:dyDescent="0.25">
      <c r="A4" s="161"/>
      <c r="B4" s="160"/>
      <c r="C4" s="161"/>
      <c r="D4" s="162"/>
      <c r="E4" s="164"/>
      <c r="G4" s="80"/>
      <c r="H4" s="193"/>
      <c r="I4" s="193"/>
      <c r="J4" s="193"/>
      <c r="K4" s="79"/>
    </row>
    <row r="5" spans="1:11" x14ac:dyDescent="0.25">
      <c r="A5" s="161"/>
      <c r="B5" s="166" t="s">
        <v>63</v>
      </c>
      <c r="C5" s="160" t="s">
        <v>51</v>
      </c>
      <c r="D5" s="167"/>
      <c r="E5" s="168"/>
      <c r="G5" s="80"/>
      <c r="H5" s="193"/>
      <c r="I5" s="193"/>
      <c r="J5" s="193"/>
      <c r="K5" s="79"/>
    </row>
    <row r="6" spans="1:11" s="14" customFormat="1" ht="17.25" x14ac:dyDescent="0.4">
      <c r="A6" s="169" t="s">
        <v>64</v>
      </c>
      <c r="B6" s="170" t="s">
        <v>65</v>
      </c>
      <c r="C6" s="170" t="s">
        <v>66</v>
      </c>
      <c r="D6" s="171" t="s">
        <v>60</v>
      </c>
      <c r="E6" s="172" t="s">
        <v>67</v>
      </c>
      <c r="G6" s="78" t="s">
        <v>53</v>
      </c>
      <c r="H6" s="194" t="s">
        <v>78</v>
      </c>
      <c r="I6" s="194" t="s">
        <v>1</v>
      </c>
      <c r="J6" s="195" t="s">
        <v>77</v>
      </c>
      <c r="K6" s="196"/>
    </row>
    <row r="7" spans="1:11" x14ac:dyDescent="0.25">
      <c r="A7" s="161"/>
      <c r="B7" s="160"/>
      <c r="C7" s="161"/>
      <c r="D7" s="162"/>
      <c r="E7" s="164"/>
      <c r="G7" s="80"/>
      <c r="H7" s="193"/>
      <c r="I7" s="193"/>
      <c r="J7" s="193"/>
      <c r="K7" s="79"/>
    </row>
    <row r="8" spans="1:11" x14ac:dyDescent="0.25">
      <c r="A8" s="173" t="s">
        <v>49</v>
      </c>
      <c r="B8" s="174"/>
      <c r="C8" s="173" t="s">
        <v>68</v>
      </c>
      <c r="D8" s="175"/>
      <c r="E8" s="176">
        <v>260424</v>
      </c>
      <c r="G8" s="80">
        <f>+E8</f>
        <v>260424</v>
      </c>
      <c r="H8" s="193"/>
      <c r="I8" s="193"/>
      <c r="J8" s="197">
        <f>SUM(G8:I8)</f>
        <v>260424</v>
      </c>
      <c r="K8" s="79">
        <f>E8-J8</f>
        <v>0</v>
      </c>
    </row>
    <row r="9" spans="1:11" x14ac:dyDescent="0.25">
      <c r="A9" s="173"/>
      <c r="B9" s="174"/>
      <c r="C9" s="173"/>
      <c r="D9" s="175"/>
      <c r="E9" s="176"/>
      <c r="G9" s="80"/>
      <c r="H9" s="193"/>
      <c r="I9" s="193"/>
      <c r="J9" s="197">
        <f>SUM(G9:I9)</f>
        <v>0</v>
      </c>
      <c r="K9" s="79">
        <f>E9-J9</f>
        <v>0</v>
      </c>
    </row>
    <row r="10" spans="1:11" x14ac:dyDescent="0.25">
      <c r="A10" s="173" t="s">
        <v>115</v>
      </c>
      <c r="B10" s="177" t="s">
        <v>42</v>
      </c>
      <c r="C10" s="173" t="s">
        <v>86</v>
      </c>
      <c r="D10" s="175">
        <f>440+78+17</f>
        <v>535</v>
      </c>
      <c r="E10" s="178">
        <v>110387.61950770646</v>
      </c>
      <c r="F10" s="16"/>
      <c r="G10" s="81"/>
      <c r="H10" s="197">
        <f>E10</f>
        <v>110387.61950770646</v>
      </c>
      <c r="I10" s="197"/>
      <c r="J10" s="197">
        <f>SUM(G10:I10)</f>
        <v>110387.61950770646</v>
      </c>
      <c r="K10" s="79">
        <f>E10-J10</f>
        <v>0</v>
      </c>
    </row>
    <row r="11" spans="1:11" x14ac:dyDescent="0.25">
      <c r="A11" s="173"/>
      <c r="B11" s="177" t="s">
        <v>42</v>
      </c>
      <c r="C11" s="173" t="s">
        <v>87</v>
      </c>
      <c r="D11" s="175">
        <f>226+136+558+740+448+784+372+232+316</f>
        <v>3812</v>
      </c>
      <c r="E11" s="178">
        <v>786537.58049229346</v>
      </c>
      <c r="F11" s="16"/>
      <c r="G11" s="81"/>
      <c r="H11" s="197">
        <f>E11</f>
        <v>786537.58049229346</v>
      </c>
      <c r="I11" s="197"/>
      <c r="J11" s="197">
        <f>SUM(G11:I11)</f>
        <v>786537.58049229346</v>
      </c>
      <c r="K11" s="79">
        <f>E11-J11</f>
        <v>0</v>
      </c>
    </row>
    <row r="12" spans="1:11" x14ac:dyDescent="0.25">
      <c r="A12" s="179"/>
      <c r="B12" s="177" t="s">
        <v>1</v>
      </c>
      <c r="C12" s="179" t="s">
        <v>148</v>
      </c>
      <c r="D12" s="180" t="s">
        <v>116</v>
      </c>
      <c r="E12" s="181">
        <f>C12*2066.84</f>
        <v>93007.8</v>
      </c>
      <c r="F12" s="16"/>
      <c r="G12" s="81"/>
      <c r="H12" s="197"/>
      <c r="I12" s="197">
        <f>E12</f>
        <v>93007.8</v>
      </c>
      <c r="J12" s="197">
        <f>SUM(G12:I12)</f>
        <v>93007.8</v>
      </c>
      <c r="K12" s="79">
        <f>E12-J12</f>
        <v>0</v>
      </c>
    </row>
    <row r="13" spans="1:11" x14ac:dyDescent="0.25">
      <c r="A13" s="179"/>
      <c r="B13" s="182"/>
      <c r="C13" s="179"/>
      <c r="D13" s="183">
        <f>SUM(D10:D12)</f>
        <v>4347</v>
      </c>
      <c r="E13" s="184">
        <f>SUM(E10:E12)</f>
        <v>989933</v>
      </c>
      <c r="F13" s="16"/>
      <c r="G13" s="81"/>
      <c r="H13" s="197"/>
      <c r="I13" s="197"/>
      <c r="J13" s="197"/>
      <c r="K13" s="79"/>
    </row>
    <row r="14" spans="1:11" x14ac:dyDescent="0.25">
      <c r="A14" s="173"/>
      <c r="B14" s="185"/>
      <c r="C14" s="173"/>
      <c r="D14" s="186"/>
      <c r="E14" s="178"/>
      <c r="F14" s="16"/>
      <c r="G14" s="81"/>
      <c r="H14" s="197"/>
      <c r="I14" s="197"/>
      <c r="J14" s="197"/>
      <c r="K14" s="79"/>
    </row>
    <row r="15" spans="1:11" x14ac:dyDescent="0.25">
      <c r="A15" s="173" t="s">
        <v>117</v>
      </c>
      <c r="B15" s="185" t="s">
        <v>42</v>
      </c>
      <c r="C15" s="173" t="s">
        <v>86</v>
      </c>
      <c r="D15" s="175">
        <f>60</f>
        <v>60</v>
      </c>
      <c r="E15" s="176">
        <v>21049.81218274112</v>
      </c>
      <c r="F15" s="16"/>
      <c r="G15" s="81"/>
      <c r="H15" s="197">
        <f>E15</f>
        <v>21049.81218274112</v>
      </c>
      <c r="I15" s="197"/>
      <c r="J15" s="197">
        <f>SUM(G15:I15)</f>
        <v>21049.81218274112</v>
      </c>
      <c r="K15" s="79">
        <f>E15-J15</f>
        <v>0</v>
      </c>
    </row>
    <row r="16" spans="1:11" x14ac:dyDescent="0.25">
      <c r="A16" s="173"/>
      <c r="B16" s="185" t="s">
        <v>42</v>
      </c>
      <c r="C16" s="173" t="s">
        <v>87</v>
      </c>
      <c r="D16" s="175">
        <f>210+84+40</f>
        <v>334</v>
      </c>
      <c r="E16" s="176">
        <v>117177.28781725888</v>
      </c>
      <c r="F16" s="16"/>
      <c r="G16" s="81"/>
      <c r="H16" s="197">
        <f>E16</f>
        <v>117177.28781725888</v>
      </c>
      <c r="I16" s="197"/>
      <c r="J16" s="197">
        <f>SUM(G16:I16)</f>
        <v>117177.28781725888</v>
      </c>
      <c r="K16" s="79">
        <f>E16-J16</f>
        <v>0</v>
      </c>
    </row>
    <row r="17" spans="1:11" x14ac:dyDescent="0.25">
      <c r="A17" s="173"/>
      <c r="B17" s="185" t="s">
        <v>1</v>
      </c>
      <c r="C17" s="173" t="s">
        <v>149</v>
      </c>
      <c r="D17" s="180" t="s">
        <v>116</v>
      </c>
      <c r="E17" s="178">
        <f>C17*2066.84</f>
        <v>43403.64</v>
      </c>
      <c r="F17" s="16"/>
      <c r="G17" s="81"/>
      <c r="H17" s="197"/>
      <c r="I17" s="197">
        <f>E17</f>
        <v>43403.64</v>
      </c>
      <c r="J17" s="197">
        <f>SUM(G17:I17)</f>
        <v>43403.64</v>
      </c>
      <c r="K17" s="79">
        <f>E17-J17</f>
        <v>0</v>
      </c>
    </row>
    <row r="18" spans="1:11" x14ac:dyDescent="0.25">
      <c r="A18" s="173"/>
      <c r="B18" s="185"/>
      <c r="C18" s="173"/>
      <c r="D18" s="187">
        <f>SUM(D15:D16)</f>
        <v>394</v>
      </c>
      <c r="E18" s="188">
        <f>SUM(E15:E17)</f>
        <v>181630.74</v>
      </c>
      <c r="F18" s="16"/>
      <c r="G18" s="81"/>
      <c r="H18" s="197"/>
      <c r="I18" s="197"/>
      <c r="J18" s="197"/>
      <c r="K18" s="79"/>
    </row>
    <row r="19" spans="1:11" x14ac:dyDescent="0.25">
      <c r="A19" s="173"/>
      <c r="B19" s="185"/>
      <c r="C19" s="173"/>
      <c r="D19" s="175"/>
      <c r="E19" s="176"/>
      <c r="F19" s="16"/>
      <c r="G19" s="81"/>
      <c r="H19" s="197"/>
      <c r="I19" s="197"/>
      <c r="J19" s="197"/>
      <c r="K19" s="79"/>
    </row>
    <row r="20" spans="1:11" x14ac:dyDescent="0.25">
      <c r="A20" s="173" t="s">
        <v>98</v>
      </c>
      <c r="B20" s="185" t="s">
        <v>42</v>
      </c>
      <c r="C20" s="173" t="s">
        <v>87</v>
      </c>
      <c r="D20" s="175">
        <f>656+956+316+896+1268+1378+1836+1910+922+702+526+376+46+82</f>
        <v>11870</v>
      </c>
      <c r="E20" s="189">
        <v>948869.26</v>
      </c>
      <c r="F20" s="16"/>
      <c r="G20" s="81"/>
      <c r="H20" s="197">
        <f>E20</f>
        <v>948869.26</v>
      </c>
      <c r="I20" s="197"/>
      <c r="J20" s="197">
        <f>SUM(G20:I20)</f>
        <v>948869.26</v>
      </c>
      <c r="K20" s="79">
        <f>E20-J20</f>
        <v>0</v>
      </c>
    </row>
    <row r="21" spans="1:11" x14ac:dyDescent="0.25">
      <c r="A21" s="173"/>
      <c r="B21" s="185" t="s">
        <v>1</v>
      </c>
      <c r="C21" s="173" t="s">
        <v>118</v>
      </c>
      <c r="D21" s="180" t="s">
        <v>119</v>
      </c>
      <c r="E21" s="178">
        <f>C21*2066.84</f>
        <v>57871.520000000004</v>
      </c>
      <c r="F21" s="16"/>
      <c r="G21" s="81"/>
      <c r="H21" s="197"/>
      <c r="I21" s="197">
        <f>E21</f>
        <v>57871.520000000004</v>
      </c>
      <c r="J21" s="197">
        <f>SUM(G21:I21)</f>
        <v>57871.520000000004</v>
      </c>
      <c r="K21" s="79">
        <f>E21-J21</f>
        <v>0</v>
      </c>
    </row>
    <row r="22" spans="1:11" x14ac:dyDescent="0.25">
      <c r="A22" s="173"/>
      <c r="B22" s="185"/>
      <c r="C22" s="173"/>
      <c r="D22" s="187">
        <f>SUM(D20:D20)</f>
        <v>11870</v>
      </c>
      <c r="E22" s="188">
        <f>SUM(E20:E21)</f>
        <v>1006740.78</v>
      </c>
      <c r="F22" s="16"/>
      <c r="G22" s="81"/>
      <c r="H22" s="197"/>
      <c r="I22" s="197"/>
      <c r="J22" s="197"/>
      <c r="K22" s="79"/>
    </row>
    <row r="23" spans="1:11" x14ac:dyDescent="0.25">
      <c r="A23" s="173"/>
      <c r="B23" s="185"/>
      <c r="C23" s="173"/>
      <c r="D23" s="175"/>
      <c r="E23" s="181"/>
      <c r="F23" s="16"/>
      <c r="G23" s="81"/>
      <c r="H23" s="197"/>
      <c r="I23" s="197"/>
      <c r="J23" s="197">
        <f>SUM(G23:I23)</f>
        <v>0</v>
      </c>
      <c r="K23" s="79">
        <f>E23-J23</f>
        <v>0</v>
      </c>
    </row>
    <row r="24" spans="1:11" x14ac:dyDescent="0.25">
      <c r="A24" s="173" t="s">
        <v>120</v>
      </c>
      <c r="B24" s="185" t="s">
        <v>42</v>
      </c>
      <c r="C24" s="173" t="s">
        <v>87</v>
      </c>
      <c r="D24" s="175">
        <f>252+596+148+230+919+552+397</f>
        <v>3094</v>
      </c>
      <c r="E24" s="176">
        <v>749846.65</v>
      </c>
      <c r="F24" s="16"/>
      <c r="G24" s="81"/>
      <c r="H24" s="197">
        <f>E24</f>
        <v>749846.65</v>
      </c>
      <c r="I24" s="197"/>
      <c r="J24" s="197">
        <f>SUM(G24:I24)</f>
        <v>749846.65</v>
      </c>
      <c r="K24" s="79">
        <f>E24-J24</f>
        <v>0</v>
      </c>
    </row>
    <row r="25" spans="1:11" x14ac:dyDescent="0.25">
      <c r="A25" s="179"/>
      <c r="B25" s="177" t="s">
        <v>1</v>
      </c>
      <c r="C25" s="179" t="s">
        <v>150</v>
      </c>
      <c r="D25" s="180" t="s">
        <v>116</v>
      </c>
      <c r="E25" s="181">
        <f>C25*2066.84</f>
        <v>70272.56</v>
      </c>
      <c r="F25" s="16"/>
      <c r="G25" s="81"/>
      <c r="H25" s="197"/>
      <c r="I25" s="197">
        <f>E25</f>
        <v>70272.56</v>
      </c>
      <c r="J25" s="197">
        <f>SUM(G25:I25)</f>
        <v>70272.56</v>
      </c>
      <c r="K25" s="79">
        <f>E25-J25</f>
        <v>0</v>
      </c>
    </row>
    <row r="26" spans="1:11" x14ac:dyDescent="0.25">
      <c r="A26" s="179"/>
      <c r="B26" s="182"/>
      <c r="C26" s="179"/>
      <c r="D26" s="183">
        <f>SUM(D24:D24)</f>
        <v>3094</v>
      </c>
      <c r="E26" s="184">
        <f>SUM(E24:E25)</f>
        <v>820119.21</v>
      </c>
      <c r="F26" s="16"/>
      <c r="G26" s="81"/>
      <c r="H26" s="197"/>
      <c r="I26" s="197"/>
      <c r="J26" s="197"/>
      <c r="K26" s="79"/>
    </row>
    <row r="27" spans="1:11" x14ac:dyDescent="0.25">
      <c r="A27" s="173"/>
      <c r="B27" s="185"/>
      <c r="C27" s="173"/>
      <c r="D27" s="175"/>
      <c r="E27" s="181"/>
      <c r="F27" s="16"/>
      <c r="G27" s="81"/>
      <c r="H27" s="197"/>
      <c r="I27" s="197"/>
      <c r="J27" s="197"/>
      <c r="K27" s="79"/>
    </row>
    <row r="28" spans="1:11" x14ac:dyDescent="0.25">
      <c r="A28" s="173" t="s">
        <v>91</v>
      </c>
      <c r="B28" s="177" t="s">
        <v>42</v>
      </c>
      <c r="C28" s="173" t="s">
        <v>86</v>
      </c>
      <c r="D28" s="175"/>
      <c r="E28" s="178">
        <v>13594</v>
      </c>
      <c r="F28" s="16"/>
      <c r="G28" s="81"/>
      <c r="H28" s="197">
        <f>E28</f>
        <v>13594</v>
      </c>
      <c r="I28" s="197"/>
      <c r="J28" s="197">
        <f>SUM(G28:I28)</f>
        <v>13594</v>
      </c>
      <c r="K28" s="79">
        <f>E28-J28</f>
        <v>0</v>
      </c>
    </row>
    <row r="29" spans="1:11" x14ac:dyDescent="0.25">
      <c r="A29" s="173"/>
      <c r="B29" s="185" t="s">
        <v>42</v>
      </c>
      <c r="C29" s="173" t="s">
        <v>87</v>
      </c>
      <c r="D29" s="175"/>
      <c r="E29" s="178">
        <v>13594</v>
      </c>
      <c r="F29" s="16"/>
      <c r="G29" s="81"/>
      <c r="H29" s="197">
        <f>E29</f>
        <v>13594</v>
      </c>
      <c r="I29" s="197"/>
      <c r="J29" s="197">
        <f>SUM(G29:I29)</f>
        <v>13594</v>
      </c>
      <c r="K29" s="79">
        <f>E29-J29</f>
        <v>0</v>
      </c>
    </row>
    <row r="30" spans="1:11" x14ac:dyDescent="0.25">
      <c r="A30" s="179"/>
      <c r="B30" s="177" t="s">
        <v>1</v>
      </c>
      <c r="C30" s="179" t="s">
        <v>88</v>
      </c>
      <c r="D30" s="180" t="s">
        <v>116</v>
      </c>
      <c r="E30" s="181">
        <f>C30*2066.84</f>
        <v>4133.68</v>
      </c>
      <c r="F30" s="16"/>
      <c r="G30" s="81"/>
      <c r="H30" s="197"/>
      <c r="I30" s="197">
        <f>E30</f>
        <v>4133.68</v>
      </c>
      <c r="J30" s="197">
        <f>SUM(G30:I30)</f>
        <v>4133.68</v>
      </c>
      <c r="K30" s="79">
        <f>E30-J30</f>
        <v>0</v>
      </c>
    </row>
    <row r="31" spans="1:11" x14ac:dyDescent="0.25">
      <c r="A31" s="179"/>
      <c r="B31" s="182"/>
      <c r="C31" s="179"/>
      <c r="D31" s="183">
        <f>SUM(D28)</f>
        <v>0</v>
      </c>
      <c r="E31" s="184">
        <f>SUM(E28:E30)</f>
        <v>31321.68</v>
      </c>
      <c r="F31" s="16"/>
      <c r="G31" s="81"/>
      <c r="H31" s="197"/>
      <c r="I31" s="197"/>
      <c r="J31" s="197"/>
      <c r="K31" s="79"/>
    </row>
    <row r="32" spans="1:11" x14ac:dyDescent="0.25">
      <c r="A32" s="173"/>
      <c r="B32" s="185"/>
      <c r="C32" s="173"/>
      <c r="D32" s="175"/>
      <c r="E32" s="176"/>
      <c r="F32" s="16"/>
      <c r="G32" s="81"/>
      <c r="H32" s="197"/>
      <c r="I32" s="197"/>
      <c r="J32" s="197"/>
      <c r="K32" s="79"/>
    </row>
    <row r="33" spans="1:11" x14ac:dyDescent="0.25">
      <c r="A33" s="173" t="s">
        <v>99</v>
      </c>
      <c r="B33" s="185" t="s">
        <v>42</v>
      </c>
      <c r="C33" s="173" t="s">
        <v>87</v>
      </c>
      <c r="D33" s="175">
        <f>392+584+372+793+1130+1115+792+700+322+536</f>
        <v>6736</v>
      </c>
      <c r="E33" s="176">
        <v>473437.77</v>
      </c>
      <c r="F33" s="16"/>
      <c r="G33" s="81"/>
      <c r="H33" s="197">
        <f>E33</f>
        <v>473437.77</v>
      </c>
      <c r="I33" s="197"/>
      <c r="J33" s="197">
        <f>SUM(G33:I33)</f>
        <v>473437.77</v>
      </c>
      <c r="K33" s="79">
        <f>E33-J33</f>
        <v>0</v>
      </c>
    </row>
    <row r="34" spans="1:11" x14ac:dyDescent="0.25">
      <c r="A34" s="179"/>
      <c r="B34" s="177" t="s">
        <v>1</v>
      </c>
      <c r="C34" s="179" t="s">
        <v>150</v>
      </c>
      <c r="D34" s="180" t="s">
        <v>119</v>
      </c>
      <c r="E34" s="181">
        <f>C34*2066.84</f>
        <v>70272.56</v>
      </c>
      <c r="F34" s="16"/>
      <c r="G34" s="81"/>
      <c r="H34" s="197"/>
      <c r="I34" s="197">
        <f>E34</f>
        <v>70272.56</v>
      </c>
      <c r="J34" s="197">
        <f>SUM(G34:I34)</f>
        <v>70272.56</v>
      </c>
      <c r="K34" s="79">
        <f>E34-J34</f>
        <v>0</v>
      </c>
    </row>
    <row r="35" spans="1:11" x14ac:dyDescent="0.25">
      <c r="A35" s="179"/>
      <c r="B35" s="182"/>
      <c r="C35" s="179"/>
      <c r="D35" s="183">
        <f>SUM(D33:D33)</f>
        <v>6736</v>
      </c>
      <c r="E35" s="184">
        <f>SUM(E33:E34)</f>
        <v>543710.33000000007</v>
      </c>
      <c r="F35" s="16"/>
      <c r="G35" s="81"/>
      <c r="H35" s="197"/>
      <c r="I35" s="197"/>
      <c r="J35" s="197"/>
      <c r="K35" s="79"/>
    </row>
    <row r="36" spans="1:11" x14ac:dyDescent="0.25">
      <c r="A36" s="173"/>
      <c r="B36" s="185"/>
      <c r="C36" s="173"/>
      <c r="D36" s="175"/>
      <c r="E36" s="176"/>
      <c r="F36" s="16"/>
      <c r="G36" s="81"/>
      <c r="H36" s="197"/>
      <c r="I36" s="197"/>
      <c r="J36" s="197"/>
      <c r="K36" s="79"/>
    </row>
    <row r="37" spans="1:11" x14ac:dyDescent="0.25">
      <c r="A37" s="173" t="s">
        <v>121</v>
      </c>
      <c r="B37" s="177" t="s">
        <v>42</v>
      </c>
      <c r="C37" s="173" t="s">
        <v>86</v>
      </c>
      <c r="D37" s="175">
        <v>540</v>
      </c>
      <c r="E37" s="178">
        <v>229651.07506426732</v>
      </c>
      <c r="F37" s="16"/>
      <c r="G37" s="81"/>
      <c r="H37" s="197">
        <f>E37</f>
        <v>229651.07506426732</v>
      </c>
      <c r="I37" s="197"/>
      <c r="J37" s="197">
        <f>SUM(G37:I37)</f>
        <v>229651.07506426732</v>
      </c>
      <c r="K37" s="79">
        <f>E37-J37</f>
        <v>0</v>
      </c>
    </row>
    <row r="38" spans="1:11" ht="15" customHeight="1" x14ac:dyDescent="0.25">
      <c r="A38" s="173"/>
      <c r="B38" s="177" t="s">
        <v>42</v>
      </c>
      <c r="C38" s="173" t="s">
        <v>87</v>
      </c>
      <c r="D38" s="175">
        <v>238</v>
      </c>
      <c r="E38" s="178">
        <v>101216.58493573265</v>
      </c>
      <c r="F38" s="16"/>
      <c r="G38" s="81"/>
      <c r="H38" s="197">
        <f>E38</f>
        <v>101216.58493573265</v>
      </c>
      <c r="I38" s="197"/>
      <c r="J38" s="197">
        <f>SUM(G38:I38)</f>
        <v>101216.58493573265</v>
      </c>
      <c r="K38" s="79">
        <f>E38-J38</f>
        <v>0</v>
      </c>
    </row>
    <row r="39" spans="1:11" x14ac:dyDescent="0.25">
      <c r="A39" s="179"/>
      <c r="B39" s="177" t="s">
        <v>1</v>
      </c>
      <c r="C39" s="179" t="s">
        <v>85</v>
      </c>
      <c r="D39" s="180" t="s">
        <v>84</v>
      </c>
      <c r="E39" s="181">
        <f>C39*2066.84</f>
        <v>0</v>
      </c>
      <c r="F39" s="16"/>
      <c r="G39" s="81"/>
      <c r="H39" s="197"/>
      <c r="I39" s="197">
        <f>E39</f>
        <v>0</v>
      </c>
      <c r="J39" s="197">
        <f>SUM(G39:I39)</f>
        <v>0</v>
      </c>
      <c r="K39" s="79">
        <f>E39-J39</f>
        <v>0</v>
      </c>
    </row>
    <row r="40" spans="1:11" x14ac:dyDescent="0.25">
      <c r="A40" s="179"/>
      <c r="B40" s="182"/>
      <c r="C40" s="179"/>
      <c r="D40" s="183">
        <f>SUM(D37:D38)</f>
        <v>778</v>
      </c>
      <c r="E40" s="184">
        <f>SUM(E37:E39)</f>
        <v>330867.65999999997</v>
      </c>
      <c r="F40" s="16"/>
      <c r="G40" s="81"/>
      <c r="H40" s="197"/>
      <c r="I40" s="197"/>
      <c r="J40" s="197"/>
      <c r="K40" s="79"/>
    </row>
    <row r="41" spans="1:11" x14ac:dyDescent="0.25">
      <c r="A41" s="173"/>
      <c r="B41" s="185"/>
      <c r="C41" s="173"/>
      <c r="D41" s="175"/>
      <c r="E41" s="176"/>
      <c r="F41" s="16"/>
      <c r="G41" s="81"/>
      <c r="H41" s="197"/>
      <c r="I41" s="197"/>
      <c r="J41" s="197"/>
      <c r="K41" s="79"/>
    </row>
    <row r="42" spans="1:11" x14ac:dyDescent="0.25">
      <c r="A42" s="173" t="s">
        <v>122</v>
      </c>
      <c r="B42" s="177" t="s">
        <v>42</v>
      </c>
      <c r="C42" s="173" t="s">
        <v>86</v>
      </c>
      <c r="D42" s="175">
        <v>902</v>
      </c>
      <c r="E42" s="178">
        <v>32181.344262910796</v>
      </c>
      <c r="F42" s="16"/>
      <c r="G42" s="81"/>
      <c r="H42" s="197">
        <f>E42</f>
        <v>32181.344262910796</v>
      </c>
      <c r="I42" s="197"/>
      <c r="J42" s="197">
        <f>SUM(G42:I42)</f>
        <v>32181.344262910796</v>
      </c>
      <c r="K42" s="79">
        <f>E42-J42</f>
        <v>0</v>
      </c>
    </row>
    <row r="43" spans="1:11" x14ac:dyDescent="0.25">
      <c r="A43" s="173"/>
      <c r="B43" s="177" t="s">
        <v>42</v>
      </c>
      <c r="C43" s="173" t="s">
        <v>87</v>
      </c>
      <c r="D43" s="175">
        <v>163</v>
      </c>
      <c r="E43" s="178">
        <v>5815.4757370892021</v>
      </c>
      <c r="F43" s="16"/>
      <c r="G43" s="81"/>
      <c r="H43" s="197">
        <f>E43</f>
        <v>5815.4757370892021</v>
      </c>
      <c r="I43" s="197"/>
      <c r="J43" s="197">
        <f>SUM(G43:I43)</f>
        <v>5815.4757370892021</v>
      </c>
      <c r="K43" s="79">
        <f>E43-J43</f>
        <v>0</v>
      </c>
    </row>
    <row r="44" spans="1:11" x14ac:dyDescent="0.25">
      <c r="A44" s="179"/>
      <c r="B44" s="177" t="s">
        <v>1</v>
      </c>
      <c r="C44" s="179" t="s">
        <v>85</v>
      </c>
      <c r="D44" s="180" t="s">
        <v>84</v>
      </c>
      <c r="E44" s="181">
        <f>C44*2066.84</f>
        <v>0</v>
      </c>
      <c r="F44" s="16"/>
      <c r="G44" s="81"/>
      <c r="H44" s="197"/>
      <c r="I44" s="197">
        <f>E44</f>
        <v>0</v>
      </c>
      <c r="J44" s="197">
        <f>SUM(G44:I44)</f>
        <v>0</v>
      </c>
      <c r="K44" s="79">
        <f>E44-J44</f>
        <v>0</v>
      </c>
    </row>
    <row r="45" spans="1:11" x14ac:dyDescent="0.25">
      <c r="A45" s="179"/>
      <c r="B45" s="182"/>
      <c r="C45" s="179"/>
      <c r="D45" s="183">
        <f>SUM(D42:D43)</f>
        <v>1065</v>
      </c>
      <c r="E45" s="184">
        <f>SUM(E42:E44)</f>
        <v>37996.82</v>
      </c>
      <c r="F45" s="16"/>
      <c r="G45" s="81"/>
      <c r="H45" s="197"/>
      <c r="I45" s="197"/>
      <c r="J45" s="197"/>
      <c r="K45" s="79"/>
    </row>
    <row r="46" spans="1:11" x14ac:dyDescent="0.25">
      <c r="A46" s="179"/>
      <c r="B46" s="182"/>
      <c r="C46" s="179"/>
      <c r="D46" s="190"/>
      <c r="E46" s="191"/>
      <c r="F46" s="16"/>
      <c r="G46" s="81"/>
      <c r="H46" s="197"/>
      <c r="I46" s="197"/>
      <c r="J46" s="197"/>
      <c r="K46" s="79"/>
    </row>
    <row r="47" spans="1:11" x14ac:dyDescent="0.25">
      <c r="A47" s="173" t="s">
        <v>123</v>
      </c>
      <c r="B47" s="177" t="s">
        <v>42</v>
      </c>
      <c r="C47" s="173" t="s">
        <v>87</v>
      </c>
      <c r="D47" s="175">
        <v>14715</v>
      </c>
      <c r="E47" s="178">
        <v>1188109.49</v>
      </c>
      <c r="F47" s="16"/>
      <c r="G47" s="81"/>
      <c r="H47" s="197">
        <f>E47</f>
        <v>1188109.49</v>
      </c>
      <c r="I47" s="193"/>
      <c r="J47" s="197">
        <f>SUM(H47:I47)</f>
        <v>1188109.49</v>
      </c>
      <c r="K47" s="79">
        <f>E47-J47</f>
        <v>0</v>
      </c>
    </row>
    <row r="48" spans="1:11" x14ac:dyDescent="0.25">
      <c r="A48" s="179"/>
      <c r="B48" s="177" t="s">
        <v>1</v>
      </c>
      <c r="C48" s="179" t="s">
        <v>85</v>
      </c>
      <c r="D48" s="180" t="s">
        <v>84</v>
      </c>
      <c r="E48" s="181">
        <f>C48*2066.84</f>
        <v>0</v>
      </c>
      <c r="F48" s="16"/>
      <c r="G48" s="80"/>
      <c r="H48" s="193"/>
      <c r="I48" s="193"/>
      <c r="J48" s="197">
        <f>SUM(G49:I49)</f>
        <v>0</v>
      </c>
      <c r="K48" s="79"/>
    </row>
    <row r="49" spans="1:11" x14ac:dyDescent="0.25">
      <c r="A49" s="179"/>
      <c r="B49" s="182"/>
      <c r="C49" s="179"/>
      <c r="D49" s="183">
        <f>SUM(D47:D47)</f>
        <v>14715</v>
      </c>
      <c r="E49" s="184">
        <f>SUM(E47:E48)</f>
        <v>1188109.49</v>
      </c>
      <c r="F49" s="16"/>
      <c r="G49" s="80"/>
      <c r="H49" s="197"/>
      <c r="I49" s="197"/>
      <c r="J49" s="197"/>
      <c r="K49" s="79"/>
    </row>
    <row r="50" spans="1:11" x14ac:dyDescent="0.25">
      <c r="A50" s="179"/>
      <c r="B50" s="182"/>
      <c r="C50" s="179"/>
      <c r="D50" s="190"/>
      <c r="E50" s="191"/>
      <c r="F50" s="16"/>
      <c r="G50" s="80"/>
      <c r="H50" s="197"/>
      <c r="I50" s="197"/>
      <c r="J50" s="197"/>
      <c r="K50" s="79"/>
    </row>
    <row r="51" spans="1:11" x14ac:dyDescent="0.25">
      <c r="A51" s="173" t="s">
        <v>124</v>
      </c>
      <c r="B51" s="177" t="s">
        <v>42</v>
      </c>
      <c r="C51" s="173" t="s">
        <v>87</v>
      </c>
      <c r="D51" s="175">
        <v>263</v>
      </c>
      <c r="E51" s="178">
        <v>11292.86</v>
      </c>
      <c r="F51" s="16"/>
      <c r="G51" s="80"/>
      <c r="H51" s="193">
        <f>E51</f>
        <v>11292.86</v>
      </c>
      <c r="I51" s="193"/>
      <c r="J51" s="197">
        <f>SUM(H51:I51)</f>
        <v>11292.86</v>
      </c>
      <c r="K51" s="79">
        <f>E51-J51</f>
        <v>0</v>
      </c>
    </row>
    <row r="52" spans="1:11" x14ac:dyDescent="0.25">
      <c r="A52" s="179"/>
      <c r="B52" s="177" t="s">
        <v>1</v>
      </c>
      <c r="C52" s="179" t="s">
        <v>85</v>
      </c>
      <c r="D52" s="180" t="s">
        <v>84</v>
      </c>
      <c r="E52" s="181">
        <f>C52*2066.84</f>
        <v>0</v>
      </c>
      <c r="F52" s="16"/>
      <c r="G52" s="80"/>
      <c r="H52" s="193"/>
      <c r="I52" s="193"/>
      <c r="J52" s="197">
        <f>SUM(H52:I52)</f>
        <v>0</v>
      </c>
      <c r="K52" s="79">
        <f>E52-J52</f>
        <v>0</v>
      </c>
    </row>
    <row r="53" spans="1:11" x14ac:dyDescent="0.25">
      <c r="A53" s="179"/>
      <c r="B53" s="182"/>
      <c r="C53" s="179"/>
      <c r="D53" s="183">
        <f>SUM(D51:D51)</f>
        <v>263</v>
      </c>
      <c r="E53" s="184">
        <f>SUM(E51:E52)</f>
        <v>11292.86</v>
      </c>
      <c r="F53" s="16"/>
      <c r="G53" s="80"/>
      <c r="H53" s="197"/>
      <c r="I53" s="197"/>
      <c r="J53" s="197"/>
      <c r="K53" s="79"/>
    </row>
    <row r="54" spans="1:11" x14ac:dyDescent="0.25">
      <c r="A54" s="179"/>
      <c r="B54" s="182"/>
      <c r="C54" s="179"/>
      <c r="D54" s="190"/>
      <c r="E54" s="191"/>
      <c r="F54" s="16"/>
      <c r="G54" s="80"/>
      <c r="H54" s="197"/>
      <c r="I54" s="197"/>
      <c r="J54" s="197"/>
      <c r="K54" s="79"/>
    </row>
    <row r="55" spans="1:11" x14ac:dyDescent="0.25">
      <c r="A55" s="173" t="s">
        <v>125</v>
      </c>
      <c r="B55" s="177" t="s">
        <v>42</v>
      </c>
      <c r="C55" s="173" t="s">
        <v>87</v>
      </c>
      <c r="D55" s="175">
        <f>1164+1175+1078+547+50</f>
        <v>4014</v>
      </c>
      <c r="E55" s="178">
        <v>499182.6</v>
      </c>
      <c r="F55" s="16"/>
      <c r="G55" s="80"/>
      <c r="H55" s="193">
        <f>E55</f>
        <v>499182.6</v>
      </c>
      <c r="I55" s="193"/>
      <c r="J55" s="197">
        <f>SUM(H55:I55)</f>
        <v>499182.6</v>
      </c>
      <c r="K55" s="79">
        <f>E55-J55</f>
        <v>0</v>
      </c>
    </row>
    <row r="56" spans="1:11" x14ac:dyDescent="0.25">
      <c r="A56" s="179"/>
      <c r="B56" s="177" t="s">
        <v>1</v>
      </c>
      <c r="C56" s="179" t="s">
        <v>126</v>
      </c>
      <c r="D56" s="180" t="s">
        <v>119</v>
      </c>
      <c r="E56" s="181">
        <f>C56*2066.84</f>
        <v>22735.24</v>
      </c>
      <c r="F56" s="16"/>
      <c r="G56" s="80"/>
      <c r="H56" s="193"/>
      <c r="I56" s="193">
        <f>E56</f>
        <v>22735.24</v>
      </c>
      <c r="J56" s="197">
        <f>SUM(H56:I56)</f>
        <v>22735.24</v>
      </c>
      <c r="K56" s="79">
        <f>E56-J56</f>
        <v>0</v>
      </c>
    </row>
    <row r="57" spans="1:11" x14ac:dyDescent="0.25">
      <c r="A57" s="179"/>
      <c r="B57" s="182"/>
      <c r="C57" s="179"/>
      <c r="D57" s="183">
        <f>SUM(D55:D55)</f>
        <v>4014</v>
      </c>
      <c r="E57" s="184">
        <f>SUM(E55:E56)</f>
        <v>521917.83999999997</v>
      </c>
      <c r="F57" s="16"/>
      <c r="G57" s="80"/>
      <c r="H57" s="197"/>
      <c r="I57" s="197"/>
      <c r="J57" s="197"/>
      <c r="K57" s="79"/>
    </row>
    <row r="58" spans="1:11" x14ac:dyDescent="0.25">
      <c r="A58" s="179"/>
      <c r="B58" s="182"/>
      <c r="C58" s="179"/>
      <c r="D58" s="190"/>
      <c r="E58" s="191"/>
      <c r="F58" s="16"/>
      <c r="G58" s="80"/>
      <c r="H58" s="197"/>
      <c r="I58" s="197"/>
      <c r="J58" s="197"/>
      <c r="K58" s="79"/>
    </row>
    <row r="59" spans="1:11" x14ac:dyDescent="0.25">
      <c r="A59" s="173" t="s">
        <v>127</v>
      </c>
      <c r="B59" s="177" t="s">
        <v>42</v>
      </c>
      <c r="C59" s="173" t="s">
        <v>87</v>
      </c>
      <c r="D59" s="175">
        <v>23631</v>
      </c>
      <c r="E59" s="178">
        <v>1869841.15</v>
      </c>
      <c r="F59" s="16"/>
      <c r="G59" s="80"/>
      <c r="H59" s="193">
        <f>E59</f>
        <v>1869841.15</v>
      </c>
      <c r="I59" s="193"/>
      <c r="J59" s="197">
        <f>SUM(H59:I59)</f>
        <v>1869841.15</v>
      </c>
      <c r="K59" s="79">
        <f>E59-J59</f>
        <v>0</v>
      </c>
    </row>
    <row r="60" spans="1:11" x14ac:dyDescent="0.25">
      <c r="A60" s="179"/>
      <c r="B60" s="177" t="s">
        <v>1</v>
      </c>
      <c r="C60" s="179" t="s">
        <v>85</v>
      </c>
      <c r="D60" s="180" t="s">
        <v>84</v>
      </c>
      <c r="E60" s="181">
        <f>C60*2066.84</f>
        <v>0</v>
      </c>
      <c r="F60" s="16"/>
      <c r="G60" s="80"/>
      <c r="H60" s="193"/>
      <c r="I60" s="193">
        <f>E60</f>
        <v>0</v>
      </c>
      <c r="J60" s="197">
        <f>SUM(H60:I60)</f>
        <v>0</v>
      </c>
      <c r="K60" s="79">
        <f>E60-J60</f>
        <v>0</v>
      </c>
    </row>
    <row r="61" spans="1:11" x14ac:dyDescent="0.25">
      <c r="A61" s="179"/>
      <c r="B61" s="182"/>
      <c r="C61" s="179"/>
      <c r="D61" s="183">
        <f>SUM(D59:D59)</f>
        <v>23631</v>
      </c>
      <c r="E61" s="184">
        <f>SUM(E59:E60)</f>
        <v>1869841.15</v>
      </c>
      <c r="F61" s="16"/>
      <c r="G61" s="80"/>
      <c r="H61" s="197"/>
      <c r="I61" s="197"/>
      <c r="J61" s="197"/>
      <c r="K61" s="79"/>
    </row>
    <row r="62" spans="1:11" x14ac:dyDescent="0.25">
      <c r="A62" s="179"/>
      <c r="B62" s="182"/>
      <c r="C62" s="179"/>
      <c r="D62" s="190"/>
      <c r="E62" s="191"/>
      <c r="F62" s="16"/>
      <c r="G62" s="80"/>
      <c r="H62" s="197"/>
      <c r="I62" s="197"/>
      <c r="J62" s="197">
        <f>SUM(H62:I62)</f>
        <v>0</v>
      </c>
      <c r="K62" s="79">
        <f>E62-J62</f>
        <v>0</v>
      </c>
    </row>
    <row r="63" spans="1:11" x14ac:dyDescent="0.25">
      <c r="A63" s="173" t="s">
        <v>128</v>
      </c>
      <c r="B63" s="177" t="s">
        <v>42</v>
      </c>
      <c r="C63" s="173" t="s">
        <v>86</v>
      </c>
      <c r="D63" s="175">
        <v>50</v>
      </c>
      <c r="E63" s="178">
        <v>9086.6560975609755</v>
      </c>
      <c r="F63" s="16"/>
      <c r="G63" s="80"/>
      <c r="H63" s="193">
        <f>E63</f>
        <v>9086.6560975609755</v>
      </c>
      <c r="I63" s="193"/>
      <c r="J63" s="197">
        <f>SUM(H63:I63)</f>
        <v>9086.6560975609755</v>
      </c>
      <c r="K63" s="79">
        <f>E63-J63</f>
        <v>0</v>
      </c>
    </row>
    <row r="64" spans="1:11" x14ac:dyDescent="0.25">
      <c r="A64" s="173"/>
      <c r="B64" s="177" t="s">
        <v>42</v>
      </c>
      <c r="C64" s="173" t="s">
        <v>87</v>
      </c>
      <c r="D64" s="175">
        <v>565</v>
      </c>
      <c r="E64" s="178">
        <v>102679.21390243902</v>
      </c>
      <c r="F64" s="16"/>
      <c r="G64" s="80"/>
      <c r="H64" s="193">
        <f>E64</f>
        <v>102679.21390243902</v>
      </c>
      <c r="I64" s="193"/>
      <c r="J64" s="197">
        <f>SUM(H64:I64)</f>
        <v>102679.21390243902</v>
      </c>
      <c r="K64" s="79">
        <f>E64-J64</f>
        <v>0</v>
      </c>
    </row>
    <row r="65" spans="1:11" x14ac:dyDescent="0.25">
      <c r="A65" s="179"/>
      <c r="B65" s="177" t="s">
        <v>1</v>
      </c>
      <c r="C65" s="179" t="s">
        <v>85</v>
      </c>
      <c r="D65" s="180" t="s">
        <v>84</v>
      </c>
      <c r="E65" s="181">
        <f>C65*2066.84</f>
        <v>0</v>
      </c>
      <c r="F65" s="16"/>
      <c r="G65" s="80"/>
      <c r="H65" s="193"/>
      <c r="I65" s="193">
        <f>E65</f>
        <v>0</v>
      </c>
      <c r="J65" s="197">
        <f>SUM(H65:I65)</f>
        <v>0</v>
      </c>
      <c r="K65" s="79">
        <f>E65-J65</f>
        <v>0</v>
      </c>
    </row>
    <row r="66" spans="1:11" x14ac:dyDescent="0.25">
      <c r="A66" s="179"/>
      <c r="B66" s="182"/>
      <c r="C66" s="179"/>
      <c r="D66" s="183">
        <f>SUM(D63:D64)</f>
        <v>615</v>
      </c>
      <c r="E66" s="184">
        <f>SUM(E63:E65)</f>
        <v>111765.87</v>
      </c>
      <c r="F66" s="16"/>
      <c r="G66" s="80"/>
      <c r="H66" s="193"/>
      <c r="I66" s="193"/>
      <c r="J66" s="197"/>
      <c r="K66" s="79"/>
    </row>
    <row r="67" spans="1:11" x14ac:dyDescent="0.25">
      <c r="A67" s="179"/>
      <c r="B67" s="182"/>
      <c r="C67" s="179"/>
      <c r="D67" s="190"/>
      <c r="E67" s="191"/>
      <c r="F67" s="16"/>
      <c r="G67" s="80"/>
      <c r="H67" s="193"/>
      <c r="I67" s="193"/>
      <c r="J67" s="197"/>
      <c r="K67" s="79"/>
    </row>
    <row r="68" spans="1:11" x14ac:dyDescent="0.25">
      <c r="A68" s="173" t="s">
        <v>96</v>
      </c>
      <c r="B68" s="177" t="s">
        <v>42</v>
      </c>
      <c r="C68" s="173" t="s">
        <v>94</v>
      </c>
      <c r="D68" s="175">
        <f>99</f>
        <v>99</v>
      </c>
      <c r="E68" s="178">
        <v>12782.28</v>
      </c>
      <c r="F68" s="16"/>
      <c r="G68" s="80"/>
      <c r="H68" s="193">
        <f>E68</f>
        <v>12782.28</v>
      </c>
      <c r="I68" s="193"/>
      <c r="J68" s="197">
        <f>SUM(H68:I68)</f>
        <v>12782.28</v>
      </c>
      <c r="K68" s="79">
        <f>E68-J68</f>
        <v>0</v>
      </c>
    </row>
    <row r="69" spans="1:11" x14ac:dyDescent="0.25">
      <c r="A69" s="179"/>
      <c r="B69" s="177" t="s">
        <v>1</v>
      </c>
      <c r="C69" s="179" t="s">
        <v>85</v>
      </c>
      <c r="D69" s="180" t="s">
        <v>84</v>
      </c>
      <c r="E69" s="181">
        <f>C69*2066.84</f>
        <v>0</v>
      </c>
      <c r="F69" s="16"/>
      <c r="G69" s="80"/>
      <c r="H69" s="193"/>
      <c r="I69" s="193">
        <f>E69</f>
        <v>0</v>
      </c>
      <c r="J69" s="197">
        <f>SUM(H69:I69)</f>
        <v>0</v>
      </c>
      <c r="K69" s="79">
        <f>E69-J69</f>
        <v>0</v>
      </c>
    </row>
    <row r="70" spans="1:11" x14ac:dyDescent="0.25">
      <c r="A70" s="179"/>
      <c r="B70" s="182"/>
      <c r="C70" s="179"/>
      <c r="D70" s="183">
        <f>SUM(D68:D68)</f>
        <v>99</v>
      </c>
      <c r="E70" s="184">
        <f>SUM(E68:E69)</f>
        <v>12782.28</v>
      </c>
      <c r="F70" s="16"/>
      <c r="G70" s="80"/>
      <c r="H70" s="193"/>
      <c r="I70" s="193"/>
      <c r="J70" s="197"/>
      <c r="K70" s="79"/>
    </row>
    <row r="71" spans="1:11" x14ac:dyDescent="0.25">
      <c r="A71" s="179"/>
      <c r="B71" s="182"/>
      <c r="C71" s="179"/>
      <c r="D71" s="190"/>
      <c r="E71" s="191"/>
      <c r="F71" s="16"/>
      <c r="G71" s="80"/>
      <c r="H71" s="193"/>
      <c r="I71" s="193"/>
      <c r="J71" s="197"/>
      <c r="K71" s="79"/>
    </row>
    <row r="72" spans="1:11" x14ac:dyDescent="0.25">
      <c r="A72" s="173" t="s">
        <v>95</v>
      </c>
      <c r="B72" s="177" t="s">
        <v>42</v>
      </c>
      <c r="C72" s="173" t="s">
        <v>86</v>
      </c>
      <c r="D72" s="175">
        <v>1073</v>
      </c>
      <c r="E72" s="178">
        <v>60330.542869502526</v>
      </c>
      <c r="F72" s="16"/>
      <c r="G72" s="80"/>
      <c r="H72" s="193">
        <f>E72</f>
        <v>60330.542869502526</v>
      </c>
      <c r="I72" s="193"/>
      <c r="J72" s="197">
        <f>SUM(H72:I72)</f>
        <v>60330.542869502526</v>
      </c>
      <c r="K72" s="79">
        <f>E72-J72</f>
        <v>0</v>
      </c>
    </row>
    <row r="73" spans="1:11" x14ac:dyDescent="0.25">
      <c r="A73" s="173"/>
      <c r="B73" s="177" t="s">
        <v>42</v>
      </c>
      <c r="C73" s="173" t="s">
        <v>87</v>
      </c>
      <c r="D73" s="175">
        <v>314</v>
      </c>
      <c r="E73" s="178">
        <v>17654.977130497475</v>
      </c>
      <c r="F73" s="16"/>
      <c r="G73" s="80"/>
      <c r="H73" s="193">
        <f>E73</f>
        <v>17654.977130497475</v>
      </c>
      <c r="I73" s="193"/>
      <c r="J73" s="197">
        <f>SUM(H73:I73)</f>
        <v>17654.977130497475</v>
      </c>
      <c r="K73" s="79">
        <f>E73-J73</f>
        <v>0</v>
      </c>
    </row>
    <row r="74" spans="1:11" x14ac:dyDescent="0.25">
      <c r="A74" s="179"/>
      <c r="B74" s="177" t="s">
        <v>1</v>
      </c>
      <c r="C74" s="179" t="s">
        <v>151</v>
      </c>
      <c r="D74" s="180" t="s">
        <v>84</v>
      </c>
      <c r="E74" s="181">
        <f>C74*2066.84</f>
        <v>2066.84</v>
      </c>
      <c r="F74" s="16"/>
      <c r="G74" s="80"/>
      <c r="H74" s="193"/>
      <c r="I74" s="193">
        <f>E74</f>
        <v>2066.84</v>
      </c>
      <c r="J74" s="197">
        <f>SUM(H74:I74)</f>
        <v>2066.84</v>
      </c>
      <c r="K74" s="79">
        <f>E74-J74</f>
        <v>0</v>
      </c>
    </row>
    <row r="75" spans="1:11" x14ac:dyDescent="0.25">
      <c r="A75" s="179"/>
      <c r="B75" s="182"/>
      <c r="C75" s="179"/>
      <c r="D75" s="183">
        <f>SUM(D72:D73)</f>
        <v>1387</v>
      </c>
      <c r="E75" s="184">
        <f>SUM(E72:E74)</f>
        <v>80052.36</v>
      </c>
      <c r="F75" s="16"/>
      <c r="G75" s="80"/>
      <c r="H75" s="193"/>
      <c r="I75" s="193"/>
      <c r="J75" s="197"/>
      <c r="K75" s="79"/>
    </row>
    <row r="76" spans="1:11" x14ac:dyDescent="0.25">
      <c r="A76" s="179"/>
      <c r="B76" s="182"/>
      <c r="C76" s="179"/>
      <c r="D76" s="190"/>
      <c r="E76" s="191"/>
      <c r="F76" s="16"/>
      <c r="G76" s="80"/>
      <c r="H76" s="193"/>
      <c r="I76" s="193"/>
      <c r="J76" s="197"/>
      <c r="K76" s="79"/>
    </row>
    <row r="77" spans="1:11" x14ac:dyDescent="0.25">
      <c r="A77" s="173" t="s">
        <v>92</v>
      </c>
      <c r="B77" s="177" t="s">
        <v>42</v>
      </c>
      <c r="C77" s="173" t="s">
        <v>86</v>
      </c>
      <c r="D77" s="175">
        <v>5540</v>
      </c>
      <c r="E77" s="178">
        <v>450749.5575110162</v>
      </c>
      <c r="F77" s="16"/>
      <c r="G77" s="80"/>
      <c r="H77" s="193">
        <f>E77</f>
        <v>450749.5575110162</v>
      </c>
      <c r="I77" s="193"/>
      <c r="J77" s="197">
        <f>SUM(H77:I77)</f>
        <v>450749.5575110162</v>
      </c>
      <c r="K77" s="79">
        <f>E77-J77</f>
        <v>0</v>
      </c>
    </row>
    <row r="78" spans="1:11" x14ac:dyDescent="0.25">
      <c r="A78" s="173"/>
      <c r="B78" s="177" t="s">
        <v>42</v>
      </c>
      <c r="C78" s="173" t="s">
        <v>87</v>
      </c>
      <c r="D78" s="175">
        <v>1949</v>
      </c>
      <c r="E78" s="178">
        <v>158575.97248898385</v>
      </c>
      <c r="F78" s="16"/>
      <c r="G78" s="80"/>
      <c r="H78" s="193">
        <f>E78</f>
        <v>158575.97248898385</v>
      </c>
      <c r="I78" s="193"/>
      <c r="J78" s="197">
        <f>SUM(H78:I78)</f>
        <v>158575.97248898385</v>
      </c>
      <c r="K78" s="79">
        <f>E78-J78</f>
        <v>0</v>
      </c>
    </row>
    <row r="79" spans="1:11" x14ac:dyDescent="0.25">
      <c r="A79" s="179"/>
      <c r="B79" s="177" t="s">
        <v>1</v>
      </c>
      <c r="C79" s="179" t="s">
        <v>152</v>
      </c>
      <c r="D79" s="180" t="s">
        <v>84</v>
      </c>
      <c r="E79" s="181">
        <f>C79*2066.84</f>
        <v>6200.52</v>
      </c>
      <c r="F79" s="16"/>
      <c r="G79" s="80"/>
      <c r="H79" s="193"/>
      <c r="I79" s="193">
        <f>E79</f>
        <v>6200.52</v>
      </c>
      <c r="J79" s="197">
        <f>SUM(H79:I79)</f>
        <v>6200.52</v>
      </c>
      <c r="K79" s="79">
        <f>E79-J79</f>
        <v>0</v>
      </c>
    </row>
    <row r="80" spans="1:11" x14ac:dyDescent="0.25">
      <c r="A80" s="179"/>
      <c r="B80" s="182"/>
      <c r="C80" s="179"/>
      <c r="D80" s="183">
        <f>SUM(D77:D78)</f>
        <v>7489</v>
      </c>
      <c r="E80" s="184">
        <f>SUM(E77:E79)</f>
        <v>615526.05000000005</v>
      </c>
      <c r="F80" s="16"/>
      <c r="G80" s="80"/>
      <c r="H80" s="193"/>
      <c r="I80" s="193"/>
      <c r="J80" s="197"/>
      <c r="K80" s="79"/>
    </row>
    <row r="81" spans="1:11" x14ac:dyDescent="0.25">
      <c r="A81" s="179"/>
      <c r="B81" s="182"/>
      <c r="C81" s="179"/>
      <c r="D81" s="190"/>
      <c r="E81" s="191"/>
      <c r="F81" s="16"/>
      <c r="G81" s="80"/>
      <c r="H81" s="193"/>
      <c r="I81" s="193"/>
      <c r="J81" s="197"/>
      <c r="K81" s="79"/>
    </row>
    <row r="82" spans="1:11" x14ac:dyDescent="0.25">
      <c r="A82" s="173" t="s">
        <v>129</v>
      </c>
      <c r="B82" s="177" t="s">
        <v>42</v>
      </c>
      <c r="C82" s="173" t="s">
        <v>86</v>
      </c>
      <c r="D82" s="175">
        <f>(183+423)</f>
        <v>606</v>
      </c>
      <c r="E82" s="178">
        <v>59087.14283783784</v>
      </c>
      <c r="F82" s="16"/>
      <c r="G82" s="80"/>
      <c r="H82" s="193">
        <f>E82</f>
        <v>59087.14283783784</v>
      </c>
      <c r="I82" s="193"/>
      <c r="J82" s="197">
        <f>SUM(H82:I82)</f>
        <v>59087.14283783784</v>
      </c>
      <c r="K82" s="79">
        <f>E82-J82</f>
        <v>0</v>
      </c>
    </row>
    <row r="83" spans="1:11" x14ac:dyDescent="0.25">
      <c r="A83" s="173"/>
      <c r="B83" s="177" t="s">
        <v>42</v>
      </c>
      <c r="C83" s="173" t="s">
        <v>87</v>
      </c>
      <c r="D83" s="175">
        <f>(90+192)</f>
        <v>282</v>
      </c>
      <c r="E83" s="178">
        <v>27495.997162162159</v>
      </c>
      <c r="F83" s="16"/>
      <c r="G83" s="80"/>
      <c r="H83" s="193">
        <f>E83</f>
        <v>27495.997162162159</v>
      </c>
      <c r="I83" s="193"/>
      <c r="J83" s="197">
        <f>SUM(H83:I83)</f>
        <v>27495.997162162159</v>
      </c>
      <c r="K83" s="79">
        <f>E83-J83</f>
        <v>0</v>
      </c>
    </row>
    <row r="84" spans="1:11" x14ac:dyDescent="0.25">
      <c r="A84" s="179"/>
      <c r="B84" s="177" t="s">
        <v>1</v>
      </c>
      <c r="C84" s="179" t="s">
        <v>85</v>
      </c>
      <c r="D84" s="180" t="s">
        <v>84</v>
      </c>
      <c r="E84" s="181">
        <f>C84*2066.84</f>
        <v>0</v>
      </c>
      <c r="F84" s="16"/>
      <c r="G84" s="80"/>
      <c r="H84" s="193"/>
      <c r="I84" s="193">
        <f>E84</f>
        <v>0</v>
      </c>
      <c r="J84" s="197">
        <f>SUM(H84:I84)</f>
        <v>0</v>
      </c>
      <c r="K84" s="79">
        <f>E84-J84</f>
        <v>0</v>
      </c>
    </row>
    <row r="85" spans="1:11" x14ac:dyDescent="0.25">
      <c r="A85" s="179"/>
      <c r="B85" s="182"/>
      <c r="C85" s="179"/>
      <c r="D85" s="183">
        <f>SUM(D82:D83)</f>
        <v>888</v>
      </c>
      <c r="E85" s="184">
        <f>SUM(E82:E84)</f>
        <v>86583.14</v>
      </c>
      <c r="F85" s="16"/>
      <c r="G85" s="80"/>
      <c r="H85" s="193"/>
      <c r="I85" s="193"/>
      <c r="J85" s="197"/>
      <c r="K85" s="79"/>
    </row>
    <row r="86" spans="1:11" x14ac:dyDescent="0.25">
      <c r="A86" s="179"/>
      <c r="B86" s="182"/>
      <c r="C86" s="179"/>
      <c r="D86" s="190"/>
      <c r="E86" s="191"/>
      <c r="F86" s="16"/>
      <c r="G86" s="80"/>
      <c r="H86" s="193"/>
      <c r="I86" s="193"/>
      <c r="J86" s="197"/>
      <c r="K86" s="79"/>
    </row>
    <row r="87" spans="1:11" x14ac:dyDescent="0.25">
      <c r="A87" s="173" t="s">
        <v>97</v>
      </c>
      <c r="B87" s="177" t="s">
        <v>42</v>
      </c>
      <c r="C87" s="173" t="s">
        <v>93</v>
      </c>
      <c r="D87" s="175">
        <v>274</v>
      </c>
      <c r="E87" s="178">
        <v>124532.47</v>
      </c>
      <c r="F87" s="16"/>
      <c r="G87" s="80"/>
      <c r="H87" s="193">
        <f>E87</f>
        <v>124532.47</v>
      </c>
      <c r="I87" s="193"/>
      <c r="J87" s="197">
        <f>SUM(H87:I87)</f>
        <v>124532.47</v>
      </c>
      <c r="K87" s="79">
        <f>E87-J87</f>
        <v>0</v>
      </c>
    </row>
    <row r="88" spans="1:11" x14ac:dyDescent="0.25">
      <c r="A88" s="179"/>
      <c r="B88" s="177" t="s">
        <v>1</v>
      </c>
      <c r="C88" s="179" t="s">
        <v>85</v>
      </c>
      <c r="D88" s="180" t="s">
        <v>84</v>
      </c>
      <c r="E88" s="181">
        <f>C88*2066.84</f>
        <v>0</v>
      </c>
      <c r="F88" s="16"/>
      <c r="G88" s="80"/>
      <c r="H88" s="193"/>
      <c r="I88" s="193">
        <f>E88</f>
        <v>0</v>
      </c>
      <c r="J88" s="197">
        <f>SUM(H88:I88)</f>
        <v>0</v>
      </c>
      <c r="K88" s="79">
        <f>E88-J88</f>
        <v>0</v>
      </c>
    </row>
    <row r="89" spans="1:11" x14ac:dyDescent="0.25">
      <c r="A89" s="179"/>
      <c r="B89" s="182"/>
      <c r="C89" s="179"/>
      <c r="D89" s="183">
        <f>SUM(D87:D87)</f>
        <v>274</v>
      </c>
      <c r="E89" s="184">
        <f>SUM(E87:E88)</f>
        <v>124532.47</v>
      </c>
      <c r="F89" s="16"/>
      <c r="G89" s="80"/>
      <c r="H89" s="193"/>
      <c r="I89" s="193"/>
      <c r="J89" s="197"/>
      <c r="K89" s="79"/>
    </row>
    <row r="90" spans="1:11" x14ac:dyDescent="0.25">
      <c r="A90" s="179"/>
      <c r="B90" s="182"/>
      <c r="C90" s="179"/>
      <c r="D90" s="190"/>
      <c r="E90" s="191"/>
      <c r="F90" s="16"/>
      <c r="G90" s="80"/>
      <c r="H90" s="193"/>
      <c r="I90" s="193"/>
      <c r="J90" s="197"/>
      <c r="K90" s="79"/>
    </row>
    <row r="91" spans="1:11" x14ac:dyDescent="0.25">
      <c r="A91" s="173" t="s">
        <v>130</v>
      </c>
      <c r="B91" s="177" t="s">
        <v>42</v>
      </c>
      <c r="C91" s="173" t="s">
        <v>87</v>
      </c>
      <c r="D91" s="175">
        <v>8139</v>
      </c>
      <c r="E91" s="178">
        <v>647286.94999999995</v>
      </c>
      <c r="F91" s="16"/>
      <c r="G91" s="80"/>
      <c r="H91" s="193">
        <f>E91</f>
        <v>647286.94999999995</v>
      </c>
      <c r="I91" s="193"/>
      <c r="J91" s="197">
        <f>SUM(H91:I91)</f>
        <v>647286.94999999995</v>
      </c>
      <c r="K91" s="79">
        <f>E91-J91</f>
        <v>0</v>
      </c>
    </row>
    <row r="92" spans="1:11" x14ac:dyDescent="0.25">
      <c r="A92" s="179"/>
      <c r="B92" s="177" t="s">
        <v>1</v>
      </c>
      <c r="C92" s="179"/>
      <c r="D92" s="180" t="s">
        <v>84</v>
      </c>
      <c r="E92" s="181">
        <f>C92*2066.84</f>
        <v>0</v>
      </c>
      <c r="F92" s="16"/>
      <c r="G92" s="80"/>
      <c r="H92" s="193"/>
      <c r="I92" s="193">
        <f>E92</f>
        <v>0</v>
      </c>
      <c r="J92" s="197">
        <f>SUM(H92:I92)</f>
        <v>0</v>
      </c>
      <c r="K92" s="79">
        <f>E92-J92</f>
        <v>0</v>
      </c>
    </row>
    <row r="93" spans="1:11" x14ac:dyDescent="0.25">
      <c r="A93" s="179"/>
      <c r="B93" s="182"/>
      <c r="C93" s="179"/>
      <c r="D93" s="183">
        <f>SUM(D91:D91)</f>
        <v>8139</v>
      </c>
      <c r="E93" s="184">
        <f>SUM(E91:E92)</f>
        <v>647286.94999999995</v>
      </c>
      <c r="F93" s="16"/>
      <c r="G93" s="80"/>
      <c r="H93" s="193"/>
      <c r="I93" s="193"/>
      <c r="J93" s="197"/>
      <c r="K93" s="79"/>
    </row>
    <row r="94" spans="1:11" x14ac:dyDescent="0.25">
      <c r="A94" s="179"/>
      <c r="B94" s="182"/>
      <c r="C94" s="179"/>
      <c r="D94" s="190"/>
      <c r="E94" s="191"/>
      <c r="F94" s="16"/>
      <c r="G94" s="80"/>
      <c r="H94" s="193"/>
      <c r="I94" s="193"/>
      <c r="J94" s="197"/>
      <c r="K94" s="79"/>
    </row>
    <row r="95" spans="1:11" x14ac:dyDescent="0.25">
      <c r="A95" s="173" t="s">
        <v>131</v>
      </c>
      <c r="B95" s="177" t="s">
        <v>42</v>
      </c>
      <c r="C95" s="173" t="s">
        <v>87</v>
      </c>
      <c r="D95" s="175">
        <v>953</v>
      </c>
      <c r="E95" s="178">
        <v>45125.01</v>
      </c>
      <c r="F95" s="16"/>
      <c r="G95" s="80"/>
      <c r="H95" s="193">
        <f>E95</f>
        <v>45125.01</v>
      </c>
      <c r="I95" s="193"/>
      <c r="J95" s="197">
        <f>SUM(H95:I95)</f>
        <v>45125.01</v>
      </c>
      <c r="K95" s="79">
        <f>E95-J95</f>
        <v>0</v>
      </c>
    </row>
    <row r="96" spans="1:11" x14ac:dyDescent="0.25">
      <c r="A96" s="179"/>
      <c r="B96" s="177" t="s">
        <v>1</v>
      </c>
      <c r="C96" s="179" t="s">
        <v>153</v>
      </c>
      <c r="D96" s="180" t="s">
        <v>119</v>
      </c>
      <c r="E96" s="181">
        <f>C96*2066.84</f>
        <v>8267.36</v>
      </c>
      <c r="F96" s="16"/>
      <c r="G96" s="80"/>
      <c r="H96" s="193"/>
      <c r="I96" s="193">
        <f>E96</f>
        <v>8267.36</v>
      </c>
      <c r="J96" s="197">
        <f>SUM(H96:I96)</f>
        <v>8267.36</v>
      </c>
      <c r="K96" s="79">
        <f>E96-J96</f>
        <v>0</v>
      </c>
    </row>
    <row r="97" spans="1:11" x14ac:dyDescent="0.25">
      <c r="A97" s="179"/>
      <c r="B97" s="182"/>
      <c r="C97" s="179"/>
      <c r="D97" s="183">
        <f>SUM(D95:D95)</f>
        <v>953</v>
      </c>
      <c r="E97" s="184">
        <f>SUM(E95:E96)</f>
        <v>53392.37</v>
      </c>
      <c r="F97" s="16"/>
      <c r="G97" s="80"/>
      <c r="H97" s="193"/>
      <c r="I97" s="193"/>
      <c r="J97" s="197"/>
      <c r="K97" s="79"/>
    </row>
    <row r="98" spans="1:11" x14ac:dyDescent="0.25">
      <c r="A98" s="179"/>
      <c r="B98" s="182"/>
      <c r="C98" s="179"/>
      <c r="D98" s="190"/>
      <c r="E98" s="191"/>
      <c r="F98" s="16"/>
      <c r="G98" s="80"/>
      <c r="H98" s="193"/>
      <c r="I98" s="193"/>
      <c r="J98" s="197"/>
      <c r="K98" s="79"/>
    </row>
    <row r="99" spans="1:11" x14ac:dyDescent="0.25">
      <c r="A99" s="173" t="s">
        <v>135</v>
      </c>
      <c r="B99" s="177" t="s">
        <v>42</v>
      </c>
      <c r="C99" s="173" t="s">
        <v>86</v>
      </c>
      <c r="D99" s="186">
        <v>3402</v>
      </c>
      <c r="E99" s="178">
        <v>198096.54</v>
      </c>
      <c r="F99" s="16"/>
      <c r="G99" s="80"/>
      <c r="H99" s="193">
        <f>E99</f>
        <v>198096.54</v>
      </c>
      <c r="I99" s="193"/>
      <c r="J99" s="197">
        <f>SUM(H99:I99)</f>
        <v>198096.54</v>
      </c>
      <c r="K99" s="79">
        <f>E99-J99</f>
        <v>0</v>
      </c>
    </row>
    <row r="100" spans="1:11" x14ac:dyDescent="0.25">
      <c r="A100" s="179"/>
      <c r="B100" s="177" t="s">
        <v>1</v>
      </c>
      <c r="C100" s="179" t="s">
        <v>85</v>
      </c>
      <c r="D100" s="180" t="s">
        <v>84</v>
      </c>
      <c r="E100" s="181">
        <f>C100*2066.84</f>
        <v>0</v>
      </c>
      <c r="F100" s="16"/>
      <c r="G100" s="80"/>
      <c r="H100" s="193"/>
      <c r="I100" s="193">
        <f>E100</f>
        <v>0</v>
      </c>
      <c r="J100" s="197">
        <f>SUM(H100:I100)</f>
        <v>0</v>
      </c>
      <c r="K100" s="79">
        <f>E100-J100</f>
        <v>0</v>
      </c>
    </row>
    <row r="101" spans="1:11" x14ac:dyDescent="0.25">
      <c r="A101" s="179"/>
      <c r="B101" s="182"/>
      <c r="C101" s="179"/>
      <c r="D101" s="183">
        <f>SUM(D99:D99)</f>
        <v>3402</v>
      </c>
      <c r="E101" s="184">
        <f>SUM(E99:E100)</f>
        <v>198096.54</v>
      </c>
      <c r="F101" s="16"/>
      <c r="G101" s="80"/>
      <c r="H101" s="193"/>
      <c r="I101" s="193"/>
      <c r="J101" s="197"/>
      <c r="K101" s="79"/>
    </row>
    <row r="102" spans="1:11" x14ac:dyDescent="0.25">
      <c r="A102" s="179"/>
      <c r="B102" s="182"/>
      <c r="C102" s="179"/>
      <c r="D102" s="190"/>
      <c r="E102" s="191"/>
      <c r="F102" s="16"/>
      <c r="G102" s="80"/>
      <c r="H102" s="193"/>
      <c r="I102" s="193"/>
      <c r="J102" s="197"/>
      <c r="K102" s="79"/>
    </row>
    <row r="103" spans="1:11" x14ac:dyDescent="0.25">
      <c r="A103" s="173" t="s">
        <v>154</v>
      </c>
      <c r="B103" s="177" t="s">
        <v>42</v>
      </c>
      <c r="C103" s="173" t="s">
        <v>86</v>
      </c>
      <c r="D103" s="186">
        <v>4878</v>
      </c>
      <c r="E103" s="178">
        <v>308739.01</v>
      </c>
      <c r="F103" s="16"/>
      <c r="G103" s="80"/>
      <c r="H103" s="193">
        <f>E103</f>
        <v>308739.01</v>
      </c>
      <c r="I103" s="193"/>
      <c r="J103" s="197">
        <f>SUM(H103:I103)</f>
        <v>308739.01</v>
      </c>
      <c r="K103" s="79">
        <f>E103-J103</f>
        <v>0</v>
      </c>
    </row>
    <row r="104" spans="1:11" x14ac:dyDescent="0.25">
      <c r="A104" s="179"/>
      <c r="B104" s="177" t="s">
        <v>1</v>
      </c>
      <c r="C104" s="179" t="s">
        <v>85</v>
      </c>
      <c r="D104" s="180" t="s">
        <v>84</v>
      </c>
      <c r="E104" s="181">
        <f>C104*2066.84</f>
        <v>0</v>
      </c>
      <c r="F104" s="16"/>
      <c r="G104" s="80"/>
      <c r="H104" s="193"/>
      <c r="I104" s="193">
        <f>E104</f>
        <v>0</v>
      </c>
      <c r="J104" s="197">
        <f>SUM(H104:I104)</f>
        <v>0</v>
      </c>
      <c r="K104" s="79">
        <f>E104-J104</f>
        <v>0</v>
      </c>
    </row>
    <row r="105" spans="1:11" x14ac:dyDescent="0.25">
      <c r="A105" s="179"/>
      <c r="B105" s="182"/>
      <c r="C105" s="179"/>
      <c r="D105" s="183">
        <f>SUM(D103:D103)</f>
        <v>4878</v>
      </c>
      <c r="E105" s="184">
        <f>SUM(E103:E104)</f>
        <v>308739.01</v>
      </c>
      <c r="F105" s="16"/>
      <c r="G105" s="80"/>
      <c r="H105" s="193"/>
      <c r="I105" s="193"/>
      <c r="J105" s="197"/>
      <c r="K105" s="79"/>
    </row>
    <row r="106" spans="1:11" x14ac:dyDescent="0.25">
      <c r="A106" s="179"/>
      <c r="B106" s="182"/>
      <c r="C106" s="179"/>
      <c r="D106" s="190"/>
      <c r="E106" s="191"/>
      <c r="F106" s="16"/>
      <c r="G106" s="80"/>
      <c r="H106" s="193"/>
      <c r="I106" s="193"/>
      <c r="J106" s="197"/>
      <c r="K106" s="79"/>
    </row>
    <row r="107" spans="1:11" x14ac:dyDescent="0.25">
      <c r="A107" s="173" t="s">
        <v>155</v>
      </c>
      <c r="B107" s="177" t="s">
        <v>42</v>
      </c>
      <c r="C107" s="173" t="s">
        <v>93</v>
      </c>
      <c r="D107" s="186">
        <v>1039</v>
      </c>
      <c r="E107" s="178">
        <v>217339.18</v>
      </c>
      <c r="F107" s="16"/>
      <c r="G107" s="80"/>
      <c r="H107" s="193">
        <f>E107</f>
        <v>217339.18</v>
      </c>
      <c r="I107" s="193"/>
      <c r="J107" s="197">
        <f>SUM(H107:I107)</f>
        <v>217339.18</v>
      </c>
      <c r="K107" s="79">
        <f>E107-J107</f>
        <v>0</v>
      </c>
    </row>
    <row r="108" spans="1:11" x14ac:dyDescent="0.25">
      <c r="A108" s="179"/>
      <c r="B108" s="177" t="s">
        <v>1</v>
      </c>
      <c r="C108" s="179" t="s">
        <v>85</v>
      </c>
      <c r="D108" s="180" t="s">
        <v>84</v>
      </c>
      <c r="E108" s="181">
        <f>C108*2066.84</f>
        <v>0</v>
      </c>
      <c r="F108" s="16"/>
      <c r="G108" s="80"/>
      <c r="H108" s="193"/>
      <c r="I108" s="193">
        <f>E108</f>
        <v>0</v>
      </c>
      <c r="J108" s="197">
        <f>SUM(H108:I108)</f>
        <v>0</v>
      </c>
      <c r="K108" s="79">
        <f>E108-J108</f>
        <v>0</v>
      </c>
    </row>
    <row r="109" spans="1:11" x14ac:dyDescent="0.25">
      <c r="A109" s="179"/>
      <c r="B109" s="182"/>
      <c r="C109" s="179"/>
      <c r="D109" s="183">
        <f>SUM(D107:D107)</f>
        <v>1039</v>
      </c>
      <c r="E109" s="184">
        <f>SUM(E107:E108)</f>
        <v>217339.18</v>
      </c>
      <c r="F109" s="16"/>
      <c r="G109" s="80"/>
      <c r="H109" s="193"/>
      <c r="I109" s="193"/>
      <c r="J109" s="197"/>
      <c r="K109" s="79"/>
    </row>
    <row r="110" spans="1:11" x14ac:dyDescent="0.25">
      <c r="A110" s="179"/>
      <c r="B110" s="182"/>
      <c r="C110" s="179"/>
      <c r="D110" s="190"/>
      <c r="E110" s="191"/>
      <c r="F110" s="16"/>
      <c r="G110" s="80"/>
      <c r="H110" s="193"/>
      <c r="I110" s="193"/>
      <c r="J110" s="197"/>
      <c r="K110" s="79"/>
    </row>
    <row r="111" spans="1:11" x14ac:dyDescent="0.25">
      <c r="A111" s="173" t="s">
        <v>156</v>
      </c>
      <c r="B111" s="177" t="s">
        <v>42</v>
      </c>
      <c r="C111" s="173" t="s">
        <v>87</v>
      </c>
      <c r="D111" s="186">
        <v>570</v>
      </c>
      <c r="E111" s="178">
        <v>32044.92</v>
      </c>
      <c r="F111" s="16"/>
      <c r="G111" s="80"/>
      <c r="H111" s="193">
        <f>E111</f>
        <v>32044.92</v>
      </c>
      <c r="I111" s="193"/>
      <c r="J111" s="197">
        <f>SUM(H111:I111)</f>
        <v>32044.92</v>
      </c>
      <c r="K111" s="79">
        <f>E111-J111</f>
        <v>0</v>
      </c>
    </row>
    <row r="112" spans="1:11" x14ac:dyDescent="0.25">
      <c r="A112" s="179"/>
      <c r="B112" s="177" t="s">
        <v>1</v>
      </c>
      <c r="C112" s="179" t="s">
        <v>85</v>
      </c>
      <c r="D112" s="180" t="s">
        <v>84</v>
      </c>
      <c r="E112" s="181">
        <f>C112*2066.84</f>
        <v>0</v>
      </c>
      <c r="F112" s="16"/>
      <c r="G112" s="80"/>
      <c r="H112" s="193"/>
      <c r="I112" s="193">
        <f>E112</f>
        <v>0</v>
      </c>
      <c r="J112" s="197">
        <f>SUM(H112:I112)</f>
        <v>0</v>
      </c>
      <c r="K112" s="79">
        <f>E112-J112</f>
        <v>0</v>
      </c>
    </row>
    <row r="113" spans="1:11" x14ac:dyDescent="0.25">
      <c r="A113" s="179"/>
      <c r="B113" s="182"/>
      <c r="C113" s="179"/>
      <c r="D113" s="183">
        <f>SUM(D111:D111)</f>
        <v>570</v>
      </c>
      <c r="E113" s="184">
        <f>SUM(E111:E112)</f>
        <v>32044.92</v>
      </c>
      <c r="F113" s="16"/>
      <c r="G113" s="80"/>
      <c r="H113" s="193"/>
      <c r="I113" s="193"/>
      <c r="J113" s="197"/>
      <c r="K113" s="79"/>
    </row>
    <row r="114" spans="1:11" x14ac:dyDescent="0.25">
      <c r="A114" s="179"/>
      <c r="B114" s="182"/>
      <c r="C114" s="179"/>
      <c r="D114" s="190"/>
      <c r="E114" s="191"/>
      <c r="F114" s="16"/>
      <c r="G114" s="80"/>
      <c r="H114" s="193"/>
      <c r="I114" s="193"/>
      <c r="J114" s="197"/>
      <c r="K114" s="79"/>
    </row>
    <row r="115" spans="1:11" x14ac:dyDescent="0.25">
      <c r="A115" s="173" t="s">
        <v>100</v>
      </c>
      <c r="B115" s="177" t="s">
        <v>42</v>
      </c>
      <c r="C115" s="173" t="s">
        <v>132</v>
      </c>
      <c r="D115" s="186" t="s">
        <v>133</v>
      </c>
      <c r="E115" s="178">
        <v>633.72</v>
      </c>
      <c r="F115" s="16"/>
      <c r="G115" s="80"/>
      <c r="H115" s="193">
        <f>E115</f>
        <v>633.72</v>
      </c>
      <c r="I115" s="193"/>
      <c r="J115" s="197">
        <f>SUM(H115:I115)</f>
        <v>633.72</v>
      </c>
      <c r="K115" s="79">
        <f>E115-J115</f>
        <v>0</v>
      </c>
    </row>
    <row r="116" spans="1:11" x14ac:dyDescent="0.25">
      <c r="A116" s="179"/>
      <c r="B116" s="177" t="s">
        <v>1</v>
      </c>
      <c r="C116" s="179" t="s">
        <v>85</v>
      </c>
      <c r="D116" s="180" t="s">
        <v>84</v>
      </c>
      <c r="E116" s="181">
        <f>C116*2066.84</f>
        <v>0</v>
      </c>
      <c r="F116" s="16"/>
      <c r="G116" s="80"/>
      <c r="H116" s="193"/>
      <c r="I116" s="193">
        <f>E116</f>
        <v>0</v>
      </c>
      <c r="J116" s="197">
        <f>SUM(H116:I116)</f>
        <v>0</v>
      </c>
      <c r="K116" s="79">
        <f>E116-J116</f>
        <v>0</v>
      </c>
    </row>
    <row r="117" spans="1:11" x14ac:dyDescent="0.25">
      <c r="A117" s="179"/>
      <c r="B117" s="182"/>
      <c r="C117" s="179"/>
      <c r="D117" s="183">
        <f>SUM(D115:D115)</f>
        <v>0</v>
      </c>
      <c r="E117" s="184">
        <f>SUM(E115:E116)</f>
        <v>633.72</v>
      </c>
      <c r="F117" s="16"/>
      <c r="G117" s="80"/>
      <c r="H117" s="193"/>
      <c r="I117" s="193"/>
      <c r="J117" s="197"/>
      <c r="K117" s="79"/>
    </row>
    <row r="118" spans="1:11" x14ac:dyDescent="0.25">
      <c r="A118" s="179"/>
      <c r="B118" s="182"/>
      <c r="C118" s="179"/>
      <c r="D118" s="190"/>
      <c r="E118" s="191"/>
      <c r="F118" s="16"/>
      <c r="G118" s="80"/>
      <c r="H118" s="193"/>
      <c r="I118" s="193"/>
      <c r="J118" s="197"/>
      <c r="K118" s="79"/>
    </row>
    <row r="119" spans="1:11" x14ac:dyDescent="0.25">
      <c r="A119" s="173" t="s">
        <v>134</v>
      </c>
      <c r="B119" s="177" t="s">
        <v>42</v>
      </c>
      <c r="C119" s="173" t="s">
        <v>132</v>
      </c>
      <c r="D119" s="186" t="s">
        <v>133</v>
      </c>
      <c r="E119" s="178">
        <v>1224.02</v>
      </c>
      <c r="F119" s="16"/>
      <c r="G119" s="80"/>
      <c r="H119" s="193">
        <f>E119</f>
        <v>1224.02</v>
      </c>
      <c r="I119" s="193"/>
      <c r="J119" s="197">
        <f>SUM(H119:I119)</f>
        <v>1224.02</v>
      </c>
      <c r="K119" s="79">
        <f>E119-J119</f>
        <v>0</v>
      </c>
    </row>
    <row r="120" spans="1:11" x14ac:dyDescent="0.25">
      <c r="A120" s="179"/>
      <c r="B120" s="177" t="s">
        <v>1</v>
      </c>
      <c r="C120" s="179" t="s">
        <v>85</v>
      </c>
      <c r="D120" s="180" t="s">
        <v>84</v>
      </c>
      <c r="E120" s="181">
        <f>C120*2066.84</f>
        <v>0</v>
      </c>
      <c r="F120" s="16"/>
      <c r="G120" s="80"/>
      <c r="H120" s="193"/>
      <c r="I120" s="193">
        <f>E120</f>
        <v>0</v>
      </c>
      <c r="J120" s="197">
        <f>SUM(H120:I120)</f>
        <v>0</v>
      </c>
      <c r="K120" s="79">
        <f>E120-J120</f>
        <v>0</v>
      </c>
    </row>
    <row r="121" spans="1:11" x14ac:dyDescent="0.25">
      <c r="A121" s="179"/>
      <c r="B121" s="182"/>
      <c r="C121" s="179"/>
      <c r="D121" s="183">
        <f>SUM(D119:D119)</f>
        <v>0</v>
      </c>
      <c r="E121" s="184">
        <f>SUM(E119:E120)</f>
        <v>1224.02</v>
      </c>
      <c r="F121" s="16"/>
      <c r="G121" s="80"/>
      <c r="H121" s="193"/>
      <c r="I121" s="193"/>
      <c r="J121" s="197"/>
      <c r="K121" s="79"/>
    </row>
    <row r="122" spans="1:11" x14ac:dyDescent="0.25">
      <c r="A122" s="179"/>
      <c r="B122" s="182"/>
      <c r="C122" s="179"/>
      <c r="D122" s="190"/>
      <c r="E122" s="191"/>
      <c r="F122" s="16"/>
      <c r="G122" s="80"/>
      <c r="H122" s="193"/>
      <c r="I122" s="193"/>
      <c r="J122" s="197"/>
      <c r="K122" s="79"/>
    </row>
    <row r="123" spans="1:11" x14ac:dyDescent="0.25">
      <c r="A123" s="173" t="s">
        <v>89</v>
      </c>
      <c r="B123" s="177" t="s">
        <v>42</v>
      </c>
      <c r="C123" s="173" t="s">
        <v>132</v>
      </c>
      <c r="D123" s="186" t="s">
        <v>133</v>
      </c>
      <c r="E123" s="178">
        <v>9183.94</v>
      </c>
      <c r="F123" s="16"/>
      <c r="G123" s="80"/>
      <c r="H123" s="193">
        <f>E123</f>
        <v>9183.94</v>
      </c>
      <c r="I123" s="193"/>
      <c r="J123" s="197">
        <f>SUM(H123:I123)</f>
        <v>9183.94</v>
      </c>
      <c r="K123" s="79">
        <f>E123-J123</f>
        <v>0</v>
      </c>
    </row>
    <row r="124" spans="1:11" x14ac:dyDescent="0.25">
      <c r="A124" s="179"/>
      <c r="B124" s="177" t="s">
        <v>1</v>
      </c>
      <c r="C124" s="179" t="s">
        <v>85</v>
      </c>
      <c r="D124" s="180" t="s">
        <v>84</v>
      </c>
      <c r="E124" s="181">
        <f>C124*2066.84</f>
        <v>0</v>
      </c>
      <c r="F124" s="16"/>
      <c r="G124" s="80"/>
      <c r="H124" s="193"/>
      <c r="I124" s="193">
        <f>E124</f>
        <v>0</v>
      </c>
      <c r="J124" s="197">
        <f>SUM(H124:I124)</f>
        <v>0</v>
      </c>
      <c r="K124" s="79">
        <f>E124-J124</f>
        <v>0</v>
      </c>
    </row>
    <row r="125" spans="1:11" x14ac:dyDescent="0.25">
      <c r="A125" s="179"/>
      <c r="B125" s="182"/>
      <c r="C125" s="179"/>
      <c r="D125" s="183">
        <f>SUM(D123:D123)</f>
        <v>0</v>
      </c>
      <c r="E125" s="184">
        <f>SUM(E123:E124)</f>
        <v>9183.94</v>
      </c>
      <c r="F125" s="16"/>
      <c r="G125" s="80"/>
      <c r="H125" s="193"/>
      <c r="I125" s="193"/>
      <c r="J125" s="197"/>
      <c r="K125" s="79"/>
    </row>
    <row r="126" spans="1:11" x14ac:dyDescent="0.25">
      <c r="A126" s="179"/>
      <c r="B126" s="182"/>
      <c r="C126" s="179"/>
      <c r="D126" s="190"/>
      <c r="E126" s="191"/>
      <c r="F126" s="16"/>
      <c r="G126" s="80"/>
      <c r="H126" s="193"/>
      <c r="I126" s="193"/>
      <c r="J126" s="197"/>
      <c r="K126" s="79"/>
    </row>
    <row r="127" spans="1:11" x14ac:dyDescent="0.25">
      <c r="A127" s="173" t="s">
        <v>136</v>
      </c>
      <c r="B127" s="177" t="s">
        <v>42</v>
      </c>
      <c r="C127" s="173" t="s">
        <v>132</v>
      </c>
      <c r="D127" s="186" t="s">
        <v>133</v>
      </c>
      <c r="E127" s="178">
        <v>25685.68</v>
      </c>
      <c r="F127" s="16"/>
      <c r="G127" s="80"/>
      <c r="H127" s="193">
        <f>E127</f>
        <v>25685.68</v>
      </c>
      <c r="I127" s="193"/>
      <c r="J127" s="197">
        <f>SUM(H127:I127)</f>
        <v>25685.68</v>
      </c>
      <c r="K127" s="79">
        <f>E127-J127</f>
        <v>0</v>
      </c>
    </row>
    <row r="128" spans="1:11" x14ac:dyDescent="0.25">
      <c r="A128" s="179"/>
      <c r="B128" s="177" t="s">
        <v>1</v>
      </c>
      <c r="C128" s="179" t="s">
        <v>85</v>
      </c>
      <c r="D128" s="180" t="s">
        <v>84</v>
      </c>
      <c r="E128" s="181">
        <f>C128*2066.84</f>
        <v>0</v>
      </c>
      <c r="F128" s="16"/>
      <c r="G128" s="80"/>
      <c r="H128" s="193"/>
      <c r="I128" s="193">
        <f>E128</f>
        <v>0</v>
      </c>
      <c r="J128" s="197">
        <f>SUM(H128:I128)</f>
        <v>0</v>
      </c>
      <c r="K128" s="79">
        <f>E128-J128</f>
        <v>0</v>
      </c>
    </row>
    <row r="129" spans="1:11" x14ac:dyDescent="0.25">
      <c r="A129" s="179"/>
      <c r="B129" s="182"/>
      <c r="C129" s="179"/>
      <c r="D129" s="183">
        <f>SUM(D127:D127)</f>
        <v>0</v>
      </c>
      <c r="E129" s="184">
        <f>SUM(E127:E128)</f>
        <v>25685.68</v>
      </c>
      <c r="F129" s="16"/>
      <c r="G129" s="80"/>
      <c r="H129" s="193"/>
      <c r="I129" s="193"/>
      <c r="J129" s="197"/>
      <c r="K129" s="79"/>
    </row>
    <row r="130" spans="1:11" x14ac:dyDescent="0.25">
      <c r="A130" s="179"/>
      <c r="B130" s="182"/>
      <c r="C130" s="179"/>
      <c r="D130" s="190"/>
      <c r="E130" s="191"/>
      <c r="F130" s="16"/>
      <c r="G130" s="80"/>
      <c r="H130" s="193"/>
      <c r="I130" s="193"/>
      <c r="J130" s="197"/>
      <c r="K130" s="79"/>
    </row>
    <row r="131" spans="1:11" x14ac:dyDescent="0.25">
      <c r="A131" s="173" t="s">
        <v>137</v>
      </c>
      <c r="B131" s="177" t="s">
        <v>42</v>
      </c>
      <c r="C131" s="173" t="s">
        <v>132</v>
      </c>
      <c r="D131" s="186" t="s">
        <v>133</v>
      </c>
      <c r="E131" s="178">
        <v>39839.81</v>
      </c>
      <c r="F131" s="16"/>
      <c r="G131" s="80"/>
      <c r="H131" s="193">
        <f>E131</f>
        <v>39839.81</v>
      </c>
      <c r="I131" s="193"/>
      <c r="J131" s="197">
        <f>SUM(H131:I131)</f>
        <v>39839.81</v>
      </c>
      <c r="K131" s="79">
        <f>E131-J131</f>
        <v>0</v>
      </c>
    </row>
    <row r="132" spans="1:11" x14ac:dyDescent="0.25">
      <c r="A132" s="179"/>
      <c r="B132" s="177" t="s">
        <v>1</v>
      </c>
      <c r="C132" s="179" t="s">
        <v>85</v>
      </c>
      <c r="D132" s="180" t="s">
        <v>84</v>
      </c>
      <c r="E132" s="181">
        <f>C132*2066.84</f>
        <v>0</v>
      </c>
      <c r="F132" s="16"/>
      <c r="G132" s="80"/>
      <c r="H132" s="193"/>
      <c r="I132" s="193">
        <f>E132</f>
        <v>0</v>
      </c>
      <c r="J132" s="197">
        <f>SUM(H132:I132)</f>
        <v>0</v>
      </c>
      <c r="K132" s="79">
        <f>E132-J132</f>
        <v>0</v>
      </c>
    </row>
    <row r="133" spans="1:11" x14ac:dyDescent="0.25">
      <c r="A133" s="179"/>
      <c r="B133" s="182"/>
      <c r="C133" s="179"/>
      <c r="D133" s="183">
        <f>SUM(D131:D131)</f>
        <v>0</v>
      </c>
      <c r="E133" s="184">
        <f>SUM(E131:E132)</f>
        <v>39839.81</v>
      </c>
      <c r="F133" s="16"/>
      <c r="G133" s="80"/>
      <c r="H133" s="193"/>
      <c r="I133" s="193"/>
      <c r="J133" s="197"/>
      <c r="K133" s="79"/>
    </row>
    <row r="134" spans="1:11" x14ac:dyDescent="0.25">
      <c r="A134" s="179"/>
      <c r="B134" s="182"/>
      <c r="C134" s="179"/>
      <c r="D134" s="190"/>
      <c r="E134" s="191"/>
      <c r="F134" s="16"/>
      <c r="G134" s="80"/>
      <c r="H134" s="193"/>
      <c r="I134" s="193"/>
      <c r="J134" s="197"/>
      <c r="K134" s="79"/>
    </row>
    <row r="135" spans="1:11" x14ac:dyDescent="0.25">
      <c r="A135" s="173" t="s">
        <v>138</v>
      </c>
      <c r="B135" s="177" t="s">
        <v>42</v>
      </c>
      <c r="C135" s="173" t="s">
        <v>132</v>
      </c>
      <c r="D135" s="186" t="s">
        <v>133</v>
      </c>
      <c r="E135" s="178">
        <v>31192.95</v>
      </c>
      <c r="F135" s="16"/>
      <c r="G135" s="80"/>
      <c r="H135" s="193">
        <f>E135</f>
        <v>31192.95</v>
      </c>
      <c r="I135" s="193"/>
      <c r="J135" s="197">
        <f>SUM(H135:I135)</f>
        <v>31192.95</v>
      </c>
      <c r="K135" s="79">
        <f>E135-J135</f>
        <v>0</v>
      </c>
    </row>
    <row r="136" spans="1:11" x14ac:dyDescent="0.25">
      <c r="A136" s="179"/>
      <c r="B136" s="177" t="s">
        <v>1</v>
      </c>
      <c r="C136" s="179" t="s">
        <v>85</v>
      </c>
      <c r="D136" s="180" t="s">
        <v>84</v>
      </c>
      <c r="E136" s="181">
        <f>C136*2066.84</f>
        <v>0</v>
      </c>
      <c r="F136" s="16"/>
      <c r="G136" s="80"/>
      <c r="H136" s="193"/>
      <c r="I136" s="193">
        <f>E136</f>
        <v>0</v>
      </c>
      <c r="J136" s="197">
        <f>SUM(H136:I136)</f>
        <v>0</v>
      </c>
      <c r="K136" s="79">
        <f>E136-J136</f>
        <v>0</v>
      </c>
    </row>
    <row r="137" spans="1:11" x14ac:dyDescent="0.25">
      <c r="A137" s="179"/>
      <c r="B137" s="182"/>
      <c r="C137" s="179"/>
      <c r="D137" s="183">
        <f>SUM(D135:D135)</f>
        <v>0</v>
      </c>
      <c r="E137" s="184">
        <f>SUM(E135:E136)</f>
        <v>31192.95</v>
      </c>
      <c r="F137" s="16"/>
      <c r="G137" s="80"/>
      <c r="H137" s="193"/>
      <c r="I137" s="193"/>
      <c r="J137" s="197"/>
      <c r="K137" s="79"/>
    </row>
    <row r="138" spans="1:11" x14ac:dyDescent="0.25">
      <c r="A138" s="179"/>
      <c r="B138" s="182"/>
      <c r="C138" s="179"/>
      <c r="D138" s="190"/>
      <c r="E138" s="191"/>
      <c r="F138" s="16"/>
      <c r="G138" s="80"/>
      <c r="H138" s="193"/>
      <c r="I138" s="193"/>
      <c r="J138" s="197"/>
      <c r="K138" s="79"/>
    </row>
    <row r="139" spans="1:11" x14ac:dyDescent="0.25">
      <c r="A139" s="173" t="s">
        <v>139</v>
      </c>
      <c r="B139" s="177" t="s">
        <v>42</v>
      </c>
      <c r="C139" s="173" t="s">
        <v>132</v>
      </c>
      <c r="D139" s="186" t="s">
        <v>133</v>
      </c>
      <c r="E139" s="178">
        <v>20152.87</v>
      </c>
      <c r="F139" s="16"/>
      <c r="G139" s="80"/>
      <c r="H139" s="193">
        <f>E139</f>
        <v>20152.87</v>
      </c>
      <c r="I139" s="193"/>
      <c r="J139" s="197">
        <f>SUM(H139:I139)</f>
        <v>20152.87</v>
      </c>
      <c r="K139" s="79">
        <f>E139-J139</f>
        <v>0</v>
      </c>
    </row>
    <row r="140" spans="1:11" x14ac:dyDescent="0.25">
      <c r="A140" s="179"/>
      <c r="B140" s="177" t="s">
        <v>1</v>
      </c>
      <c r="C140" s="179" t="s">
        <v>85</v>
      </c>
      <c r="D140" s="180" t="s">
        <v>84</v>
      </c>
      <c r="E140" s="181">
        <f>C140*2066.84</f>
        <v>0</v>
      </c>
      <c r="F140" s="16"/>
      <c r="G140" s="80"/>
      <c r="H140" s="193"/>
      <c r="I140" s="193">
        <f>E140</f>
        <v>0</v>
      </c>
      <c r="J140" s="197">
        <f>SUM(H140:I140)</f>
        <v>0</v>
      </c>
      <c r="K140" s="79">
        <f>E140-J140</f>
        <v>0</v>
      </c>
    </row>
    <row r="141" spans="1:11" x14ac:dyDescent="0.25">
      <c r="A141" s="179"/>
      <c r="B141" s="182"/>
      <c r="C141" s="179"/>
      <c r="D141" s="183">
        <f>SUM(D139:D139)</f>
        <v>0</v>
      </c>
      <c r="E141" s="184">
        <f>SUM(E139:E140)</f>
        <v>20152.87</v>
      </c>
      <c r="F141" s="16"/>
      <c r="G141" s="80"/>
      <c r="H141" s="193"/>
      <c r="I141" s="193"/>
      <c r="J141" s="197"/>
      <c r="K141" s="79"/>
    </row>
    <row r="142" spans="1:11" x14ac:dyDescent="0.25">
      <c r="A142" s="173"/>
      <c r="B142" s="185"/>
      <c r="C142" s="173"/>
      <c r="D142" s="175"/>
      <c r="E142" s="176"/>
      <c r="F142" s="16"/>
      <c r="G142" s="80"/>
      <c r="H142" s="193"/>
      <c r="I142" s="193"/>
      <c r="J142" s="197"/>
      <c r="K142" s="79"/>
    </row>
    <row r="143" spans="1:11" x14ac:dyDescent="0.25">
      <c r="A143" s="161"/>
      <c r="B143" s="160" t="s">
        <v>52</v>
      </c>
      <c r="C143" s="161"/>
      <c r="D143" s="187">
        <f>D141+D137+D133+D129+D125+D121+D117+D113+D109+D105+D101+D97+D93+D89+D85+D80+D75+D70+D66+D61+D57+D53+D49+D45+D40+D35+D31+D26+D22+D18+D13</f>
        <v>100640</v>
      </c>
      <c r="E143" s="188">
        <f>E141+E137+E133+E129+E125+E101+E121+E117+E97+E89+E85+E80+E75+E70+E66+E61+E57+E53+E49+E45+E40+E35+E31+E26+E22+E18+E13+E8+E93+E105+E109+E113</f>
        <v>10409959.689999999</v>
      </c>
      <c r="F143" s="16"/>
      <c r="G143" s="198">
        <f>SUM(G7:G142)</f>
        <v>260424</v>
      </c>
      <c r="H143" s="198">
        <f t="shared" ref="H143:I143" si="0">SUM(H7:H142)</f>
        <v>9771303.9699999969</v>
      </c>
      <c r="I143" s="198">
        <f t="shared" si="0"/>
        <v>378231.72000000003</v>
      </c>
      <c r="J143" s="203">
        <f>SUM(G143:I143)</f>
        <v>10409959.689999998</v>
      </c>
      <c r="K143" s="79">
        <f>E143-J143</f>
        <v>0</v>
      </c>
    </row>
    <row r="144" spans="1:11" x14ac:dyDescent="0.25">
      <c r="A144" s="161"/>
      <c r="B144" s="160"/>
      <c r="C144" s="161"/>
      <c r="D144" s="164"/>
      <c r="E144" s="164"/>
      <c r="F144" s="16"/>
      <c r="G144" s="80"/>
      <c r="H144" s="193"/>
      <c r="I144" s="193"/>
      <c r="J144" s="193">
        <f>J99</f>
        <v>198096.54</v>
      </c>
    </row>
    <row r="145" spans="1:11" x14ac:dyDescent="0.25">
      <c r="A145" s="192" t="s">
        <v>61</v>
      </c>
      <c r="B145" s="160"/>
      <c r="C145" s="161"/>
      <c r="D145" s="164"/>
      <c r="E145" s="164"/>
      <c r="G145" s="80"/>
      <c r="H145" s="193"/>
      <c r="I145" s="193"/>
      <c r="J145" s="204">
        <f>J144/J143</f>
        <v>1.9029520372715301E-2</v>
      </c>
      <c r="K145" s="79"/>
    </row>
    <row r="146" spans="1:11" x14ac:dyDescent="0.25">
      <c r="A146" s="192" t="s">
        <v>76</v>
      </c>
      <c r="B146" s="160"/>
      <c r="C146" s="161"/>
      <c r="D146" s="175"/>
      <c r="E146" s="164"/>
      <c r="F146" s="16"/>
      <c r="G146" s="98"/>
      <c r="H146" s="199"/>
      <c r="I146" s="22"/>
      <c r="J146" s="22"/>
      <c r="K146" s="79"/>
    </row>
    <row r="147" spans="1:11" x14ac:dyDescent="0.25">
      <c r="A147" s="192" t="s">
        <v>75</v>
      </c>
      <c r="B147" s="160"/>
      <c r="C147" s="161"/>
      <c r="D147" s="162"/>
      <c r="E147" s="164"/>
      <c r="F147" s="16"/>
      <c r="G147" s="98"/>
      <c r="H147" s="199"/>
      <c r="I147" s="22"/>
      <c r="J147" s="22"/>
      <c r="K147" s="79"/>
    </row>
    <row r="148" spans="1:11" x14ac:dyDescent="0.25">
      <c r="A148" s="192" t="s">
        <v>79</v>
      </c>
      <c r="B148" s="160"/>
      <c r="C148" s="161"/>
      <c r="D148" s="162"/>
      <c r="E148" s="164"/>
      <c r="F148" s="16"/>
      <c r="G148" s="98"/>
      <c r="H148" s="22"/>
      <c r="I148" s="22"/>
      <c r="J148" s="22"/>
      <c r="K148" s="79"/>
    </row>
    <row r="149" spans="1:11" x14ac:dyDescent="0.25">
      <c r="A149" s="89"/>
      <c r="B149" s="18"/>
      <c r="C149" s="17"/>
      <c r="E149" s="19"/>
      <c r="F149" s="16"/>
      <c r="G149" s="98"/>
      <c r="H149" s="22"/>
      <c r="I149" s="22"/>
      <c r="J149" s="22"/>
      <c r="K149" s="79"/>
    </row>
    <row r="150" spans="1:11" x14ac:dyDescent="0.25">
      <c r="A150" s="87"/>
      <c r="B150" s="88"/>
      <c r="C150" s="87"/>
      <c r="D150" s="20"/>
      <c r="E150" s="22"/>
      <c r="F150" s="16"/>
      <c r="G150" s="98"/>
      <c r="H150" s="22"/>
      <c r="I150" s="22"/>
      <c r="J150" s="22"/>
      <c r="K150" s="79"/>
    </row>
    <row r="151" spans="1:11" x14ac:dyDescent="0.25">
      <c r="A151" s="87"/>
      <c r="B151" s="88"/>
      <c r="C151" s="87"/>
      <c r="D151" s="73"/>
      <c r="E151" s="77"/>
      <c r="F151" s="16"/>
      <c r="G151" s="98"/>
      <c r="H151" s="22"/>
      <c r="I151" s="22"/>
      <c r="J151" s="22"/>
      <c r="K151" s="79"/>
    </row>
    <row r="152" spans="1:11" x14ac:dyDescent="0.25">
      <c r="A152" s="87"/>
      <c r="B152" s="88"/>
      <c r="C152" s="87"/>
      <c r="D152" s="20"/>
      <c r="E152" s="22"/>
      <c r="F152" s="16"/>
      <c r="G152" s="99"/>
      <c r="H152" s="200"/>
      <c r="I152" s="200"/>
      <c r="J152" s="22"/>
      <c r="K152" s="79"/>
    </row>
    <row r="153" spans="1:11" x14ac:dyDescent="0.25">
      <c r="A153" s="87"/>
      <c r="B153" s="88"/>
      <c r="C153" s="87"/>
      <c r="D153" s="20"/>
      <c r="E153" s="22"/>
      <c r="F153" s="16"/>
      <c r="G153" s="99"/>
      <c r="H153" s="200"/>
      <c r="I153" s="200"/>
      <c r="J153" s="22"/>
      <c r="K153" s="79"/>
    </row>
    <row r="154" spans="1:11" x14ac:dyDescent="0.25">
      <c r="A154" s="87"/>
      <c r="B154" s="88"/>
      <c r="C154" s="87"/>
      <c r="D154" s="20"/>
      <c r="E154" s="22"/>
      <c r="F154" s="16"/>
      <c r="G154" s="99"/>
      <c r="H154" s="200"/>
      <c r="I154" s="200"/>
      <c r="J154" s="22"/>
      <c r="K154" s="79"/>
    </row>
    <row r="155" spans="1:11" x14ac:dyDescent="0.25">
      <c r="A155" s="87"/>
      <c r="B155" s="88"/>
      <c r="C155" s="87"/>
      <c r="D155" s="20"/>
      <c r="E155" s="22"/>
      <c r="F155" s="16"/>
      <c r="G155" s="99"/>
      <c r="H155" s="200"/>
      <c r="I155" s="200"/>
      <c r="J155" s="22"/>
      <c r="K155" s="79"/>
    </row>
    <row r="156" spans="1:11" x14ac:dyDescent="0.25">
      <c r="A156" s="87"/>
      <c r="B156" s="88"/>
      <c r="C156" s="87"/>
      <c r="D156" s="20"/>
      <c r="E156" s="22"/>
      <c r="F156" s="16"/>
      <c r="G156" s="99"/>
      <c r="H156" s="200"/>
      <c r="I156" s="200"/>
      <c r="J156" s="200"/>
      <c r="K156" s="79"/>
    </row>
    <row r="157" spans="1:11" x14ac:dyDescent="0.25">
      <c r="A157" s="87"/>
      <c r="B157" s="88"/>
      <c r="C157" s="87"/>
      <c r="D157" s="20"/>
      <c r="E157" s="22"/>
      <c r="F157" s="16"/>
      <c r="G157" s="99"/>
      <c r="H157" s="200"/>
      <c r="I157" s="200"/>
      <c r="J157" s="200"/>
      <c r="K157" s="79"/>
    </row>
    <row r="158" spans="1:11" x14ac:dyDescent="0.25">
      <c r="A158" s="87"/>
      <c r="B158" s="88"/>
      <c r="C158" s="87"/>
      <c r="D158" s="73"/>
      <c r="E158" s="22"/>
      <c r="F158" s="16"/>
      <c r="G158" s="99"/>
      <c r="H158" s="200"/>
      <c r="I158" s="200"/>
      <c r="J158" s="200"/>
      <c r="K158" s="79"/>
    </row>
    <row r="159" spans="1:11" x14ac:dyDescent="0.25">
      <c r="A159" s="87"/>
      <c r="B159" s="88"/>
      <c r="C159" s="87"/>
      <c r="D159" s="73"/>
      <c r="E159" s="77"/>
      <c r="F159" s="16"/>
      <c r="G159" s="100"/>
      <c r="H159" s="201"/>
      <c r="I159" s="201"/>
      <c r="J159" s="201"/>
      <c r="K159" s="202"/>
    </row>
    <row r="160" spans="1:11" x14ac:dyDescent="0.25">
      <c r="A160" s="87"/>
      <c r="B160" s="88"/>
      <c r="C160" s="87"/>
      <c r="D160" s="20"/>
      <c r="E160" s="22"/>
      <c r="F160" s="16"/>
      <c r="G160" s="99"/>
      <c r="H160" s="200"/>
      <c r="I160" s="200"/>
      <c r="J160" s="200"/>
      <c r="K160" s="79"/>
    </row>
    <row r="161" spans="1:11" x14ac:dyDescent="0.25">
      <c r="A161" s="87"/>
      <c r="B161" s="88"/>
      <c r="C161" s="87"/>
      <c r="D161" s="20"/>
      <c r="E161" s="22"/>
      <c r="F161" s="16"/>
      <c r="G161" s="99"/>
      <c r="H161" s="200"/>
      <c r="I161" s="200"/>
      <c r="J161" s="200"/>
      <c r="K161" s="79"/>
    </row>
    <row r="162" spans="1:11" x14ac:dyDescent="0.25">
      <c r="A162" s="17"/>
      <c r="B162" s="18"/>
      <c r="C162" s="17"/>
      <c r="D162" s="20"/>
      <c r="E162" s="23"/>
      <c r="F162" s="16"/>
      <c r="G162" s="99"/>
      <c r="H162" s="200"/>
      <c r="I162" s="200"/>
      <c r="J162" s="200"/>
      <c r="K162" s="79"/>
    </row>
    <row r="163" spans="1:11" x14ac:dyDescent="0.25">
      <c r="A163" s="17"/>
      <c r="B163" s="18"/>
      <c r="C163" s="17"/>
      <c r="D163" s="20"/>
      <c r="E163" s="22"/>
      <c r="F163" s="16"/>
      <c r="G163" s="99"/>
      <c r="H163" s="200"/>
      <c r="I163" s="200"/>
      <c r="J163" s="200"/>
      <c r="K163" s="79"/>
    </row>
    <row r="164" spans="1:11" x14ac:dyDescent="0.25">
      <c r="A164" s="89"/>
      <c r="B164" s="18"/>
      <c r="C164" s="17"/>
      <c r="D164" s="136"/>
      <c r="E164" s="136"/>
      <c r="F164" s="16"/>
    </row>
    <row r="165" spans="1:11" x14ac:dyDescent="0.25">
      <c r="A165" s="89"/>
      <c r="B165" s="18"/>
      <c r="C165" s="17"/>
      <c r="D165" s="20"/>
      <c r="E165" s="136"/>
      <c r="F165" s="16"/>
    </row>
    <row r="166" spans="1:11" x14ac:dyDescent="0.25">
      <c r="A166" s="89"/>
      <c r="B166" s="18"/>
      <c r="C166" s="17"/>
      <c r="E166" s="136"/>
    </row>
    <row r="167" spans="1:11" x14ac:dyDescent="0.25">
      <c r="A167" s="89"/>
      <c r="B167" s="18"/>
      <c r="C167" s="17"/>
      <c r="E167" s="136"/>
    </row>
  </sheetData>
  <pageMargins left="0.7" right="0.7" top="0.75" bottom="0.75" header="0.3" footer="0.3"/>
  <pageSetup scale="62" pageOrder="overThenDown" orientation="portrait" r:id="rId1"/>
  <headerFooter>
    <oddHeader>&amp;R 2024 Schedule IV
Page &amp;P of &amp;N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8"/>
  <sheetViews>
    <sheetView zoomScaleNormal="100" zoomScaleSheetLayoutView="100" workbookViewId="0">
      <selection activeCell="L29" sqref="L29"/>
    </sheetView>
  </sheetViews>
  <sheetFormatPr defaultRowHeight="15" x14ac:dyDescent="0.25"/>
  <cols>
    <col min="1" max="1" width="3.7109375" customWidth="1"/>
    <col min="2" max="2" width="19.5703125" customWidth="1"/>
    <col min="3" max="3" width="9.140625" bestFit="1" customWidth="1"/>
    <col min="4" max="4" width="9" bestFit="1" customWidth="1"/>
    <col min="5" max="6" width="9.7109375" bestFit="1" customWidth="1"/>
    <col min="7" max="10" width="10.5703125" style="21" bestFit="1" customWidth="1"/>
    <col min="11" max="13" width="10.5703125" bestFit="1" customWidth="1"/>
    <col min="14" max="15" width="11.5703125" bestFit="1" customWidth="1"/>
    <col min="16" max="16" width="10.5703125" bestFit="1" customWidth="1"/>
    <col min="17" max="17" width="12.85546875" bestFit="1" customWidth="1"/>
  </cols>
  <sheetData>
    <row r="1" spans="1:17" x14ac:dyDescent="0.25">
      <c r="A1" s="119" t="s">
        <v>59</v>
      </c>
      <c r="B1" s="120"/>
      <c r="C1" s="121"/>
      <c r="D1" s="122"/>
      <c r="E1" s="123"/>
      <c r="F1" s="122"/>
      <c r="G1" s="122"/>
      <c r="H1" s="122"/>
      <c r="I1" s="122"/>
      <c r="J1" s="122"/>
      <c r="K1" s="122"/>
      <c r="L1" s="123"/>
      <c r="M1" s="122"/>
      <c r="N1" s="122"/>
      <c r="O1" s="122"/>
      <c r="P1" s="122"/>
      <c r="Q1" s="73" t="s">
        <v>102</v>
      </c>
    </row>
    <row r="2" spans="1:17" x14ac:dyDescent="0.25">
      <c r="A2" s="124" t="s">
        <v>141</v>
      </c>
      <c r="B2" s="86"/>
      <c r="C2" s="125"/>
      <c r="D2" s="126"/>
      <c r="E2" s="20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7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27"/>
      <c r="C4" s="125" t="s">
        <v>103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  <c r="Q4" s="126"/>
    </row>
    <row r="5" spans="1:17" ht="30" x14ac:dyDescent="0.25">
      <c r="A5" s="128" t="s">
        <v>104</v>
      </c>
      <c r="B5" s="107"/>
      <c r="C5" s="108">
        <v>45657</v>
      </c>
      <c r="D5" s="108">
        <v>45688</v>
      </c>
      <c r="E5" s="108">
        <v>45716</v>
      </c>
      <c r="F5" s="108">
        <v>45747</v>
      </c>
      <c r="G5" s="108">
        <v>45777</v>
      </c>
      <c r="H5" s="108">
        <v>45808</v>
      </c>
      <c r="I5" s="108">
        <v>45838</v>
      </c>
      <c r="J5" s="108">
        <v>45869</v>
      </c>
      <c r="K5" s="108">
        <v>45900</v>
      </c>
      <c r="L5" s="108">
        <v>45930</v>
      </c>
      <c r="M5" s="108">
        <v>45961</v>
      </c>
      <c r="N5" s="108">
        <v>45991</v>
      </c>
      <c r="O5" s="129" t="s">
        <v>181</v>
      </c>
      <c r="P5" s="109" t="s">
        <v>105</v>
      </c>
      <c r="Q5" s="109" t="s">
        <v>106</v>
      </c>
    </row>
    <row r="6" spans="1:17" x14ac:dyDescent="0.25">
      <c r="A6" s="130" t="s">
        <v>49</v>
      </c>
      <c r="C6" s="126">
        <v>0</v>
      </c>
      <c r="D6" s="126">
        <v>7218</v>
      </c>
      <c r="E6" s="126">
        <v>18700</v>
      </c>
      <c r="F6" s="126">
        <v>33954</v>
      </c>
      <c r="G6" s="126">
        <v>41577</v>
      </c>
      <c r="H6" s="126">
        <v>66652</v>
      </c>
      <c r="I6" s="126">
        <v>85641</v>
      </c>
      <c r="J6" s="126">
        <v>113704</v>
      </c>
      <c r="K6" s="126">
        <v>169307</v>
      </c>
      <c r="L6" s="126">
        <v>202375</v>
      </c>
      <c r="M6" s="126">
        <v>235119</v>
      </c>
      <c r="N6" s="126">
        <v>257048</v>
      </c>
      <c r="O6" s="110">
        <v>260424</v>
      </c>
      <c r="P6" s="105">
        <f>SUM(C6:O6)/13</f>
        <v>114747.61538461539</v>
      </c>
      <c r="Q6" s="105">
        <v>100000</v>
      </c>
    </row>
    <row r="7" spans="1:17" x14ac:dyDescent="0.25">
      <c r="A7" s="127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04"/>
      <c r="P7" s="105"/>
      <c r="Q7" s="105"/>
    </row>
    <row r="8" spans="1:17" x14ac:dyDescent="0.25">
      <c r="A8" s="130" t="s">
        <v>42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04"/>
      <c r="P8" s="105"/>
      <c r="Q8" s="105">
        <v>2459541</v>
      </c>
    </row>
    <row r="9" spans="1:17" x14ac:dyDescent="0.25">
      <c r="A9" s="127"/>
      <c r="B9" t="s">
        <v>82</v>
      </c>
      <c r="C9" s="126">
        <v>0</v>
      </c>
      <c r="D9" s="126">
        <v>6673.1950000000015</v>
      </c>
      <c r="E9" s="126">
        <v>6673.1950000000015</v>
      </c>
      <c r="F9" s="126">
        <v>29217.915000000001</v>
      </c>
      <c r="G9" s="126">
        <v>63712.056799999889</v>
      </c>
      <c r="H9" s="126">
        <v>101533.85839999982</v>
      </c>
      <c r="I9" s="126">
        <v>250975.08646291052</v>
      </c>
      <c r="J9" s="126">
        <v>464788.8115629105</v>
      </c>
      <c r="K9" s="126">
        <v>734607.80960074835</v>
      </c>
      <c r="L9" s="126">
        <v>901648.09439830936</v>
      </c>
      <c r="M9" s="126">
        <v>1154639.4243983096</v>
      </c>
      <c r="N9" s="126">
        <v>1484439.8443983095</v>
      </c>
      <c r="O9" s="104">
        <v>1492953.6343983095</v>
      </c>
      <c r="P9" s="105">
        <f>SUM(C9:O9)/13</f>
        <v>514758.68657075439</v>
      </c>
      <c r="Q9" s="105"/>
    </row>
    <row r="10" spans="1:17" x14ac:dyDescent="0.25">
      <c r="A10" s="127"/>
      <c r="B10" t="s">
        <v>83</v>
      </c>
      <c r="C10" s="126">
        <v>0</v>
      </c>
      <c r="D10" s="126">
        <v>33289.574999999997</v>
      </c>
      <c r="E10" s="126">
        <v>33289.574999999997</v>
      </c>
      <c r="F10" s="126">
        <v>427057.85500000004</v>
      </c>
      <c r="G10" s="126">
        <v>1220068.3232000002</v>
      </c>
      <c r="H10" s="126">
        <v>2038985.8016000004</v>
      </c>
      <c r="I10" s="126">
        <v>2727808.1435370892</v>
      </c>
      <c r="J10" s="126">
        <v>3860986.288437089</v>
      </c>
      <c r="K10" s="126">
        <v>4946395.0003992515</v>
      </c>
      <c r="L10" s="126">
        <v>5720025.7656016899</v>
      </c>
      <c r="M10" s="126">
        <v>7210534.9456016887</v>
      </c>
      <c r="N10" s="126">
        <v>7788716.6956016887</v>
      </c>
      <c r="O10" s="104">
        <v>7795783.4156016884</v>
      </c>
      <c r="P10" s="105">
        <f>SUM(C10:O10)/13</f>
        <v>3369457.0295830909</v>
      </c>
      <c r="Q10" s="105"/>
    </row>
    <row r="11" spans="1:17" x14ac:dyDescent="0.25">
      <c r="A11" s="127"/>
      <c r="B11" t="s">
        <v>157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10519.910000000002</v>
      </c>
      <c r="K11" s="126">
        <v>12758.660000000002</v>
      </c>
      <c r="L11" s="126">
        <v>12782.280000000002</v>
      </c>
      <c r="M11" s="126">
        <v>12782.280000000002</v>
      </c>
      <c r="N11" s="126">
        <v>12782.280000000002</v>
      </c>
      <c r="O11" s="104">
        <v>12782.280000000002</v>
      </c>
      <c r="P11" s="105"/>
      <c r="Q11" s="105"/>
    </row>
    <row r="12" spans="1:17" x14ac:dyDescent="0.25">
      <c r="A12" s="127"/>
      <c r="B12" t="s">
        <v>158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119071.33000000018</v>
      </c>
      <c r="M12" s="126">
        <v>296647.96000000031</v>
      </c>
      <c r="N12" s="126">
        <v>341759.23000000027</v>
      </c>
      <c r="O12" s="104">
        <v>341871.65000000026</v>
      </c>
      <c r="P12" s="105">
        <f>SUM(C12:O12)/13</f>
        <v>84565.397692307757</v>
      </c>
      <c r="Q12" s="105"/>
    </row>
    <row r="13" spans="1:17" x14ac:dyDescent="0.25">
      <c r="A13" s="130" t="s">
        <v>107</v>
      </c>
      <c r="C13" s="20">
        <v>0</v>
      </c>
      <c r="D13" s="20"/>
      <c r="E13" s="20"/>
      <c r="F13" s="20"/>
      <c r="G13" s="20"/>
      <c r="H13" s="20"/>
      <c r="I13" s="105"/>
      <c r="J13" s="20"/>
      <c r="K13" s="20"/>
      <c r="L13" s="105"/>
      <c r="M13" s="105"/>
      <c r="N13" s="105"/>
      <c r="O13" s="104"/>
      <c r="P13" s="105"/>
      <c r="Q13" s="105"/>
    </row>
    <row r="14" spans="1:17" x14ac:dyDescent="0.25">
      <c r="A14" s="127"/>
      <c r="B14" t="s">
        <v>108</v>
      </c>
      <c r="C14" s="70">
        <v>0</v>
      </c>
      <c r="D14" s="70">
        <v>797.69000000000051</v>
      </c>
      <c r="E14" s="70">
        <v>1412.7200000000005</v>
      </c>
      <c r="F14" s="70">
        <v>2548.6700000000005</v>
      </c>
      <c r="G14" s="70">
        <v>42906.069999999992</v>
      </c>
      <c r="H14" s="70">
        <v>88550.889999999985</v>
      </c>
      <c r="I14" s="70">
        <v>104703.70999999999</v>
      </c>
      <c r="J14" s="70">
        <v>125527.12</v>
      </c>
      <c r="K14" s="70">
        <v>127912.69</v>
      </c>
      <c r="L14" s="70">
        <v>127912.69</v>
      </c>
      <c r="M14" s="70">
        <v>127912.69</v>
      </c>
      <c r="N14" s="70">
        <v>127912.69</v>
      </c>
      <c r="O14" s="111">
        <v>127912.69</v>
      </c>
      <c r="P14" s="112">
        <f>SUM(C14:O14)/13</f>
        <v>77385.409230769219</v>
      </c>
      <c r="Q14" s="112"/>
    </row>
    <row r="15" spans="1:17" x14ac:dyDescent="0.25">
      <c r="A15" s="127"/>
      <c r="C15" s="105">
        <f t="shared" ref="C15:O15" si="0">SUM(C9:C14)</f>
        <v>0</v>
      </c>
      <c r="D15" s="105">
        <f t="shared" si="0"/>
        <v>40760.46</v>
      </c>
      <c r="E15" s="105">
        <f t="shared" si="0"/>
        <v>41375.49</v>
      </c>
      <c r="F15" s="105">
        <f t="shared" si="0"/>
        <v>458824.44</v>
      </c>
      <c r="G15" s="105">
        <f t="shared" si="0"/>
        <v>1326686.4500000002</v>
      </c>
      <c r="H15" s="105">
        <f t="shared" si="0"/>
        <v>2229070.5500000003</v>
      </c>
      <c r="I15" s="105">
        <f t="shared" si="0"/>
        <v>3083486.9399999995</v>
      </c>
      <c r="J15" s="105">
        <f t="shared" si="0"/>
        <v>4461822.13</v>
      </c>
      <c r="K15" s="105">
        <f t="shared" si="0"/>
        <v>5821674.1600000001</v>
      </c>
      <c r="L15" s="105">
        <f t="shared" si="0"/>
        <v>6881440.1600000001</v>
      </c>
      <c r="M15" s="105">
        <f t="shared" si="0"/>
        <v>8802517.2999999989</v>
      </c>
      <c r="N15" s="105">
        <f t="shared" si="0"/>
        <v>9755610.7399999984</v>
      </c>
      <c r="O15" s="104">
        <f t="shared" si="0"/>
        <v>9771303.6699999962</v>
      </c>
      <c r="P15" s="105">
        <f>SUM(C15:O15)/13</f>
        <v>4051890.1915384606</v>
      </c>
      <c r="Q15" s="105">
        <f>SUM(Q8:Q14)</f>
        <v>2459541</v>
      </c>
    </row>
    <row r="16" spans="1:17" x14ac:dyDescent="0.25">
      <c r="A16" s="127"/>
      <c r="C16" s="105"/>
      <c r="D16" s="105"/>
      <c r="E16" s="105"/>
      <c r="F16" s="105"/>
      <c r="G16" s="105"/>
      <c r="H16" s="105"/>
      <c r="I16" s="105"/>
      <c r="J16" s="20"/>
      <c r="K16" s="20"/>
      <c r="L16" s="105"/>
      <c r="M16" s="105"/>
      <c r="N16" s="105"/>
      <c r="O16" s="104"/>
      <c r="P16" s="105">
        <f>SUM(C16:O16)/13</f>
        <v>0</v>
      </c>
      <c r="Q16" s="105"/>
    </row>
    <row r="17" spans="1:17" x14ac:dyDescent="0.25">
      <c r="A17" s="127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4"/>
      <c r="P17" s="105">
        <f>SUM(C17:O17)/13</f>
        <v>0</v>
      </c>
      <c r="Q17" s="105"/>
    </row>
    <row r="18" spans="1:17" x14ac:dyDescent="0.25">
      <c r="A18" s="130" t="s">
        <v>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25000</v>
      </c>
      <c r="I18" s="13">
        <v>77133.679999999993</v>
      </c>
      <c r="J18" s="13">
        <v>154133.68</v>
      </c>
      <c r="K18" s="13">
        <v>227133.68</v>
      </c>
      <c r="L18" s="13">
        <v>296408.83999999997</v>
      </c>
      <c r="M18" s="13">
        <v>341408.83999999997</v>
      </c>
      <c r="N18" s="13">
        <v>375964.75999999995</v>
      </c>
      <c r="O18" s="112">
        <v>378231.75999999995</v>
      </c>
      <c r="P18" s="112">
        <f>SUM(C18:O18)/13</f>
        <v>144262.71076923076</v>
      </c>
      <c r="Q18" s="112">
        <v>106620</v>
      </c>
    </row>
    <row r="19" spans="1:17" x14ac:dyDescent="0.25">
      <c r="A19" s="127"/>
      <c r="B19" s="113" t="s">
        <v>109</v>
      </c>
      <c r="C19" s="105">
        <f t="shared" ref="C19:Q19" si="1">C6+C15+C18</f>
        <v>0</v>
      </c>
      <c r="D19" s="105">
        <f t="shared" si="1"/>
        <v>47978.46</v>
      </c>
      <c r="E19" s="105">
        <f t="shared" si="1"/>
        <v>60075.49</v>
      </c>
      <c r="F19" s="105">
        <f t="shared" si="1"/>
        <v>492778.44</v>
      </c>
      <c r="G19" s="105">
        <f t="shared" si="1"/>
        <v>1368263.4500000002</v>
      </c>
      <c r="H19" s="105">
        <f t="shared" si="1"/>
        <v>2320722.5500000003</v>
      </c>
      <c r="I19" s="105">
        <f t="shared" si="1"/>
        <v>3246261.6199999996</v>
      </c>
      <c r="J19" s="105">
        <f t="shared" si="1"/>
        <v>4729659.8099999996</v>
      </c>
      <c r="K19" s="105">
        <f t="shared" si="1"/>
        <v>6218114.8399999999</v>
      </c>
      <c r="L19" s="105">
        <f t="shared" si="1"/>
        <v>7380224</v>
      </c>
      <c r="M19" s="105">
        <f t="shared" si="1"/>
        <v>9379045.1399999987</v>
      </c>
      <c r="N19" s="105">
        <f t="shared" si="1"/>
        <v>10388623.499999998</v>
      </c>
      <c r="O19" s="105">
        <f t="shared" si="1"/>
        <v>10409959.429999996</v>
      </c>
      <c r="P19" s="105">
        <f t="shared" si="1"/>
        <v>4310900.517692307</v>
      </c>
      <c r="Q19" s="105">
        <f t="shared" si="1"/>
        <v>2666161</v>
      </c>
    </row>
    <row r="20" spans="1:17" x14ac:dyDescent="0.25">
      <c r="A20" s="127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  <row r="21" spans="1:17" x14ac:dyDescent="0.25">
      <c r="A21" s="127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7" x14ac:dyDescent="0.25">
      <c r="A22" s="127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</row>
    <row r="23" spans="1:17" x14ac:dyDescent="0.25">
      <c r="A23" s="90"/>
      <c r="B23" s="131"/>
      <c r="C23" s="90"/>
      <c r="D23" s="74"/>
      <c r="E23" s="92"/>
      <c r="F23" s="16"/>
      <c r="H23" s="132"/>
      <c r="L23" s="75"/>
      <c r="M23" s="77"/>
    </row>
    <row r="24" spans="1:17" x14ac:dyDescent="0.25">
      <c r="A24" s="90"/>
      <c r="B24" s="131"/>
      <c r="C24" s="90"/>
      <c r="D24" s="91"/>
      <c r="E24" s="94"/>
      <c r="F24" s="16"/>
      <c r="J24" s="132"/>
      <c r="L24" s="75"/>
      <c r="M24" s="77"/>
    </row>
    <row r="25" spans="1:17" x14ac:dyDescent="0.25">
      <c r="A25" s="90"/>
      <c r="B25" s="131"/>
      <c r="C25" s="90"/>
      <c r="D25" s="74"/>
      <c r="E25" s="93"/>
      <c r="F25" s="16"/>
      <c r="H25" s="133"/>
      <c r="L25" s="75"/>
      <c r="M25" s="77"/>
    </row>
    <row r="26" spans="1:17" x14ac:dyDescent="0.25">
      <c r="A26" s="90"/>
      <c r="B26" s="95"/>
      <c r="C26" s="90"/>
      <c r="D26" s="74"/>
      <c r="E26" s="93"/>
      <c r="F26" s="16"/>
      <c r="L26" s="75"/>
      <c r="M26" s="77"/>
    </row>
    <row r="27" spans="1:17" x14ac:dyDescent="0.25">
      <c r="A27" s="90"/>
      <c r="B27" s="131"/>
      <c r="C27" s="90"/>
      <c r="D27" s="74"/>
      <c r="E27" s="92"/>
      <c r="F27" s="16"/>
      <c r="H27" s="132"/>
      <c r="L27" s="75"/>
      <c r="M27" s="77"/>
    </row>
    <row r="28" spans="1:17" x14ac:dyDescent="0.25">
      <c r="A28" s="90"/>
      <c r="B28" s="131"/>
      <c r="C28" s="90"/>
      <c r="D28" s="74"/>
      <c r="E28" s="92"/>
      <c r="F28" s="16"/>
      <c r="H28" s="132"/>
      <c r="L28" s="75"/>
      <c r="M28" s="77"/>
    </row>
    <row r="29" spans="1:17" x14ac:dyDescent="0.25">
      <c r="A29" s="90"/>
      <c r="B29" s="131"/>
      <c r="C29" s="90"/>
      <c r="D29" s="74"/>
      <c r="E29" s="92"/>
      <c r="F29" s="16"/>
      <c r="H29" s="132"/>
      <c r="L29" s="75"/>
      <c r="M29" s="77"/>
    </row>
    <row r="30" spans="1:17" x14ac:dyDescent="0.25">
      <c r="A30" s="90"/>
      <c r="B30" s="131"/>
      <c r="C30" s="90"/>
      <c r="D30" s="91"/>
      <c r="E30" s="94"/>
      <c r="F30" s="16"/>
      <c r="J30" s="132"/>
      <c r="L30" s="75"/>
      <c r="M30" s="77"/>
    </row>
    <row r="31" spans="1:17" x14ac:dyDescent="0.25">
      <c r="A31" s="90"/>
      <c r="B31" s="95"/>
      <c r="C31" s="90"/>
      <c r="D31" s="74"/>
      <c r="E31" s="93"/>
      <c r="L31" s="75"/>
      <c r="M31" s="77"/>
    </row>
    <row r="32" spans="1:17" x14ac:dyDescent="0.25">
      <c r="A32" s="90"/>
      <c r="B32" s="95"/>
      <c r="C32" s="90"/>
      <c r="D32" s="91"/>
      <c r="E32" s="94"/>
      <c r="G32" s="133"/>
      <c r="H32" s="133"/>
      <c r="I32" s="133"/>
      <c r="J32" s="133"/>
      <c r="K32" s="77"/>
      <c r="L32" s="75"/>
      <c r="M32" s="77"/>
    </row>
    <row r="33" spans="1:13" x14ac:dyDescent="0.25">
      <c r="A33" s="90"/>
      <c r="B33" s="131"/>
      <c r="C33" s="90"/>
      <c r="D33" s="71"/>
      <c r="E33" s="92"/>
      <c r="H33" s="132"/>
      <c r="L33" s="75"/>
      <c r="M33" s="77"/>
    </row>
    <row r="34" spans="1:13" x14ac:dyDescent="0.25">
      <c r="A34" s="90"/>
      <c r="B34" s="131"/>
      <c r="C34" s="90"/>
      <c r="D34" s="91"/>
      <c r="E34" s="94"/>
      <c r="J34" s="132"/>
      <c r="L34" s="75"/>
      <c r="M34" s="77"/>
    </row>
    <row r="35" spans="1:13" x14ac:dyDescent="0.25">
      <c r="A35" s="90"/>
      <c r="B35" s="95"/>
      <c r="C35" s="90"/>
      <c r="D35" s="74"/>
      <c r="E35" s="93"/>
      <c r="L35" s="75"/>
      <c r="M35" s="77"/>
    </row>
    <row r="36" spans="1:13" x14ac:dyDescent="0.25">
      <c r="A36" s="90"/>
      <c r="B36" s="95"/>
      <c r="C36" s="90"/>
      <c r="D36" s="74"/>
      <c r="E36" s="93"/>
      <c r="L36" s="75"/>
      <c r="M36" s="77"/>
    </row>
    <row r="37" spans="1:13" x14ac:dyDescent="0.25">
      <c r="A37" s="90"/>
      <c r="B37" s="131"/>
      <c r="C37" s="90"/>
      <c r="D37" s="71"/>
      <c r="E37" s="92"/>
      <c r="H37" s="132"/>
      <c r="L37" s="75"/>
      <c r="M37" s="77"/>
    </row>
    <row r="38" spans="1:13" x14ac:dyDescent="0.25">
      <c r="A38" s="90"/>
      <c r="B38" s="131"/>
      <c r="C38" s="90"/>
      <c r="D38" s="91"/>
      <c r="E38" s="94"/>
      <c r="J38" s="132"/>
      <c r="L38" s="75"/>
      <c r="M38" s="77"/>
    </row>
    <row r="39" spans="1:13" x14ac:dyDescent="0.25">
      <c r="A39" s="90"/>
      <c r="B39" s="131"/>
      <c r="C39" s="90"/>
      <c r="D39" s="74"/>
      <c r="E39" s="93"/>
      <c r="L39" s="75"/>
      <c r="M39" s="77"/>
    </row>
    <row r="40" spans="1:13" x14ac:dyDescent="0.25">
      <c r="A40" s="90"/>
      <c r="B40" s="131"/>
      <c r="C40" s="90"/>
      <c r="D40" s="74"/>
      <c r="E40" s="93"/>
      <c r="L40" s="75"/>
      <c r="M40" s="77"/>
    </row>
    <row r="41" spans="1:13" x14ac:dyDescent="0.25">
      <c r="A41" s="90"/>
      <c r="B41" s="131"/>
      <c r="C41" s="90"/>
      <c r="D41" s="71"/>
      <c r="E41" s="92"/>
      <c r="L41" s="75"/>
      <c r="M41" s="77"/>
    </row>
    <row r="42" spans="1:13" x14ac:dyDescent="0.25">
      <c r="A42" s="90"/>
      <c r="B42" s="131"/>
      <c r="C42" s="90"/>
      <c r="D42" s="91"/>
      <c r="E42" s="94"/>
      <c r="L42" s="75"/>
      <c r="M42" s="77"/>
    </row>
    <row r="43" spans="1:13" x14ac:dyDescent="0.25">
      <c r="A43" s="90"/>
      <c r="B43" s="131"/>
      <c r="C43" s="90"/>
      <c r="D43" s="74"/>
      <c r="E43" s="93"/>
      <c r="L43" s="75"/>
      <c r="M43" s="77"/>
    </row>
    <row r="44" spans="1:13" x14ac:dyDescent="0.25">
      <c r="A44" s="90"/>
      <c r="B44" s="131"/>
      <c r="C44" s="90"/>
      <c r="D44" s="74"/>
      <c r="E44" s="93"/>
      <c r="L44" s="75"/>
      <c r="M44" s="77"/>
    </row>
    <row r="45" spans="1:13" x14ac:dyDescent="0.25">
      <c r="A45" s="90"/>
      <c r="B45" s="95"/>
      <c r="C45" s="90"/>
      <c r="D45" s="91"/>
      <c r="E45" s="94"/>
      <c r="H45" s="132"/>
      <c r="L45" s="75"/>
      <c r="M45" s="77"/>
    </row>
    <row r="46" spans="1:13" x14ac:dyDescent="0.25">
      <c r="A46" s="90"/>
      <c r="B46" s="95"/>
      <c r="C46" s="90"/>
      <c r="D46" s="91"/>
      <c r="E46" s="94"/>
      <c r="H46" s="132"/>
      <c r="L46" s="75"/>
      <c r="M46" s="77"/>
    </row>
    <row r="47" spans="1:13" x14ac:dyDescent="0.25">
      <c r="A47" s="90"/>
      <c r="B47" s="95"/>
      <c r="C47" s="90"/>
      <c r="D47" s="91"/>
      <c r="E47" s="94"/>
      <c r="J47" s="132"/>
      <c r="L47" s="75"/>
      <c r="M47" s="77"/>
    </row>
    <row r="48" spans="1:13" x14ac:dyDescent="0.25">
      <c r="A48" s="90"/>
      <c r="B48" s="95"/>
      <c r="C48" s="90"/>
      <c r="D48" s="91"/>
      <c r="E48" s="94"/>
      <c r="L48" s="75"/>
      <c r="M48" s="77"/>
    </row>
    <row r="49" spans="1:13" x14ac:dyDescent="0.25">
      <c r="A49" s="90"/>
      <c r="B49" s="95"/>
      <c r="C49" s="90"/>
      <c r="D49" s="91"/>
      <c r="E49" s="94"/>
      <c r="L49" s="75"/>
      <c r="M49" s="77"/>
    </row>
    <row r="50" spans="1:13" x14ac:dyDescent="0.25">
      <c r="A50" s="90"/>
      <c r="B50" s="95"/>
      <c r="C50" s="90"/>
      <c r="D50" s="91"/>
      <c r="E50" s="94"/>
      <c r="L50" s="75"/>
      <c r="M50" s="77"/>
    </row>
    <row r="51" spans="1:13" x14ac:dyDescent="0.25">
      <c r="A51" s="90"/>
      <c r="B51" s="95"/>
      <c r="C51" s="90"/>
      <c r="D51" s="91"/>
      <c r="E51" s="94"/>
      <c r="L51" s="75"/>
      <c r="M51" s="77"/>
    </row>
    <row r="52" spans="1:13" x14ac:dyDescent="0.25">
      <c r="A52" s="90"/>
      <c r="B52" s="95"/>
      <c r="C52" s="90"/>
      <c r="D52" s="91"/>
      <c r="E52" s="94"/>
      <c r="L52" s="75"/>
      <c r="M52" s="77"/>
    </row>
    <row r="53" spans="1:13" x14ac:dyDescent="0.25">
      <c r="A53" s="90"/>
      <c r="B53" s="95"/>
      <c r="C53" s="90"/>
      <c r="D53" s="91"/>
      <c r="E53" s="94"/>
      <c r="L53" s="75"/>
      <c r="M53" s="77"/>
    </row>
    <row r="54" spans="1:13" x14ac:dyDescent="0.25">
      <c r="A54" s="90"/>
      <c r="B54" s="95"/>
      <c r="C54" s="90"/>
      <c r="D54" s="91"/>
      <c r="E54" s="94"/>
      <c r="L54" s="75"/>
      <c r="M54" s="77"/>
    </row>
    <row r="55" spans="1:13" x14ac:dyDescent="0.25">
      <c r="A55" s="90"/>
      <c r="B55" s="95"/>
      <c r="C55" s="90"/>
      <c r="D55" s="91"/>
      <c r="E55" s="94"/>
      <c r="L55" s="75"/>
      <c r="M55" s="77"/>
    </row>
    <row r="56" spans="1:13" x14ac:dyDescent="0.25">
      <c r="A56" s="90"/>
      <c r="B56" s="95"/>
      <c r="C56" s="90"/>
      <c r="D56" s="91"/>
      <c r="E56" s="94"/>
      <c r="L56" s="75"/>
      <c r="M56" s="77"/>
    </row>
    <row r="57" spans="1:13" x14ac:dyDescent="0.25">
      <c r="A57" s="90"/>
      <c r="B57" s="95"/>
      <c r="C57" s="90"/>
      <c r="D57" s="91"/>
      <c r="E57" s="94"/>
      <c r="L57" s="75"/>
      <c r="M57" s="77"/>
    </row>
    <row r="58" spans="1:13" x14ac:dyDescent="0.25">
      <c r="A58" s="90"/>
      <c r="B58" s="95"/>
      <c r="C58" s="90"/>
      <c r="D58" s="91"/>
      <c r="E58" s="94"/>
      <c r="L58" s="75"/>
      <c r="M58" s="77"/>
    </row>
    <row r="59" spans="1:13" x14ac:dyDescent="0.25">
      <c r="A59" s="90"/>
      <c r="B59" s="95"/>
      <c r="C59" s="90"/>
      <c r="D59" s="91"/>
      <c r="E59" s="94"/>
      <c r="L59" s="75"/>
      <c r="M59" s="77"/>
    </row>
    <row r="60" spans="1:13" x14ac:dyDescent="0.25">
      <c r="A60" s="90"/>
      <c r="B60" s="95"/>
      <c r="C60" s="90"/>
      <c r="D60" s="91"/>
      <c r="E60" s="94"/>
      <c r="L60" s="75"/>
      <c r="M60" s="77"/>
    </row>
    <row r="61" spans="1:13" x14ac:dyDescent="0.25">
      <c r="A61" s="87"/>
      <c r="B61" s="88"/>
      <c r="C61" s="87"/>
      <c r="D61" s="73"/>
      <c r="E61" s="23"/>
      <c r="L61" s="77"/>
      <c r="M61" s="77"/>
    </row>
    <row r="62" spans="1:13" x14ac:dyDescent="0.25">
      <c r="A62" s="87"/>
      <c r="B62" s="88"/>
      <c r="C62" s="87"/>
      <c r="D62" s="20"/>
      <c r="E62" s="22"/>
      <c r="L62" s="77"/>
      <c r="M62" s="77"/>
    </row>
    <row r="63" spans="1:13" x14ac:dyDescent="0.25">
      <c r="A63" s="17"/>
      <c r="B63" s="18"/>
      <c r="C63" s="17"/>
      <c r="D63" s="20"/>
      <c r="E63" s="22"/>
      <c r="G63" s="134"/>
      <c r="H63" s="134"/>
      <c r="I63" s="134"/>
      <c r="J63" s="134"/>
      <c r="K63" s="134"/>
      <c r="L63" s="134"/>
      <c r="M63" s="135"/>
    </row>
    <row r="64" spans="1:13" x14ac:dyDescent="0.25">
      <c r="A64" s="17"/>
      <c r="B64" s="18"/>
      <c r="C64" s="17"/>
      <c r="D64" s="136"/>
      <c r="E64" s="136"/>
    </row>
    <row r="65" spans="1:5" x14ac:dyDescent="0.25">
      <c r="A65" s="89"/>
      <c r="B65" s="18"/>
      <c r="C65" s="17"/>
      <c r="D65" s="20"/>
      <c r="E65" s="136"/>
    </row>
    <row r="66" spans="1:5" x14ac:dyDescent="0.25">
      <c r="A66" s="89"/>
      <c r="B66" s="18"/>
      <c r="C66" s="17"/>
      <c r="E66" s="136"/>
    </row>
    <row r="67" spans="1:5" x14ac:dyDescent="0.25">
      <c r="A67" s="89"/>
      <c r="B67" s="18"/>
      <c r="C67" s="17"/>
      <c r="E67" s="136"/>
    </row>
    <row r="68" spans="1:5" x14ac:dyDescent="0.25">
      <c r="A68" s="89"/>
      <c r="B68" s="18"/>
      <c r="C68" s="17"/>
      <c r="E68" s="136"/>
    </row>
  </sheetData>
  <pageMargins left="0.7" right="0.7" top="0.75" bottom="0.75" header="0.3" footer="0.3"/>
  <pageSetup scale="63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5"/>
  <sheetViews>
    <sheetView view="pageBreakPreview" zoomScaleNormal="100" zoomScaleSheetLayoutView="100" workbookViewId="0">
      <selection activeCell="Q30" sqref="Q30"/>
    </sheetView>
  </sheetViews>
  <sheetFormatPr defaultRowHeight="15" x14ac:dyDescent="0.25"/>
  <sheetData>
    <row r="1" spans="1:23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</row>
    <row r="2" spans="1:23" x14ac:dyDescent="0.25">
      <c r="A2">
        <v>7</v>
      </c>
      <c r="B2" s="3">
        <v>0.1429</v>
      </c>
      <c r="C2" s="3">
        <v>0.24490000000000001</v>
      </c>
      <c r="D2" s="3">
        <v>0.1749</v>
      </c>
      <c r="E2" s="3">
        <v>0.1249</v>
      </c>
      <c r="F2" s="3">
        <v>8.9300000000000004E-2</v>
      </c>
      <c r="G2" s="3">
        <v>8.9200000000000002E-2</v>
      </c>
      <c r="H2" s="3">
        <v>8.9300000000000004E-2</v>
      </c>
      <c r="I2" s="3">
        <v>4.4600000000000001E-2</v>
      </c>
      <c r="J2" s="3"/>
      <c r="K2" s="3"/>
      <c r="W2" s="69">
        <f>SUM(B2:V2)</f>
        <v>1.0000000000000002</v>
      </c>
    </row>
    <row r="3" spans="1:23" x14ac:dyDescent="0.25">
      <c r="A3">
        <v>15</v>
      </c>
      <c r="B3" s="3">
        <v>0.05</v>
      </c>
      <c r="C3" s="3">
        <v>9.5000000000000001E-2</v>
      </c>
      <c r="D3" s="3">
        <v>8.5500000000000007E-2</v>
      </c>
      <c r="E3" s="3">
        <v>7.6999999999999999E-2</v>
      </c>
      <c r="F3" s="3">
        <v>6.93E-2</v>
      </c>
      <c r="G3" s="3">
        <v>6.2300000000000001E-2</v>
      </c>
      <c r="H3" s="3">
        <v>5.8999999999999997E-2</v>
      </c>
      <c r="I3" s="3">
        <v>5.8999999999999997E-2</v>
      </c>
      <c r="J3" s="3">
        <v>5.91E-2</v>
      </c>
      <c r="K3" s="3">
        <v>5.8999999999999997E-2</v>
      </c>
      <c r="L3" s="3">
        <v>5.91E-2</v>
      </c>
      <c r="M3" s="3">
        <v>5.8999999999999997E-2</v>
      </c>
      <c r="N3" s="3">
        <v>5.91E-2</v>
      </c>
      <c r="O3" s="3">
        <v>5.8999999999999997E-2</v>
      </c>
      <c r="P3" s="3">
        <v>5.91E-2</v>
      </c>
      <c r="Q3" s="3">
        <v>2.9499999999999998E-2</v>
      </c>
      <c r="W3" s="69">
        <f>SUM(B3:V3)</f>
        <v>1.0000000000000002</v>
      </c>
    </row>
    <row r="4" spans="1:23" x14ac:dyDescent="0.25">
      <c r="A4">
        <v>20</v>
      </c>
      <c r="B4" s="3">
        <v>3.7499999999999999E-2</v>
      </c>
      <c r="C4" s="3">
        <v>7.2190000000000004E-2</v>
      </c>
      <c r="D4" s="3">
        <v>6.6769999999999996E-2</v>
      </c>
      <c r="E4" s="3">
        <v>6.1769999999999999E-2</v>
      </c>
      <c r="F4" s="3">
        <v>5.713E-2</v>
      </c>
      <c r="G4" s="3">
        <v>5.2850000000000001E-2</v>
      </c>
      <c r="H4" s="3">
        <v>4.888E-2</v>
      </c>
      <c r="I4" s="3">
        <v>4.5220000000000003E-2</v>
      </c>
      <c r="J4" s="3">
        <v>4.462E-2</v>
      </c>
      <c r="K4" s="3">
        <v>4.4609999999999997E-2</v>
      </c>
      <c r="L4" s="3">
        <v>4.462E-2</v>
      </c>
      <c r="M4" s="3">
        <v>4.4610000000000004E-2</v>
      </c>
      <c r="N4" s="3">
        <v>4.462E-2</v>
      </c>
      <c r="O4" s="3">
        <v>4.4610000000000004E-2</v>
      </c>
      <c r="P4" s="3">
        <v>4.462E-2</v>
      </c>
      <c r="Q4" s="3">
        <v>4.4610000000000004E-2</v>
      </c>
      <c r="R4" s="3">
        <v>4.462E-2</v>
      </c>
      <c r="S4" s="3">
        <v>4.4610000000000004E-2</v>
      </c>
      <c r="T4" s="3">
        <v>4.462E-2</v>
      </c>
      <c r="U4" s="3">
        <v>4.4610000000000004E-2</v>
      </c>
      <c r="V4" s="3">
        <v>2.231E-2</v>
      </c>
      <c r="W4" s="69">
        <f>SUM(B4:V4)</f>
        <v>1.0000000000000002</v>
      </c>
    </row>
    <row r="5" spans="1:23" x14ac:dyDescent="0.25">
      <c r="K5" s="3"/>
    </row>
  </sheetData>
  <pageMargins left="0.7" right="0.7" top="0.75" bottom="0.75" header="0.3" footer="0.3"/>
  <pageSetup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7d2f3-27e7-4f6a-8ecf-2b38431ddf24">
      <Terms xmlns="http://schemas.microsoft.com/office/infopath/2007/PartnerControls"/>
    </lcf76f155ced4ddcb4097134ff3c332f>
    <TaxCatchAll xmlns="60286e02-0208-42e7-a153-a32c68c2dac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8528136648D4D8968E5872081A263" ma:contentTypeVersion="17" ma:contentTypeDescription="Create a new document." ma:contentTypeScope="" ma:versionID="ee4736b27c23f66f2fa4d23f6c209d1b">
  <xsd:schema xmlns:xsd="http://www.w3.org/2001/XMLSchema" xmlns:xs="http://www.w3.org/2001/XMLSchema" xmlns:p="http://schemas.microsoft.com/office/2006/metadata/properties" xmlns:ns2="28d7d2f3-27e7-4f6a-8ecf-2b38431ddf24" xmlns:ns3="60286e02-0208-42e7-a153-a32c68c2dac1" targetNamespace="http://schemas.microsoft.com/office/2006/metadata/properties" ma:root="true" ma:fieldsID="d8d796fed4b282aa647d03f0bb4deb12" ns2:_="" ns3:_="">
    <xsd:import namespace="28d7d2f3-27e7-4f6a-8ecf-2b38431ddf24"/>
    <xsd:import namespace="60286e02-0208-42e7-a153-a32c68c2da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d2f3-27e7-4f6a-8ecf-2b38431dd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5a8831d-ba56-4e5a-b85b-be0866b5a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86e02-0208-42e7-a153-a32c68c2d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c56c64-b48f-41a0-b146-b55ea1c1370b}" ma:internalName="TaxCatchAll" ma:showField="CatchAllData" ma:web="60286e02-0208-42e7-a153-a32c68c2da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EA6FFA-2A45-44D0-89C8-C687A2CBEB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5009F-3C0F-41D0-A129-3F48F41B6AB2}">
  <ds:schemaRefs>
    <ds:schemaRef ds:uri="http://schemas.microsoft.com/office/2006/metadata/properties"/>
    <ds:schemaRef ds:uri="http://schemas.microsoft.com/office/infopath/2007/PartnerControls"/>
    <ds:schemaRef ds:uri="28d7d2f3-27e7-4f6a-8ecf-2b38431ddf24"/>
    <ds:schemaRef ds:uri="60286e02-0208-42e7-a153-a32c68c2dac1"/>
  </ds:schemaRefs>
</ds:datastoreItem>
</file>

<file path=customXml/itemProps3.xml><?xml version="1.0" encoding="utf-8"?>
<ds:datastoreItem xmlns:ds="http://schemas.openxmlformats.org/officeDocument/2006/customXml" ds:itemID="{0931699B-4FE6-401A-BE04-BB0192DAF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7d2f3-27e7-4f6a-8ecf-2b38431ddf24"/>
    <ds:schemaRef ds:uri="60286e02-0208-42e7-a153-a32c68c2d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Sch I Summary</vt:lpstr>
      <vt:lpstr>Sch II 2023</vt:lpstr>
      <vt:lpstr>Sch 2024 II</vt:lpstr>
      <vt:lpstr>Sch II 2025</vt:lpstr>
      <vt:lpstr>Cost of Service</vt:lpstr>
      <vt:lpstr>Schedule III</vt:lpstr>
      <vt:lpstr>Schedule IV 2025</vt:lpstr>
      <vt:lpstr>Schedule IV 2025 Monthly</vt:lpstr>
      <vt:lpstr>Tax Rates</vt:lpstr>
      <vt:lpstr>'Schedule III'!Print_Area</vt:lpstr>
      <vt:lpstr>'Schedule IV 2025'!Print_Area</vt:lpstr>
      <vt:lpstr>'Schedule IV 2025'!Print_Titles</vt:lpstr>
    </vt:vector>
  </TitlesOfParts>
  <Company>Delta Natural Gas Company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Wesolosky</dc:creator>
  <cp:lastModifiedBy>Cascio, Allison D</cp:lastModifiedBy>
  <cp:lastPrinted>2026-03-23T23:37:53Z</cp:lastPrinted>
  <dcterms:created xsi:type="dcterms:W3CDTF">2010-04-18T23:26:28Z</dcterms:created>
  <dcterms:modified xsi:type="dcterms:W3CDTF">2026-03-27T13:01:58Z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2026 PRP Filing 2025 Actuals--JB.xlsx</vt:lpwstr>
  </property>
  <property fmtid="{D5CDD505-2E9C-101B-9397-08002B2CF9AE}" pid="3" name="MediaServiceImageTags">
    <vt:lpwstr/>
  </property>
  <property fmtid="{D5CDD505-2E9C-101B-9397-08002B2CF9AE}" pid="4" name="ContentTypeId">
    <vt:lpwstr>0x0101002168528136648D4D8968E5872081A263</vt:lpwstr>
  </property>
</Properties>
</file>