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omas Hartline\Navitas Utility Dropbox\Thomas Hartline\Accounting\PGA\Kentucky\KY PGA\2026 - PSC Supplied\"/>
    </mc:Choice>
  </mc:AlternateContent>
  <xr:revisionPtr revIDLastSave="0" documentId="13_ncr:1_{BC5BBF0D-149D-44D0-9BA0-6CB2498CF84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vr Sht" sheetId="11" r:id="rId1"/>
    <sheet name="Sch I Summary" sheetId="1" r:id="rId2"/>
    <sheet name="Sch II ECG" sheetId="2" r:id="rId3"/>
    <sheet name="Sch IV AA" sheetId="3" r:id="rId4"/>
    <sheet name="Sch V BA" sheetId="8" r:id="rId5"/>
    <sheet name="AA BA Ladder" sheetId="12" r:id="rId6"/>
    <sheet name="Sales" sheetId="13" r:id="rId7"/>
    <sheet name="Purchases" sheetId="14" r:id="rId8"/>
    <sheet name="Sch III Sup. Ref." sheetId="7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___W.O.R.K.B.O.O.K..C.O.N.T.E.N.T.S____">'[1]Workbook Contents'!$A$1</definedName>
    <definedName name="_Fill" hidden="1">#REF!</definedName>
    <definedName name="ACT_BEGIN_DATE">'[1]1. MAIN INPUTS'!$F$24</definedName>
    <definedName name="ACT_END_DATE">'[1]1. MAIN INPUTS'!$F$23</definedName>
    <definedName name="AREA">#REF!</definedName>
    <definedName name="BORROW_TEX">#REF!</definedName>
    <definedName name="CarriageTran">'[1]gca T4'!$B$8:$E$98</definedName>
    <definedName name="CASE_CUR">'[1]1. MAIN INPUTS'!$Q$5</definedName>
    <definedName name="CASE_CURRENT">'[1]1. MAIN INPUTS'!$F$5</definedName>
    <definedName name="CASE_PRE">'[1]1. MAIN INPUTS'!$Q$19</definedName>
    <definedName name="CASE_PREVIOUS">'[1]1. MAIN INPUTS'!$J$5</definedName>
    <definedName name="CasePre">'[1]1. MAIN INPUTS'!$F$7</definedName>
    <definedName name="CASH_MON_LABEL">'[1]1. MAIN INPUTS'!$N$20</definedName>
    <definedName name="CASH_OUT_RP">'[1]C.13'!$A$1:$K$37</definedName>
    <definedName name="CASH_YEAR_LABEL">'[1]1. MAIN INPUTS'!$N$22</definedName>
    <definedName name="Cashout">'[2]Pipeline Cashout'!$A$9:$C$140</definedName>
    <definedName name="Cashouts">'[3]tbl Texas'!$A$8:$E$52</definedName>
    <definedName name="CF_Month_1">#REF!</definedName>
    <definedName name="CF_Month_2">#REF!</definedName>
    <definedName name="CF_Month_3">#REF!</definedName>
    <definedName name="CF_SALES">[1]CF!$A$8:$C$97</definedName>
    <definedName name="CONT_2385">'[1]Cont. 2385'!$A$9:$T$10</definedName>
    <definedName name="CONT_2546">'[1]Cont. 2546'!$A$10:$T$13</definedName>
    <definedName name="CONT_2546.1">'[1]Cont. 2546.1'!$A$10:$T$13</definedName>
    <definedName name="CONT_2548">'[1]Cont. 2548'!$A$9:$T$12</definedName>
    <definedName name="CONT_2548.1">'[1]Cont. 2548.1'!$A$9:$T$12</definedName>
    <definedName name="CONT_2550">'[1]Cont. 2550'!$A$9:$T$12</definedName>
    <definedName name="CONT_2550.1">'[1]Cont. 2550.1'!$A$9:$T$12</definedName>
    <definedName name="CONT_2551">'[1]Cont. 2551'!$A$9:$T$12</definedName>
    <definedName name="CONT_2551.1">'[1]Cont. 2551.1'!$A$9:$T$12</definedName>
    <definedName name="CONT_3355">'[1]Cont.3355'!$A$9:$AF$12</definedName>
    <definedName name="CONT_3355.1">'[1]Cont. 3355.1'!$A$9:$AF$11</definedName>
    <definedName name="CONT_3770">'[1]Cont. 3770'!$A$9:$AF$10</definedName>
    <definedName name="CONT_3817">'[1]Cont. 3817'!$A$9:$AF$10</definedName>
    <definedName name="CONT_3819">'[1]Cont. 3819'!$A$9:$AF$10</definedName>
    <definedName name="CONT_NO210">'[1]Cont. NO210'!$A$9:$AF$10</definedName>
    <definedName name="CONT_NO340">'[1]Cont. NO340'!$A$9:$AF$10</definedName>
    <definedName name="CONT_NO410">'[1]Cont. NO435'!$A$9:$AF$10</definedName>
    <definedName name="Cont014573">'[1]Cont. 014573'!$A$10:$T$18</definedName>
    <definedName name="Cont9213">'[1]Cont.9213'!$A$9:$AF$10</definedName>
    <definedName name="content_rp">#REF!</definedName>
    <definedName name="CRIT_SALES_DB">#REF!</definedName>
    <definedName name="CRIT_STORAGE_DB">#REF!</definedName>
    <definedName name="CRIT_TRANS_DB">#REF!</definedName>
    <definedName name="Database_PBR_Savings">#REF!</definedName>
    <definedName name="DatabaseStats">#REF!</definedName>
    <definedName name="DatabaseUsd">#REF!</definedName>
    <definedName name="DATE_ACTUALS">'[1]1. MAIN INPUTS'!$F$23</definedName>
    <definedName name="DATE_CASHOUT">'[1]1. MAIN INPUTS'!$F$18</definedName>
    <definedName name="DATE_CASHOUT_ST">'[1]1. MAIN INPUTS'!$F$21</definedName>
    <definedName name="DATE_CASHOUTS">'[1]1. MAIN INPUTS'!$F$18</definedName>
    <definedName name="DATE_GCA">'[1]1. MAIN INPUTS'!$F$9</definedName>
    <definedName name="DATE_GCA_DAY">'[1]1. MAIN INPUTS'!$R$21</definedName>
    <definedName name="DATE_GCA_LABEL">'[1]1. MAIN INPUTS'!$F$11</definedName>
    <definedName name="DATE_GCA_MONTH">'[1]1. MAIN INPUTS'!$Q$21</definedName>
    <definedName name="DATE_GCA_YEAR">'[1]1. MAIN INPUTS'!$S$21</definedName>
    <definedName name="Date_Issued">'[1]1. MAIN INPUTS'!$F$1</definedName>
    <definedName name="DATE_MON_LABEL">'[1]1. MAIN INPUTS'!$Q$21</definedName>
    <definedName name="DATE_PREVIOUS">'[1]1. MAIN INPUTS'!$J$9</definedName>
    <definedName name="DATE_PROJECTION">'[1]1. MAIN INPUTS'!$F$27</definedName>
    <definedName name="DateEffective">[4]Macros!$D$9</definedName>
    <definedName name="DB_C\T3">'[1]gca T3'!$A$7:$E$11</definedName>
    <definedName name="DB_C\T4">'[1]gca T4'!$A$7:$E$11</definedName>
    <definedName name="DB_G1">'[1]gca G1'!$A$7:$K$11</definedName>
    <definedName name="DB_G2">'[1]gca G2'!$A$7:$K$11</definedName>
    <definedName name="DB_HLF\G1">'[1]gca G1 HLF'!$A$7:$L$11</definedName>
    <definedName name="DB_SALES">#REF!</definedName>
    <definedName name="DB_STORAGE">#REF!</definedName>
    <definedName name="DB_STORAGE_RP">#REF!</definedName>
    <definedName name="DB_T2\G1">'[1]gca T2 G1'!$A$7:$G$11</definedName>
    <definedName name="DB_T2\G2">'[1]gca T2 G2'!$A$7:$G$11</definedName>
    <definedName name="DB_T2\HLF">'[1]gca T2 G1 HLF'!$A$7:$H$11</definedName>
    <definedName name="DB_TRANSPORT">#REF!</definedName>
    <definedName name="DB_TRANSPORT_RP">#REF!</definedName>
    <definedName name="DEMAND_FIRM">[1]B.8!$H$19</definedName>
    <definedName name="DEMAND_HLF">[1]B.8!$J$19</definedName>
    <definedName name="DEMAND_INTER">[1]B.8!$I$19</definedName>
    <definedName name="DolFirm">'[1]gca G1'!$B$8:$K$94</definedName>
    <definedName name="DolInt">'[1]gca G2'!$B$8:$K$98</definedName>
    <definedName name="DolIntTran">'[1]gca T2 G2'!$B$8:$G$98</definedName>
    <definedName name="EffectiveDate">#REF!</definedName>
    <definedName name="EWACOG">'[5]Backup Page'!$J$17</definedName>
    <definedName name="EXHIBIT_A1_RP">[1]A.1!$A$1:$M$63</definedName>
    <definedName name="EXHIBIT_A2_RP">[1]A.2!$A$1:$M$33</definedName>
    <definedName name="EXHIBIT_A3_RP">[1]A.3!$A$1:$L$49</definedName>
    <definedName name="EXHIBIT_A4_RP">[1]A.4!$A$1:$L$26</definedName>
    <definedName name="EXHIBIT_A5_RP">[1]A.5!$A$1:$L$41</definedName>
    <definedName name="EXHIBIT_B1_RP">[1]B.1!$A$1:$K$77</definedName>
    <definedName name="EXHIBIT_B2_RP">[1]B.3!$A$1:$K$38</definedName>
    <definedName name="EXHIBIT_B3_RP">[1]B.4!$A$1:$K$56</definedName>
    <definedName name="EXHIBIT_B4_RP">[1]B.5!$A$1:$I$36</definedName>
    <definedName name="EXHIBIT_B5_RP">[1]B.6!$A$1:$J$48</definedName>
    <definedName name="EXHIBIT_B6_RP">[1]B.8!$A$1:$J$57</definedName>
    <definedName name="EXHIBIT_B7_RP">[1]B.9!$A$1:$J$51</definedName>
    <definedName name="EXHIBIT_B8_RP">[1]B.10!$A$1:$H$48</definedName>
    <definedName name="FirmDemRefFactor">#REF!</definedName>
    <definedName name="FirmRefFactor">#REF!</definedName>
    <definedName name="FirstCell">#REF!</definedName>
    <definedName name="GCA\G2">'[1]gca G2'!$A$8:$K$16</definedName>
    <definedName name="GCA\LVS1">'[1]gca LVS1'!$B$8:$E$13</definedName>
    <definedName name="GCA\LVS2">'[1]gca LVS2'!$B$8:$F$13</definedName>
    <definedName name="GCA_CF_SALES">[1]CF!$B$8:$C$97</definedName>
    <definedName name="GCA_COMMODITY">[1]B.10!$G$50</definedName>
    <definedName name="GCA_DATE">'[1]1. MAIN INPUTS'!$F$9</definedName>
    <definedName name="GCA_DEM_FIRM">[1]B.8!$H$19</definedName>
    <definedName name="GCA_DEM_HLF_MDQ">[1]B.8!$F$57</definedName>
    <definedName name="GCA_DEM_INTER">[1]B.8!$I$19</definedName>
    <definedName name="GCA_DEMAND_FIRM">[1]B.8!$H$19</definedName>
    <definedName name="gca_effect_adate">'[1]1. MAIN INPUTS'!$F$12</definedName>
    <definedName name="GCA_EFFECTIVE">'[1]1. MAIN INPUTS'!$F$9</definedName>
    <definedName name="GCA_G1">'[1]gca G1'!$A$8:$Q$98</definedName>
    <definedName name="GCA_G1_HLF">'[1]gca G1 HLF'!$A$8:$S$98</definedName>
    <definedName name="GCA_G2">'[1]gca G2'!$A$8:$Q$98</definedName>
    <definedName name="gca_lvs1">'[1]gca LVS1'!$A$8:$E$88</definedName>
    <definedName name="GCA_LVS1_HLF">'[1]gca LVS1 HLF'!$A$8:$F$88</definedName>
    <definedName name="gca_lvs2">'[1]gca LVS2'!$A$8:$E$88</definedName>
    <definedName name="GCA_PBRRF">[1]PBRRF!$B$8:$C$52</definedName>
    <definedName name="GCA_REF_SALES">[1]R_Sales!$A$8:$K$108</definedName>
    <definedName name="GCA_REF_TRANSPORT">[1]R_Transport!$A$8:$K$108</definedName>
    <definedName name="GCA_T2_G1">'[1]gca T2 G1'!$A$8:$G$98</definedName>
    <definedName name="GCA_T2_G1_HLF">'[1]gca T2 G1 HLF'!$A$8:$H$98</definedName>
    <definedName name="GCA_T2_G2">'[1]gca T2 G2'!$A$8:$G$98</definedName>
    <definedName name="GCA_T3">'[1]gca T3'!$A$8:$E$98</definedName>
    <definedName name="gca_t4">'[1]gca T4'!$A$8:$E$98</definedName>
    <definedName name="GCA_TOP">[1]B.9!$G$17</definedName>
    <definedName name="GCA_TRANSITION">[1]B.9!$G$18</definedName>
    <definedName name="GCA_YEAR_LABEL">'[1]1. MAIN INPUTS'!$T$21</definedName>
    <definedName name="History">[5]History!$A$12:$N$145</definedName>
    <definedName name="HLF">'[1]gca G1 HLF'!$B$8:$L$98</definedName>
    <definedName name="int_rate">#REF!</definedName>
    <definedName name="InterDemRefFactor">#REF!</definedName>
    <definedName name="InterRefFactor">#REF!</definedName>
    <definedName name="LABEL_12MONTHS">'[1]1. MAIN INPUTS'!$S$23</definedName>
    <definedName name="LABEL_MONTH">'[1]1. MAIN INPUTS'!$S$23</definedName>
    <definedName name="LABEL_YEAR">'[1]1. MAIN INPUTS'!$T$23</definedName>
    <definedName name="LVS_COG">#REF!</definedName>
    <definedName name="LVS_COG_FINAL">#REF!</definedName>
    <definedName name="LVS_COG_PRELIM">#REF!</definedName>
    <definedName name="LVS_EFFECTIVE">'[1]1. MAIN INPUTS'!$J$18</definedName>
    <definedName name="LVS_HLF_NON_COMMODITY">'[1]gca T2 G1 HLF'!$B$8:$H$98</definedName>
    <definedName name="LVS_Non_Commodity">'[1]gca T2 G1'!$B$8:$G$98</definedName>
    <definedName name="LVS2_NON_COMMODITY">'[1]gca T2 G2'!$B$8:$G$98</definedName>
    <definedName name="MarketAdjusted">'[6]C.2'!#REF!</definedName>
    <definedName name="MarketPrice">'[6]C.2'!#REF!</definedName>
    <definedName name="MONTH_1">'[1]1. MAIN INPUTS'!$H$185</definedName>
    <definedName name="MONTH_10">'[1]1. MAIN INPUTS'!$H$194</definedName>
    <definedName name="MONTH_11">'[1]1. MAIN INPUTS'!$H$195</definedName>
    <definedName name="MONTH_12">'[1]1. MAIN INPUTS'!$H$196</definedName>
    <definedName name="MONTH_2">'[1]1. MAIN INPUTS'!$H$186</definedName>
    <definedName name="MONTH_3">'[1]1. MAIN INPUTS'!$H$187</definedName>
    <definedName name="MONTH_4">'[1]1. MAIN INPUTS'!$H$188</definedName>
    <definedName name="MONTH_5">'[1]1. MAIN INPUTS'!$H$189</definedName>
    <definedName name="MONTH_6">'[1]1. MAIN INPUTS'!$H$190</definedName>
    <definedName name="MONTH_7">'[1]1. MAIN INPUTS'!$H$191</definedName>
    <definedName name="MONTH_8">'[1]1. MAIN INPUTS'!$H$192</definedName>
    <definedName name="MONTH_9">'[1]1. MAIN INPUTS'!$H$193</definedName>
    <definedName name="MONTH_NO">'[1]1. MAIN INPUTS'!$Q$23</definedName>
    <definedName name="Month1">#REF!</definedName>
    <definedName name="Month2">#REF!</definedName>
    <definedName name="Month3">#REF!</definedName>
    <definedName name="NA">'[7]Main Inputs'!$C$5</definedName>
    <definedName name="NumberTrueUp">'[5]Additional Backup'!$J$1</definedName>
    <definedName name="OVERVIEW_RP">#REF!</definedName>
    <definedName name="PBRRF">[1]PBRRF!$A$8:$C$52</definedName>
    <definedName name="PriceCommodity">'[6]C.2'!#REF!</definedName>
    <definedName name="PriceCommodityAdjusted">'[6]C.2'!#REF!</definedName>
    <definedName name="_xlnm.Print_Area" localSheetId="1">'Sch I Summary'!$A$1:$M$48</definedName>
    <definedName name="_xlnm.Print_Area" localSheetId="2">'Sch II ECG'!$A$1:$N$48</definedName>
    <definedName name="_xlnm.Print_Area" localSheetId="8">'Sch III Sup. Ref.'!$B$1:$E$20</definedName>
    <definedName name="_xlnm.Print_Area" localSheetId="3">'Sch IV AA'!$A$1:$M$32</definedName>
    <definedName name="Print_Total">#REF!</definedName>
    <definedName name="SALES_DB">#REF!</definedName>
    <definedName name="SEASON">'[1]1. MAIN INPUTS'!$F$13</definedName>
    <definedName name="SecondEffectiveDate">'[5]Additional Backup'!$B$1</definedName>
    <definedName name="SecondTrueUp">'[5]Additional Backup'!$F$35</definedName>
    <definedName name="StatusDraft">'[1]1. MAIN INPUTS'!$F$2</definedName>
    <definedName name="TABLE_SEASON">'[1]1. MAIN INPUTS'!$J$185:$K$196</definedName>
    <definedName name="TB_G1">'[1]G 1'!$A$8:$L$11</definedName>
    <definedName name="TB_G1\HLF">[1]G1_HLF!$A$8:$L$11</definedName>
    <definedName name="TB_G2">'[1]G 2'!$A$8:$L$10</definedName>
    <definedName name="TB_NNS_DEM_2">'[1]NNS demand'!$A$8:$I$48</definedName>
    <definedName name="TB_T2\G1">[1]T2_G1!$A$8:$L$33</definedName>
    <definedName name="TB_T2\G1\HLF">[1]T2_G1_HLF!$A$8:$L$31</definedName>
    <definedName name="TB_T2\G2">[1]T2_G2!$A$8:$L$31</definedName>
    <definedName name="TB_T3">[1]T3!$A$8:$L$32</definedName>
    <definedName name="TB_T4">[1]T4!$A$8:$L$32</definedName>
    <definedName name="tbl_Month">#REF!</definedName>
    <definedName name="tbl_Nymex">#REF!</definedName>
    <definedName name="tbl_TariffRevisions">#REF!</definedName>
    <definedName name="TEN_CASH">'[1]Ten Cash'!$A$9:$B$48</definedName>
    <definedName name="TEN_EST_PUR">'[1]Purchases Ten'!$A$10:$AC$101</definedName>
    <definedName name="TEN_FT_G">'[1]FT G'!$A$9:$P$19</definedName>
    <definedName name="TEN_FT_GS">'[1]FT GS'!$A$8:$V$19</definedName>
    <definedName name="ten_fta">'[1]FT A'!$A$9:$E$22</definedName>
    <definedName name="TEN_FTG">'[1]FT G'!$A$10:$P$27</definedName>
    <definedName name="TEN_FTG_COMMOD">'[1]FT G C'!$A$9:$L$25</definedName>
    <definedName name="TEN_FTG_DEMAND">'[1]FT G'!$A$10:$P$27</definedName>
    <definedName name="TEN_FTGS">'[1]FT GS'!$A$9:$V$29</definedName>
    <definedName name="ten_fuel">[1]Fuel_tenn!$A$10:$F$18</definedName>
    <definedName name="TEN_RES_FEE">#REF!</definedName>
    <definedName name="TEN_SS">'[1]S S'!$A$10:$L$22</definedName>
    <definedName name="TEN_STORAGE">#REF!</definedName>
    <definedName name="TEN_TRANSITION">#REF!</definedName>
    <definedName name="Tenn">[2]Tenn!$A$8:$F$22</definedName>
    <definedName name="test">'[1]gca G1'!$H$1:$I$2</definedName>
    <definedName name="tex_borrow">#REF!</definedName>
    <definedName name="TEX_CASH">'[1]Tex Cash'!$A$10:$B$136</definedName>
    <definedName name="TEX_EST_PUR">'[1]Purchases Tex'!$A$9:$T$100</definedName>
    <definedName name="TEX_FT_COMMOD">'[1]FT commodity'!$A$10:$AF$31</definedName>
    <definedName name="TEX_FT_DEMAND">'[1]FT demand'!$A$10:$AJ$36</definedName>
    <definedName name="TEX_FUEL">[1]Fuel!$A$10:$O$23</definedName>
    <definedName name="TEX_NNS_COMMOD">'[1]NNS commodity'!$A$9:$U$37</definedName>
    <definedName name="TEX_NNS_DEM">'[1]NNS demand'!$A$8:$AA$9</definedName>
    <definedName name="TEX_NNS_DEMAND">'[1]NNS demand'!$A$9:$AA$38</definedName>
    <definedName name="TEX_RES_FEE">'[1]Tex Res'!$A$8:$B$11</definedName>
    <definedName name="TEX_TRANSITION">'[1]Cont. T13687'!#REF!</definedName>
    <definedName name="Texas">[2]Texas!$A$7:$E$37</definedName>
    <definedName name="TexasGasNNS">'[6]C.2'!#REF!</definedName>
    <definedName name="TexasGasNoticePayback">#REF!</definedName>
    <definedName name="TGX_2">[1]B.1!$B$11:$K$21</definedName>
    <definedName name="ThirdEffectiveDate">'[5]Additional Backup'!$B$39</definedName>
    <definedName name="ThirdTrueUp">'[5]Additional Backup'!$F$73</definedName>
    <definedName name="TrueUp">'[5]Backup Page'!$F$31</definedName>
    <definedName name="Trunkline">'[1]Trunk Res Fee'!$A$8:$Q$11</definedName>
    <definedName name="TrunklineCommodity">'[1]Trunk Rates'!$A$9:$F$23</definedName>
    <definedName name="TrunklineGas">'[1]7. Trunkline Gas'!$A$1</definedName>
    <definedName name="TrunklinePurchase">'[1]Purchases Trk'!$A$10:$D$90</definedName>
    <definedName name="TrunkRates">'[1]Trunk Rates'!$A$1</definedName>
    <definedName name="WKG_G1">'[1]G 1'!$B$9:$N$12</definedName>
    <definedName name="WKG_G1\HLF">[1]G1_HLF!$B$9:$N$12</definedName>
    <definedName name="WKG_G2">'[1]G 2'!$B$9:$N$11</definedName>
    <definedName name="WKG_LVS1">'[1]LVS 1'!$B$9:$L$12</definedName>
    <definedName name="WKG_LVS2">'[1]LVS 2'!$B$9:$L$11</definedName>
    <definedName name="WKG_REF_SALES">[1]R_Sales!$A$8:$I$26</definedName>
    <definedName name="WKG_STORAGE">#REF!</definedName>
    <definedName name="WKG_T2\G1">[1]T2_G1!$B$9:$L$12</definedName>
    <definedName name="WKG_T2\G1\HLF">[1]T2_G1_HLF!$B$9:$L$12</definedName>
    <definedName name="WKG_T2\G2">[1]T2_G2!$B$9:$N$11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4" i="1" l="1"/>
  <c r="R21" i="3"/>
  <c r="R20" i="3"/>
  <c r="R19" i="3"/>
  <c r="R14" i="3" l="1"/>
  <c r="DM76" i="12"/>
  <c r="J49" i="8"/>
  <c r="J47" i="8"/>
  <c r="J45" i="8"/>
  <c r="H37" i="8"/>
  <c r="J35" i="8"/>
  <c r="H18" i="8"/>
  <c r="H15" i="8"/>
  <c r="J13" i="8"/>
  <c r="J47" i="1"/>
  <c r="J46" i="1"/>
  <c r="J45" i="1"/>
  <c r="J39" i="1"/>
  <c r="J38" i="1"/>
  <c r="J37" i="1"/>
  <c r="DM11" i="12"/>
  <c r="DM12" i="12" s="1"/>
  <c r="DM16" i="12"/>
  <c r="DM15" i="12"/>
  <c r="DM14" i="12"/>
  <c r="DM10" i="12"/>
  <c r="DM9" i="12"/>
  <c r="DM8" i="12"/>
  <c r="Z65" i="13"/>
  <c r="X65" i="13"/>
  <c r="V65" i="13"/>
  <c r="T65" i="13"/>
  <c r="R65" i="13"/>
  <c r="P65" i="13"/>
  <c r="N65" i="13"/>
  <c r="L65" i="13"/>
  <c r="J65" i="13"/>
  <c r="H65" i="13"/>
  <c r="DE55" i="12"/>
  <c r="H63" i="13"/>
  <c r="DE5" i="12"/>
  <c r="DE49" i="12" s="1"/>
  <c r="DC5" i="12"/>
  <c r="F65" i="13"/>
  <c r="E29" i="2"/>
  <c r="AD138" i="14"/>
  <c r="AD91" i="14"/>
  <c r="AD92" i="14"/>
  <c r="AD93" i="14"/>
  <c r="AD94" i="14"/>
  <c r="AD95" i="14"/>
  <c r="F98" i="14"/>
  <c r="F48" i="13"/>
  <c r="F33" i="13"/>
  <c r="F51" i="13" s="1"/>
  <c r="F32" i="13"/>
  <c r="J17" i="13"/>
  <c r="H17" i="13"/>
  <c r="F17" i="13"/>
  <c r="F16" i="13"/>
  <c r="G37" i="2"/>
  <c r="G32" i="2"/>
  <c r="G29" i="2"/>
  <c r="G16" i="2"/>
  <c r="J51" i="8"/>
  <c r="AB65" i="13"/>
  <c r="AD13" i="13"/>
  <c r="F96" i="14"/>
  <c r="M18" i="2"/>
  <c r="M22" i="2"/>
  <c r="DA5" i="12"/>
  <c r="AB17" i="13"/>
  <c r="Z17" i="13"/>
  <c r="X17" i="13"/>
  <c r="V17" i="13"/>
  <c r="T17" i="13"/>
  <c r="R17" i="13"/>
  <c r="P17" i="13"/>
  <c r="N17" i="13"/>
  <c r="L17" i="13"/>
  <c r="AB61" i="13"/>
  <c r="Z61" i="13"/>
  <c r="X61" i="13"/>
  <c r="V61" i="13"/>
  <c r="T61" i="13"/>
  <c r="R61" i="13"/>
  <c r="P61" i="13"/>
  <c r="N61" i="13"/>
  <c r="L61" i="13"/>
  <c r="J61" i="13"/>
  <c r="H61" i="13"/>
  <c r="F61" i="13"/>
  <c r="F63" i="13"/>
  <c r="AB62" i="13"/>
  <c r="H19" i="3" s="1"/>
  <c r="Z62" i="13"/>
  <c r="X62" i="13"/>
  <c r="V62" i="13"/>
  <c r="T62" i="13"/>
  <c r="R62" i="13"/>
  <c r="P62" i="13"/>
  <c r="N62" i="13"/>
  <c r="L62" i="13"/>
  <c r="J62" i="13"/>
  <c r="H62" i="13"/>
  <c r="F62" i="13"/>
  <c r="AD114" i="14"/>
  <c r="AD123" i="14"/>
  <c r="P49" i="13"/>
  <c r="P33" i="13"/>
  <c r="H33" i="13"/>
  <c r="Q53" i="13"/>
  <c r="R49" i="13"/>
  <c r="AB49" i="13"/>
  <c r="DG92" i="12"/>
  <c r="V13" i="12"/>
  <c r="V12" i="12"/>
  <c r="Y13" i="1"/>
  <c r="Y12" i="1"/>
  <c r="Y14" i="1" s="1"/>
  <c r="R13" i="12"/>
  <c r="R12" i="12"/>
  <c r="R14" i="12" s="1"/>
  <c r="U13" i="1"/>
  <c r="U12" i="1"/>
  <c r="U14" i="1" s="1"/>
  <c r="P13" i="12"/>
  <c r="P12" i="12"/>
  <c r="P14" i="12" s="1"/>
  <c r="S13" i="1"/>
  <c r="S12" i="1"/>
  <c r="N13" i="12"/>
  <c r="N12" i="12"/>
  <c r="Q13" i="1"/>
  <c r="Q12" i="1"/>
  <c r="T12" i="12"/>
  <c r="W12" i="1"/>
  <c r="T13" i="12"/>
  <c r="W13" i="1"/>
  <c r="FQ4" i="12"/>
  <c r="FS4" i="12" s="1"/>
  <c r="AB95" i="14"/>
  <c r="Z95" i="14"/>
  <c r="F56" i="14"/>
  <c r="AB55" i="14"/>
  <c r="Z55" i="14"/>
  <c r="I19" i="3"/>
  <c r="G19" i="3"/>
  <c r="L49" i="13"/>
  <c r="J49" i="13"/>
  <c r="F49" i="13"/>
  <c r="AD45" i="13"/>
  <c r="AD44" i="13"/>
  <c r="AD40" i="13"/>
  <c r="AD39" i="13"/>
  <c r="AD38" i="13"/>
  <c r="AD37" i="13"/>
  <c r="AD36" i="13"/>
  <c r="AB33" i="13"/>
  <c r="L33" i="13"/>
  <c r="J33" i="13"/>
  <c r="AD29" i="13"/>
  <c r="AD28" i="13"/>
  <c r="AD24" i="13"/>
  <c r="AD23" i="13"/>
  <c r="AD22" i="13"/>
  <c r="AD21" i="13"/>
  <c r="AD20" i="13"/>
  <c r="AD6" i="13"/>
  <c r="AD5" i="13"/>
  <c r="P42" i="13"/>
  <c r="R26" i="13"/>
  <c r="R33" i="13" s="1"/>
  <c r="X11" i="13"/>
  <c r="X9" i="13"/>
  <c r="T9" i="13"/>
  <c r="J9" i="13"/>
  <c r="J8" i="13"/>
  <c r="H8" i="13"/>
  <c r="F8" i="13"/>
  <c r="CS5" i="12"/>
  <c r="CQ5" i="12"/>
  <c r="R42" i="13"/>
  <c r="Z27" i="13"/>
  <c r="Z25" i="13"/>
  <c r="Z33" i="13" s="1"/>
  <c r="V25" i="13"/>
  <c r="T25" i="13"/>
  <c r="T12" i="13"/>
  <c r="AD12" i="13" s="1"/>
  <c r="P10" i="13"/>
  <c r="AB8" i="13"/>
  <c r="G33" i="2"/>
  <c r="G24" i="2"/>
  <c r="G23" i="2"/>
  <c r="G22" i="2"/>
  <c r="G19" i="2"/>
  <c r="G18" i="2"/>
  <c r="G17" i="2"/>
  <c r="M37" i="2"/>
  <c r="G14" i="3" s="1"/>
  <c r="K37" i="2"/>
  <c r="H14" i="3" s="1"/>
  <c r="I37" i="2"/>
  <c r="I14" i="3" s="1"/>
  <c r="DG11" i="12"/>
  <c r="T142" i="14"/>
  <c r="X95" i="14"/>
  <c r="V95" i="14"/>
  <c r="T95" i="14"/>
  <c r="X55" i="14"/>
  <c r="V55" i="14"/>
  <c r="T55" i="14"/>
  <c r="DA73" i="12"/>
  <c r="S37" i="2"/>
  <c r="Q37" i="2"/>
  <c r="O37" i="2"/>
  <c r="DA11" i="12"/>
  <c r="R55" i="14"/>
  <c r="P55" i="14"/>
  <c r="N55" i="14"/>
  <c r="R95" i="14"/>
  <c r="P95" i="14"/>
  <c r="N95" i="14"/>
  <c r="Y37" i="2"/>
  <c r="W37" i="2"/>
  <c r="U37" i="2"/>
  <c r="W14" i="1" l="1"/>
  <c r="S14" i="1"/>
  <c r="V14" i="12"/>
  <c r="T14" i="12"/>
  <c r="P51" i="13"/>
  <c r="P53" i="13" s="1"/>
  <c r="Q14" i="1"/>
  <c r="N14" i="12"/>
  <c r="AD61" i="13"/>
  <c r="I24" i="3"/>
  <c r="AD62" i="13"/>
  <c r="CY5" i="12"/>
  <c r="CW5" i="12"/>
  <c r="CU5" i="12"/>
  <c r="CO5" i="12"/>
  <c r="P52" i="13" l="1"/>
  <c r="CG55" i="12"/>
  <c r="CU11" i="12"/>
  <c r="CQ17" i="12"/>
  <c r="CO17" i="12"/>
  <c r="CO11" i="12"/>
  <c r="CI11" i="12"/>
  <c r="CI17" i="12"/>
  <c r="CI61" i="12"/>
  <c r="CO65" i="12"/>
  <c r="CQ65" i="12" s="1"/>
  <c r="CS65" i="12" s="1"/>
  <c r="CW64" i="12"/>
  <c r="CU69" i="12"/>
  <c r="CW69" i="12" s="1"/>
  <c r="CY69" i="12" s="1"/>
  <c r="DC73" i="12"/>
  <c r="DE73" i="12" s="1"/>
  <c r="CQ60" i="12"/>
  <c r="CS60" i="12" s="1"/>
  <c r="CU60" i="12" s="1"/>
  <c r="CW60" i="12" s="1"/>
  <c r="CK54" i="12"/>
  <c r="CM54" i="12" s="1"/>
  <c r="CO81" i="12"/>
  <c r="CQ81" i="12" s="1"/>
  <c r="CQ80" i="12"/>
  <c r="CS80" i="12" s="1"/>
  <c r="CK76" i="12"/>
  <c r="CM76" i="12" s="1"/>
  <c r="CO54" i="12" l="1"/>
  <c r="CM11" i="12"/>
  <c r="CO76" i="12"/>
  <c r="CM17" i="12"/>
  <c r="CY64" i="12"/>
  <c r="CW11" i="12"/>
  <c r="CK17" i="12"/>
  <c r="CK11" i="12"/>
  <c r="CY60" i="12"/>
  <c r="CW10" i="12"/>
  <c r="CU10" i="12"/>
  <c r="CW80" i="12"/>
  <c r="CY80" i="12" s="1"/>
  <c r="CU80" i="12"/>
  <c r="CU16" i="12" s="1"/>
  <c r="CQ11" i="12"/>
  <c r="CS11" i="12"/>
  <c r="CS17" i="12"/>
  <c r="CK61" i="12"/>
  <c r="DC68" i="12"/>
  <c r="CS81" i="12"/>
  <c r="AA37" i="2"/>
  <c r="AC37" i="2"/>
  <c r="AE37" i="2"/>
  <c r="AM29" i="2"/>
  <c r="AW29" i="2"/>
  <c r="AI22" i="2"/>
  <c r="AK22" i="2"/>
  <c r="CO16" i="12" l="1"/>
  <c r="CQ76" i="12"/>
  <c r="CW16" i="12"/>
  <c r="DE68" i="12"/>
  <c r="DC11" i="12"/>
  <c r="DA60" i="12"/>
  <c r="CY10" i="12"/>
  <c r="DA64" i="12"/>
  <c r="CY11" i="12"/>
  <c r="CO10" i="12"/>
  <c r="CQ54" i="12"/>
  <c r="DA80" i="12"/>
  <c r="CY16" i="12"/>
  <c r="G25" i="2"/>
  <c r="L19" i="3"/>
  <c r="CM61" i="12"/>
  <c r="G34" i="2"/>
  <c r="G20" i="2"/>
  <c r="DC64" i="12" l="1"/>
  <c r="DA10" i="12"/>
  <c r="CQ10" i="12"/>
  <c r="CS54" i="12"/>
  <c r="DC60" i="12"/>
  <c r="DA9" i="12"/>
  <c r="CS76" i="12"/>
  <c r="CQ16" i="12"/>
  <c r="DG68" i="12"/>
  <c r="DE11" i="12"/>
  <c r="DC80" i="12"/>
  <c r="DA15" i="12"/>
  <c r="G26" i="2"/>
  <c r="CO61" i="12"/>
  <c r="DI68" i="12" l="1"/>
  <c r="DG10" i="12"/>
  <c r="DE60" i="12"/>
  <c r="DC9" i="12"/>
  <c r="CU54" i="12"/>
  <c r="CS10" i="12"/>
  <c r="CU76" i="12"/>
  <c r="CS16" i="12"/>
  <c r="DE64" i="12"/>
  <c r="DC10" i="12"/>
  <c r="DE80" i="12"/>
  <c r="DC15" i="12"/>
  <c r="CQ61" i="12"/>
  <c r="CW76" i="12" l="1"/>
  <c r="CU15" i="12"/>
  <c r="DG60" i="12"/>
  <c r="DE9" i="12"/>
  <c r="DG64" i="12"/>
  <c r="DE10" i="12"/>
  <c r="CW54" i="12"/>
  <c r="CU9" i="12"/>
  <c r="DK68" i="12"/>
  <c r="DI10" i="12"/>
  <c r="DE15" i="12"/>
  <c r="CS61" i="12"/>
  <c r="CW9" i="12" l="1"/>
  <c r="CY54" i="12"/>
  <c r="DI60" i="12"/>
  <c r="DG8" i="12"/>
  <c r="DM68" i="12"/>
  <c r="DO68" i="12" s="1"/>
  <c r="DQ68" i="12" s="1"/>
  <c r="DS68" i="12" s="1"/>
  <c r="DU68" i="12" s="1"/>
  <c r="DW68" i="12" s="1"/>
  <c r="DK10" i="12"/>
  <c r="CY76" i="12"/>
  <c r="CW15" i="12"/>
  <c r="DI64" i="12"/>
  <c r="DG9" i="12"/>
  <c r="DI80" i="12"/>
  <c r="DG14" i="12"/>
  <c r="AB138" i="14"/>
  <c r="Z138" i="14"/>
  <c r="X138" i="14"/>
  <c r="V138" i="14"/>
  <c r="T138" i="14"/>
  <c r="R138" i="14"/>
  <c r="P138" i="14"/>
  <c r="N138" i="14"/>
  <c r="L138" i="14"/>
  <c r="J138" i="14"/>
  <c r="H138" i="14"/>
  <c r="F138" i="14"/>
  <c r="AB137" i="14"/>
  <c r="Z137" i="14"/>
  <c r="X137" i="14"/>
  <c r="V137" i="14"/>
  <c r="T137" i="14"/>
  <c r="R137" i="14"/>
  <c r="P137" i="14"/>
  <c r="N137" i="14"/>
  <c r="AD122" i="14"/>
  <c r="AD121" i="14"/>
  <c r="AD120" i="14"/>
  <c r="AD113" i="14"/>
  <c r="AD112" i="14"/>
  <c r="AD111" i="14"/>
  <c r="AD110" i="14"/>
  <c r="AD109" i="14"/>
  <c r="AD106" i="14"/>
  <c r="AD105" i="14"/>
  <c r="AD104" i="14"/>
  <c r="AD103" i="14"/>
  <c r="AD102" i="14"/>
  <c r="L95" i="14"/>
  <c r="J95" i="14"/>
  <c r="H95" i="14"/>
  <c r="AB94" i="14"/>
  <c r="Z94" i="14"/>
  <c r="X94" i="14"/>
  <c r="V94" i="14"/>
  <c r="T94" i="14"/>
  <c r="R94" i="14"/>
  <c r="P94" i="14"/>
  <c r="N94" i="14"/>
  <c r="L94" i="14"/>
  <c r="J94" i="14"/>
  <c r="H94" i="14"/>
  <c r="AB93" i="14"/>
  <c r="Z93" i="14"/>
  <c r="X93" i="14"/>
  <c r="V93" i="14"/>
  <c r="T93" i="14"/>
  <c r="R93" i="14"/>
  <c r="P93" i="14"/>
  <c r="N93" i="14"/>
  <c r="L93" i="14"/>
  <c r="J93" i="14"/>
  <c r="H93" i="14"/>
  <c r="F93" i="14"/>
  <c r="AB92" i="14"/>
  <c r="Z92" i="14"/>
  <c r="X92" i="14"/>
  <c r="V92" i="14"/>
  <c r="T92" i="14"/>
  <c r="R92" i="14"/>
  <c r="P92" i="14"/>
  <c r="N92" i="14"/>
  <c r="L92" i="14"/>
  <c r="J92" i="14"/>
  <c r="H92" i="14"/>
  <c r="F92" i="14"/>
  <c r="X91" i="14"/>
  <c r="V91" i="14"/>
  <c r="T91" i="14"/>
  <c r="R91" i="14"/>
  <c r="P91" i="14"/>
  <c r="N91" i="14"/>
  <c r="Z90" i="14"/>
  <c r="X90" i="14"/>
  <c r="V90" i="14"/>
  <c r="T90" i="14"/>
  <c r="R90" i="14"/>
  <c r="P90" i="14"/>
  <c r="N90" i="14"/>
  <c r="F85" i="14"/>
  <c r="F84" i="14"/>
  <c r="F94" i="14" s="1"/>
  <c r="AD83" i="14"/>
  <c r="AD82" i="14"/>
  <c r="AB81" i="14"/>
  <c r="AB91" i="14" s="1"/>
  <c r="Z81" i="14"/>
  <c r="Z91" i="14" s="1"/>
  <c r="L81" i="14"/>
  <c r="L91" i="14" s="1"/>
  <c r="J81" i="14"/>
  <c r="J91" i="14" s="1"/>
  <c r="H81" i="14"/>
  <c r="F81" i="14"/>
  <c r="F91" i="14" s="1"/>
  <c r="AB80" i="14"/>
  <c r="AB90" i="14" s="1"/>
  <c r="AD76" i="14"/>
  <c r="AD75" i="14"/>
  <c r="AD74" i="14"/>
  <c r="AD73" i="14"/>
  <c r="AD72" i="14"/>
  <c r="N52" i="14"/>
  <c r="L52" i="14"/>
  <c r="J52" i="14"/>
  <c r="H52" i="14"/>
  <c r="F52" i="14"/>
  <c r="AB51" i="14"/>
  <c r="Z51" i="14"/>
  <c r="X51" i="14"/>
  <c r="V51" i="14"/>
  <c r="T51" i="14"/>
  <c r="R51" i="14"/>
  <c r="P51" i="14"/>
  <c r="N51" i="14"/>
  <c r="L51" i="14"/>
  <c r="J51" i="14"/>
  <c r="H51" i="14"/>
  <c r="F51" i="14"/>
  <c r="AB50" i="14"/>
  <c r="Z50" i="14"/>
  <c r="X50" i="14"/>
  <c r="V50" i="14"/>
  <c r="T50" i="14"/>
  <c r="R50" i="14"/>
  <c r="P50" i="14"/>
  <c r="N50" i="14"/>
  <c r="H22" i="14"/>
  <c r="L55" i="14"/>
  <c r="J55" i="14"/>
  <c r="H55" i="14"/>
  <c r="F55" i="14"/>
  <c r="AD55" i="14" s="1"/>
  <c r="AB54" i="14"/>
  <c r="Z54" i="14"/>
  <c r="X54" i="14"/>
  <c r="V54" i="14"/>
  <c r="T54" i="14"/>
  <c r="R54" i="14"/>
  <c r="P54" i="14"/>
  <c r="N54" i="14"/>
  <c r="L54" i="14"/>
  <c r="J54" i="14"/>
  <c r="H54" i="14"/>
  <c r="F54" i="14"/>
  <c r="AB53" i="14"/>
  <c r="Z53" i="14"/>
  <c r="X53" i="14"/>
  <c r="V53" i="14"/>
  <c r="T53" i="14"/>
  <c r="R53" i="14"/>
  <c r="P53" i="14"/>
  <c r="N53" i="14"/>
  <c r="L53" i="14"/>
  <c r="J53" i="14"/>
  <c r="H53" i="14"/>
  <c r="F53" i="14"/>
  <c r="AB52" i="14"/>
  <c r="Z52" i="14"/>
  <c r="X52" i="14"/>
  <c r="V52" i="14"/>
  <c r="T52" i="14"/>
  <c r="R52" i="14"/>
  <c r="P52" i="14"/>
  <c r="CM5" i="12"/>
  <c r="CK5" i="12"/>
  <c r="CI5" i="12"/>
  <c r="CG5" i="12"/>
  <c r="CE5" i="12"/>
  <c r="AB60" i="13"/>
  <c r="V60" i="13"/>
  <c r="T60" i="13"/>
  <c r="R60" i="13"/>
  <c r="P60" i="13"/>
  <c r="N60" i="13"/>
  <c r="L60" i="13"/>
  <c r="J60" i="13"/>
  <c r="H60" i="13"/>
  <c r="F60" i="13"/>
  <c r="AB59" i="13"/>
  <c r="Z59" i="13"/>
  <c r="X59" i="13"/>
  <c r="L59" i="13"/>
  <c r="J59" i="13"/>
  <c r="H59" i="13"/>
  <c r="F59" i="13"/>
  <c r="AB58" i="13"/>
  <c r="H49" i="13"/>
  <c r="Z43" i="13"/>
  <c r="X43" i="13"/>
  <c r="V42" i="13"/>
  <c r="T42" i="13"/>
  <c r="N42" i="13"/>
  <c r="Z41" i="13"/>
  <c r="Z49" i="13" s="1"/>
  <c r="X41" i="13"/>
  <c r="V41" i="13"/>
  <c r="T41" i="13"/>
  <c r="T49" i="13" s="1"/>
  <c r="N41" i="13"/>
  <c r="X27" i="13"/>
  <c r="AD27" i="13" s="1"/>
  <c r="V26" i="13"/>
  <c r="V33" i="13" s="1"/>
  <c r="T26" i="13"/>
  <c r="T33" i="13" s="1"/>
  <c r="P26" i="13"/>
  <c r="X25" i="13"/>
  <c r="X33" i="13" s="1"/>
  <c r="N25" i="13"/>
  <c r="Z11" i="13"/>
  <c r="V10" i="13"/>
  <c r="T10" i="13"/>
  <c r="R10" i="13"/>
  <c r="AD10" i="13" s="1"/>
  <c r="Z9" i="13"/>
  <c r="V9" i="13"/>
  <c r="R9" i="13"/>
  <c r="P9" i="13"/>
  <c r="N9" i="13"/>
  <c r="L9" i="13"/>
  <c r="H9" i="13"/>
  <c r="F9" i="13"/>
  <c r="Z8" i="13"/>
  <c r="X8" i="13"/>
  <c r="V8" i="13"/>
  <c r="T8" i="13"/>
  <c r="R8" i="13"/>
  <c r="P8" i="13"/>
  <c r="N8" i="13"/>
  <c r="L8" i="13"/>
  <c r="AB7" i="13"/>
  <c r="Z7" i="13"/>
  <c r="AD4" i="13"/>
  <c r="CY15" i="12" l="1"/>
  <c r="DA76" i="12"/>
  <c r="CY9" i="12"/>
  <c r="DA54" i="12"/>
  <c r="DK80" i="12"/>
  <c r="DK14" i="12" s="1"/>
  <c r="DI14" i="12"/>
  <c r="DK60" i="12"/>
  <c r="DK8" i="12" s="1"/>
  <c r="DI8" i="12"/>
  <c r="DK64" i="12"/>
  <c r="DI9" i="12"/>
  <c r="DG12" i="12"/>
  <c r="F29" i="14"/>
  <c r="F38" i="14" s="1"/>
  <c r="F66" i="14" s="1"/>
  <c r="F24" i="14"/>
  <c r="F95" i="14"/>
  <c r="V90" i="13" s="1"/>
  <c r="V97" i="13" s="1"/>
  <c r="AD85" i="14"/>
  <c r="F91" i="13"/>
  <c r="F98" i="13" s="1"/>
  <c r="V49" i="13"/>
  <c r="AD7" i="13"/>
  <c r="X49" i="13"/>
  <c r="F133" i="14"/>
  <c r="F143" i="14" s="1"/>
  <c r="AB132" i="14"/>
  <c r="AB142" i="14" s="1"/>
  <c r="Z132" i="14"/>
  <c r="Z142" i="14" s="1"/>
  <c r="AB28" i="14"/>
  <c r="AB37" i="14" s="1"/>
  <c r="Z90" i="13"/>
  <c r="Z97" i="13" s="1"/>
  <c r="T90" i="13"/>
  <c r="T97" i="13" s="1"/>
  <c r="R90" i="13"/>
  <c r="R97" i="13" s="1"/>
  <c r="P90" i="13"/>
  <c r="P97" i="13" s="1"/>
  <c r="N90" i="13"/>
  <c r="N97" i="13" s="1"/>
  <c r="AB90" i="13"/>
  <c r="AB97" i="13" s="1"/>
  <c r="AD43" i="13"/>
  <c r="AD42" i="13"/>
  <c r="N49" i="13"/>
  <c r="AD49" i="13" s="1"/>
  <c r="AD41" i="13"/>
  <c r="AD26" i="13"/>
  <c r="AD25" i="13"/>
  <c r="N33" i="13"/>
  <c r="AD33" i="13" s="1"/>
  <c r="AD11" i="13"/>
  <c r="AD9" i="13"/>
  <c r="V57" i="13"/>
  <c r="R57" i="13"/>
  <c r="P57" i="13"/>
  <c r="L51" i="13"/>
  <c r="AD8" i="13"/>
  <c r="CI55" i="12"/>
  <c r="CI77" i="12"/>
  <c r="CK77" i="12" s="1"/>
  <c r="CM77" i="12" s="1"/>
  <c r="CO77" i="12" s="1"/>
  <c r="CQ77" i="12" s="1"/>
  <c r="CS77" i="12" s="1"/>
  <c r="CC5" i="12"/>
  <c r="CA5" i="12"/>
  <c r="BY5" i="12"/>
  <c r="BU5" i="12"/>
  <c r="BS5" i="12"/>
  <c r="BQ5" i="12"/>
  <c r="P58" i="13"/>
  <c r="Z57" i="13"/>
  <c r="F90" i="13"/>
  <c r="F97" i="13" s="1"/>
  <c r="X90" i="13"/>
  <c r="X97" i="13" s="1"/>
  <c r="Z28" i="14"/>
  <c r="Z37" i="14" s="1"/>
  <c r="Z65" i="14" s="1"/>
  <c r="X28" i="14"/>
  <c r="X37" i="14" s="1"/>
  <c r="X65" i="14" s="1"/>
  <c r="X132" i="14"/>
  <c r="X142" i="14" s="1"/>
  <c r="V132" i="14"/>
  <c r="V142" i="14" s="1"/>
  <c r="V28" i="14"/>
  <c r="V37" i="14" s="1"/>
  <c r="V65" i="14" s="1"/>
  <c r="T28" i="14"/>
  <c r="T37" i="14" s="1"/>
  <c r="T65" i="14" s="1"/>
  <c r="T154" i="14" s="1"/>
  <c r="H132" i="14"/>
  <c r="H142" i="14" s="1"/>
  <c r="R132" i="14"/>
  <c r="R142" i="14" s="1"/>
  <c r="N132" i="14"/>
  <c r="N142" i="14" s="1"/>
  <c r="P28" i="14"/>
  <c r="P37" i="14" s="1"/>
  <c r="P65" i="14" s="1"/>
  <c r="P132" i="14"/>
  <c r="P142" i="14" s="1"/>
  <c r="R28" i="14"/>
  <c r="R37" i="14" s="1"/>
  <c r="R65" i="14" s="1"/>
  <c r="N28" i="14"/>
  <c r="N37" i="14" s="1"/>
  <c r="N65" i="14" s="1"/>
  <c r="F29" i="2"/>
  <c r="AD84" i="14"/>
  <c r="AD81" i="14"/>
  <c r="R23" i="14"/>
  <c r="R32" i="14" s="1"/>
  <c r="R60" i="14" s="1"/>
  <c r="R149" i="14" s="1"/>
  <c r="F33" i="14"/>
  <c r="F61" i="14" s="1"/>
  <c r="P24" i="14"/>
  <c r="P33" i="14" s="1"/>
  <c r="P61" i="14" s="1"/>
  <c r="P150" i="14" s="1"/>
  <c r="Z24" i="14"/>
  <c r="Z33" i="14" s="1"/>
  <c r="Z61" i="14" s="1"/>
  <c r="N25" i="14"/>
  <c r="N34" i="14" s="1"/>
  <c r="N62" i="14" s="1"/>
  <c r="X25" i="14"/>
  <c r="X34" i="14" s="1"/>
  <c r="X62" i="14" s="1"/>
  <c r="J26" i="14"/>
  <c r="J35" i="14" s="1"/>
  <c r="J63" i="14" s="1"/>
  <c r="Z26" i="14"/>
  <c r="Z35" i="14" s="1"/>
  <c r="Z63" i="14" s="1"/>
  <c r="R27" i="14"/>
  <c r="R36" i="14" s="1"/>
  <c r="R64" i="14" s="1"/>
  <c r="J28" i="14"/>
  <c r="J37" i="14" s="1"/>
  <c r="J65" i="14" s="1"/>
  <c r="V23" i="14"/>
  <c r="V32" i="14" s="1"/>
  <c r="V60" i="14" s="1"/>
  <c r="V149" i="14" s="1"/>
  <c r="H24" i="14"/>
  <c r="H33" i="14" s="1"/>
  <c r="H61" i="14" s="1"/>
  <c r="R24" i="14"/>
  <c r="R33" i="14" s="1"/>
  <c r="R61" i="14" s="1"/>
  <c r="R150" i="14" s="1"/>
  <c r="F25" i="14"/>
  <c r="P25" i="14"/>
  <c r="P34" i="14" s="1"/>
  <c r="P62" i="14" s="1"/>
  <c r="Z25" i="14"/>
  <c r="Z34" i="14" s="1"/>
  <c r="Z62" i="14" s="1"/>
  <c r="P26" i="14"/>
  <c r="P35" i="14" s="1"/>
  <c r="P63" i="14" s="1"/>
  <c r="H27" i="14"/>
  <c r="H36" i="14" s="1"/>
  <c r="H64" i="14" s="1"/>
  <c r="X27" i="14"/>
  <c r="X36" i="14" s="1"/>
  <c r="X64" i="14" s="1"/>
  <c r="V88" i="13"/>
  <c r="V95" i="13" s="1"/>
  <c r="H90" i="13"/>
  <c r="H97" i="13" s="1"/>
  <c r="AB129" i="14"/>
  <c r="AB139" i="14" s="1"/>
  <c r="T131" i="14"/>
  <c r="T141" i="14" s="1"/>
  <c r="N129" i="14"/>
  <c r="N139" i="14" s="1"/>
  <c r="F131" i="14"/>
  <c r="F141" i="14" s="1"/>
  <c r="J132" i="14"/>
  <c r="J142" i="14" s="1"/>
  <c r="N23" i="14"/>
  <c r="N32" i="14" s="1"/>
  <c r="N60" i="14" s="1"/>
  <c r="X23" i="14"/>
  <c r="X32" i="14" s="1"/>
  <c r="X60" i="14" s="1"/>
  <c r="X149" i="14" s="1"/>
  <c r="J24" i="14"/>
  <c r="J33" i="14" s="1"/>
  <c r="J61" i="14" s="1"/>
  <c r="J150" i="14" s="1"/>
  <c r="V24" i="14"/>
  <c r="V33" i="14" s="1"/>
  <c r="V61" i="14" s="1"/>
  <c r="V150" i="14" s="1"/>
  <c r="H25" i="14"/>
  <c r="H34" i="14" s="1"/>
  <c r="H62" i="14" s="1"/>
  <c r="R25" i="14"/>
  <c r="R34" i="14" s="1"/>
  <c r="R62" i="14" s="1"/>
  <c r="F26" i="14"/>
  <c r="F35" i="14" s="1"/>
  <c r="F63" i="14" s="1"/>
  <c r="R26" i="14"/>
  <c r="R35" i="14" s="1"/>
  <c r="R63" i="14" s="1"/>
  <c r="J27" i="14"/>
  <c r="J36" i="14" s="1"/>
  <c r="J64" i="14" s="1"/>
  <c r="Z27" i="14"/>
  <c r="Z36" i="14" s="1"/>
  <c r="Z64" i="14" s="1"/>
  <c r="J90" i="13"/>
  <c r="J97" i="13" s="1"/>
  <c r="P130" i="14"/>
  <c r="P140" i="14" s="1"/>
  <c r="V131" i="14"/>
  <c r="V141" i="14" s="1"/>
  <c r="P23" i="14"/>
  <c r="P32" i="14" s="1"/>
  <c r="P60" i="14" s="1"/>
  <c r="P149" i="14" s="1"/>
  <c r="Z23" i="14"/>
  <c r="Z32" i="14" s="1"/>
  <c r="Z60" i="14" s="1"/>
  <c r="Z149" i="14" s="1"/>
  <c r="N24" i="14"/>
  <c r="N33" i="14" s="1"/>
  <c r="N61" i="14" s="1"/>
  <c r="N150" i="14" s="1"/>
  <c r="X24" i="14"/>
  <c r="X33" i="14" s="1"/>
  <c r="X61" i="14" s="1"/>
  <c r="X150" i="14" s="1"/>
  <c r="J25" i="14"/>
  <c r="J34" i="14" s="1"/>
  <c r="J62" i="14" s="1"/>
  <c r="V25" i="14"/>
  <c r="V34" i="14" s="1"/>
  <c r="V62" i="14" s="1"/>
  <c r="H26" i="14"/>
  <c r="H35" i="14" s="1"/>
  <c r="H63" i="14" s="1"/>
  <c r="X26" i="14"/>
  <c r="X35" i="14" s="1"/>
  <c r="X63" i="14" s="1"/>
  <c r="P27" i="14"/>
  <c r="P36" i="14" s="1"/>
  <c r="P64" i="14" s="1"/>
  <c r="H28" i="14"/>
  <c r="H37" i="14" s="1"/>
  <c r="H65" i="14" s="1"/>
  <c r="AB89" i="13"/>
  <c r="AB96" i="13" s="1"/>
  <c r="Z89" i="13"/>
  <c r="Z96" i="13" s="1"/>
  <c r="L90" i="13"/>
  <c r="L97" i="13" s="1"/>
  <c r="L129" i="14"/>
  <c r="L139" i="14" s="1"/>
  <c r="R130" i="14"/>
  <c r="R140" i="14" s="1"/>
  <c r="T87" i="13"/>
  <c r="T94" i="13" s="1"/>
  <c r="X58" i="13"/>
  <c r="X57" i="13"/>
  <c r="R59" i="13"/>
  <c r="P88" i="13"/>
  <c r="P95" i="13" s="1"/>
  <c r="X89" i="13"/>
  <c r="X96" i="13" s="1"/>
  <c r="V58" i="13"/>
  <c r="J87" i="13"/>
  <c r="J94" i="13" s="1"/>
  <c r="H87" i="13"/>
  <c r="H94" i="13" s="1"/>
  <c r="L87" i="13"/>
  <c r="L94" i="13" s="1"/>
  <c r="X87" i="13"/>
  <c r="X94" i="13" s="1"/>
  <c r="T88" i="13"/>
  <c r="T95" i="13" s="1"/>
  <c r="V87" i="13"/>
  <c r="V94" i="13" s="1"/>
  <c r="R88" i="13"/>
  <c r="R95" i="13" s="1"/>
  <c r="H58" i="13"/>
  <c r="P59" i="13"/>
  <c r="L58" i="13"/>
  <c r="R87" i="13"/>
  <c r="R94" i="13" s="1"/>
  <c r="P87" i="13"/>
  <c r="P94" i="13" s="1"/>
  <c r="N87" i="13"/>
  <c r="N94" i="13" s="1"/>
  <c r="J88" i="13"/>
  <c r="J95" i="13" s="1"/>
  <c r="Z87" i="13"/>
  <c r="Z94" i="13" s="1"/>
  <c r="F88" i="13"/>
  <c r="F95" i="13" s="1"/>
  <c r="L88" i="13"/>
  <c r="L95" i="13" s="1"/>
  <c r="H88" i="13"/>
  <c r="H95" i="13" s="1"/>
  <c r="N88" i="13"/>
  <c r="N95" i="13" s="1"/>
  <c r="AB87" i="13"/>
  <c r="AB94" i="13" s="1"/>
  <c r="T89" i="13"/>
  <c r="T96" i="13" s="1"/>
  <c r="R89" i="13"/>
  <c r="R96" i="13" s="1"/>
  <c r="J89" i="13"/>
  <c r="J96" i="13" s="1"/>
  <c r="Z88" i="13"/>
  <c r="Z95" i="13" s="1"/>
  <c r="AB88" i="13"/>
  <c r="AB95" i="13" s="1"/>
  <c r="P89" i="13"/>
  <c r="P96" i="13" s="1"/>
  <c r="H89" i="13"/>
  <c r="H96" i="13" s="1"/>
  <c r="X88" i="13"/>
  <c r="X95" i="13" s="1"/>
  <c r="L89" i="13"/>
  <c r="L96" i="13" s="1"/>
  <c r="V89" i="13"/>
  <c r="V96" i="13" s="1"/>
  <c r="N89" i="13"/>
  <c r="N96" i="13" s="1"/>
  <c r="F89" i="13"/>
  <c r="F96" i="13" s="1"/>
  <c r="AD54" i="14"/>
  <c r="AD50" i="14"/>
  <c r="H91" i="14"/>
  <c r="F87" i="13" s="1"/>
  <c r="F94" i="13" s="1"/>
  <c r="AD53" i="14"/>
  <c r="F132" i="14"/>
  <c r="Z131" i="14"/>
  <c r="Z141" i="14" s="1"/>
  <c r="R131" i="14"/>
  <c r="R141" i="14" s="1"/>
  <c r="J131" i="14"/>
  <c r="J141" i="14" s="1"/>
  <c r="V130" i="14"/>
  <c r="V140" i="14" s="1"/>
  <c r="N130" i="14"/>
  <c r="N140" i="14" s="1"/>
  <c r="F130" i="14"/>
  <c r="Z129" i="14"/>
  <c r="Z139" i="14" s="1"/>
  <c r="R129" i="14"/>
  <c r="R139" i="14" s="1"/>
  <c r="J129" i="14"/>
  <c r="J139" i="14" s="1"/>
  <c r="L132" i="14"/>
  <c r="L142" i="14" s="1"/>
  <c r="X131" i="14"/>
  <c r="X141" i="14" s="1"/>
  <c r="P131" i="14"/>
  <c r="P141" i="14" s="1"/>
  <c r="H131" i="14"/>
  <c r="H141" i="14" s="1"/>
  <c r="AB130" i="14"/>
  <c r="AB140" i="14" s="1"/>
  <c r="T130" i="14"/>
  <c r="T140" i="14" s="1"/>
  <c r="L130" i="14"/>
  <c r="L140" i="14" s="1"/>
  <c r="X129" i="14"/>
  <c r="X139" i="14" s="1"/>
  <c r="P129" i="14"/>
  <c r="P139" i="14" s="1"/>
  <c r="H129" i="14"/>
  <c r="H139" i="14" s="1"/>
  <c r="T23" i="14"/>
  <c r="T32" i="14" s="1"/>
  <c r="T60" i="14" s="1"/>
  <c r="T149" i="14" s="1"/>
  <c r="AB23" i="14"/>
  <c r="AB32" i="14" s="1"/>
  <c r="AB60" i="14" s="1"/>
  <c r="AB149" i="14" s="1"/>
  <c r="L24" i="14"/>
  <c r="L33" i="14" s="1"/>
  <c r="T24" i="14"/>
  <c r="T33" i="14" s="1"/>
  <c r="T61" i="14" s="1"/>
  <c r="T150" i="14" s="1"/>
  <c r="AB24" i="14"/>
  <c r="AB33" i="14" s="1"/>
  <c r="AB61" i="14" s="1"/>
  <c r="AB150" i="14" s="1"/>
  <c r="L25" i="14"/>
  <c r="L34" i="14" s="1"/>
  <c r="L62" i="14" s="1"/>
  <c r="T25" i="14"/>
  <c r="T34" i="14" s="1"/>
  <c r="T62" i="14" s="1"/>
  <c r="AB25" i="14"/>
  <c r="AB34" i="14" s="1"/>
  <c r="AB62" i="14" s="1"/>
  <c r="L26" i="14"/>
  <c r="L35" i="14" s="1"/>
  <c r="L63" i="14" s="1"/>
  <c r="T26" i="14"/>
  <c r="T35" i="14" s="1"/>
  <c r="T63" i="14" s="1"/>
  <c r="AB26" i="14"/>
  <c r="AB35" i="14" s="1"/>
  <c r="AB63" i="14" s="1"/>
  <c r="L27" i="14"/>
  <c r="L36" i="14" s="1"/>
  <c r="L64" i="14" s="1"/>
  <c r="T27" i="14"/>
  <c r="T36" i="14" s="1"/>
  <c r="T64" i="14" s="1"/>
  <c r="R82" i="13" s="1"/>
  <c r="AB27" i="14"/>
  <c r="AB36" i="14" s="1"/>
  <c r="AB64" i="14" s="1"/>
  <c r="L28" i="14"/>
  <c r="L37" i="14" s="1"/>
  <c r="L65" i="14" s="1"/>
  <c r="AD52" i="14"/>
  <c r="AD80" i="14"/>
  <c r="T129" i="14"/>
  <c r="T139" i="14" s="1"/>
  <c r="H130" i="14"/>
  <c r="H140" i="14" s="1"/>
  <c r="X130" i="14"/>
  <c r="X140" i="14" s="1"/>
  <c r="L131" i="14"/>
  <c r="L141" i="14" s="1"/>
  <c r="AB131" i="14"/>
  <c r="AB141" i="14" s="1"/>
  <c r="N26" i="14"/>
  <c r="N35" i="14" s="1"/>
  <c r="N63" i="14" s="1"/>
  <c r="V26" i="14"/>
  <c r="V35" i="14" s="1"/>
  <c r="V63" i="14" s="1"/>
  <c r="F27" i="14"/>
  <c r="F36" i="14" s="1"/>
  <c r="F64" i="14" s="1"/>
  <c r="AD64" i="14" s="1"/>
  <c r="N27" i="14"/>
  <c r="N36" i="14" s="1"/>
  <c r="N64" i="14" s="1"/>
  <c r="V27" i="14"/>
  <c r="V36" i="14" s="1"/>
  <c r="V64" i="14" s="1"/>
  <c r="F28" i="14"/>
  <c r="F37" i="14" s="1"/>
  <c r="F65" i="14" s="1"/>
  <c r="F129" i="14"/>
  <c r="V129" i="14"/>
  <c r="V139" i="14" s="1"/>
  <c r="J130" i="14"/>
  <c r="J140" i="14" s="1"/>
  <c r="Z130" i="14"/>
  <c r="Z140" i="14" s="1"/>
  <c r="N131" i="14"/>
  <c r="N141" i="14" s="1"/>
  <c r="AD51" i="14"/>
  <c r="J58" i="13"/>
  <c r="R58" i="13"/>
  <c r="T57" i="13"/>
  <c r="N59" i="13"/>
  <c r="AB57" i="13"/>
  <c r="F58" i="13"/>
  <c r="Z58" i="13"/>
  <c r="H51" i="13"/>
  <c r="T59" i="13"/>
  <c r="N58" i="13"/>
  <c r="Z60" i="13"/>
  <c r="V59" i="13"/>
  <c r="T58" i="13"/>
  <c r="X60" i="13"/>
  <c r="T81" i="13" l="1"/>
  <c r="AD63" i="14"/>
  <c r="AD141" i="14"/>
  <c r="N149" i="14"/>
  <c r="F102" i="13" s="1"/>
  <c r="AD60" i="14"/>
  <c r="F145" i="14"/>
  <c r="E34" i="2" s="1"/>
  <c r="F34" i="2" s="1"/>
  <c r="F150" i="14"/>
  <c r="DC76" i="12"/>
  <c r="DA14" i="12"/>
  <c r="DC54" i="12"/>
  <c r="DA8" i="12"/>
  <c r="DA12" i="12" s="1"/>
  <c r="DM64" i="12"/>
  <c r="DO64" i="12" s="1"/>
  <c r="DQ64" i="12" s="1"/>
  <c r="DK9" i="12"/>
  <c r="X82" i="13"/>
  <c r="L81" i="13"/>
  <c r="H82" i="13"/>
  <c r="V82" i="13"/>
  <c r="F142" i="14"/>
  <c r="AD132" i="14"/>
  <c r="P81" i="13"/>
  <c r="J82" i="13"/>
  <c r="N81" i="13"/>
  <c r="P82" i="13"/>
  <c r="Z81" i="13"/>
  <c r="X81" i="13"/>
  <c r="F82" i="13"/>
  <c r="R81" i="13"/>
  <c r="V81" i="13"/>
  <c r="H81" i="13"/>
  <c r="T82" i="13"/>
  <c r="N82" i="13"/>
  <c r="L82" i="13"/>
  <c r="AB81" i="13"/>
  <c r="J81" i="13"/>
  <c r="F81" i="13"/>
  <c r="F34" i="14"/>
  <c r="F62" i="14" s="1"/>
  <c r="V154" i="14"/>
  <c r="Z154" i="14"/>
  <c r="Z82" i="13"/>
  <c r="F155" i="14"/>
  <c r="AB65" i="14"/>
  <c r="AB82" i="13" s="1"/>
  <c r="AD59" i="13"/>
  <c r="AD17" i="13"/>
  <c r="AD60" i="13"/>
  <c r="CK55" i="12"/>
  <c r="CI1" i="12"/>
  <c r="FG5" i="12"/>
  <c r="EI5" i="12"/>
  <c r="BW5" i="12"/>
  <c r="FC5" i="12"/>
  <c r="EE5" i="12"/>
  <c r="X154" i="14"/>
  <c r="H154" i="14"/>
  <c r="L54" i="13"/>
  <c r="DK5" i="12"/>
  <c r="H52" i="13"/>
  <c r="DG5" i="12"/>
  <c r="DG58" i="12" s="1"/>
  <c r="P154" i="14"/>
  <c r="P152" i="14"/>
  <c r="N154" i="14"/>
  <c r="L151" i="14"/>
  <c r="T153" i="14"/>
  <c r="R154" i="14"/>
  <c r="X152" i="14"/>
  <c r="F153" i="14"/>
  <c r="P151" i="14"/>
  <c r="J154" i="14"/>
  <c r="F80" i="13"/>
  <c r="R153" i="14"/>
  <c r="R151" i="14"/>
  <c r="R152" i="14"/>
  <c r="X80" i="13"/>
  <c r="R80" i="13"/>
  <c r="AB80" i="13"/>
  <c r="AB151" i="14"/>
  <c r="Z150" i="14"/>
  <c r="N80" i="13"/>
  <c r="T80" i="13"/>
  <c r="J80" i="13"/>
  <c r="P80" i="13"/>
  <c r="V153" i="14"/>
  <c r="X151" i="14"/>
  <c r="J151" i="14"/>
  <c r="V80" i="13"/>
  <c r="H80" i="13"/>
  <c r="AD131" i="14"/>
  <c r="L80" i="13"/>
  <c r="N151" i="14"/>
  <c r="Z151" i="14"/>
  <c r="Z80" i="13"/>
  <c r="L53" i="13"/>
  <c r="L52" i="13"/>
  <c r="V51" i="13"/>
  <c r="FQ5" i="12" s="1"/>
  <c r="X51" i="13"/>
  <c r="FS5" i="12" s="1"/>
  <c r="AD58" i="13"/>
  <c r="V151" i="14"/>
  <c r="T152" i="14"/>
  <c r="J153" i="14"/>
  <c r="AD33" i="14"/>
  <c r="H150" i="14"/>
  <c r="AB153" i="14"/>
  <c r="H151" i="14"/>
  <c r="X153" i="14"/>
  <c r="N153" i="14"/>
  <c r="L153" i="14"/>
  <c r="L154" i="14"/>
  <c r="F140" i="14"/>
  <c r="AD140" i="14" s="1"/>
  <c r="AD130" i="14"/>
  <c r="Z152" i="14"/>
  <c r="H153" i="14"/>
  <c r="N152" i="14"/>
  <c r="Z153" i="14"/>
  <c r="AD35" i="14"/>
  <c r="L61" i="14"/>
  <c r="AD32" i="14"/>
  <c r="T151" i="14"/>
  <c r="F139" i="14"/>
  <c r="AD139" i="14" s="1"/>
  <c r="AD129" i="14"/>
  <c r="AB152" i="14"/>
  <c r="J152" i="14"/>
  <c r="AD36" i="14"/>
  <c r="AD149" i="14"/>
  <c r="AE80" i="14" s="1"/>
  <c r="H152" i="14"/>
  <c r="L152" i="14"/>
  <c r="J72" i="13" s="1"/>
  <c r="P153" i="14"/>
  <c r="V152" i="14"/>
  <c r="T72" i="13" s="1"/>
  <c r="T51" i="13"/>
  <c r="FO5" i="12" s="1"/>
  <c r="AB51" i="13"/>
  <c r="J51" i="13"/>
  <c r="R51" i="13"/>
  <c r="Z51" i="13"/>
  <c r="C40" i="2"/>
  <c r="J23" i="1" s="1"/>
  <c r="H54" i="13"/>
  <c r="H53" i="13"/>
  <c r="N51" i="13"/>
  <c r="E14" i="7"/>
  <c r="J30" i="8"/>
  <c r="J32" i="8" s="1"/>
  <c r="J19" i="8"/>
  <c r="J21" i="8" s="1"/>
  <c r="E12" i="7"/>
  <c r="AD34" i="14" l="1"/>
  <c r="X79" i="13"/>
  <c r="AD62" i="14"/>
  <c r="V79" i="13"/>
  <c r="R79" i="13"/>
  <c r="F79" i="13"/>
  <c r="V72" i="13"/>
  <c r="F154" i="14"/>
  <c r="N73" i="13" s="1"/>
  <c r="AD142" i="14"/>
  <c r="AD61" i="14"/>
  <c r="H72" i="13"/>
  <c r="X72" i="13"/>
  <c r="R72" i="13"/>
  <c r="P72" i="13"/>
  <c r="N72" i="13"/>
  <c r="F72" i="13"/>
  <c r="Z72" i="13"/>
  <c r="T73" i="13"/>
  <c r="F68" i="14"/>
  <c r="E26" i="2" s="1"/>
  <c r="L72" i="13"/>
  <c r="V73" i="13"/>
  <c r="AB72" i="13"/>
  <c r="AD65" i="14"/>
  <c r="DE54" i="12"/>
  <c r="DE8" i="12" s="1"/>
  <c r="DE12" i="12" s="1"/>
  <c r="DC8" i="12"/>
  <c r="DC12" i="12" s="1"/>
  <c r="DE76" i="12"/>
  <c r="DE14" i="12" s="1"/>
  <c r="DC14" i="12"/>
  <c r="Z157" i="14"/>
  <c r="Z66" i="13" s="1"/>
  <c r="Z67" i="13" s="1"/>
  <c r="P79" i="13"/>
  <c r="P157" i="14"/>
  <c r="P66" i="13" s="1"/>
  <c r="P67" i="13" s="1"/>
  <c r="Z79" i="13"/>
  <c r="L79" i="13"/>
  <c r="N79" i="13"/>
  <c r="T79" i="13"/>
  <c r="AB79" i="13"/>
  <c r="F83" i="13"/>
  <c r="G13" i="3"/>
  <c r="G15" i="3" s="1"/>
  <c r="I13" i="3"/>
  <c r="AB154" i="14"/>
  <c r="F157" i="14" s="1"/>
  <c r="J105" i="13"/>
  <c r="J112" i="13" s="1"/>
  <c r="T105" i="13"/>
  <c r="T112" i="13" s="1"/>
  <c r="N105" i="13"/>
  <c r="N112" i="13" s="1"/>
  <c r="V105" i="13"/>
  <c r="V112" i="13" s="1"/>
  <c r="AB105" i="13"/>
  <c r="AB112" i="13" s="1"/>
  <c r="P105" i="13"/>
  <c r="P112" i="13" s="1"/>
  <c r="X105" i="13"/>
  <c r="X112" i="13" s="1"/>
  <c r="L105" i="13"/>
  <c r="L112" i="13" s="1"/>
  <c r="Z105" i="13"/>
  <c r="Z112" i="13" s="1"/>
  <c r="R105" i="13"/>
  <c r="R112" i="13" s="1"/>
  <c r="H105" i="13"/>
  <c r="H112" i="13" s="1"/>
  <c r="F105" i="13"/>
  <c r="F112" i="13" s="1"/>
  <c r="H102" i="13"/>
  <c r="H109" i="13" s="1"/>
  <c r="J102" i="13"/>
  <c r="J109" i="13" s="1"/>
  <c r="CK1" i="12"/>
  <c r="CM55" i="12"/>
  <c r="ES5" i="12"/>
  <c r="DU5" i="12"/>
  <c r="EU5" i="12"/>
  <c r="DW5" i="12"/>
  <c r="EQ5" i="12"/>
  <c r="DS5" i="12"/>
  <c r="FK5" i="12"/>
  <c r="EM5" i="12"/>
  <c r="EY5" i="12"/>
  <c r="EA5" i="12"/>
  <c r="DI5" i="12"/>
  <c r="FE5" i="12"/>
  <c r="EG5" i="12"/>
  <c r="FM5" i="12"/>
  <c r="EO5" i="12"/>
  <c r="EW5" i="12"/>
  <c r="DY5" i="12"/>
  <c r="FA5" i="12"/>
  <c r="EC5" i="12"/>
  <c r="FI5" i="12"/>
  <c r="EK5" i="12"/>
  <c r="Z54" i="13"/>
  <c r="DA69" i="12"/>
  <c r="DC69" i="12" s="1"/>
  <c r="X52" i="13"/>
  <c r="V52" i="13"/>
  <c r="T52" i="13"/>
  <c r="R53" i="13"/>
  <c r="DQ5" i="12"/>
  <c r="P54" i="13"/>
  <c r="DO5" i="12"/>
  <c r="N52" i="13"/>
  <c r="DM5" i="12"/>
  <c r="F52" i="13"/>
  <c r="G40" i="8"/>
  <c r="J41" i="8" s="1"/>
  <c r="F26" i="2"/>
  <c r="E37" i="2"/>
  <c r="F37" i="2" s="1"/>
  <c r="F152" i="14"/>
  <c r="AB71" i="13" s="1"/>
  <c r="L150" i="14"/>
  <c r="J79" i="13"/>
  <c r="F151" i="14"/>
  <c r="F109" i="13"/>
  <c r="H79" i="13"/>
  <c r="V53" i="13"/>
  <c r="R52" i="13"/>
  <c r="X54" i="13"/>
  <c r="X53" i="13"/>
  <c r="V54" i="13"/>
  <c r="R54" i="13"/>
  <c r="N53" i="13"/>
  <c r="AE32" i="14"/>
  <c r="AD153" i="14"/>
  <c r="AE127" i="14"/>
  <c r="AE72" i="14"/>
  <c r="AE102" i="14"/>
  <c r="AE109" i="14"/>
  <c r="AE50" i="14"/>
  <c r="Z53" i="13"/>
  <c r="J54" i="13"/>
  <c r="J53" i="13"/>
  <c r="AB53" i="13"/>
  <c r="AB54" i="13"/>
  <c r="AD51" i="13"/>
  <c r="AD52" i="13" s="1"/>
  <c r="F54" i="13"/>
  <c r="F53" i="13"/>
  <c r="AB52" i="13"/>
  <c r="Z52" i="13"/>
  <c r="J52" i="13"/>
  <c r="N54" i="13"/>
  <c r="T53" i="13"/>
  <c r="T54" i="13"/>
  <c r="J28" i="1"/>
  <c r="J32" i="1" s="1"/>
  <c r="J11" i="1" s="1"/>
  <c r="G43" i="2"/>
  <c r="R157" i="14" l="1"/>
  <c r="R66" i="13" s="1"/>
  <c r="R67" i="13" s="1"/>
  <c r="V157" i="14"/>
  <c r="V66" i="13" s="1"/>
  <c r="V67" i="13" s="1"/>
  <c r="T157" i="14"/>
  <c r="T66" i="13" s="1"/>
  <c r="T67" i="13" s="1"/>
  <c r="X73" i="13"/>
  <c r="F106" i="13"/>
  <c r="F113" i="13" s="1"/>
  <c r="X157" i="14"/>
  <c r="X66" i="13" s="1"/>
  <c r="X67" i="13" s="1"/>
  <c r="L157" i="14"/>
  <c r="L66" i="13" s="1"/>
  <c r="L67" i="13" s="1"/>
  <c r="J157" i="14"/>
  <c r="J66" i="13" s="1"/>
  <c r="J67" i="13" s="1"/>
  <c r="H157" i="14"/>
  <c r="H66" i="13" s="1"/>
  <c r="H67" i="13" s="1"/>
  <c r="P73" i="13"/>
  <c r="R73" i="13"/>
  <c r="Z73" i="13"/>
  <c r="AB70" i="13"/>
  <c r="Z70" i="13"/>
  <c r="J70" i="13"/>
  <c r="H70" i="13"/>
  <c r="L70" i="13"/>
  <c r="J71" i="13"/>
  <c r="T70" i="13"/>
  <c r="L73" i="13"/>
  <c r="V70" i="13"/>
  <c r="V71" i="13"/>
  <c r="J73" i="13"/>
  <c r="X70" i="13"/>
  <c r="F73" i="13"/>
  <c r="P70" i="13"/>
  <c r="L71" i="13"/>
  <c r="X71" i="13"/>
  <c r="H71" i="13"/>
  <c r="F74" i="13"/>
  <c r="R70" i="13"/>
  <c r="N71" i="13"/>
  <c r="T71" i="13"/>
  <c r="R71" i="13"/>
  <c r="AB73" i="13"/>
  <c r="AD154" i="14"/>
  <c r="AE62" i="13" s="1"/>
  <c r="AF62" i="13" s="1"/>
  <c r="H73" i="13"/>
  <c r="N157" i="14"/>
  <c r="N66" i="13" s="1"/>
  <c r="N67" i="13" s="1"/>
  <c r="N70" i="13"/>
  <c r="P71" i="13"/>
  <c r="F70" i="13"/>
  <c r="Z71" i="13"/>
  <c r="F71" i="13"/>
  <c r="AE61" i="13"/>
  <c r="AF61" i="13" s="1"/>
  <c r="AE114" i="14"/>
  <c r="AE55" i="14"/>
  <c r="AE85" i="14"/>
  <c r="AE132" i="14"/>
  <c r="AB157" i="14"/>
  <c r="AB66" i="13" s="1"/>
  <c r="AB67" i="13" s="1"/>
  <c r="G16" i="3"/>
  <c r="G18" i="3" s="1"/>
  <c r="G20" i="3" s="1"/>
  <c r="H13" i="3"/>
  <c r="H15" i="3" s="1"/>
  <c r="H16" i="3" s="1"/>
  <c r="H18" i="3" s="1"/>
  <c r="H20" i="3" s="1"/>
  <c r="F66" i="13"/>
  <c r="F67" i="13" s="1"/>
  <c r="AD152" i="14"/>
  <c r="Z104" i="13"/>
  <c r="Z111" i="13" s="1"/>
  <c r="AB104" i="13"/>
  <c r="AB111" i="13" s="1"/>
  <c r="J104" i="13"/>
  <c r="J111" i="13" s="1"/>
  <c r="V104" i="13"/>
  <c r="V111" i="13" s="1"/>
  <c r="H104" i="13"/>
  <c r="H111" i="13" s="1"/>
  <c r="L104" i="13"/>
  <c r="L111" i="13" s="1"/>
  <c r="X104" i="13"/>
  <c r="X111" i="13" s="1"/>
  <c r="T104" i="13"/>
  <c r="T111" i="13" s="1"/>
  <c r="F104" i="13"/>
  <c r="F111" i="13" s="1"/>
  <c r="R104" i="13"/>
  <c r="R111" i="13" s="1"/>
  <c r="N104" i="13"/>
  <c r="N111" i="13" s="1"/>
  <c r="P104" i="13"/>
  <c r="P111" i="13" s="1"/>
  <c r="J103" i="13"/>
  <c r="J110" i="13" s="1"/>
  <c r="L102" i="13"/>
  <c r="L109" i="13" s="1"/>
  <c r="P102" i="13"/>
  <c r="P109" i="13" s="1"/>
  <c r="R102" i="13"/>
  <c r="R109" i="13" s="1"/>
  <c r="V102" i="13"/>
  <c r="V109" i="13" s="1"/>
  <c r="N102" i="13"/>
  <c r="N109" i="13" s="1"/>
  <c r="T102" i="13"/>
  <c r="T109" i="13" s="1"/>
  <c r="Z102" i="13"/>
  <c r="Z109" i="13" s="1"/>
  <c r="F103" i="13"/>
  <c r="F110" i="13" s="1"/>
  <c r="AB102" i="13"/>
  <c r="AB109" i="13" s="1"/>
  <c r="X102" i="13"/>
  <c r="X109" i="13" s="1"/>
  <c r="H103" i="13"/>
  <c r="H110" i="13" s="1"/>
  <c r="R103" i="13"/>
  <c r="R110" i="13" s="1"/>
  <c r="X103" i="13"/>
  <c r="X110" i="13" s="1"/>
  <c r="V103" i="13"/>
  <c r="V110" i="13" s="1"/>
  <c r="Z103" i="13"/>
  <c r="Z110" i="13" s="1"/>
  <c r="AB103" i="13"/>
  <c r="AB110" i="13" s="1"/>
  <c r="P103" i="13"/>
  <c r="P110" i="13" s="1"/>
  <c r="T103" i="13"/>
  <c r="T110" i="13" s="1"/>
  <c r="L103" i="13"/>
  <c r="L110" i="13" s="1"/>
  <c r="N103" i="13"/>
  <c r="N110" i="13" s="1"/>
  <c r="CO55" i="12"/>
  <c r="CQ55" i="12" s="1"/>
  <c r="CS55" i="12" s="1"/>
  <c r="CU55" i="12" s="1"/>
  <c r="CM1" i="12"/>
  <c r="I15" i="3"/>
  <c r="I16" i="3" s="1"/>
  <c r="I18" i="3" s="1"/>
  <c r="I20" i="3" s="1"/>
  <c r="CU89" i="12"/>
  <c r="CW89" i="12" s="1"/>
  <c r="CY89" i="12" s="1"/>
  <c r="CU61" i="12"/>
  <c r="CW61" i="12" s="1"/>
  <c r="CY61" i="12" s="1"/>
  <c r="DA61" i="12" s="1"/>
  <c r="DC61" i="12" s="1"/>
  <c r="DE61" i="12" s="1"/>
  <c r="CU77" i="12"/>
  <c r="CW77" i="12" s="1"/>
  <c r="CY77" i="12" s="1"/>
  <c r="DA77" i="12" s="1"/>
  <c r="DC77" i="12" s="1"/>
  <c r="DE77" i="12" s="1"/>
  <c r="CU81" i="12"/>
  <c r="CW81" i="12" s="1"/>
  <c r="CY81" i="12" s="1"/>
  <c r="DA81" i="12" s="1"/>
  <c r="DC81" i="12" s="1"/>
  <c r="DE81" i="12" s="1"/>
  <c r="DG81" i="12" s="1"/>
  <c r="DI81" i="12" s="1"/>
  <c r="DK81" i="12" s="1"/>
  <c r="CU65" i="12"/>
  <c r="CW65" i="12" s="1"/>
  <c r="CY65" i="12" s="1"/>
  <c r="DA65" i="12" s="1"/>
  <c r="DC65" i="12" s="1"/>
  <c r="DE65" i="12" s="1"/>
  <c r="DG65" i="12" s="1"/>
  <c r="DI65" i="12" s="1"/>
  <c r="DK65" i="12" s="1"/>
  <c r="DM65" i="12" s="1"/>
  <c r="DO65" i="12" s="1"/>
  <c r="DQ65" i="12" s="1"/>
  <c r="DE69" i="12"/>
  <c r="DG69" i="12" s="1"/>
  <c r="DI69" i="12" s="1"/>
  <c r="DK69" i="12" s="1"/>
  <c r="DM69" i="12" s="1"/>
  <c r="DO69" i="12" s="1"/>
  <c r="DQ69" i="12" s="1"/>
  <c r="DS69" i="12" s="1"/>
  <c r="DU69" i="12" s="1"/>
  <c r="DW69" i="12" s="1"/>
  <c r="CO85" i="12"/>
  <c r="AD150" i="14"/>
  <c r="AE58" i="13" s="1"/>
  <c r="AF58" i="13" s="1"/>
  <c r="AD151" i="14"/>
  <c r="AE84" i="14"/>
  <c r="AE106" i="14"/>
  <c r="AE113" i="14"/>
  <c r="AE131" i="14"/>
  <c r="AE54" i="14"/>
  <c r="AE36" i="14"/>
  <c r="AD54" i="13"/>
  <c r="AD53" i="13"/>
  <c r="DG61" i="12" l="1"/>
  <c r="DI61" i="12" s="1"/>
  <c r="DK61" i="12" s="1"/>
  <c r="DM81" i="12" s="1"/>
  <c r="L13" i="3"/>
  <c r="L27" i="3" s="1"/>
  <c r="I23" i="3"/>
  <c r="F39" i="2"/>
  <c r="G46" i="2" s="1"/>
  <c r="AE60" i="13"/>
  <c r="AF60" i="13" s="1"/>
  <c r="AE75" i="14"/>
  <c r="AE112" i="14"/>
  <c r="AE83" i="14"/>
  <c r="AE130" i="14"/>
  <c r="AE76" i="14"/>
  <c r="AE105" i="14"/>
  <c r="AE53" i="14"/>
  <c r="AE35" i="14"/>
  <c r="AE74" i="14"/>
  <c r="AE59" i="13"/>
  <c r="AF59" i="13" s="1"/>
  <c r="CW55" i="12"/>
  <c r="DA93" i="12"/>
  <c r="DC93" i="12" s="1"/>
  <c r="DE93" i="12" s="1"/>
  <c r="DA17" i="12"/>
  <c r="DG73" i="12"/>
  <c r="DI72" i="12"/>
  <c r="DI11" i="12" s="1"/>
  <c r="DI12" i="12" s="1"/>
  <c r="DA89" i="12"/>
  <c r="DC88" i="12"/>
  <c r="CQ85" i="12"/>
  <c r="CO1" i="12"/>
  <c r="AE104" i="14"/>
  <c r="AE52" i="14"/>
  <c r="AE129" i="14"/>
  <c r="AE34" i="14"/>
  <c r="AE111" i="14"/>
  <c r="AE128" i="14"/>
  <c r="AE103" i="14"/>
  <c r="AE110" i="14"/>
  <c r="AE33" i="14"/>
  <c r="AE73" i="14"/>
  <c r="AE51" i="14"/>
  <c r="AE81" i="14"/>
  <c r="AE82" i="14"/>
  <c r="DE97" i="12" l="1"/>
  <c r="DG97" i="12" s="1"/>
  <c r="DE88" i="12"/>
  <c r="DC17" i="12"/>
  <c r="I25" i="3"/>
  <c r="DM96" i="12" s="1"/>
  <c r="E40" i="2"/>
  <c r="G44" i="2"/>
  <c r="DG93" i="12"/>
  <c r="CY55" i="12"/>
  <c r="DG17" i="12"/>
  <c r="DI92" i="12"/>
  <c r="DK72" i="12"/>
  <c r="DI73" i="12"/>
  <c r="DK73" i="12" s="1"/>
  <c r="DO81" i="12"/>
  <c r="DQ81" i="12" s="1"/>
  <c r="DS80" i="12"/>
  <c r="DU80" i="12" s="1"/>
  <c r="DW80" i="12" s="1"/>
  <c r="DY80" i="12" s="1"/>
  <c r="EA80" i="12" s="1"/>
  <c r="EC80" i="12" s="1"/>
  <c r="EE80" i="12" s="1"/>
  <c r="EG80" i="12" s="1"/>
  <c r="EI80" i="12" s="1"/>
  <c r="EK80" i="12" s="1"/>
  <c r="EM80" i="12" s="1"/>
  <c r="EO80" i="12" s="1"/>
  <c r="DC89" i="12"/>
  <c r="DE89" i="12" s="1"/>
  <c r="CS85" i="12"/>
  <c r="CS1" i="12" s="1"/>
  <c r="CQ1" i="12"/>
  <c r="CU17" i="12"/>
  <c r="CW84" i="12"/>
  <c r="DM17" i="12" l="1"/>
  <c r="DM18" i="12" s="1"/>
  <c r="DI97" i="12"/>
  <c r="DK97" i="12" s="1"/>
  <c r="DM97" i="12" s="1"/>
  <c r="DG1" i="12"/>
  <c r="DM72" i="12"/>
  <c r="DO72" i="12" s="1"/>
  <c r="DQ72" i="12" s="1"/>
  <c r="DS72" i="12" s="1"/>
  <c r="DU72" i="12" s="1"/>
  <c r="DW72" i="12" s="1"/>
  <c r="DY72" i="12" s="1"/>
  <c r="EA72" i="12" s="1"/>
  <c r="EC72" i="12" s="1"/>
  <c r="DK11" i="12"/>
  <c r="DK12" i="12" s="1"/>
  <c r="DM73" i="12"/>
  <c r="DO73" i="12" s="1"/>
  <c r="DQ73" i="12" s="1"/>
  <c r="DS73" i="12" s="1"/>
  <c r="DU73" i="12" s="1"/>
  <c r="DW73" i="12" s="1"/>
  <c r="DY73" i="12" s="1"/>
  <c r="EA73" i="12" s="1"/>
  <c r="EC73" i="12" s="1"/>
  <c r="CU85" i="12"/>
  <c r="CU1" i="12" s="1"/>
  <c r="DK92" i="12"/>
  <c r="DI17" i="12"/>
  <c r="DG88" i="12"/>
  <c r="DE17" i="12"/>
  <c r="G45" i="2"/>
  <c r="G47" i="2" s="1"/>
  <c r="J22" i="1" s="1"/>
  <c r="J24" i="1" s="1"/>
  <c r="DO96" i="12"/>
  <c r="DQ96" i="12" s="1"/>
  <c r="DS96" i="12" s="1"/>
  <c r="DU96" i="12" s="1"/>
  <c r="DW96" i="12" s="1"/>
  <c r="DY96" i="12" s="1"/>
  <c r="EA96" i="12" s="1"/>
  <c r="EC96" i="12" s="1"/>
  <c r="EE96" i="12" s="1"/>
  <c r="EG96" i="12" s="1"/>
  <c r="EI96" i="12" s="1"/>
  <c r="J36" i="1"/>
  <c r="DA55" i="12"/>
  <c r="DI93" i="12"/>
  <c r="DK93" i="12" s="1"/>
  <c r="DS81" i="12"/>
  <c r="DU81" i="12" s="1"/>
  <c r="DW81" i="12" s="1"/>
  <c r="DY81" i="12" s="1"/>
  <c r="EA81" i="12" s="1"/>
  <c r="EC81" i="12" s="1"/>
  <c r="EE81" i="12" s="1"/>
  <c r="EG81" i="12" s="1"/>
  <c r="EI81" i="12" s="1"/>
  <c r="EK81" i="12" s="1"/>
  <c r="EM81" i="12" s="1"/>
  <c r="EO81" i="12" s="1"/>
  <c r="CY84" i="12"/>
  <c r="CW17" i="12"/>
  <c r="J10" i="1" l="1"/>
  <c r="P17" i="3"/>
  <c r="CW85" i="12"/>
  <c r="CW1" i="12" s="1"/>
  <c r="DM92" i="12"/>
  <c r="DO92" i="12" s="1"/>
  <c r="DQ92" i="12" s="1"/>
  <c r="DS92" i="12" s="1"/>
  <c r="DU92" i="12" s="1"/>
  <c r="DW92" i="12" s="1"/>
  <c r="DY92" i="12" s="1"/>
  <c r="EA92" i="12" s="1"/>
  <c r="EC92" i="12" s="1"/>
  <c r="DK17" i="12"/>
  <c r="DI88" i="12"/>
  <c r="DG16" i="12"/>
  <c r="DG89" i="12"/>
  <c r="DC55" i="12"/>
  <c r="DO97" i="12"/>
  <c r="DQ97" i="12" s="1"/>
  <c r="DS97" i="12" s="1"/>
  <c r="DU97" i="12" s="1"/>
  <c r="DW97" i="12" s="1"/>
  <c r="DY97" i="12" s="1"/>
  <c r="EA97" i="12" s="1"/>
  <c r="EC97" i="12" s="1"/>
  <c r="EE97" i="12" s="1"/>
  <c r="EG97" i="12" s="1"/>
  <c r="EI97" i="12" s="1"/>
  <c r="DA84" i="12"/>
  <c r="CY17" i="12"/>
  <c r="CY85" i="12"/>
  <c r="DI89" i="12" l="1"/>
  <c r="DC84" i="12"/>
  <c r="DA16" i="12"/>
  <c r="DA18" i="12" s="1"/>
  <c r="DK88" i="12"/>
  <c r="DI16" i="12"/>
  <c r="DM93" i="12"/>
  <c r="DO93" i="12" s="1"/>
  <c r="DQ93" i="12" s="1"/>
  <c r="DS93" i="12" s="1"/>
  <c r="DU93" i="12" s="1"/>
  <c r="DW93" i="12" s="1"/>
  <c r="DY93" i="12" s="1"/>
  <c r="EA93" i="12" s="1"/>
  <c r="EC93" i="12" s="1"/>
  <c r="EE93" i="12" s="1"/>
  <c r="DA85" i="12"/>
  <c r="CY1" i="12"/>
  <c r="EK92" i="12" l="1"/>
  <c r="EM92" i="12" s="1"/>
  <c r="EO92" i="12" s="1"/>
  <c r="EQ92" i="12" s="1"/>
  <c r="ES92" i="12" s="1"/>
  <c r="EU92" i="12" s="1"/>
  <c r="EW92" i="12" s="1"/>
  <c r="EY92" i="12" s="1"/>
  <c r="FA92" i="12" s="1"/>
  <c r="FC92" i="12" s="1"/>
  <c r="FE92" i="12" s="1"/>
  <c r="FG92" i="12" s="1"/>
  <c r="EG93" i="12"/>
  <c r="EI93" i="12" s="1"/>
  <c r="DE84" i="12"/>
  <c r="DC16" i="12"/>
  <c r="DC18" i="12" s="1"/>
  <c r="DM88" i="12"/>
  <c r="DO88" i="12" s="1"/>
  <c r="DQ88" i="12" s="1"/>
  <c r="DS88" i="12" s="1"/>
  <c r="DU88" i="12" s="1"/>
  <c r="DW88" i="12" s="1"/>
  <c r="DK16" i="12"/>
  <c r="DK89" i="12"/>
  <c r="DG77" i="12"/>
  <c r="DI77" i="12" s="1"/>
  <c r="DK77" i="12" s="1"/>
  <c r="J43" i="8"/>
  <c r="J53" i="8" s="1"/>
  <c r="J44" i="1" s="1"/>
  <c r="J48" i="1" s="1"/>
  <c r="J13" i="1" s="1"/>
  <c r="DC85" i="12"/>
  <c r="DA1" i="12"/>
  <c r="DO76" i="12" l="1"/>
  <c r="DQ76" i="12" s="1"/>
  <c r="DS76" i="12" s="1"/>
  <c r="DU76" i="12" s="1"/>
  <c r="DW76" i="12" s="1"/>
  <c r="DY76" i="12" s="1"/>
  <c r="EA76" i="12" s="1"/>
  <c r="EC76" i="12" s="1"/>
  <c r="EE76" i="12" s="1"/>
  <c r="EG76" i="12" s="1"/>
  <c r="EI76" i="12" s="1"/>
  <c r="DM89" i="12"/>
  <c r="DO89" i="12" s="1"/>
  <c r="DQ89" i="12" s="1"/>
  <c r="DS89" i="12" s="1"/>
  <c r="DU89" i="12" s="1"/>
  <c r="DW89" i="12" s="1"/>
  <c r="DY89" i="12" s="1"/>
  <c r="DG84" i="12"/>
  <c r="DE16" i="12"/>
  <c r="DE18" i="12" s="1"/>
  <c r="EK93" i="12"/>
  <c r="EM93" i="12" s="1"/>
  <c r="EO93" i="12" s="1"/>
  <c r="EQ93" i="12" s="1"/>
  <c r="ES93" i="12" s="1"/>
  <c r="EU93" i="12" s="1"/>
  <c r="EW93" i="12" s="1"/>
  <c r="EY93" i="12" s="1"/>
  <c r="FA93" i="12" s="1"/>
  <c r="FC93" i="12" s="1"/>
  <c r="FE93" i="12" s="1"/>
  <c r="FG93" i="12" s="1"/>
  <c r="DE85" i="12"/>
  <c r="DC1" i="12"/>
  <c r="DM77" i="12" l="1"/>
  <c r="DO77" i="12" s="1"/>
  <c r="DQ77" i="12" s="1"/>
  <c r="DS77" i="12" s="1"/>
  <c r="DU77" i="12" s="1"/>
  <c r="DW77" i="12" s="1"/>
  <c r="DY77" i="12" s="1"/>
  <c r="EA77" i="12" s="1"/>
  <c r="EC77" i="12" s="1"/>
  <c r="EE77" i="12" s="1"/>
  <c r="EG77" i="12" s="1"/>
  <c r="EI77" i="12" s="1"/>
  <c r="EK97" i="12" s="1"/>
  <c r="EM97" i="12" s="1"/>
  <c r="EO97" i="12" s="1"/>
  <c r="DI84" i="12"/>
  <c r="DG15" i="12"/>
  <c r="EA89" i="12"/>
  <c r="EC89" i="12" s="1"/>
  <c r="EE88" i="12"/>
  <c r="EG88" i="12" s="1"/>
  <c r="EI88" i="12" s="1"/>
  <c r="EK88" i="12" s="1"/>
  <c r="EM88" i="12" s="1"/>
  <c r="EO88" i="12" s="1"/>
  <c r="EQ88" i="12" s="1"/>
  <c r="ES88" i="12" s="1"/>
  <c r="EU88" i="12" s="1"/>
  <c r="EW88" i="12" s="1"/>
  <c r="EY88" i="12" s="1"/>
  <c r="FA88" i="12" s="1"/>
  <c r="DG85" i="12"/>
  <c r="DI85" i="12" s="1"/>
  <c r="DE1" i="12"/>
  <c r="EQ96" i="12" l="1"/>
  <c r="ES96" i="12" s="1"/>
  <c r="EU96" i="12" s="1"/>
  <c r="EW96" i="12" s="1"/>
  <c r="EY96" i="12" s="1"/>
  <c r="FA96" i="12" s="1"/>
  <c r="FC96" i="12" s="1"/>
  <c r="FE96" i="12" s="1"/>
  <c r="FG96" i="12" s="1"/>
  <c r="FI96" i="12" s="1"/>
  <c r="FK96" i="12" s="1"/>
  <c r="FM96" i="12" s="1"/>
  <c r="EE89" i="12"/>
  <c r="EG89" i="12" s="1"/>
  <c r="EI89" i="12" s="1"/>
  <c r="EK89" i="12" s="1"/>
  <c r="EM89" i="12" s="1"/>
  <c r="EO89" i="12" s="1"/>
  <c r="EQ89" i="12" s="1"/>
  <c r="ES89" i="12" s="1"/>
  <c r="EU89" i="12" s="1"/>
  <c r="EW89" i="12" s="1"/>
  <c r="EY89" i="12" s="1"/>
  <c r="FA89" i="12" s="1"/>
  <c r="J40" i="1"/>
  <c r="J12" i="1" s="1"/>
  <c r="J14" i="1" s="1"/>
  <c r="DG18" i="12"/>
  <c r="DK84" i="12"/>
  <c r="DI15" i="12"/>
  <c r="DI18" i="12" s="1"/>
  <c r="EQ97" i="12"/>
  <c r="ES97" i="12" s="1"/>
  <c r="EU97" i="12" s="1"/>
  <c r="EW97" i="12" s="1"/>
  <c r="EY97" i="12" s="1"/>
  <c r="FA97" i="12" s="1"/>
  <c r="FC97" i="12" s="1"/>
  <c r="FE97" i="12" s="1"/>
  <c r="FG97" i="12" s="1"/>
  <c r="FI97" i="12" s="1"/>
  <c r="FK97" i="12" s="1"/>
  <c r="FM97" i="12" s="1"/>
  <c r="DM84" i="12" l="1"/>
  <c r="DO84" i="12" s="1"/>
  <c r="DQ84" i="12" s="1"/>
  <c r="DK15" i="12"/>
  <c r="DK18" i="12" s="1"/>
  <c r="DK85" i="12"/>
  <c r="DM85" i="12" l="1"/>
  <c r="DO85" i="12" s="1"/>
  <c r="DQ85" i="12" s="1"/>
  <c r="DS85" i="12" s="1"/>
  <c r="DU85" i="12" s="1"/>
  <c r="DW85" i="12" s="1"/>
  <c r="DY84" i="12" l="1"/>
  <c r="EA84" i="12" s="1"/>
  <c r="EC84" i="12" s="1"/>
  <c r="EE84" i="12" s="1"/>
  <c r="EG84" i="12" s="1"/>
  <c r="EI84" i="12" s="1"/>
  <c r="EK84" i="12" s="1"/>
  <c r="EM84" i="12" s="1"/>
  <c r="EO84" i="12" s="1"/>
  <c r="EQ84" i="12" s="1"/>
  <c r="ES84" i="12" s="1"/>
  <c r="EU84" i="12" s="1"/>
  <c r="DY85" i="12" l="1"/>
  <c r="EA85" i="12" s="1"/>
  <c r="EC85" i="12" s="1"/>
  <c r="EE85" i="12" s="1"/>
  <c r="EG85" i="12" s="1"/>
  <c r="EI85" i="12" s="1"/>
  <c r="EK85" i="12" s="1"/>
  <c r="EM85" i="12" s="1"/>
  <c r="EO85" i="12" s="1"/>
  <c r="EQ85" i="12" s="1"/>
  <c r="ES85" i="12" s="1"/>
  <c r="EU85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Hartline</author>
  </authors>
  <commentList>
    <comment ref="N6" authorId="0" shapeId="0" xr:uid="{7105F3B7-8BFD-4C06-9900-8CADBD35A000}">
      <text>
        <r>
          <rPr>
            <b/>
            <sz val="9"/>
            <color indexed="81"/>
            <rFont val="Tahoma"/>
            <family val="2"/>
          </rPr>
          <t>Thomas Hartline:</t>
        </r>
        <r>
          <rPr>
            <sz val="9"/>
            <color indexed="81"/>
            <rFont val="Tahoma"/>
            <family val="2"/>
          </rPr>
          <t xml:space="preserve">
Added subsequent to 25-405 submission error as visual que of potential issue.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tc={399D32FC-FFBC-444D-92B2-916FC5A39E47}</author>
    <author>Sara Esparza</author>
  </authors>
  <commentList>
    <comment ref="M18" authorId="0" shapeId="0" xr:uid="{399D32FC-FFBC-444D-92B2-916FC5A39E47}">
      <text>
        <t>[Threaded comment]
Your version of Excel allows you to read this threaded comment; however, any edits to it will get removed if the file is opened in a newer version of Excel. Learn more: https://go.microsoft.com/fwlink/?linkid=870924
Comment:
    Cash out imbalance for sep service 540.18, Oct -266.82 services. Nov -89.91</t>
      </text>
    </comment>
    <comment ref="M22" authorId="1" shapeId="0" xr:uid="{C928130A-F2CB-404B-8F9C-143263870974}">
      <text>
        <r>
          <rPr>
            <b/>
            <sz val="9"/>
            <color indexed="81"/>
            <rFont val="Tahoma"/>
            <family val="2"/>
          </rPr>
          <t>Sara Esparza:</t>
        </r>
        <r>
          <rPr>
            <sz val="9"/>
            <color indexed="81"/>
            <rFont val="Tahoma"/>
            <family val="2"/>
          </rPr>
          <t xml:space="preserve">
correcting for Sep invoice over charged $10 usd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Hartline</author>
  </authors>
  <commentList>
    <comment ref="CU80" authorId="0" shapeId="0" xr:uid="{96FA82BE-4A35-4E7A-ADDD-477038DAD842}">
      <text>
        <r>
          <rPr>
            <b/>
            <sz val="9"/>
            <color indexed="81"/>
            <rFont val="Tahoma"/>
            <family val="2"/>
          </rPr>
          <t>Thomas Hartline:</t>
        </r>
        <r>
          <rPr>
            <sz val="9"/>
            <color indexed="81"/>
            <rFont val="Tahoma"/>
            <family val="2"/>
          </rPr>
          <t xml:space="preserve">
Check against figure charged customers,
maybe 1.7061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Hartline</author>
  </authors>
  <commentList>
    <comment ref="AG60" authorId="0" shapeId="0" xr:uid="{5B6410E3-6DDC-4003-838B-018E14F5172C}">
      <text>
        <r>
          <rPr>
            <sz val="9"/>
            <color indexed="81"/>
            <rFont val="Tahoma"/>
            <family val="2"/>
          </rPr>
          <t>Matches Sparta data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Julie Loving</author>
  </authors>
  <commentList>
    <comment ref="C22" authorId="0" shapeId="0" xr:uid="{EC24402A-545A-4497-A5BA-525D42AE30BC}">
      <text>
        <r>
          <rPr>
            <b/>
            <sz val="9"/>
            <color indexed="81"/>
            <rFont val="Tahoma"/>
            <family val="2"/>
          </rPr>
          <t>Julie Loving:</t>
        </r>
        <r>
          <rPr>
            <sz val="9"/>
            <color indexed="81"/>
            <rFont val="Tahoma"/>
            <family val="2"/>
          </rPr>
          <t xml:space="preserve">
Copy the previous cell formula</t>
        </r>
      </text>
    </comment>
    <comment ref="C31" authorId="0" shapeId="0" xr:uid="{8CC5D9AD-C0A8-45F0-9E4A-BE066E5711BD}">
      <text>
        <r>
          <rPr>
            <b/>
            <sz val="9"/>
            <color indexed="81"/>
            <rFont val="Tahoma"/>
            <family val="2"/>
          </rPr>
          <t>Julie Loving:</t>
        </r>
        <r>
          <rPr>
            <sz val="9"/>
            <color indexed="81"/>
            <rFont val="Tahoma"/>
            <family val="2"/>
          </rPr>
          <t xml:space="preserve">
Copy the previous cell formula</t>
        </r>
      </text>
    </comment>
    <comment ref="C126" authorId="0" shapeId="0" xr:uid="{2E1FFC1A-05CB-427E-8B31-DEBAEBAA54AC}">
      <text>
        <r>
          <rPr>
            <b/>
            <sz val="9"/>
            <color indexed="81"/>
            <rFont val="Tahoma"/>
            <family val="2"/>
          </rPr>
          <t>Julie Loving:</t>
        </r>
        <r>
          <rPr>
            <sz val="9"/>
            <color indexed="81"/>
            <rFont val="Tahoma"/>
            <family val="2"/>
          </rPr>
          <t xml:space="preserve">
Copy the previous cell formula</t>
        </r>
      </text>
    </comment>
  </commentList>
</comments>
</file>

<file path=xl/sharedStrings.xml><?xml version="1.0" encoding="utf-8"?>
<sst xmlns="http://schemas.openxmlformats.org/spreadsheetml/2006/main" count="416" uniqueCount="269">
  <si>
    <t>SCHEDULE I</t>
  </si>
  <si>
    <t>GAS COST RECOVERY RATE SUMMARY</t>
  </si>
  <si>
    <t>Component</t>
  </si>
  <si>
    <t>Unit</t>
  </si>
  <si>
    <t>Amount</t>
  </si>
  <si>
    <t>$/Mcf</t>
  </si>
  <si>
    <t>Refund Adjustment (RA)</t>
  </si>
  <si>
    <t>Actual Adjustment (AA)</t>
  </si>
  <si>
    <t>Balance Adjustment (BA)</t>
  </si>
  <si>
    <t>Gas Cost Recovery Rate (GCR)</t>
  </si>
  <si>
    <t>A. EXPECTED GAS COST CALCULATION</t>
  </si>
  <si>
    <t>Total Expected Gas Cost (Sch II)</t>
  </si>
  <si>
    <t>Expected Gas Cost</t>
  </si>
  <si>
    <t>B. REFUND ADJUSTMENT CALCULATION</t>
  </si>
  <si>
    <t>Supplier Refund Adjustment for Reporting Period (Sch III)</t>
  </si>
  <si>
    <t>+Previous Quarter Supplier Refund Adjustment</t>
  </si>
  <si>
    <t>+Second Previous Quarter Supplier Refund Adjustment</t>
  </si>
  <si>
    <t>+Third Previous Quarter Supplier Refund Adjustment</t>
  </si>
  <si>
    <t>=Refund Adjustment (RA)</t>
  </si>
  <si>
    <t>$ Mcf</t>
  </si>
  <si>
    <t>C. ACTUAL ADJUSTMENT CALCULATION</t>
  </si>
  <si>
    <t>Actual Adjustment for the Reporting Period (Sch IV)</t>
  </si>
  <si>
    <t>+Previous Quarter Reported Actual Adjustment</t>
  </si>
  <si>
    <t>+Second Previous Quarter Reported Actual Adjustment</t>
  </si>
  <si>
    <t>+Third Previous Quarter Reported Actual Adjustment</t>
  </si>
  <si>
    <t>=Actual Adjustment (AA)</t>
  </si>
  <si>
    <t>D. BALANCE ADJUSTMENT CALCULATION</t>
  </si>
  <si>
    <t>Balance Adjustment for the Reporting Period (Sch V)</t>
  </si>
  <si>
    <t>+Previous Quarter Reported Balance Adjustment</t>
  </si>
  <si>
    <t>+Second Previous Quarter Reported Balance Adjustment</t>
  </si>
  <si>
    <t>+Third Previous Quarter Reported Balance Adjustment</t>
  </si>
  <si>
    <t>=Balance Adjustment (BA)</t>
  </si>
  <si>
    <t>SCHEDULE II</t>
  </si>
  <si>
    <t>EXPECTED GAS COST</t>
  </si>
  <si>
    <t xml:space="preserve">Actual Mcf Purchases for 12 months ended </t>
  </si>
  <si>
    <t>(1)</t>
  </si>
  <si>
    <t>(2)</t>
  </si>
  <si>
    <t>(3)</t>
  </si>
  <si>
    <t>(4)</t>
  </si>
  <si>
    <t>(5)</t>
  </si>
  <si>
    <t>(6)</t>
  </si>
  <si>
    <t>Btu</t>
  </si>
  <si>
    <t>(4) x (5)</t>
  </si>
  <si>
    <t>Supplier</t>
  </si>
  <si>
    <t>Dth</t>
  </si>
  <si>
    <t>Conversion Factor</t>
  </si>
  <si>
    <t>Mcf</t>
  </si>
  <si>
    <t>Rate</t>
  </si>
  <si>
    <t>Cost</t>
  </si>
  <si>
    <t>Totals</t>
  </si>
  <si>
    <t xml:space="preserve">Line loss for 12 months ended </t>
  </si>
  <si>
    <t>is based on purchases of</t>
  </si>
  <si>
    <t>and sales of</t>
  </si>
  <si>
    <t>Mcf.</t>
  </si>
  <si>
    <t>Total Expected Cost of Purchases (6)</t>
  </si>
  <si>
    <t>/ Mcf Purchases (4)</t>
  </si>
  <si>
    <t>= Average Expected Cost Per Mcf Purchased</t>
  </si>
  <si>
    <t>x Allowable Mcf Purchases (must not exceed Mcf sales / .95)</t>
  </si>
  <si>
    <t>= Total Expected Gas Cost (to Schedule IA)</t>
  </si>
  <si>
    <t>SCHEDULE IV</t>
  </si>
  <si>
    <t>ACTUAL ADJUSTMENT</t>
  </si>
  <si>
    <t>Particulars</t>
  </si>
  <si>
    <t>Total Supply Volumes Purchased</t>
  </si>
  <si>
    <t>Total Cost of Volumes Purchased</t>
  </si>
  <si>
    <t>$</t>
  </si>
  <si>
    <t>/ Total Sales *</t>
  </si>
  <si>
    <t>= Unit Cost of Gas</t>
  </si>
  <si>
    <t>- EGC in Effect for Month</t>
  </si>
  <si>
    <t>= Difference</t>
  </si>
  <si>
    <t>x Actual Sales during Month</t>
  </si>
  <si>
    <t>= Monthly Cost Difference</t>
  </si>
  <si>
    <t>Total Cost Difference</t>
  </si>
  <si>
    <t>= Actual Adjustment for the Reporting Period (to Sch IC)</t>
  </si>
  <si>
    <t>* May not be less than 95% of supply volume</t>
  </si>
  <si>
    <t>SUPPLIER REFUND ADJUSTMENT</t>
  </si>
  <si>
    <t>Description</t>
  </si>
  <si>
    <t>Supplier Refunds Received during 2 Month Period</t>
  </si>
  <si>
    <t>Interest Factor (90 Day Commercial Paper Rate)</t>
  </si>
  <si>
    <t>Refunds Including Interest</t>
  </si>
  <si>
    <t>Divided by 12 Month Projected Sales Ended</t>
  </si>
  <si>
    <t>Current Supplier Refund Adjustment</t>
  </si>
  <si>
    <t>SCHEDULE III</t>
  </si>
  <si>
    <t>For the 12 month period ended</t>
  </si>
  <si>
    <t xml:space="preserve">/ Sales for 12 months ended </t>
  </si>
  <si>
    <t>/Sales for the 12 months ended</t>
  </si>
  <si>
    <t>Expected Gas Cost (EGC)</t>
  </si>
  <si>
    <t>Schedule V</t>
  </si>
  <si>
    <t>BALANCE ADJUSTMENT</t>
  </si>
  <si>
    <t>For the 3 month period ended:</t>
  </si>
  <si>
    <t>Total cost difference used to compute AA of the GCR effective</t>
  </si>
  <si>
    <t>4 quarters prior to the effective date of the currently effective GCR</t>
  </si>
  <si>
    <t>Less:  Dollar amount resulting from the AA of</t>
  </si>
  <si>
    <t>per Mcf as used to compute the GCR in effect</t>
  </si>
  <si>
    <t>4 quarters prior to the effective date of the</t>
  </si>
  <si>
    <t>currently effective GCR times the sales of</t>
  </si>
  <si>
    <t>Mcf during the 12 month period the AA was in effect</t>
  </si>
  <si>
    <t>Equals:  Balance Adjustment of the AA</t>
  </si>
  <si>
    <t>Total supplier refund adjustment including interest used to compute</t>
  </si>
  <si>
    <t>RA of the GCR effective 4 quarters prior to the effective date of the</t>
  </si>
  <si>
    <t>currently effective GCR</t>
  </si>
  <si>
    <t>Less:  Dollar amount resulting from the RA of</t>
  </si>
  <si>
    <t>per Mcf as used to compute the GCR in effect 4 quarters prior to the</t>
  </si>
  <si>
    <t>effective date of the currently effective GCR times the sales of</t>
  </si>
  <si>
    <t>Mcf during the 12 month period the RA was in effect</t>
  </si>
  <si>
    <t>Equals:  Balance Adjustment of the RA</t>
  </si>
  <si>
    <t>Total balance adjustment used to compute BA of the GCR effective</t>
  </si>
  <si>
    <t>Less: Dollar amount resulting from the BA of</t>
  </si>
  <si>
    <t>Mcf during the 12 month period the BA was in effect</t>
  </si>
  <si>
    <t>Equals:  Balance Adjustment of the BA</t>
  </si>
  <si>
    <t>Total Balance Adjustment Amount (1) + (2) + (3)</t>
  </si>
  <si>
    <t>Equals:  Balance Adjustment for the reporting period</t>
  </si>
  <si>
    <t>(to Schedule I, part D)</t>
  </si>
  <si>
    <t>Divide:  Mcf Sales for 12 months ended</t>
  </si>
  <si>
    <t>Rates to be effective for service rendered from</t>
  </si>
  <si>
    <t>Month 1</t>
  </si>
  <si>
    <t>Month 2</t>
  </si>
  <si>
    <t>Month 3</t>
  </si>
  <si>
    <t>QUARTERLY REPORT OF GAS COST</t>
  </si>
  <si>
    <t>RECOVERY RATE CALCULATION</t>
  </si>
  <si>
    <t>Date Filed:</t>
  </si>
  <si>
    <t>Date Rates to be Effective:</t>
  </si>
  <si>
    <t xml:space="preserve">  </t>
  </si>
  <si>
    <t>Reporting Period is Calendar Quarter Ended:</t>
  </si>
  <si>
    <t>Total</t>
  </si>
  <si>
    <t>Diversified</t>
  </si>
  <si>
    <t>Petrol</t>
  </si>
  <si>
    <t>Floyd County</t>
  </si>
  <si>
    <t>Johnson County</t>
  </si>
  <si>
    <t>Navitas KYNG, LLC</t>
  </si>
  <si>
    <t>+</t>
  </si>
  <si>
    <t xml:space="preserve">under charged </t>
  </si>
  <si>
    <t>-</t>
  </si>
  <si>
    <t xml:space="preserve">over charged </t>
  </si>
  <si>
    <t>Actual</t>
  </si>
  <si>
    <t>Average (5Y)</t>
  </si>
  <si>
    <t>Sales in MCF</t>
  </si>
  <si>
    <t>Summary</t>
  </si>
  <si>
    <t>3rd Previous Qrtr BA</t>
  </si>
  <si>
    <t>2rd Previous Qrtr BA</t>
  </si>
  <si>
    <t>Previous Qrtr BA</t>
  </si>
  <si>
    <t>Current Qrt BA</t>
  </si>
  <si>
    <t>3rd Previous Qrtr AA</t>
  </si>
  <si>
    <t>2rd Previous Qrtr AA</t>
  </si>
  <si>
    <t>Previous Qrtr AA</t>
  </si>
  <si>
    <t>Current Qrt AA</t>
  </si>
  <si>
    <t>2022-00004</t>
  </si>
  <si>
    <t>2023-00091</t>
  </si>
  <si>
    <t>This residual captured by 24-00401</t>
  </si>
  <si>
    <t>2022-00109</t>
  </si>
  <si>
    <t>2023-00215</t>
  </si>
  <si>
    <t>2022-00189</t>
  </si>
  <si>
    <t>2023-00325</t>
  </si>
  <si>
    <t>2022-00331</t>
  </si>
  <si>
    <t>2023-00002</t>
  </si>
  <si>
    <t>Suspended 23-428</t>
  </si>
  <si>
    <t>Suspended 24-079</t>
  </si>
  <si>
    <t>Suspended 24-184</t>
  </si>
  <si>
    <t>Suspended 24-308</t>
  </si>
  <si>
    <t>2024-00401</t>
  </si>
  <si>
    <t>2025-00084 Subject To Refund</t>
  </si>
  <si>
    <t>Previous quarter AA</t>
  </si>
  <si>
    <t>2nd previous quarter AA</t>
  </si>
  <si>
    <t>3rd previous quarter AA</t>
  </si>
  <si>
    <t>This residual STR for 2025-00084</t>
  </si>
  <si>
    <t>Hold period</t>
  </si>
  <si>
    <t xml:space="preserve">Actual Adjustment </t>
  </si>
  <si>
    <t xml:space="preserve">Balance Adjustment </t>
  </si>
  <si>
    <t>Previous quarter BA</t>
  </si>
  <si>
    <t>Clinton County</t>
  </si>
  <si>
    <t>LTM</t>
  </si>
  <si>
    <t>Last 5-yr Ave</t>
  </si>
  <si>
    <t>Total L5YA</t>
  </si>
  <si>
    <t>Clinton</t>
  </si>
  <si>
    <t>Floyd</t>
  </si>
  <si>
    <t>Johnson</t>
  </si>
  <si>
    <t>Combined Monthly Sales</t>
  </si>
  <si>
    <t>Sales</t>
  </si>
  <si>
    <t>Purchases</t>
  </si>
  <si>
    <t>LTM Sales</t>
  </si>
  <si>
    <t>LTM Purchases</t>
  </si>
  <si>
    <t>LTM Line Loss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</si>
  <si>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</si>
  <si>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</si>
  <si>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</si>
  <si>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</si>
  <si>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</si>
  <si>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</si>
  <si>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</si>
  <si>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</si>
  <si>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</si>
  <si>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</si>
  <si>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</si>
  <si>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</si>
  <si>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Purchases in MCF</t>
  </si>
  <si>
    <t>TOTAL</t>
  </si>
  <si>
    <t>%KY</t>
  </si>
  <si>
    <t>Petrol ETGP</t>
  </si>
  <si>
    <t>MMBtu</t>
  </si>
  <si>
    <t>Petrol (TN&amp;KY)</t>
  </si>
  <si>
    <t>MCF</t>
  </si>
  <si>
    <t>Petrol (KY only)</t>
  </si>
  <si>
    <t>Sparta (TN&amp;KY)</t>
  </si>
  <si>
    <t>Sparta (KY only)</t>
  </si>
  <si>
    <t>Clinton County Combined</t>
  </si>
  <si>
    <t>B&amp;S Oil</t>
  </si>
  <si>
    <t>DEM 42</t>
  </si>
  <si>
    <t>Floyd County Combined</t>
  </si>
  <si>
    <t>H-S-H</t>
  </si>
  <si>
    <t>DEM  58</t>
  </si>
  <si>
    <t>PETROL J C</t>
  </si>
  <si>
    <t>Johnson County Combined</t>
  </si>
  <si>
    <t>Kentucky</t>
  </si>
  <si>
    <t>Commodity Supply:</t>
  </si>
  <si>
    <t>Sparta</t>
  </si>
  <si>
    <t>Enbridge (balance)</t>
  </si>
  <si>
    <t>Conner Ridge</t>
  </si>
  <si>
    <t>Sub total</t>
  </si>
  <si>
    <t>Commodity Transport:</t>
  </si>
  <si>
    <t>Current Quarter</t>
  </si>
  <si>
    <t>Previous Quarter</t>
  </si>
  <si>
    <t>2nd Previous Quarter</t>
  </si>
  <si>
    <t>3rd Previous Quarter</t>
  </si>
  <si>
    <t>Enbridge</t>
  </si>
  <si>
    <t>B&amp;W</t>
  </si>
  <si>
    <t>Hull Gathering</t>
  </si>
  <si>
    <t>This residual proposed for 2025-00204</t>
  </si>
  <si>
    <t>2023-00428</t>
  </si>
  <si>
    <t>2024-00079</t>
  </si>
  <si>
    <t>2024-00184</t>
  </si>
  <si>
    <t>2024-00308</t>
  </si>
  <si>
    <t>2025-00084</t>
  </si>
  <si>
    <t>2025-00204</t>
  </si>
  <si>
    <t>Special Notes</t>
  </si>
  <si>
    <t>2025-00316</t>
  </si>
  <si>
    <t>2025-00204 Subject to Refund</t>
  </si>
  <si>
    <t>It is the intent of Navitas to file for a variance to the allowed line loss</t>
  </si>
  <si>
    <t>2025-00405</t>
  </si>
  <si>
    <t>Note for:</t>
  </si>
  <si>
    <t>This residual proposed for 2025-00316</t>
  </si>
  <si>
    <t>This residual proposed for 2025-00405</t>
  </si>
  <si>
    <t>2025-00316 Subject to Refund</t>
  </si>
  <si>
    <t>25-84</t>
  </si>
  <si>
    <t>25-204</t>
  </si>
  <si>
    <t>25-316</t>
  </si>
  <si>
    <t>25-405</t>
  </si>
  <si>
    <t>with the next GCA filing (03/31/26).</t>
  </si>
  <si>
    <t>2nd previous quarter BA</t>
  </si>
  <si>
    <t>3rd previous quarter BA</t>
  </si>
  <si>
    <t>Expiring BA to Hold period</t>
  </si>
  <si>
    <t>Expired</t>
  </si>
  <si>
    <t>2025-00405 Subject to Refund</t>
  </si>
  <si>
    <t>25-084</t>
  </si>
  <si>
    <t>PDF or subsequently Ordered figures</t>
  </si>
  <si>
    <t>Check Section - not a part of submission</t>
  </si>
  <si>
    <t>26-072</t>
  </si>
  <si>
    <t>GCA Surcharge billed 02/07/26 for JAN '26 usage</t>
  </si>
  <si>
    <t>GCA Surcharge billed 03/07/26 for FEB '26 usage</t>
  </si>
  <si>
    <t>GCA True-up residual from 2020-00396 &amp; 2022-00109</t>
  </si>
  <si>
    <t>2026-00072 Proposed</t>
  </si>
  <si>
    <t>This residual proposed for 2026-00072</t>
  </si>
  <si>
    <t>For the reporting quarter, Navitas had no line loss.</t>
  </si>
  <si>
    <t>Thus it will delay requesting a variance until further data is obtained</t>
  </si>
  <si>
    <t>with the next GCA filing (06/30/26).</t>
  </si>
  <si>
    <t>Note the inclusion of the $4.50 surcharge</t>
  </si>
  <si>
    <t>less</t>
  </si>
  <si>
    <t>Note that Navitas has (is) requesting to suspend the surcharge</t>
  </si>
  <si>
    <t>due to the substantial winter.</t>
  </si>
  <si>
    <t>And the GCA True Up balance from 2022-00109 in the BA residual calculation.</t>
  </si>
  <si>
    <t>TBO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</si>
</sst>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00_);[Red]\(&quot;$&quot;#,##0.0000\)"/>
    <numFmt numFmtId="165" formatCode="mmmm\ d\,\ yyyy"/>
    <numFmt numFmtId="166" formatCode="_(* #,##0_);_(* \(#,##0\);_(* &quot;-&quot;??_);_(@_)"/>
    <numFmt numFmtId="167" formatCode="_(* #,##0.0_);_(* \(#,##0.0\);_(* &quot;-&quot;??_);_(@_)"/>
    <numFmt numFmtId="168" formatCode="&quot;$&quot;#,##0"/>
    <numFmt numFmtId="169" formatCode="&quot;$&quot;#,##0.0000_);\(&quot;$&quot;#,##0.0000\)"/>
    <numFmt numFmtId="170" formatCode="[$-409]mmmm\ d\,\ yyyy;@"/>
    <numFmt numFmtId="171" formatCode="0.0%"/>
    <numFmt numFmtId="172" formatCode="[$-409]dd\-mmm\-yy;@"/>
    <numFmt numFmtId="173" formatCode="mm/dd/yy;@"/>
    <numFmt numFmtId="174" formatCode="[$-409]mmm\-yy;@"/>
    <numFmt numFmtId="175" formatCode="_(* #,##0.0000_);_(* \(#,##0.0000\);_(* &quot;-&quot;??_);_(@_)"/>
    <numFmt numFmtId="176" formatCode="[$-409]mmmmm;@"/>
    <numFmt numFmtId="177" formatCode="0.000"/>
    <numFmt numFmtId="178" formatCode="_(* #,##0.00_);_(* \(#,##0.00\);_(* &quot;-&quot;_);_(@_)"/>
    <numFmt numFmtId="179" formatCode="&quot;$&quot;#,##0.00"/>
    <numFmt numFmtId="180" formatCode="_(* #,##0.0000_);_(* \(#,##0.0000\);_(* &quot;-&quot;????_);_(@_)"/>
  </numFmts>
  <fonts count="2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1.5"/>
      <name val="Arial Narrow"/>
      <family val="2"/>
    </font>
    <font>
      <sz val="11.5"/>
      <name val="ZapfCalligr BT"/>
      <family val="1"/>
    </font>
    <font>
      <b/>
      <sz val="11.5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1"/>
      <name val="ZapfCalligr BT"/>
    </font>
    <font>
      <b/>
      <sz val="10"/>
      <name val="Arial"/>
      <family val="2"/>
    </font>
    <font>
      <b/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name val="Arial"/>
      <family val="2"/>
    </font>
    <font>
      <strike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u/>
      <sz val="12"/>
      <name val="Arial"/>
      <family val="2"/>
    </font>
    <font>
      <sz val="10"/>
      <color theme="1"/>
      <name val="Calibri"/>
      <family val="2"/>
      <scheme val="minor"/>
    </font>
    <font>
      <strike/>
      <sz val="11.5"/>
      <name val="ZapfCalligr BT"/>
      <family val="1"/>
    </font>
  </fonts>
  <fills count="1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4" fillId="0" borderId="0"/>
    <xf numFmtId="0" fontId="4" fillId="0" borderId="0"/>
  </cellStyleXfs>
  <cellXfs count="294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6" fillId="0" borderId="1" xfId="0" applyFont="1" applyBorder="1" applyAlignment="1">
      <alignment horizontal="center"/>
    </xf>
    <xf numFmtId="0" fontId="6" fillId="0" borderId="0" xfId="0" quotePrefix="1" applyFont="1" applyAlignment="1">
      <alignment horizontal="center"/>
    </xf>
    <xf numFmtId="164" fontId="6" fillId="0" borderId="0" xfId="0" applyNumberFormat="1" applyFont="1"/>
    <xf numFmtId="0" fontId="6" fillId="0" borderId="1" xfId="0" applyFont="1" applyBorder="1"/>
    <xf numFmtId="0" fontId="6" fillId="0" borderId="1" xfId="0" quotePrefix="1" applyFont="1" applyBorder="1" applyAlignment="1">
      <alignment horizontal="center"/>
    </xf>
    <xf numFmtId="0" fontId="6" fillId="0" borderId="2" xfId="0" applyFont="1" applyBorder="1"/>
    <xf numFmtId="8" fontId="6" fillId="0" borderId="0" xfId="0" applyNumberFormat="1" applyFont="1"/>
    <xf numFmtId="0" fontId="6" fillId="0" borderId="1" xfId="0" quotePrefix="1" applyFont="1" applyBorder="1"/>
    <xf numFmtId="43" fontId="6" fillId="0" borderId="1" xfId="1" applyFont="1" applyBorder="1"/>
    <xf numFmtId="0" fontId="6" fillId="0" borderId="0" xfId="0" quotePrefix="1" applyFont="1"/>
    <xf numFmtId="166" fontId="6" fillId="0" borderId="0" xfId="1" applyNumberFormat="1" applyFont="1"/>
    <xf numFmtId="166" fontId="6" fillId="0" borderId="1" xfId="1" applyNumberFormat="1" applyFont="1" applyBorder="1"/>
    <xf numFmtId="166" fontId="6" fillId="0" borderId="1" xfId="0" applyNumberFormat="1" applyFont="1" applyBorder="1"/>
    <xf numFmtId="17" fontId="7" fillId="0" borderId="0" xfId="0" applyNumberFormat="1" applyFont="1" applyAlignment="1">
      <alignment horizontal="center"/>
    </xf>
    <xf numFmtId="167" fontId="6" fillId="0" borderId="1" xfId="1" applyNumberFormat="1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8" fontId="0" fillId="0" borderId="0" xfId="0" applyNumberFormat="1"/>
    <xf numFmtId="40" fontId="0" fillId="0" borderId="0" xfId="0" applyNumberFormat="1"/>
    <xf numFmtId="0" fontId="0" fillId="0" borderId="3" xfId="0" applyBorder="1"/>
    <xf numFmtId="0" fontId="0" fillId="0" borderId="3" xfId="0" applyBorder="1" applyAlignment="1">
      <alignment horizontal="center"/>
    </xf>
    <xf numFmtId="0" fontId="6" fillId="2" borderId="0" xfId="0" applyFont="1" applyFill="1"/>
    <xf numFmtId="166" fontId="6" fillId="2" borderId="0" xfId="1" applyNumberFormat="1" applyFont="1" applyFill="1"/>
    <xf numFmtId="8" fontId="6" fillId="2" borderId="0" xfId="0" applyNumberFormat="1" applyFont="1" applyFill="1"/>
    <xf numFmtId="164" fontId="6" fillId="2" borderId="0" xfId="0" applyNumberFormat="1" applyFont="1" applyFill="1"/>
    <xf numFmtId="43" fontId="6" fillId="2" borderId="0" xfId="0" applyNumberFormat="1" applyFont="1" applyFill="1"/>
    <xf numFmtId="8" fontId="0" fillId="2" borderId="0" xfId="0" applyNumberFormat="1" applyFill="1"/>
    <xf numFmtId="167" fontId="6" fillId="2" borderId="1" xfId="1" applyNumberFormat="1" applyFont="1" applyFill="1" applyBorder="1"/>
    <xf numFmtId="164" fontId="6" fillId="2" borderId="1" xfId="0" applyNumberFormat="1" applyFont="1" applyFill="1" applyBorder="1"/>
    <xf numFmtId="0" fontId="0" fillId="0" borderId="1" xfId="0" applyBorder="1"/>
    <xf numFmtId="49" fontId="0" fillId="0" borderId="0" xfId="0" applyNumberFormat="1"/>
    <xf numFmtId="168" fontId="0" fillId="0" borderId="0" xfId="0" applyNumberFormat="1"/>
    <xf numFmtId="168" fontId="0" fillId="0" borderId="1" xfId="0" applyNumberFormat="1" applyBorder="1"/>
    <xf numFmtId="168" fontId="0" fillId="2" borderId="1" xfId="0" applyNumberFormat="1" applyFill="1" applyBorder="1"/>
    <xf numFmtId="169" fontId="0" fillId="2" borderId="1" xfId="0" applyNumberFormat="1" applyFill="1" applyBorder="1"/>
    <xf numFmtId="0" fontId="0" fillId="2" borderId="1" xfId="0" applyFill="1" applyBorder="1"/>
    <xf numFmtId="170" fontId="6" fillId="2" borderId="0" xfId="0" applyNumberFormat="1" applyFont="1" applyFill="1"/>
    <xf numFmtId="17" fontId="6" fillId="0" borderId="0" xfId="0" applyNumberFormat="1" applyFont="1"/>
    <xf numFmtId="167" fontId="6" fillId="0" borderId="0" xfId="1" applyNumberFormat="1" applyFont="1" applyFill="1" applyBorder="1"/>
    <xf numFmtId="167" fontId="6" fillId="0" borderId="0" xfId="1" applyNumberFormat="1" applyFont="1" applyBorder="1"/>
    <xf numFmtId="17" fontId="6" fillId="3" borderId="1" xfId="0" applyNumberFormat="1" applyFont="1" applyFill="1" applyBorder="1" applyAlignment="1">
      <alignment horizontal="center" wrapText="1"/>
    </xf>
    <xf numFmtId="0" fontId="6" fillId="3" borderId="0" xfId="0" applyFont="1" applyFill="1"/>
    <xf numFmtId="0" fontId="8" fillId="0" borderId="0" xfId="0" applyFont="1"/>
    <xf numFmtId="0" fontId="9" fillId="0" borderId="0" xfId="0" applyFont="1"/>
    <xf numFmtId="0" fontId="4" fillId="0" borderId="0" xfId="0" applyFont="1"/>
    <xf numFmtId="0" fontId="10" fillId="0" borderId="0" xfId="0" applyFont="1" applyAlignment="1">
      <alignment horizontal="centerContinuous"/>
    </xf>
    <xf numFmtId="0" fontId="11" fillId="0" borderId="0" xfId="0" applyFont="1"/>
    <xf numFmtId="15" fontId="12" fillId="0" borderId="0" xfId="0" applyNumberFormat="1" applyFont="1" applyAlignment="1">
      <alignment horizontal="center"/>
    </xf>
    <xf numFmtId="0" fontId="13" fillId="0" borderId="0" xfId="0" applyFont="1"/>
    <xf numFmtId="14" fontId="9" fillId="0" borderId="0" xfId="0" applyNumberFormat="1" applyFont="1"/>
    <xf numFmtId="165" fontId="12" fillId="0" borderId="0" xfId="0" applyNumberFormat="1" applyFont="1"/>
    <xf numFmtId="165" fontId="10" fillId="0" borderId="0" xfId="0" applyNumberFormat="1" applyFont="1"/>
    <xf numFmtId="165" fontId="8" fillId="0" borderId="0" xfId="0" applyNumberFormat="1" applyFont="1"/>
    <xf numFmtId="166" fontId="6" fillId="3" borderId="0" xfId="1" applyNumberFormat="1" applyFont="1" applyFill="1"/>
    <xf numFmtId="15" fontId="0" fillId="0" borderId="0" xfId="0" applyNumberFormat="1"/>
    <xf numFmtId="43" fontId="6" fillId="0" borderId="0" xfId="0" applyNumberFormat="1" applyFont="1"/>
    <xf numFmtId="171" fontId="6" fillId="0" borderId="0" xfId="2" applyNumberFormat="1" applyFont="1"/>
    <xf numFmtId="17" fontId="6" fillId="0" borderId="1" xfId="0" applyNumberFormat="1" applyFont="1" applyBorder="1" applyAlignment="1">
      <alignment horizontal="center"/>
    </xf>
    <xf numFmtId="41" fontId="0" fillId="2" borderId="1" xfId="0" applyNumberFormat="1" applyFill="1" applyBorder="1"/>
    <xf numFmtId="0" fontId="14" fillId="0" borderId="0" xfId="0" applyFont="1"/>
    <xf numFmtId="169" fontId="6" fillId="3" borderId="0" xfId="0" applyNumberFormat="1" applyFont="1" applyFill="1"/>
    <xf numFmtId="0" fontId="15" fillId="0" borderId="0" xfId="0" quotePrefix="1" applyFont="1" applyAlignment="1">
      <alignment horizontal="right"/>
    </xf>
    <xf numFmtId="0" fontId="15" fillId="0" borderId="0" xfId="0" applyFont="1" applyAlignment="1">
      <alignment horizontal="right"/>
    </xf>
    <xf numFmtId="43" fontId="0" fillId="0" borderId="0" xfId="0" applyNumberFormat="1"/>
    <xf numFmtId="166" fontId="0" fillId="0" borderId="0" xfId="0" applyNumberFormat="1"/>
    <xf numFmtId="0" fontId="4" fillId="0" borderId="0" xfId="0" quotePrefix="1" applyFont="1"/>
    <xf numFmtId="0" fontId="14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quotePrefix="1" applyFont="1" applyAlignment="1">
      <alignment horizontal="right"/>
    </xf>
    <xf numFmtId="173" fontId="4" fillId="0" borderId="0" xfId="0" applyNumberFormat="1" applyFont="1"/>
    <xf numFmtId="173" fontId="0" fillId="0" borderId="0" xfId="0" applyNumberFormat="1"/>
    <xf numFmtId="174" fontId="0" fillId="0" borderId="0" xfId="0" applyNumberFormat="1"/>
    <xf numFmtId="41" fontId="14" fillId="0" borderId="0" xfId="0" applyNumberFormat="1" applyFont="1"/>
    <xf numFmtId="41" fontId="14" fillId="6" borderId="0" xfId="0" applyNumberFormat="1" applyFont="1" applyFill="1"/>
    <xf numFmtId="0" fontId="0" fillId="0" borderId="5" xfId="0" applyBorder="1"/>
    <xf numFmtId="0" fontId="0" fillId="0" borderId="6" xfId="0" applyBorder="1"/>
    <xf numFmtId="175" fontId="0" fillId="0" borderId="0" xfId="0" applyNumberFormat="1"/>
    <xf numFmtId="175" fontId="0" fillId="0" borderId="5" xfId="0" applyNumberFormat="1" applyBorder="1"/>
    <xf numFmtId="175" fontId="0" fillId="0" borderId="7" xfId="0" applyNumberFormat="1" applyBorder="1"/>
    <xf numFmtId="175" fontId="0" fillId="0" borderId="8" xfId="0" applyNumberFormat="1" applyBorder="1"/>
    <xf numFmtId="0" fontId="4" fillId="0" borderId="0" xfId="0" applyFont="1" applyAlignment="1">
      <alignment horizontal="right"/>
    </xf>
    <xf numFmtId="175" fontId="0" fillId="6" borderId="0" xfId="0" applyNumberFormat="1" applyFill="1"/>
    <xf numFmtId="0" fontId="0" fillId="7" borderId="0" xfId="0" applyFill="1"/>
    <xf numFmtId="175" fontId="0" fillId="8" borderId="0" xfId="0" applyNumberFormat="1" applyFill="1"/>
    <xf numFmtId="175" fontId="0" fillId="8" borderId="5" xfId="0" applyNumberFormat="1" applyFill="1" applyBorder="1"/>
    <xf numFmtId="175" fontId="0" fillId="0" borderId="6" xfId="0" applyNumberFormat="1" applyBorder="1"/>
    <xf numFmtId="175" fontId="0" fillId="8" borderId="9" xfId="0" applyNumberFormat="1" applyFill="1" applyBorder="1"/>
    <xf numFmtId="43" fontId="0" fillId="6" borderId="0" xfId="0" applyNumberFormat="1" applyFill="1"/>
    <xf numFmtId="43" fontId="0" fillId="8" borderId="0" xfId="0" applyNumberFormat="1" applyFill="1"/>
    <xf numFmtId="43" fontId="0" fillId="8" borderId="5" xfId="0" applyNumberFormat="1" applyFill="1" applyBorder="1"/>
    <xf numFmtId="43" fontId="0" fillId="0" borderId="6" xfId="0" applyNumberFormat="1" applyBorder="1"/>
    <xf numFmtId="43" fontId="0" fillId="9" borderId="5" xfId="0" applyNumberFormat="1" applyFill="1" applyBorder="1"/>
    <xf numFmtId="43" fontId="0" fillId="10" borderId="5" xfId="0" applyNumberFormat="1" applyFill="1" applyBorder="1"/>
    <xf numFmtId="43" fontId="4" fillId="0" borderId="0" xfId="0" applyNumberFormat="1" applyFont="1"/>
    <xf numFmtId="43" fontId="0" fillId="0" borderId="5" xfId="0" applyNumberFormat="1" applyBorder="1"/>
    <xf numFmtId="175" fontId="4" fillId="0" borderId="5" xfId="0" applyNumberFormat="1" applyFont="1" applyBorder="1"/>
    <xf numFmtId="175" fontId="4" fillId="3" borderId="10" xfId="0" applyNumberFormat="1" applyFont="1" applyFill="1" applyBorder="1"/>
    <xf numFmtId="0" fontId="14" fillId="0" borderId="0" xfId="0" applyFont="1" applyAlignment="1">
      <alignment horizontal="right"/>
    </xf>
    <xf numFmtId="0" fontId="4" fillId="0" borderId="0" xfId="8"/>
    <xf numFmtId="173" fontId="4" fillId="0" borderId="0" xfId="8" applyNumberFormat="1"/>
    <xf numFmtId="176" fontId="4" fillId="0" borderId="0" xfId="8" applyNumberFormat="1"/>
    <xf numFmtId="173" fontId="4" fillId="0" borderId="0" xfId="8" applyNumberFormat="1" applyAlignment="1">
      <alignment horizontal="center"/>
    </xf>
    <xf numFmtId="41" fontId="4" fillId="0" borderId="0" xfId="8" applyNumberFormat="1"/>
    <xf numFmtId="41" fontId="4" fillId="0" borderId="0" xfId="9" applyNumberFormat="1"/>
    <xf numFmtId="171" fontId="0" fillId="0" borderId="0" xfId="2" applyNumberFormat="1" applyFont="1" applyBorder="1"/>
    <xf numFmtId="171" fontId="0" fillId="0" borderId="0" xfId="2" applyNumberFormat="1" applyFont="1" applyFill="1" applyBorder="1"/>
    <xf numFmtId="0" fontId="4" fillId="0" borderId="0" xfId="8" applyAlignment="1">
      <alignment horizontal="center"/>
    </xf>
    <xf numFmtId="171" fontId="0" fillId="0" borderId="0" xfId="2" applyNumberFormat="1" applyFont="1"/>
    <xf numFmtId="177" fontId="4" fillId="0" borderId="0" xfId="8" applyNumberFormat="1"/>
    <xf numFmtId="171" fontId="14" fillId="0" borderId="0" xfId="2" applyNumberFormat="1" applyFont="1"/>
    <xf numFmtId="0" fontId="4" fillId="0" borderId="11" xfId="8" applyBorder="1"/>
    <xf numFmtId="0" fontId="4" fillId="0" borderId="7" xfId="8" applyBorder="1"/>
    <xf numFmtId="0" fontId="4" fillId="0" borderId="8" xfId="8" applyBorder="1"/>
    <xf numFmtId="0" fontId="4" fillId="0" borderId="6" xfId="8" applyBorder="1"/>
    <xf numFmtId="0" fontId="4" fillId="0" borderId="1" xfId="8" applyBorder="1"/>
    <xf numFmtId="0" fontId="4" fillId="0" borderId="1" xfId="8" applyBorder="1" applyAlignment="1">
      <alignment horizontal="right"/>
    </xf>
    <xf numFmtId="0" fontId="14" fillId="0" borderId="1" xfId="8" applyFont="1" applyBorder="1" applyAlignment="1">
      <alignment horizontal="center"/>
    </xf>
    <xf numFmtId="0" fontId="4" fillId="0" borderId="5" xfId="8" applyBorder="1"/>
    <xf numFmtId="0" fontId="14" fillId="0" borderId="0" xfId="8" applyFont="1"/>
    <xf numFmtId="10" fontId="0" fillId="0" borderId="0" xfId="2" applyNumberFormat="1" applyFont="1" applyBorder="1"/>
    <xf numFmtId="0" fontId="4" fillId="0" borderId="12" xfId="8" applyBorder="1"/>
    <xf numFmtId="0" fontId="4" fillId="0" borderId="13" xfId="8" applyBorder="1"/>
    <xf numFmtId="0" fontId="4" fillId="0" borderId="0" xfId="8" applyAlignment="1">
      <alignment horizontal="right"/>
    </xf>
    <xf numFmtId="171" fontId="4" fillId="0" borderId="0" xfId="8" applyNumberFormat="1"/>
    <xf numFmtId="0" fontId="4" fillId="0" borderId="0" xfId="9"/>
    <xf numFmtId="173" fontId="4" fillId="0" borderId="0" xfId="9" applyNumberFormat="1"/>
    <xf numFmtId="176" fontId="4" fillId="0" borderId="0" xfId="9" applyNumberFormat="1"/>
    <xf numFmtId="176" fontId="4" fillId="0" borderId="0" xfId="9" applyNumberFormat="1" applyAlignment="1">
      <alignment horizontal="right"/>
    </xf>
    <xf numFmtId="0" fontId="4" fillId="0" borderId="1" xfId="9" applyBorder="1"/>
    <xf numFmtId="171" fontId="4" fillId="0" borderId="0" xfId="2" applyNumberFormat="1" applyFont="1" applyFill="1" applyBorder="1"/>
    <xf numFmtId="171" fontId="4" fillId="0" borderId="0" xfId="2" applyNumberFormat="1"/>
    <xf numFmtId="0" fontId="5" fillId="0" borderId="0" xfId="9" applyFont="1"/>
    <xf numFmtId="0" fontId="18" fillId="0" borderId="1" xfId="9" applyFont="1" applyBorder="1"/>
    <xf numFmtId="0" fontId="5" fillId="0" borderId="1" xfId="9" applyFont="1" applyBorder="1"/>
    <xf numFmtId="41" fontId="5" fillId="0" borderId="0" xfId="9" applyNumberFormat="1" applyFont="1"/>
    <xf numFmtId="171" fontId="5" fillId="11" borderId="0" xfId="2" applyNumberFormat="1" applyFont="1" applyFill="1"/>
    <xf numFmtId="171" fontId="5" fillId="0" borderId="0" xfId="2" applyNumberFormat="1" applyFont="1" applyFill="1" applyBorder="1"/>
    <xf numFmtId="171" fontId="5" fillId="11" borderId="0" xfId="2" applyNumberFormat="1" applyFont="1" applyFill="1" applyBorder="1"/>
    <xf numFmtId="171" fontId="5" fillId="0" borderId="0" xfId="2" applyNumberFormat="1" applyFont="1" applyFill="1"/>
    <xf numFmtId="171" fontId="5" fillId="0" borderId="0" xfId="2" applyNumberFormat="1" applyFont="1"/>
    <xf numFmtId="171" fontId="5" fillId="11" borderId="0" xfId="9" applyNumberFormat="1" applyFont="1" applyFill="1"/>
    <xf numFmtId="171" fontId="5" fillId="0" borderId="0" xfId="9" applyNumberFormat="1" applyFont="1"/>
    <xf numFmtId="41" fontId="5" fillId="12" borderId="0" xfId="9" applyNumberFormat="1" applyFont="1" applyFill="1"/>
    <xf numFmtId="178" fontId="5" fillId="0" borderId="0" xfId="9" applyNumberFormat="1" applyFont="1"/>
    <xf numFmtId="41" fontId="5" fillId="13" borderId="0" xfId="9" applyNumberFormat="1" applyFont="1" applyFill="1"/>
    <xf numFmtId="41" fontId="18" fillId="13" borderId="0" xfId="9" applyNumberFormat="1" applyFont="1" applyFill="1"/>
    <xf numFmtId="41" fontId="5" fillId="0" borderId="0" xfId="2" applyNumberFormat="1" applyFont="1" applyFill="1" applyBorder="1"/>
    <xf numFmtId="41" fontId="5" fillId="13" borderId="0" xfId="2" applyNumberFormat="1" applyFont="1" applyFill="1" applyBorder="1"/>
    <xf numFmtId="41" fontId="5" fillId="0" borderId="0" xfId="2" applyNumberFormat="1" applyFont="1"/>
    <xf numFmtId="0" fontId="19" fillId="0" borderId="0" xfId="6" applyFont="1" applyFill="1"/>
    <xf numFmtId="0" fontId="20" fillId="0" borderId="0" xfId="6" applyFont="1" applyFill="1"/>
    <xf numFmtId="41" fontId="20" fillId="0" borderId="0" xfId="6" applyNumberFormat="1" applyFont="1" applyFill="1"/>
    <xf numFmtId="0" fontId="5" fillId="12" borderId="0" xfId="9" applyFont="1" applyFill="1"/>
    <xf numFmtId="41" fontId="18" fillId="12" borderId="0" xfId="9" applyNumberFormat="1" applyFont="1" applyFill="1"/>
    <xf numFmtId="0" fontId="18" fillId="0" borderId="0" xfId="9" applyFont="1"/>
    <xf numFmtId="0" fontId="5" fillId="0" borderId="0" xfId="8" applyFont="1"/>
    <xf numFmtId="41" fontId="5" fillId="0" borderId="0" xfId="8" applyNumberFormat="1" applyFont="1"/>
    <xf numFmtId="9" fontId="5" fillId="0" borderId="0" xfId="2" applyFont="1"/>
    <xf numFmtId="41" fontId="5" fillId="12" borderId="0" xfId="8" applyNumberFormat="1" applyFont="1" applyFill="1"/>
    <xf numFmtId="41" fontId="18" fillId="12" borderId="0" xfId="8" applyNumberFormat="1" applyFont="1" applyFill="1"/>
    <xf numFmtId="41" fontId="21" fillId="12" borderId="0" xfId="8" applyNumberFormat="1" applyFont="1" applyFill="1"/>
    <xf numFmtId="10" fontId="0" fillId="13" borderId="0" xfId="2" applyNumberFormat="1" applyFont="1" applyFill="1"/>
    <xf numFmtId="10" fontId="14" fillId="13" borderId="0" xfId="2" applyNumberFormat="1" applyFont="1" applyFill="1"/>
    <xf numFmtId="41" fontId="4" fillId="8" borderId="0" xfId="9" applyNumberFormat="1" applyFill="1"/>
    <xf numFmtId="41" fontId="4" fillId="8" borderId="0" xfId="8" applyNumberFormat="1" applyFill="1"/>
    <xf numFmtId="41" fontId="14" fillId="8" borderId="0" xfId="9" applyNumberFormat="1" applyFont="1" applyFill="1"/>
    <xf numFmtId="171" fontId="0" fillId="13" borderId="0" xfId="2" applyNumberFormat="1" applyFont="1" applyFill="1"/>
    <xf numFmtId="10" fontId="0" fillId="8" borderId="0" xfId="2" applyNumberFormat="1" applyFont="1" applyFill="1" applyBorder="1"/>
    <xf numFmtId="10" fontId="4" fillId="13" borderId="0" xfId="2" applyNumberFormat="1" applyFont="1" applyFill="1"/>
    <xf numFmtId="0" fontId="22" fillId="2" borderId="0" xfId="0" applyFont="1" applyFill="1"/>
    <xf numFmtId="0" fontId="22" fillId="3" borderId="0" xfId="0" applyFont="1" applyFill="1"/>
    <xf numFmtId="0" fontId="15" fillId="2" borderId="0" xfId="0" applyFont="1" applyFill="1"/>
    <xf numFmtId="0" fontId="15" fillId="2" borderId="0" xfId="0" applyFont="1" applyFill="1" applyAlignment="1">
      <alignment horizontal="right"/>
    </xf>
    <xf numFmtId="0" fontId="22" fillId="0" borderId="0" xfId="0" applyFont="1"/>
    <xf numFmtId="166" fontId="6" fillId="0" borderId="0" xfId="1" applyNumberFormat="1" applyFont="1" applyFill="1"/>
    <xf numFmtId="0" fontId="6" fillId="0" borderId="0" xfId="0" applyFont="1" applyAlignment="1">
      <alignment horizontal="right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0" fontId="6" fillId="13" borderId="0" xfId="2" applyNumberFormat="1" applyFont="1" applyFill="1"/>
    <xf numFmtId="166" fontId="6" fillId="11" borderId="4" xfId="1" applyNumberFormat="1" applyFont="1" applyFill="1" applyBorder="1"/>
    <xf numFmtId="43" fontId="6" fillId="11" borderId="1" xfId="1" applyFont="1" applyFill="1" applyBorder="1"/>
    <xf numFmtId="165" fontId="6" fillId="12" borderId="1" xfId="0" quotePrefix="1" applyNumberFormat="1" applyFont="1" applyFill="1" applyBorder="1"/>
    <xf numFmtId="14" fontId="6" fillId="12" borderId="1" xfId="0" applyNumberFormat="1" applyFont="1" applyFill="1" applyBorder="1"/>
    <xf numFmtId="43" fontId="4" fillId="12" borderId="0" xfId="0" applyNumberFormat="1" applyFont="1" applyFill="1"/>
    <xf numFmtId="43" fontId="6" fillId="13" borderId="0" xfId="0" applyNumberFormat="1" applyFont="1" applyFill="1"/>
    <xf numFmtId="43" fontId="6" fillId="13" borderId="4" xfId="0" applyNumberFormat="1" applyFont="1" applyFill="1" applyBorder="1"/>
    <xf numFmtId="43" fontId="4" fillId="0" borderId="0" xfId="9" applyNumberFormat="1"/>
    <xf numFmtId="44" fontId="4" fillId="0" borderId="0" xfId="9" applyNumberFormat="1"/>
    <xf numFmtId="43" fontId="6" fillId="13" borderId="7" xfId="0" applyNumberFormat="1" applyFont="1" applyFill="1" applyBorder="1"/>
    <xf numFmtId="179" fontId="2" fillId="0" borderId="0" xfId="7" applyNumberFormat="1" applyFill="1"/>
    <xf numFmtId="43" fontId="4" fillId="12" borderId="0" xfId="9" applyNumberFormat="1" applyFill="1"/>
    <xf numFmtId="43" fontId="4" fillId="12" borderId="0" xfId="8" applyNumberFormat="1" applyFill="1"/>
    <xf numFmtId="43" fontId="23" fillId="12" borderId="0" xfId="7" applyNumberFormat="1" applyFont="1" applyFill="1"/>
    <xf numFmtId="179" fontId="23" fillId="0" borderId="0" xfId="7" applyNumberFormat="1" applyFont="1" applyFill="1"/>
    <xf numFmtId="166" fontId="6" fillId="2" borderId="0" xfId="1" applyNumberFormat="1" applyFont="1" applyFill="1" applyAlignment="1"/>
    <xf numFmtId="166" fontId="6" fillId="11" borderId="1" xfId="1" applyNumberFormat="1" applyFont="1" applyFill="1" applyBorder="1"/>
    <xf numFmtId="2" fontId="6" fillId="0" borderId="0" xfId="0" applyNumberFormat="1" applyFont="1"/>
    <xf numFmtId="8" fontId="6" fillId="11" borderId="0" xfId="0" applyNumberFormat="1" applyFont="1" applyFill="1"/>
    <xf numFmtId="164" fontId="6" fillId="8" borderId="0" xfId="0" applyNumberFormat="1" applyFont="1" applyFill="1"/>
    <xf numFmtId="164" fontId="6" fillId="11" borderId="0" xfId="0" applyNumberFormat="1" applyFont="1" applyFill="1"/>
    <xf numFmtId="164" fontId="6" fillId="11" borderId="1" xfId="0" applyNumberFormat="1" applyFont="1" applyFill="1" applyBorder="1"/>
    <xf numFmtId="41" fontId="6" fillId="11" borderId="0" xfId="0" applyNumberFormat="1" applyFont="1" applyFill="1"/>
    <xf numFmtId="43" fontId="4" fillId="0" borderId="4" xfId="0" applyNumberFormat="1" applyFont="1" applyBorder="1"/>
    <xf numFmtId="43" fontId="6" fillId="11" borderId="0" xfId="0" applyNumberFormat="1" applyFont="1" applyFill="1"/>
    <xf numFmtId="164" fontId="6" fillId="13" borderId="0" xfId="0" applyNumberFormat="1" applyFont="1" applyFill="1"/>
    <xf numFmtId="8" fontId="0" fillId="6" borderId="0" xfId="0" applyNumberFormat="1" applyFill="1"/>
    <xf numFmtId="43" fontId="0" fillId="9" borderId="0" xfId="0" applyNumberFormat="1" applyFill="1"/>
    <xf numFmtId="172" fontId="4" fillId="2" borderId="1" xfId="0" applyNumberFormat="1" applyFont="1" applyFill="1" applyBorder="1"/>
    <xf numFmtId="0" fontId="4" fillId="0" borderId="13" xfId="0" applyFont="1" applyBorder="1"/>
    <xf numFmtId="0" fontId="4" fillId="0" borderId="13" xfId="0" applyFont="1" applyBorder="1" applyAlignment="1">
      <alignment horizontal="center"/>
    </xf>
    <xf numFmtId="0" fontId="4" fillId="0" borderId="5" xfId="0" applyFont="1" applyBorder="1"/>
    <xf numFmtId="43" fontId="4" fillId="0" borderId="5" xfId="0" applyNumberFormat="1" applyFont="1" applyBorder="1"/>
    <xf numFmtId="43" fontId="4" fillId="12" borderId="5" xfId="0" applyNumberFormat="1" applyFont="1" applyFill="1" applyBorder="1"/>
    <xf numFmtId="44" fontId="4" fillId="0" borderId="5" xfId="9" applyNumberFormat="1" applyBorder="1"/>
    <xf numFmtId="43" fontId="4" fillId="0" borderId="14" xfId="0" applyNumberFormat="1" applyFont="1" applyBorder="1"/>
    <xf numFmtId="43" fontId="4" fillId="12" borderId="5" xfId="9" applyNumberFormat="1" applyFill="1" applyBorder="1"/>
    <xf numFmtId="43" fontId="4" fillId="12" borderId="5" xfId="8" applyNumberFormat="1" applyFill="1" applyBorder="1"/>
    <xf numFmtId="43" fontId="23" fillId="12" borderId="5" xfId="7" applyNumberFormat="1" applyFont="1" applyFill="1" applyBorder="1"/>
    <xf numFmtId="0" fontId="6" fillId="0" borderId="6" xfId="0" applyFont="1" applyBorder="1"/>
    <xf numFmtId="164" fontId="6" fillId="0" borderId="7" xfId="0" applyNumberFormat="1" applyFont="1" applyBorder="1"/>
    <xf numFmtId="43" fontId="4" fillId="0" borderId="0" xfId="8" applyNumberFormat="1"/>
    <xf numFmtId="43" fontId="1" fillId="12" borderId="0" xfId="7" applyNumberFormat="1" applyFont="1" applyFill="1"/>
    <xf numFmtId="43" fontId="2" fillId="12" borderId="0" xfId="7" applyNumberFormat="1" applyFill="1"/>
    <xf numFmtId="43" fontId="0" fillId="10" borderId="0" xfId="0" applyNumberFormat="1" applyFill="1"/>
    <xf numFmtId="175" fontId="4" fillId="0" borderId="0" xfId="0" applyNumberFormat="1" applyFont="1"/>
    <xf numFmtId="0" fontId="18" fillId="13" borderId="0" xfId="9" applyFont="1" applyFill="1"/>
    <xf numFmtId="164" fontId="6" fillId="0" borderId="0" xfId="0" applyNumberFormat="1" applyFont="1" applyAlignment="1">
      <alignment horizontal="center"/>
    </xf>
    <xf numFmtId="164" fontId="15" fillId="0" borderId="0" xfId="0" applyNumberFormat="1" applyFont="1" applyAlignment="1">
      <alignment horizontal="center"/>
    </xf>
    <xf numFmtId="164" fontId="15" fillId="0" borderId="0" xfId="0" applyNumberFormat="1" applyFont="1"/>
    <xf numFmtId="41" fontId="6" fillId="0" borderId="0" xfId="0" applyNumberFormat="1" applyFont="1"/>
    <xf numFmtId="41" fontId="6" fillId="0" borderId="0" xfId="1" applyNumberFormat="1" applyFont="1" applyFill="1" applyBorder="1"/>
    <xf numFmtId="41" fontId="18" fillId="0" borderId="0" xfId="8" applyNumberFormat="1" applyFont="1"/>
    <xf numFmtId="10" fontId="14" fillId="0" borderId="0" xfId="2" applyNumberFormat="1" applyFont="1" applyFill="1" applyBorder="1"/>
    <xf numFmtId="171" fontId="14" fillId="0" borderId="0" xfId="2" applyNumberFormat="1" applyFont="1" applyFill="1"/>
    <xf numFmtId="10" fontId="0" fillId="0" borderId="0" xfId="2" applyNumberFormat="1" applyFont="1" applyFill="1"/>
    <xf numFmtId="171" fontId="4" fillId="0" borderId="0" xfId="2" applyNumberFormat="1" applyFont="1"/>
    <xf numFmtId="0" fontId="14" fillId="0" borderId="1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180" fontId="0" fillId="0" borderId="0" xfId="0" applyNumberFormat="1"/>
    <xf numFmtId="180" fontId="0" fillId="0" borderId="6" xfId="0" applyNumberFormat="1" applyBorder="1"/>
    <xf numFmtId="180" fontId="0" fillId="0" borderId="7" xfId="0" applyNumberFormat="1" applyBorder="1"/>
    <xf numFmtId="180" fontId="0" fillId="0" borderId="5" xfId="0" applyNumberFormat="1" applyBorder="1"/>
    <xf numFmtId="180" fontId="0" fillId="6" borderId="0" xfId="0" applyNumberFormat="1" applyFill="1"/>
    <xf numFmtId="180" fontId="0" fillId="7" borderId="0" xfId="0" applyNumberFormat="1" applyFill="1"/>
    <xf numFmtId="180" fontId="0" fillId="8" borderId="0" xfId="0" applyNumberFormat="1" applyFill="1"/>
    <xf numFmtId="180" fontId="0" fillId="8" borderId="5" xfId="0" applyNumberFormat="1" applyFill="1" applyBorder="1"/>
    <xf numFmtId="180" fontId="4" fillId="0" borderId="0" xfId="0" applyNumberFormat="1" applyFont="1"/>
    <xf numFmtId="180" fontId="6" fillId="0" borderId="7" xfId="0" applyNumberFormat="1" applyFont="1" applyBorder="1"/>
    <xf numFmtId="180" fontId="0" fillId="0" borderId="11" xfId="0" applyNumberFormat="1" applyBorder="1"/>
    <xf numFmtId="180" fontId="0" fillId="3" borderId="0" xfId="0" applyNumberFormat="1" applyFill="1"/>
    <xf numFmtId="175" fontId="14" fillId="8" borderId="0" xfId="0" applyNumberFormat="1" applyFont="1" applyFill="1"/>
    <xf numFmtId="175" fontId="14" fillId="0" borderId="0" xfId="0" applyNumberFormat="1" applyFont="1"/>
    <xf numFmtId="175" fontId="14" fillId="8" borderId="5" xfId="0" applyNumberFormat="1" applyFont="1" applyFill="1" applyBorder="1"/>
    <xf numFmtId="0" fontId="6" fillId="0" borderId="1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1" xfId="0" applyFont="1" applyBorder="1"/>
    <xf numFmtId="0" fontId="6" fillId="0" borderId="7" xfId="0" applyFont="1" applyBorder="1"/>
    <xf numFmtId="0" fontId="6" fillId="0" borderId="8" xfId="0" applyFont="1" applyBorder="1"/>
    <xf numFmtId="0" fontId="15" fillId="0" borderId="12" xfId="0" applyFont="1" applyBorder="1"/>
    <xf numFmtId="0" fontId="6" fillId="0" borderId="5" xfId="0" applyFont="1" applyBorder="1"/>
    <xf numFmtId="180" fontId="6" fillId="0" borderId="0" xfId="0" applyNumberFormat="1" applyFont="1"/>
    <xf numFmtId="180" fontId="6" fillId="3" borderId="0" xfId="0" applyNumberFormat="1" applyFont="1" applyFill="1"/>
    <xf numFmtId="0" fontId="6" fillId="0" borderId="12" xfId="0" applyFont="1" applyBorder="1"/>
    <xf numFmtId="180" fontId="6" fillId="0" borderId="1" xfId="0" applyNumberFormat="1" applyFont="1" applyBorder="1"/>
    <xf numFmtId="0" fontId="6" fillId="0" borderId="13" xfId="0" applyFont="1" applyBorder="1"/>
    <xf numFmtId="3" fontId="5" fillId="12" borderId="0" xfId="9" applyNumberFormat="1" applyFont="1" applyFill="1"/>
    <xf numFmtId="8" fontId="4" fillId="12" borderId="0" xfId="9" applyNumberFormat="1" applyFill="1"/>
    <xf numFmtId="41" fontId="5" fillId="14" borderId="0" xfId="9" applyNumberFormat="1" applyFont="1" applyFill="1"/>
    <xf numFmtId="166" fontId="6" fillId="13" borderId="1" xfId="1" applyNumberFormat="1" applyFont="1" applyFill="1" applyBorder="1"/>
    <xf numFmtId="175" fontId="4" fillId="3" borderId="0" xfId="0" applyNumberFormat="1" applyFont="1" applyFill="1"/>
    <xf numFmtId="43" fontId="14" fillId="0" borderId="0" xfId="0" applyNumberFormat="1" applyFont="1"/>
    <xf numFmtId="0" fontId="24" fillId="0" borderId="0" xfId="0" applyFont="1"/>
    <xf numFmtId="0" fontId="10" fillId="3" borderId="1" xfId="0" applyFont="1" applyFill="1" applyBorder="1" applyAlignment="1">
      <alignment horizontal="center"/>
    </xf>
    <xf numFmtId="14" fontId="8" fillId="3" borderId="1" xfId="0" applyNumberFormat="1" applyFont="1" applyFill="1" applyBorder="1" applyAlignment="1">
      <alignment horizontal="center"/>
    </xf>
    <xf numFmtId="14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/>
    <xf numFmtId="167" fontId="5" fillId="0" borderId="0" xfId="1" applyNumberFormat="1" applyFont="1" applyFill="1" applyBorder="1"/>
    <xf numFmtId="43" fontId="5" fillId="0" borderId="4" xfId="0" applyNumberFormat="1" applyFont="1" applyBorder="1"/>
    <xf numFmtId="43" fontId="5" fillId="0" borderId="2" xfId="0" applyNumberFormat="1" applyFont="1" applyBorder="1"/>
    <xf numFmtId="43" fontId="5" fillId="0" borderId="0" xfId="0" applyNumberFormat="1" applyFont="1" applyBorder="1"/>
    <xf numFmtId="0" fontId="15" fillId="0" borderId="1" xfId="0" applyFont="1" applyBorder="1"/>
    <xf numFmtId="0" fontId="6" fillId="0" borderId="0" xfId="0" applyFont="1" applyBorder="1"/>
  </cellXfs>
  <cellStyles count="10">
    <cellStyle name="20% - Accent3" xfId="6" builtinId="38"/>
    <cellStyle name="40% - Accent6" xfId="7" builtinId="51"/>
    <cellStyle name="Comma" xfId="1" builtinId="3"/>
    <cellStyle name="Comma 2" xfId="3" xr:uid="{FB0E5B1F-25F2-4EB2-BE77-053C2345B9CD}"/>
    <cellStyle name="Currency 2" xfId="4" xr:uid="{9474C7EE-6C96-45A7-A894-FA09F5F09B09}"/>
    <cellStyle name="Normal" xfId="0" builtinId="0"/>
    <cellStyle name="Normal 2" xfId="5" xr:uid="{F5FBAF4B-F704-42B0-83F7-F482F38DAC39}"/>
    <cellStyle name="Normal 2 2" xfId="9" xr:uid="{B59E5DB8-FCFB-43F5-BBEC-41EC624A82FC}"/>
    <cellStyle name="Normal 3" xfId="8" xr:uid="{8F957649-1342-4ED5-8B2B-A74E45798FED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10" Type="http://schemas.openxmlformats.org/officeDocument/2006/relationships/externalLink" Target="externalLinks/externalLink1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723900</xdr:colOff>
      <xdr:row>44</xdr:row>
      <xdr:rowOff>7620</xdr:rowOff>
    </xdr:from>
    <xdr:to>
      <xdr:col>25</xdr:col>
      <xdr:colOff>7620</xdr:colOff>
      <xdr:row>47</xdr:row>
      <xdr:rowOff>15240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6B33EDDF-00F9-917B-B367-C3577D6E98A2}"/>
            </a:ext>
          </a:extLst>
        </xdr:cNvPr>
        <xdr:cNvCxnSpPr/>
      </xdr:nvCxnSpPr>
      <xdr:spPr>
        <a:xfrm flipH="1">
          <a:off x="8999220" y="8412480"/>
          <a:ext cx="2423160" cy="5791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38100</xdr:colOff>
      <xdr:row>36</xdr:row>
      <xdr:rowOff>0</xdr:rowOff>
    </xdr:from>
    <xdr:to>
      <xdr:col>24</xdr:col>
      <xdr:colOff>731520</xdr:colOff>
      <xdr:row>39</xdr:row>
      <xdr:rowOff>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3FE36540-2424-3A2C-5BD4-76D6E6B74F4B}"/>
            </a:ext>
          </a:extLst>
        </xdr:cNvPr>
        <xdr:cNvCxnSpPr/>
      </xdr:nvCxnSpPr>
      <xdr:spPr>
        <a:xfrm flipH="1">
          <a:off x="9052560" y="6880860"/>
          <a:ext cx="2354580" cy="5715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Rate%20Administration\Kentucky\Qtrly%20Filings\2007-05%20GCA%20Filing\KIS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Rate%20Administration\Kentucky\Cashout%20Developmen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Rate%20Administration\5-Jurisdictional%20Files\Kentucky\Cashouts\2008%20Cashouts\2008-11%20Cashout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tmosenergy-my.sharepoint.com/personal/christina_vo_atmosenergy_com/Documents/Desktop/KY%20GCA%20-%20Feb%202022%20Filing/Prior%20Filing/Revised/Exhibit%20C%20(Rates%20used%20in%20the%20Expected%20Gas%20Cost%20EGC%20Calculatio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Rate%20Administration\Kentucky\LVS%20Tariffs\LVS%20Development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0.1%20FA%20Files%20and%20Forms\0.0-FA%20Case%20files\0.1%20PGAs%20(Purchased%20Gas%20Adjustments)\Atmos\2024-00299\Atmos_Kentucky_GCA_Filing_2024.11_for_PSC.xlsx" TargetMode="External"/><Relationship Id="rId1" Type="http://schemas.openxmlformats.org/officeDocument/2006/relationships/externalLinkPath" Target="https://kymsoffice-my.sharepoint.com/personal/mitchell_pollard_ky_gov/Documents/Desktop/Atmos/2024-00299/Atmos_Kentucky_GCA_Filing_2024.11_for_PSC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tmosenergy-my.sharepoint.com/personal/christina_vo_atmosenergy_com/Documents/Desktop/KY%20GCA%20-%20Feb%202022%20Filing/Prior%20Filing/Revised/Exhibit%20D%20(Correction%20Factor%20CF%20Calculation)%20incl%20Oct-10%20Revised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homas%20Hartline\Navitas%20Utility%20Dropbox\Thomas%20Hartline\Accounting\PGA\Kentucky\KY%20PGA\2025\KY%20GCA%20250331%20-%2025-00204%20-%20not%20to%20be%20filed.xlsx" TargetMode="External"/><Relationship Id="rId1" Type="http://schemas.openxmlformats.org/officeDocument/2006/relationships/externalLinkPath" Target="/Users/Thomas%20Hartline/Navitas%20Utility%20Dropbox/Thomas%20Hartline/Accounting/PGA/Kentucky/KY%20PGA/2025/KY%20GCA%20250331%20-%2025-00204%20-%20not%20to%20be%20fil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book Contents"/>
      <sheetName val="Macros"/>
      <sheetName val="Documentation"/>
      <sheetName val="Filing Package"/>
      <sheetName val="1. MAIN INPUTS"/>
      <sheetName val="tbl Tariff Revisions"/>
      <sheetName val="2. VOLUMES"/>
      <sheetName val="Purchases Tex"/>
      <sheetName val="Purchases Ten"/>
      <sheetName val="Purchases Trk"/>
      <sheetName val="Cont. NO210"/>
      <sheetName val="Cont. NO340"/>
      <sheetName val="Cont. NO435"/>
      <sheetName val="Cont. 3770"/>
      <sheetName val="Cont. 3817"/>
      <sheetName val="Cont.3355"/>
      <sheetName val="Cont. 3355.1"/>
      <sheetName val="Cont. 3819"/>
      <sheetName val="Cont.9213"/>
      <sheetName val="Tex Res"/>
      <sheetName val="Cont. T13687"/>
      <sheetName val="Cont. 2546"/>
      <sheetName val="Cont. 2546.1"/>
      <sheetName val="Cont. 2548"/>
      <sheetName val="Cont. 2548.1"/>
      <sheetName val="Cont. 2550"/>
      <sheetName val="Cont. 2550.1"/>
      <sheetName val="Cont. 2551"/>
      <sheetName val="Cont. 2551.1"/>
      <sheetName val="Cont. 2385"/>
      <sheetName val="7. Trunkline Gas"/>
      <sheetName val="Cont. 014573"/>
      <sheetName val="Trunk Res Fee"/>
      <sheetName val="Trunk Supp Res Fee"/>
      <sheetName val="Trunk Rates"/>
      <sheetName val="3. GCA HISTORY"/>
      <sheetName val="gca G1"/>
      <sheetName val="gca G1 HLF"/>
      <sheetName val="gca LVS1"/>
      <sheetName val="gca LVS1 HLF"/>
      <sheetName val="gca G2"/>
      <sheetName val="gca LVS2"/>
      <sheetName val="gca T2 G1"/>
      <sheetName val="gca T2 G1 HLF"/>
      <sheetName val="gca T4"/>
      <sheetName val="gca T2 G2"/>
      <sheetName val="gca T3"/>
      <sheetName val="4. REFUNDS"/>
      <sheetName val="R_Sales"/>
      <sheetName val="R_Transport"/>
      <sheetName val="CF"/>
      <sheetName val="PBRRF"/>
      <sheetName val="5.RATES_WKG"/>
      <sheetName val="G 1"/>
      <sheetName val="G1_HLF"/>
      <sheetName val="LVS 1"/>
      <sheetName val="LVS 1_HLF"/>
      <sheetName val="G 2"/>
      <sheetName val="LVS 2"/>
      <sheetName val="T2_G1"/>
      <sheetName val="T2_G1_HLF"/>
      <sheetName val="T4"/>
      <sheetName val="T2_G2"/>
      <sheetName val="T3"/>
      <sheetName val="6. RATES_TEXAS"/>
      <sheetName val="NNS demand"/>
      <sheetName val="NNS commodity"/>
      <sheetName val="FT demand"/>
      <sheetName val="FT commodity"/>
      <sheetName val="Fuel"/>
      <sheetName val="Tex Cash"/>
      <sheetName val="7. RATES_TENN"/>
      <sheetName val="FT GS"/>
      <sheetName val="FT A"/>
      <sheetName val="FT G"/>
      <sheetName val="FT G C"/>
      <sheetName val="S S"/>
      <sheetName val="Fuel_tenn"/>
      <sheetName val="Ten Cash"/>
      <sheetName val="8. EXHIBITS"/>
      <sheetName val="Sheet 4"/>
      <sheetName val="Sheet 5"/>
      <sheetName val="Sheet 6"/>
      <sheetName val="A.1"/>
      <sheetName val="A.2"/>
      <sheetName val="A.3"/>
      <sheetName val="A.4"/>
      <sheetName val="A.5"/>
      <sheetName val="B.1"/>
      <sheetName val="B.2"/>
      <sheetName val="B.3"/>
      <sheetName val="B.4"/>
      <sheetName val="B.5"/>
      <sheetName val="B.6"/>
      <sheetName val="B.7"/>
      <sheetName val="B.8"/>
      <sheetName val="B.9"/>
      <sheetName val="B.10"/>
      <sheetName val="B.11"/>
      <sheetName val="C.12"/>
      <sheetName val="C.13"/>
      <sheetName val="E.1(PBR or Refund)"/>
      <sheetName val="E.1 Certificate"/>
      <sheetName val="F.1"/>
      <sheetName val="F.2"/>
      <sheetName val="Module1"/>
      <sheetName val="Module2"/>
      <sheetName val="Module3"/>
      <sheetName val="Module4"/>
    </sheetNames>
    <sheetDataSet>
      <sheetData sheetId="0">
        <row r="1">
          <cell r="A1" t="str">
            <v>Contents</v>
          </cell>
        </row>
      </sheetData>
      <sheetData sheetId="1"/>
      <sheetData sheetId="2"/>
      <sheetData sheetId="3"/>
      <sheetData sheetId="4">
        <row r="1">
          <cell r="F1">
            <v>39091</v>
          </cell>
        </row>
        <row r="2">
          <cell r="F2" t="str">
            <v>Draft</v>
          </cell>
        </row>
        <row r="5">
          <cell r="F5" t="str">
            <v>2006-00000</v>
          </cell>
          <cell r="J5" t="str">
            <v>2006-00428</v>
          </cell>
          <cell r="Q5" t="str">
            <v>2006-0</v>
          </cell>
        </row>
        <row r="7">
          <cell r="F7" t="str">
            <v>2006-00428</v>
          </cell>
        </row>
        <row r="9">
          <cell r="F9">
            <v>39114</v>
          </cell>
          <cell r="J9">
            <v>39022</v>
          </cell>
        </row>
        <row r="11">
          <cell r="F11" t="str">
            <v>For Month of February, 2007</v>
          </cell>
        </row>
        <row r="12">
          <cell r="F12" t="str">
            <v>February 1, 2007</v>
          </cell>
        </row>
        <row r="13">
          <cell r="F13" t="str">
            <v>Winter</v>
          </cell>
        </row>
        <row r="18">
          <cell r="F18">
            <v>39022</v>
          </cell>
          <cell r="J18">
            <v>39022</v>
          </cell>
        </row>
        <row r="19">
          <cell r="Q19" t="str">
            <v>2006-0</v>
          </cell>
        </row>
        <row r="21">
          <cell r="F21" t="str">
            <v>February 2004</v>
          </cell>
          <cell r="Q21" t="str">
            <v>February</v>
          </cell>
          <cell r="R21">
            <v>1</v>
          </cell>
          <cell r="S21">
            <v>107</v>
          </cell>
          <cell r="T21" t="str">
            <v>107</v>
          </cell>
        </row>
        <row r="22">
          <cell r="N22" t="str">
            <v>6</v>
          </cell>
        </row>
        <row r="23">
          <cell r="F23">
            <v>35004</v>
          </cell>
          <cell r="Q23">
            <v>10</v>
          </cell>
          <cell r="S23" t="str">
            <v>October</v>
          </cell>
          <cell r="T23" t="str">
            <v>95</v>
          </cell>
        </row>
        <row r="24">
          <cell r="F24">
            <v>34639</v>
          </cell>
        </row>
        <row r="27">
          <cell r="F27">
            <v>39479</v>
          </cell>
        </row>
        <row r="185">
          <cell r="H185" t="str">
            <v>January</v>
          </cell>
          <cell r="J185">
            <v>1</v>
          </cell>
          <cell r="K185" t="str">
            <v>Winter</v>
          </cell>
        </row>
        <row r="186">
          <cell r="H186" t="str">
            <v>February</v>
          </cell>
          <cell r="J186">
            <v>2</v>
          </cell>
          <cell r="K186" t="str">
            <v>Winter</v>
          </cell>
        </row>
        <row r="187">
          <cell r="H187" t="str">
            <v>March</v>
          </cell>
          <cell r="J187">
            <v>3</v>
          </cell>
          <cell r="K187" t="str">
            <v>Winter</v>
          </cell>
        </row>
        <row r="188">
          <cell r="H188" t="str">
            <v>April</v>
          </cell>
          <cell r="J188">
            <v>4</v>
          </cell>
          <cell r="K188" t="str">
            <v>Summer</v>
          </cell>
        </row>
        <row r="189">
          <cell r="H189" t="str">
            <v>May</v>
          </cell>
          <cell r="J189">
            <v>5</v>
          </cell>
          <cell r="K189" t="str">
            <v>Summer</v>
          </cell>
        </row>
        <row r="190">
          <cell r="H190" t="str">
            <v>June</v>
          </cell>
          <cell r="J190">
            <v>6</v>
          </cell>
          <cell r="K190" t="str">
            <v>Summer</v>
          </cell>
        </row>
        <row r="191">
          <cell r="H191" t="str">
            <v>July</v>
          </cell>
          <cell r="J191">
            <v>7</v>
          </cell>
          <cell r="K191" t="str">
            <v>Summer</v>
          </cell>
        </row>
        <row r="192">
          <cell r="H192" t="str">
            <v>August</v>
          </cell>
          <cell r="J192">
            <v>8</v>
          </cell>
          <cell r="K192" t="str">
            <v>Summer</v>
          </cell>
        </row>
        <row r="193">
          <cell r="H193" t="str">
            <v>September</v>
          </cell>
          <cell r="J193">
            <v>9</v>
          </cell>
          <cell r="K193" t="str">
            <v>Summer</v>
          </cell>
        </row>
        <row r="194">
          <cell r="H194" t="str">
            <v>October</v>
          </cell>
          <cell r="J194">
            <v>10</v>
          </cell>
          <cell r="K194" t="str">
            <v>Summer</v>
          </cell>
        </row>
        <row r="195">
          <cell r="H195" t="str">
            <v>November</v>
          </cell>
          <cell r="J195">
            <v>11</v>
          </cell>
          <cell r="K195" t="str">
            <v>Winter</v>
          </cell>
        </row>
        <row r="196">
          <cell r="H196" t="str">
            <v>December</v>
          </cell>
          <cell r="J196">
            <v>12</v>
          </cell>
          <cell r="K196" t="str">
            <v>Winter</v>
          </cell>
        </row>
      </sheetData>
      <sheetData sheetId="5">
        <row r="3">
          <cell r="A3" t="str">
            <v>Month</v>
          </cell>
        </row>
      </sheetData>
      <sheetData sheetId="6"/>
      <sheetData sheetId="7">
        <row r="9">
          <cell r="A9">
            <v>35065</v>
          </cell>
          <cell r="B9">
            <v>2742500</v>
          </cell>
          <cell r="C9">
            <v>741000</v>
          </cell>
          <cell r="D9">
            <v>40000</v>
          </cell>
          <cell r="E9">
            <v>3523500</v>
          </cell>
          <cell r="G9">
            <v>950000</v>
          </cell>
          <cell r="H9">
            <v>-20000</v>
          </cell>
          <cell r="I9">
            <v>930000</v>
          </cell>
          <cell r="K9">
            <v>-20000</v>
          </cell>
          <cell r="L9">
            <v>1100000</v>
          </cell>
          <cell r="M9">
            <v>1080000</v>
          </cell>
          <cell r="O9">
            <v>46400</v>
          </cell>
          <cell r="Q9">
            <v>5579900</v>
          </cell>
          <cell r="S9">
            <v>2</v>
          </cell>
          <cell r="T9">
            <v>1.0249999999999999</v>
          </cell>
        </row>
        <row r="10">
          <cell r="A10">
            <v>35096</v>
          </cell>
          <cell r="B10">
            <v>2728450</v>
          </cell>
          <cell r="C10">
            <v>693900</v>
          </cell>
          <cell r="D10">
            <v>10000</v>
          </cell>
          <cell r="E10">
            <v>3432350</v>
          </cell>
          <cell r="G10">
            <v>850000</v>
          </cell>
          <cell r="H10">
            <v>-10000</v>
          </cell>
          <cell r="I10">
            <v>840000</v>
          </cell>
          <cell r="K10">
            <v>0</v>
          </cell>
          <cell r="L10">
            <v>1000000</v>
          </cell>
          <cell r="M10">
            <v>1000000</v>
          </cell>
          <cell r="O10">
            <v>46400</v>
          </cell>
          <cell r="Q10">
            <v>5318750</v>
          </cell>
          <cell r="S10">
            <v>2.5</v>
          </cell>
          <cell r="T10">
            <v>1.0249999999999999</v>
          </cell>
        </row>
        <row r="11">
          <cell r="A11">
            <v>35125</v>
          </cell>
          <cell r="B11">
            <v>1844500</v>
          </cell>
          <cell r="C11">
            <v>682000</v>
          </cell>
          <cell r="D11">
            <v>0</v>
          </cell>
          <cell r="E11">
            <v>2526500</v>
          </cell>
          <cell r="G11">
            <v>334860</v>
          </cell>
          <cell r="H11">
            <v>0</v>
          </cell>
          <cell r="I11">
            <v>334860</v>
          </cell>
          <cell r="K11">
            <v>0</v>
          </cell>
          <cell r="L11">
            <v>500000</v>
          </cell>
          <cell r="M11">
            <v>500000</v>
          </cell>
          <cell r="O11">
            <v>25500</v>
          </cell>
          <cell r="Q11">
            <v>3386860</v>
          </cell>
          <cell r="S11">
            <v>2</v>
          </cell>
          <cell r="T11">
            <v>1.0249999999999999</v>
          </cell>
        </row>
        <row r="12">
          <cell r="A12">
            <v>35156</v>
          </cell>
          <cell r="B12">
            <v>852500</v>
          </cell>
          <cell r="C12">
            <v>465000</v>
          </cell>
          <cell r="D12">
            <v>750000</v>
          </cell>
          <cell r="E12">
            <v>2067500</v>
          </cell>
          <cell r="G12">
            <v>0</v>
          </cell>
          <cell r="H12">
            <v>-300000</v>
          </cell>
          <cell r="I12">
            <v>-300000</v>
          </cell>
          <cell r="K12">
            <v>-450000</v>
          </cell>
          <cell r="L12">
            <v>0</v>
          </cell>
          <cell r="M12">
            <v>-450000</v>
          </cell>
          <cell r="O12">
            <v>50000</v>
          </cell>
          <cell r="Q12">
            <v>1367500</v>
          </cell>
          <cell r="S12">
            <v>2.4</v>
          </cell>
          <cell r="T12">
            <v>1.0249999999999999</v>
          </cell>
        </row>
        <row r="13">
          <cell r="A13">
            <v>35186</v>
          </cell>
          <cell r="B13">
            <v>759500</v>
          </cell>
          <cell r="C13">
            <v>356500</v>
          </cell>
          <cell r="D13">
            <v>1200000</v>
          </cell>
          <cell r="E13">
            <v>2316000</v>
          </cell>
          <cell r="G13">
            <v>0</v>
          </cell>
          <cell r="H13">
            <v>-700000</v>
          </cell>
          <cell r="I13">
            <v>-700000</v>
          </cell>
          <cell r="K13">
            <v>-500000</v>
          </cell>
          <cell r="L13">
            <v>0</v>
          </cell>
          <cell r="M13">
            <v>-500000</v>
          </cell>
          <cell r="O13">
            <v>50000</v>
          </cell>
          <cell r="Q13">
            <v>1166000</v>
          </cell>
          <cell r="S13">
            <v>2.5</v>
          </cell>
          <cell r="T13">
            <v>1.0249999999999999</v>
          </cell>
        </row>
        <row r="14">
          <cell r="A14">
            <v>35217</v>
          </cell>
          <cell r="B14">
            <v>935000</v>
          </cell>
          <cell r="C14">
            <v>950000</v>
          </cell>
          <cell r="D14">
            <v>1350000</v>
          </cell>
          <cell r="E14">
            <v>3235000</v>
          </cell>
          <cell r="G14">
            <v>0</v>
          </cell>
          <cell r="H14">
            <v>-550000</v>
          </cell>
          <cell r="I14">
            <v>-550000</v>
          </cell>
          <cell r="K14">
            <v>-800000</v>
          </cell>
          <cell r="L14">
            <v>0</v>
          </cell>
          <cell r="M14">
            <v>-800000</v>
          </cell>
          <cell r="O14">
            <v>40000</v>
          </cell>
          <cell r="Q14">
            <v>1925000</v>
          </cell>
          <cell r="S14">
            <v>2.4500000000000002</v>
          </cell>
          <cell r="T14">
            <v>1.0249999999999999</v>
          </cell>
        </row>
        <row r="15">
          <cell r="A15">
            <v>35247</v>
          </cell>
          <cell r="B15">
            <v>595000</v>
          </cell>
          <cell r="C15">
            <v>155000</v>
          </cell>
          <cell r="D15">
            <v>180000</v>
          </cell>
          <cell r="E15">
            <v>930000</v>
          </cell>
          <cell r="G15">
            <v>0</v>
          </cell>
          <cell r="H15">
            <v>-180000</v>
          </cell>
          <cell r="I15">
            <v>-180000</v>
          </cell>
          <cell r="K15">
            <v>0</v>
          </cell>
          <cell r="L15">
            <v>0</v>
          </cell>
          <cell r="M15">
            <v>0</v>
          </cell>
          <cell r="O15">
            <v>40000</v>
          </cell>
          <cell r="Q15">
            <v>790000</v>
          </cell>
          <cell r="S15">
            <v>2.2999999999999998</v>
          </cell>
          <cell r="T15">
            <v>1.0249999999999999</v>
          </cell>
        </row>
        <row r="16">
          <cell r="A16">
            <v>35278</v>
          </cell>
          <cell r="B16">
            <v>329760</v>
          </cell>
          <cell r="C16">
            <v>155000</v>
          </cell>
          <cell r="D16">
            <v>1232000</v>
          </cell>
          <cell r="E16">
            <v>1716760</v>
          </cell>
          <cell r="G16">
            <v>0</v>
          </cell>
          <cell r="H16">
            <v>-669000</v>
          </cell>
          <cell r="I16">
            <v>-669000</v>
          </cell>
          <cell r="K16">
            <v>-563000</v>
          </cell>
          <cell r="L16">
            <v>0</v>
          </cell>
          <cell r="M16">
            <v>-563000</v>
          </cell>
          <cell r="O16">
            <v>40000</v>
          </cell>
          <cell r="Q16">
            <v>524760</v>
          </cell>
          <cell r="S16">
            <v>2.75</v>
          </cell>
          <cell r="T16">
            <v>1.0249999999999999</v>
          </cell>
        </row>
        <row r="17">
          <cell r="A17">
            <v>35309</v>
          </cell>
          <cell r="B17">
            <v>600000</v>
          </cell>
          <cell r="C17">
            <v>150000</v>
          </cell>
          <cell r="D17">
            <v>950000</v>
          </cell>
          <cell r="E17">
            <v>1700000</v>
          </cell>
          <cell r="G17">
            <v>0</v>
          </cell>
          <cell r="H17">
            <v>-354000</v>
          </cell>
          <cell r="I17">
            <v>-354000</v>
          </cell>
          <cell r="K17">
            <v>-596000</v>
          </cell>
          <cell r="L17">
            <v>0</v>
          </cell>
          <cell r="M17">
            <v>-596000</v>
          </cell>
          <cell r="O17">
            <v>40000</v>
          </cell>
          <cell r="Q17">
            <v>790000</v>
          </cell>
          <cell r="S17">
            <v>2.35</v>
          </cell>
          <cell r="T17">
            <v>1.0249999999999999</v>
          </cell>
        </row>
        <row r="18">
          <cell r="A18">
            <v>35339</v>
          </cell>
          <cell r="B18">
            <v>840000</v>
          </cell>
          <cell r="C18">
            <v>155000</v>
          </cell>
          <cell r="D18">
            <v>500000</v>
          </cell>
          <cell r="E18">
            <v>1495000</v>
          </cell>
          <cell r="G18">
            <v>0</v>
          </cell>
          <cell r="H18">
            <v>-200000</v>
          </cell>
          <cell r="I18">
            <v>-200000</v>
          </cell>
          <cell r="K18">
            <v>-300000</v>
          </cell>
          <cell r="L18">
            <v>0</v>
          </cell>
          <cell r="M18">
            <v>-300000</v>
          </cell>
          <cell r="O18">
            <v>40000</v>
          </cell>
          <cell r="Q18">
            <v>1035000</v>
          </cell>
          <cell r="S18">
            <v>2.15</v>
          </cell>
          <cell r="T18">
            <v>1.0249999999999999</v>
          </cell>
        </row>
        <row r="19">
          <cell r="A19">
            <v>35370</v>
          </cell>
          <cell r="B19">
            <v>796500</v>
          </cell>
          <cell r="C19">
            <v>150000</v>
          </cell>
          <cell r="D19">
            <v>125000</v>
          </cell>
          <cell r="E19">
            <v>1071500</v>
          </cell>
          <cell r="G19">
            <v>600000</v>
          </cell>
          <cell r="H19">
            <v>0</v>
          </cell>
          <cell r="I19">
            <v>600000</v>
          </cell>
          <cell r="K19">
            <v>-125000</v>
          </cell>
          <cell r="L19">
            <v>400000</v>
          </cell>
          <cell r="M19">
            <v>275000</v>
          </cell>
          <cell r="O19">
            <v>70000</v>
          </cell>
          <cell r="Q19">
            <v>2016500</v>
          </cell>
          <cell r="S19">
            <v>2.2999999999999998</v>
          </cell>
          <cell r="T19">
            <v>1.0249999999999999</v>
          </cell>
        </row>
        <row r="20">
          <cell r="A20">
            <v>35400</v>
          </cell>
          <cell r="B20">
            <v>1213000</v>
          </cell>
          <cell r="C20">
            <v>372000</v>
          </cell>
          <cell r="D20">
            <v>0</v>
          </cell>
          <cell r="E20">
            <v>1585000</v>
          </cell>
          <cell r="G20">
            <v>350000</v>
          </cell>
          <cell r="H20">
            <v>0</v>
          </cell>
          <cell r="I20">
            <v>350000</v>
          </cell>
          <cell r="K20">
            <v>0</v>
          </cell>
          <cell r="L20">
            <v>850000</v>
          </cell>
          <cell r="M20">
            <v>850000</v>
          </cell>
          <cell r="O20">
            <v>75000</v>
          </cell>
          <cell r="Q20">
            <v>2860000</v>
          </cell>
          <cell r="S20">
            <v>2.85</v>
          </cell>
          <cell r="T20">
            <v>1.0249999999999999</v>
          </cell>
        </row>
        <row r="21">
          <cell r="A21">
            <v>35431</v>
          </cell>
          <cell r="B21">
            <v>2068500</v>
          </cell>
          <cell r="C21">
            <v>573500</v>
          </cell>
          <cell r="D21">
            <v>0</v>
          </cell>
          <cell r="E21">
            <v>2642000</v>
          </cell>
          <cell r="G21">
            <v>1225000</v>
          </cell>
          <cell r="H21">
            <v>0</v>
          </cell>
          <cell r="I21">
            <v>1225000</v>
          </cell>
          <cell r="K21">
            <v>0</v>
          </cell>
          <cell r="L21">
            <v>850000</v>
          </cell>
          <cell r="M21">
            <v>850000</v>
          </cell>
          <cell r="O21">
            <v>0</v>
          </cell>
          <cell r="Q21">
            <v>4717000</v>
          </cell>
          <cell r="S21">
            <v>3.15</v>
          </cell>
          <cell r="T21">
            <v>1.0249999999999999</v>
          </cell>
        </row>
        <row r="22">
          <cell r="A22">
            <v>35462</v>
          </cell>
          <cell r="B22">
            <v>1410000</v>
          </cell>
          <cell r="C22">
            <v>686000</v>
          </cell>
          <cell r="D22">
            <v>0</v>
          </cell>
          <cell r="E22">
            <v>2096000</v>
          </cell>
          <cell r="G22">
            <v>798000</v>
          </cell>
          <cell r="H22">
            <v>0</v>
          </cell>
          <cell r="I22">
            <v>798000</v>
          </cell>
          <cell r="K22">
            <v>0</v>
          </cell>
          <cell r="L22">
            <v>980000</v>
          </cell>
          <cell r="M22">
            <v>980000</v>
          </cell>
          <cell r="O22">
            <v>55000</v>
          </cell>
          <cell r="Q22">
            <v>3929000</v>
          </cell>
          <cell r="S22">
            <v>3.3</v>
          </cell>
          <cell r="T22">
            <v>1.0249999999999999</v>
          </cell>
        </row>
        <row r="23">
          <cell r="A23">
            <v>35490</v>
          </cell>
          <cell r="B23">
            <v>1340000</v>
          </cell>
          <cell r="C23">
            <v>555000</v>
          </cell>
          <cell r="D23">
            <v>5000</v>
          </cell>
          <cell r="E23">
            <v>1900000</v>
          </cell>
          <cell r="G23">
            <v>410000</v>
          </cell>
          <cell r="H23">
            <v>0</v>
          </cell>
          <cell r="I23">
            <v>410000</v>
          </cell>
          <cell r="K23">
            <v>-5000</v>
          </cell>
          <cell r="L23">
            <v>495000</v>
          </cell>
          <cell r="M23">
            <v>490000</v>
          </cell>
          <cell r="O23">
            <v>0</v>
          </cell>
          <cell r="Q23">
            <v>2800000</v>
          </cell>
          <cell r="S23">
            <v>2.6</v>
          </cell>
          <cell r="T23">
            <v>1.0249999999999999</v>
          </cell>
        </row>
        <row r="24">
          <cell r="A24">
            <v>35521</v>
          </cell>
          <cell r="B24">
            <v>1150000</v>
          </cell>
          <cell r="C24">
            <v>550000</v>
          </cell>
          <cell r="D24">
            <v>150000</v>
          </cell>
          <cell r="E24">
            <v>1850000</v>
          </cell>
          <cell r="G24">
            <v>100000</v>
          </cell>
          <cell r="H24">
            <v>-100000</v>
          </cell>
          <cell r="I24">
            <v>0</v>
          </cell>
          <cell r="K24">
            <v>-150000</v>
          </cell>
          <cell r="L24">
            <v>100000</v>
          </cell>
          <cell r="M24">
            <v>-50000</v>
          </cell>
          <cell r="O24">
            <v>50000</v>
          </cell>
          <cell r="Q24">
            <v>1850000</v>
          </cell>
          <cell r="S24">
            <v>1.9</v>
          </cell>
          <cell r="T24">
            <v>1.0249999999999999</v>
          </cell>
        </row>
        <row r="25">
          <cell r="A25">
            <v>35551</v>
          </cell>
          <cell r="B25">
            <v>1200000</v>
          </cell>
          <cell r="C25">
            <v>425000</v>
          </cell>
          <cell r="D25">
            <v>1000000</v>
          </cell>
          <cell r="E25">
            <v>2625000</v>
          </cell>
          <cell r="G25">
            <v>0</v>
          </cell>
          <cell r="H25">
            <v>-650000</v>
          </cell>
          <cell r="I25">
            <v>-650000</v>
          </cell>
          <cell r="K25">
            <v>-350000</v>
          </cell>
          <cell r="L25">
            <v>0</v>
          </cell>
          <cell r="M25">
            <v>-350000</v>
          </cell>
          <cell r="O25">
            <v>10000</v>
          </cell>
          <cell r="Q25">
            <v>1635000</v>
          </cell>
          <cell r="S25">
            <v>1.75</v>
          </cell>
          <cell r="T25">
            <v>1.0249999999999999</v>
          </cell>
        </row>
        <row r="26">
          <cell r="A26">
            <v>35582</v>
          </cell>
          <cell r="B26">
            <v>1200000</v>
          </cell>
          <cell r="C26">
            <v>425000</v>
          </cell>
          <cell r="D26">
            <v>1090000</v>
          </cell>
          <cell r="E26">
            <v>2715000</v>
          </cell>
          <cell r="G26">
            <v>0</v>
          </cell>
          <cell r="H26">
            <v>-700000</v>
          </cell>
          <cell r="I26">
            <v>-700000</v>
          </cell>
          <cell r="K26">
            <v>-390000</v>
          </cell>
          <cell r="L26">
            <v>0</v>
          </cell>
          <cell r="M26">
            <v>-390000</v>
          </cell>
          <cell r="O26">
            <v>35000</v>
          </cell>
          <cell r="Q26">
            <v>1660000</v>
          </cell>
          <cell r="S26">
            <v>2</v>
          </cell>
          <cell r="T26">
            <v>1.0249999999999999</v>
          </cell>
        </row>
        <row r="27">
          <cell r="A27">
            <v>35612</v>
          </cell>
          <cell r="B27">
            <v>1375000</v>
          </cell>
          <cell r="C27">
            <v>350000</v>
          </cell>
          <cell r="D27">
            <v>1154000</v>
          </cell>
          <cell r="E27">
            <v>2879000</v>
          </cell>
          <cell r="G27">
            <v>0</v>
          </cell>
          <cell r="H27">
            <v>-630000</v>
          </cell>
          <cell r="I27">
            <v>-630000</v>
          </cell>
          <cell r="K27">
            <v>-524000</v>
          </cell>
          <cell r="L27">
            <v>0</v>
          </cell>
          <cell r="M27">
            <v>-524000</v>
          </cell>
          <cell r="O27">
            <v>0</v>
          </cell>
          <cell r="Q27">
            <v>1725000</v>
          </cell>
          <cell r="S27">
            <v>2.15</v>
          </cell>
          <cell r="T27">
            <v>1.0249999999999999</v>
          </cell>
        </row>
        <row r="28">
          <cell r="A28">
            <v>35643</v>
          </cell>
          <cell r="B28">
            <v>1465000</v>
          </cell>
          <cell r="C28">
            <v>365000</v>
          </cell>
          <cell r="D28">
            <v>1035000</v>
          </cell>
          <cell r="E28">
            <v>2865000</v>
          </cell>
          <cell r="G28">
            <v>0</v>
          </cell>
          <cell r="H28">
            <v>-535000</v>
          </cell>
          <cell r="I28">
            <v>-535000</v>
          </cell>
          <cell r="K28">
            <v>-500000</v>
          </cell>
          <cell r="L28">
            <v>0</v>
          </cell>
          <cell r="M28">
            <v>-500000</v>
          </cell>
          <cell r="O28">
            <v>0</v>
          </cell>
          <cell r="Q28">
            <v>1830000</v>
          </cell>
          <cell r="S28">
            <v>2.35</v>
          </cell>
          <cell r="T28">
            <v>1.0249999999999999</v>
          </cell>
        </row>
        <row r="29">
          <cell r="A29">
            <v>35674</v>
          </cell>
          <cell r="B29">
            <v>1555000</v>
          </cell>
          <cell r="C29">
            <v>365000</v>
          </cell>
          <cell r="D29">
            <v>800000</v>
          </cell>
          <cell r="E29">
            <v>2720000</v>
          </cell>
          <cell r="G29">
            <v>0</v>
          </cell>
          <cell r="H29">
            <v>-270000</v>
          </cell>
          <cell r="I29">
            <v>-270000</v>
          </cell>
          <cell r="K29">
            <v>-530000</v>
          </cell>
          <cell r="L29">
            <v>0</v>
          </cell>
          <cell r="M29">
            <v>-530000</v>
          </cell>
          <cell r="O29">
            <v>45000</v>
          </cell>
          <cell r="Q29">
            <v>1965000</v>
          </cell>
          <cell r="S29">
            <v>2.35</v>
          </cell>
          <cell r="T29">
            <v>1.0249999999999999</v>
          </cell>
        </row>
        <row r="30">
          <cell r="A30">
            <v>35704</v>
          </cell>
          <cell r="B30">
            <v>1670000</v>
          </cell>
          <cell r="C30">
            <v>365000</v>
          </cell>
          <cell r="D30">
            <v>773000</v>
          </cell>
          <cell r="E30">
            <v>2808000</v>
          </cell>
          <cell r="G30">
            <v>0</v>
          </cell>
          <cell r="H30">
            <v>-273000</v>
          </cell>
          <cell r="I30">
            <v>-273000</v>
          </cell>
          <cell r="K30">
            <v>-500000</v>
          </cell>
          <cell r="L30">
            <v>0</v>
          </cell>
          <cell r="M30">
            <v>-500000</v>
          </cell>
          <cell r="O30">
            <v>40000</v>
          </cell>
          <cell r="Q30">
            <v>2075000</v>
          </cell>
          <cell r="S30">
            <v>2.5499999999999998</v>
          </cell>
          <cell r="T30">
            <v>1.0249999999999999</v>
          </cell>
        </row>
        <row r="31">
          <cell r="A31">
            <v>35735</v>
          </cell>
          <cell r="B31">
            <v>1770000</v>
          </cell>
          <cell r="C31">
            <v>400000</v>
          </cell>
          <cell r="D31">
            <v>150000</v>
          </cell>
          <cell r="E31">
            <v>2320000</v>
          </cell>
          <cell r="G31">
            <v>90000</v>
          </cell>
          <cell r="H31">
            <v>0</v>
          </cell>
          <cell r="I31">
            <v>90000</v>
          </cell>
          <cell r="K31">
            <v>-150000</v>
          </cell>
          <cell r="L31">
            <v>100000</v>
          </cell>
          <cell r="M31">
            <v>-50000</v>
          </cell>
          <cell r="O31">
            <v>40000</v>
          </cell>
          <cell r="Q31">
            <v>2400000</v>
          </cell>
          <cell r="S31">
            <v>3.65</v>
          </cell>
          <cell r="T31">
            <v>1.0249999999999999</v>
          </cell>
        </row>
        <row r="32">
          <cell r="A32">
            <v>35765</v>
          </cell>
          <cell r="B32">
            <v>1015000</v>
          </cell>
          <cell r="C32">
            <v>400000</v>
          </cell>
          <cell r="D32">
            <v>0</v>
          </cell>
          <cell r="E32">
            <v>1415000</v>
          </cell>
          <cell r="G32">
            <v>1240000</v>
          </cell>
          <cell r="H32">
            <v>0</v>
          </cell>
          <cell r="I32">
            <v>1240000</v>
          </cell>
          <cell r="K32">
            <v>0</v>
          </cell>
          <cell r="L32">
            <v>625000</v>
          </cell>
          <cell r="M32">
            <v>625000</v>
          </cell>
          <cell r="O32">
            <v>40000</v>
          </cell>
          <cell r="Q32">
            <v>3320000</v>
          </cell>
          <cell r="S32">
            <v>3.98</v>
          </cell>
          <cell r="T32">
            <v>1.0249999999999999</v>
          </cell>
        </row>
        <row r="33">
          <cell r="A33">
            <v>35796</v>
          </cell>
          <cell r="B33">
            <v>1578000</v>
          </cell>
          <cell r="C33">
            <v>573500</v>
          </cell>
          <cell r="D33">
            <v>0</v>
          </cell>
          <cell r="E33">
            <v>2151500</v>
          </cell>
          <cell r="G33">
            <v>1137000</v>
          </cell>
          <cell r="H33">
            <v>0</v>
          </cell>
          <cell r="I33">
            <v>1137000</v>
          </cell>
          <cell r="K33">
            <v>0</v>
          </cell>
          <cell r="L33">
            <v>1297000</v>
          </cell>
          <cell r="M33">
            <v>1297000</v>
          </cell>
          <cell r="O33">
            <v>0</v>
          </cell>
          <cell r="Q33">
            <v>4585500</v>
          </cell>
          <cell r="S33">
            <v>3.48</v>
          </cell>
          <cell r="T33">
            <v>1.0249999999999999</v>
          </cell>
        </row>
        <row r="34">
          <cell r="A34">
            <v>35827</v>
          </cell>
          <cell r="B34">
            <v>1539000</v>
          </cell>
          <cell r="C34">
            <v>518000</v>
          </cell>
          <cell r="D34">
            <v>0</v>
          </cell>
          <cell r="E34">
            <v>2057000</v>
          </cell>
          <cell r="G34">
            <v>803475</v>
          </cell>
          <cell r="H34">
            <v>0</v>
          </cell>
          <cell r="I34">
            <v>803475</v>
          </cell>
          <cell r="K34">
            <v>0</v>
          </cell>
          <cell r="L34">
            <v>1100000</v>
          </cell>
          <cell r="M34">
            <v>1100000</v>
          </cell>
          <cell r="O34">
            <v>36000</v>
          </cell>
          <cell r="Q34">
            <v>3996475</v>
          </cell>
          <cell r="S34">
            <v>2.5</v>
          </cell>
          <cell r="T34">
            <v>1.0249999999999999</v>
          </cell>
        </row>
        <row r="35">
          <cell r="A35">
            <v>35855</v>
          </cell>
          <cell r="B35">
            <v>1250000</v>
          </cell>
          <cell r="C35">
            <v>418500</v>
          </cell>
          <cell r="D35">
            <v>0</v>
          </cell>
          <cell r="E35">
            <v>1668500</v>
          </cell>
          <cell r="G35">
            <v>284000</v>
          </cell>
          <cell r="H35">
            <v>0</v>
          </cell>
          <cell r="I35">
            <v>284000</v>
          </cell>
          <cell r="K35">
            <v>0</v>
          </cell>
          <cell r="L35">
            <v>800000</v>
          </cell>
          <cell r="M35">
            <v>800000</v>
          </cell>
          <cell r="O35">
            <v>39000</v>
          </cell>
          <cell r="Q35">
            <v>2791500</v>
          </cell>
          <cell r="S35">
            <v>2.23</v>
          </cell>
          <cell r="T35">
            <v>1.0249999999999999</v>
          </cell>
        </row>
        <row r="36">
          <cell r="A36">
            <v>35886</v>
          </cell>
          <cell r="B36">
            <v>810000</v>
          </cell>
          <cell r="C36">
            <v>330000</v>
          </cell>
          <cell r="D36">
            <v>446000</v>
          </cell>
          <cell r="E36">
            <v>1586000</v>
          </cell>
          <cell r="G36">
            <v>0</v>
          </cell>
          <cell r="H36">
            <v>-156000</v>
          </cell>
          <cell r="I36">
            <v>-156000</v>
          </cell>
          <cell r="K36">
            <v>-290000</v>
          </cell>
          <cell r="L36">
            <v>0</v>
          </cell>
          <cell r="M36">
            <v>-290000</v>
          </cell>
          <cell r="O36">
            <v>41000</v>
          </cell>
          <cell r="Q36">
            <v>1181000</v>
          </cell>
          <cell r="S36">
            <v>2.2599999999999998</v>
          </cell>
          <cell r="T36">
            <v>1.0249999999999999</v>
          </cell>
        </row>
        <row r="37">
          <cell r="A37">
            <v>35916</v>
          </cell>
          <cell r="B37">
            <v>488375</v>
          </cell>
          <cell r="C37">
            <v>116000</v>
          </cell>
          <cell r="D37">
            <v>1085000</v>
          </cell>
          <cell r="E37">
            <v>1689375</v>
          </cell>
          <cell r="G37">
            <v>0</v>
          </cell>
          <cell r="H37">
            <v>-575000</v>
          </cell>
          <cell r="I37">
            <v>-575000</v>
          </cell>
          <cell r="K37">
            <v>-510000</v>
          </cell>
          <cell r="L37">
            <v>0</v>
          </cell>
          <cell r="M37">
            <v>-510000</v>
          </cell>
          <cell r="O37">
            <v>37000</v>
          </cell>
          <cell r="Q37">
            <v>641375</v>
          </cell>
          <cell r="S37">
            <v>2.41</v>
          </cell>
          <cell r="T37">
            <v>1.0249999999999999</v>
          </cell>
        </row>
        <row r="38">
          <cell r="A38">
            <v>35947</v>
          </cell>
          <cell r="B38">
            <v>23853</v>
          </cell>
          <cell r="C38">
            <v>153120</v>
          </cell>
          <cell r="D38">
            <v>1407210</v>
          </cell>
          <cell r="E38">
            <v>1584183</v>
          </cell>
          <cell r="G38">
            <v>0</v>
          </cell>
          <cell r="H38">
            <v>-597210</v>
          </cell>
          <cell r="I38">
            <v>-597210</v>
          </cell>
          <cell r="K38">
            <v>-810000</v>
          </cell>
          <cell r="L38">
            <v>0</v>
          </cell>
          <cell r="M38">
            <v>-810000</v>
          </cell>
          <cell r="O38">
            <v>40000</v>
          </cell>
          <cell r="Q38">
            <v>216973</v>
          </cell>
          <cell r="S38">
            <v>2.4</v>
          </cell>
          <cell r="T38">
            <v>1.0249999999999999</v>
          </cell>
        </row>
        <row r="39">
          <cell r="A39">
            <v>35977</v>
          </cell>
          <cell r="B39">
            <v>0</v>
          </cell>
          <cell r="C39">
            <v>81617</v>
          </cell>
          <cell r="D39">
            <v>1157412</v>
          </cell>
          <cell r="E39">
            <v>1239029</v>
          </cell>
          <cell r="G39">
            <v>0</v>
          </cell>
          <cell r="H39">
            <v>-633800</v>
          </cell>
          <cell r="I39">
            <v>-633800</v>
          </cell>
          <cell r="K39">
            <v>-523612</v>
          </cell>
          <cell r="L39">
            <v>0</v>
          </cell>
          <cell r="M39">
            <v>-523612</v>
          </cell>
          <cell r="O39">
            <v>40000</v>
          </cell>
          <cell r="Q39">
            <v>121617</v>
          </cell>
          <cell r="S39">
            <v>2.2999999999999998</v>
          </cell>
          <cell r="T39">
            <v>1.0249999999999999</v>
          </cell>
        </row>
        <row r="40">
          <cell r="A40">
            <v>36008</v>
          </cell>
          <cell r="B40">
            <v>282638</v>
          </cell>
          <cell r="C40">
            <v>263500</v>
          </cell>
          <cell r="D40">
            <v>1148606</v>
          </cell>
          <cell r="E40">
            <v>1694744</v>
          </cell>
          <cell r="G40">
            <v>0</v>
          </cell>
          <cell r="H40">
            <v>-644006</v>
          </cell>
          <cell r="I40">
            <v>-644006</v>
          </cell>
          <cell r="K40">
            <v>-504600</v>
          </cell>
          <cell r="L40">
            <v>0</v>
          </cell>
          <cell r="M40">
            <v>-504600</v>
          </cell>
          <cell r="O40">
            <v>41600</v>
          </cell>
          <cell r="Q40">
            <v>587738</v>
          </cell>
          <cell r="S40">
            <v>2.4500000000000002</v>
          </cell>
          <cell r="T40">
            <v>1.0249999999999999</v>
          </cell>
        </row>
        <row r="41">
          <cell r="A41">
            <v>36039</v>
          </cell>
          <cell r="B41">
            <v>323133</v>
          </cell>
          <cell r="C41">
            <v>255000</v>
          </cell>
          <cell r="D41">
            <v>710559</v>
          </cell>
          <cell r="E41">
            <v>1288692</v>
          </cell>
          <cell r="G41">
            <v>0</v>
          </cell>
          <cell r="H41">
            <v>-342359</v>
          </cell>
          <cell r="I41">
            <v>-342359</v>
          </cell>
          <cell r="K41">
            <v>-368200</v>
          </cell>
          <cell r="L41">
            <v>0</v>
          </cell>
          <cell r="M41">
            <v>-368200</v>
          </cell>
          <cell r="O41">
            <v>35000</v>
          </cell>
          <cell r="Q41">
            <v>613133</v>
          </cell>
          <cell r="S41">
            <v>2.15</v>
          </cell>
          <cell r="T41">
            <v>1.0249999999999999</v>
          </cell>
        </row>
        <row r="42">
          <cell r="A42">
            <v>36069</v>
          </cell>
          <cell r="B42">
            <v>1036843</v>
          </cell>
          <cell r="C42">
            <v>258500</v>
          </cell>
          <cell r="D42">
            <v>434000</v>
          </cell>
          <cell r="E42">
            <v>1729343</v>
          </cell>
          <cell r="G42">
            <v>0</v>
          </cell>
          <cell r="H42">
            <v>-303000</v>
          </cell>
          <cell r="I42">
            <v>-303000</v>
          </cell>
          <cell r="K42">
            <v>-131000</v>
          </cell>
          <cell r="L42">
            <v>0</v>
          </cell>
          <cell r="M42">
            <v>-131000</v>
          </cell>
          <cell r="O42">
            <v>35000</v>
          </cell>
          <cell r="Q42">
            <v>1330343</v>
          </cell>
          <cell r="S42">
            <v>2.15</v>
          </cell>
          <cell r="T42">
            <v>1.0249999999999999</v>
          </cell>
        </row>
        <row r="43">
          <cell r="A43">
            <v>36100</v>
          </cell>
          <cell r="B43">
            <v>2196500</v>
          </cell>
          <cell r="C43">
            <v>258500</v>
          </cell>
          <cell r="D43">
            <v>-750000</v>
          </cell>
          <cell r="E43">
            <v>1705000</v>
          </cell>
          <cell r="G43">
            <v>450000</v>
          </cell>
          <cell r="H43">
            <v>0</v>
          </cell>
          <cell r="I43">
            <v>450000</v>
          </cell>
          <cell r="K43">
            <v>0</v>
          </cell>
          <cell r="L43">
            <v>300000</v>
          </cell>
          <cell r="M43">
            <v>300000</v>
          </cell>
          <cell r="O43">
            <v>35000</v>
          </cell>
          <cell r="Q43">
            <v>2490000</v>
          </cell>
          <cell r="S43">
            <v>2.5099999999999998</v>
          </cell>
          <cell r="T43">
            <v>1.0249999999999999</v>
          </cell>
        </row>
        <row r="44">
          <cell r="A44">
            <v>36130</v>
          </cell>
          <cell r="B44">
            <v>2817726</v>
          </cell>
          <cell r="C44">
            <v>258500</v>
          </cell>
          <cell r="D44">
            <v>-1900000</v>
          </cell>
          <cell r="E44">
            <v>1176226</v>
          </cell>
          <cell r="G44">
            <v>1000000</v>
          </cell>
          <cell r="H44">
            <v>0</v>
          </cell>
          <cell r="I44">
            <v>1000000</v>
          </cell>
          <cell r="K44">
            <v>0</v>
          </cell>
          <cell r="L44">
            <v>900000</v>
          </cell>
          <cell r="M44">
            <v>900000</v>
          </cell>
          <cell r="O44">
            <v>35000</v>
          </cell>
          <cell r="Q44">
            <v>3111226</v>
          </cell>
          <cell r="S44">
            <v>2.37</v>
          </cell>
          <cell r="T44">
            <v>1.0249999999999999</v>
          </cell>
        </row>
        <row r="45">
          <cell r="A45">
            <v>36161</v>
          </cell>
          <cell r="B45">
            <v>4145720</v>
          </cell>
          <cell r="C45">
            <v>258500</v>
          </cell>
          <cell r="D45">
            <v>-1900000</v>
          </cell>
          <cell r="E45">
            <v>2504220</v>
          </cell>
          <cell r="G45">
            <v>1000000</v>
          </cell>
          <cell r="H45">
            <v>0</v>
          </cell>
          <cell r="I45">
            <v>1000000</v>
          </cell>
          <cell r="K45">
            <v>0</v>
          </cell>
          <cell r="L45">
            <v>900000</v>
          </cell>
          <cell r="M45">
            <v>900000</v>
          </cell>
          <cell r="O45">
            <v>35000</v>
          </cell>
          <cell r="Q45">
            <v>4439220</v>
          </cell>
          <cell r="S45">
            <v>2.25</v>
          </cell>
          <cell r="T45">
            <v>1.0249999999999999</v>
          </cell>
        </row>
        <row r="46">
          <cell r="A46">
            <v>36192</v>
          </cell>
          <cell r="B46">
            <v>3410080</v>
          </cell>
          <cell r="C46">
            <v>258500</v>
          </cell>
          <cell r="D46">
            <v>-1650000</v>
          </cell>
          <cell r="E46">
            <v>2018580</v>
          </cell>
          <cell r="G46">
            <v>850000</v>
          </cell>
          <cell r="H46">
            <v>0</v>
          </cell>
          <cell r="I46">
            <v>850000</v>
          </cell>
          <cell r="K46">
            <v>0</v>
          </cell>
          <cell r="L46">
            <v>800000</v>
          </cell>
          <cell r="M46">
            <v>800000</v>
          </cell>
          <cell r="O46">
            <v>35000</v>
          </cell>
          <cell r="Q46">
            <v>3703580</v>
          </cell>
          <cell r="S46">
            <v>1.81</v>
          </cell>
          <cell r="T46">
            <v>1.0249999999999999</v>
          </cell>
        </row>
        <row r="47">
          <cell r="A47">
            <v>36220</v>
          </cell>
          <cell r="B47">
            <v>2624216</v>
          </cell>
          <cell r="C47">
            <v>263500</v>
          </cell>
          <cell r="D47">
            <v>-862500</v>
          </cell>
          <cell r="E47">
            <v>2025216</v>
          </cell>
          <cell r="G47">
            <v>425500</v>
          </cell>
          <cell r="H47">
            <v>0</v>
          </cell>
          <cell r="I47">
            <v>425500</v>
          </cell>
          <cell r="K47">
            <v>0</v>
          </cell>
          <cell r="L47">
            <v>437000</v>
          </cell>
          <cell r="M47">
            <v>437000</v>
          </cell>
          <cell r="O47">
            <v>22500</v>
          </cell>
          <cell r="Q47">
            <v>2910216</v>
          </cell>
          <cell r="S47">
            <v>1.77</v>
          </cell>
          <cell r="T47">
            <v>1.0249999999999999</v>
          </cell>
        </row>
        <row r="48">
          <cell r="A48">
            <v>36251</v>
          </cell>
          <cell r="B48">
            <v>1384213</v>
          </cell>
          <cell r="C48">
            <v>258500</v>
          </cell>
          <cell r="D48">
            <v>446000</v>
          </cell>
          <cell r="E48">
            <v>2088713</v>
          </cell>
          <cell r="G48">
            <v>0</v>
          </cell>
          <cell r="H48">
            <v>-156000</v>
          </cell>
          <cell r="I48">
            <v>-156000</v>
          </cell>
          <cell r="K48">
            <v>-290000</v>
          </cell>
          <cell r="L48">
            <v>0</v>
          </cell>
          <cell r="M48">
            <v>-290000</v>
          </cell>
          <cell r="O48">
            <v>21000</v>
          </cell>
          <cell r="Q48">
            <v>1663713</v>
          </cell>
          <cell r="S48">
            <v>1.75</v>
          </cell>
          <cell r="T48">
            <v>1.0249999999999999</v>
          </cell>
        </row>
        <row r="49">
          <cell r="A49">
            <v>36281</v>
          </cell>
          <cell r="B49">
            <v>735665</v>
          </cell>
          <cell r="C49">
            <v>258500</v>
          </cell>
          <cell r="D49">
            <v>1229000</v>
          </cell>
          <cell r="E49">
            <v>2223165</v>
          </cell>
          <cell r="G49">
            <v>0</v>
          </cell>
          <cell r="H49">
            <v>-657000</v>
          </cell>
          <cell r="I49">
            <v>-657000</v>
          </cell>
          <cell r="K49">
            <v>-572000</v>
          </cell>
          <cell r="L49">
            <v>0</v>
          </cell>
          <cell r="M49">
            <v>-572000</v>
          </cell>
          <cell r="O49">
            <v>21000</v>
          </cell>
          <cell r="Q49">
            <v>1015165</v>
          </cell>
          <cell r="S49">
            <v>1.66</v>
          </cell>
          <cell r="T49">
            <v>1.0249999999999999</v>
          </cell>
        </row>
        <row r="50">
          <cell r="A50">
            <v>36312</v>
          </cell>
          <cell r="B50">
            <v>559048</v>
          </cell>
          <cell r="C50">
            <v>255000</v>
          </cell>
          <cell r="D50">
            <v>1306000</v>
          </cell>
          <cell r="E50">
            <v>2120048</v>
          </cell>
          <cell r="G50">
            <v>0</v>
          </cell>
          <cell r="H50">
            <v>-708000</v>
          </cell>
          <cell r="I50">
            <v>-708000</v>
          </cell>
          <cell r="K50">
            <v>-598000</v>
          </cell>
          <cell r="L50">
            <v>0</v>
          </cell>
          <cell r="M50">
            <v>-598000</v>
          </cell>
          <cell r="O50">
            <v>20000</v>
          </cell>
          <cell r="Q50">
            <v>834048</v>
          </cell>
          <cell r="S50">
            <v>2.0499999999999998</v>
          </cell>
          <cell r="T50">
            <v>1.0249999999999999</v>
          </cell>
        </row>
        <row r="51">
          <cell r="A51">
            <v>36342</v>
          </cell>
          <cell r="B51">
            <v>420527</v>
          </cell>
          <cell r="C51">
            <v>263500</v>
          </cell>
          <cell r="D51">
            <v>1313000</v>
          </cell>
          <cell r="E51">
            <v>1997027</v>
          </cell>
          <cell r="G51">
            <v>0</v>
          </cell>
          <cell r="H51">
            <v>-719000</v>
          </cell>
          <cell r="I51">
            <v>-719000</v>
          </cell>
          <cell r="K51">
            <v>-594000</v>
          </cell>
          <cell r="L51">
            <v>0</v>
          </cell>
          <cell r="M51">
            <v>-594000</v>
          </cell>
          <cell r="O51">
            <v>19000</v>
          </cell>
          <cell r="Q51">
            <v>703027</v>
          </cell>
          <cell r="S51">
            <v>2.34</v>
          </cell>
          <cell r="T51">
            <v>1.0249999999999999</v>
          </cell>
        </row>
        <row r="52">
          <cell r="A52">
            <v>36373</v>
          </cell>
          <cell r="B52">
            <v>403116</v>
          </cell>
          <cell r="C52">
            <v>263500</v>
          </cell>
          <cell r="D52">
            <v>1174000</v>
          </cell>
          <cell r="E52">
            <v>1840616</v>
          </cell>
          <cell r="G52">
            <v>0</v>
          </cell>
          <cell r="H52">
            <v>-606000</v>
          </cell>
          <cell r="I52">
            <v>-606000</v>
          </cell>
          <cell r="K52">
            <v>-568000</v>
          </cell>
          <cell r="L52">
            <v>0</v>
          </cell>
          <cell r="M52">
            <v>-568000</v>
          </cell>
          <cell r="O52">
            <v>18000</v>
          </cell>
          <cell r="Q52">
            <v>684616</v>
          </cell>
          <cell r="S52">
            <v>2.1500000000000004</v>
          </cell>
          <cell r="T52">
            <v>1.0249999999999999</v>
          </cell>
        </row>
        <row r="53">
          <cell r="A53">
            <v>36404</v>
          </cell>
          <cell r="B53">
            <v>511029</v>
          </cell>
          <cell r="C53">
            <v>263500</v>
          </cell>
          <cell r="D53">
            <v>905000</v>
          </cell>
          <cell r="E53">
            <v>1679529</v>
          </cell>
          <cell r="G53">
            <v>0</v>
          </cell>
          <cell r="H53">
            <v>-303000</v>
          </cell>
          <cell r="I53">
            <v>-303000</v>
          </cell>
          <cell r="K53">
            <v>-602000</v>
          </cell>
          <cell r="L53">
            <v>0</v>
          </cell>
          <cell r="M53">
            <v>-602000</v>
          </cell>
          <cell r="O53">
            <v>20000</v>
          </cell>
          <cell r="Q53">
            <v>794529</v>
          </cell>
          <cell r="S53">
            <v>2.1500000000000004</v>
          </cell>
          <cell r="T53">
            <v>1.0249999999999999</v>
          </cell>
        </row>
        <row r="54">
          <cell r="A54">
            <v>36434</v>
          </cell>
          <cell r="B54">
            <v>1052461</v>
          </cell>
          <cell r="C54">
            <v>263500</v>
          </cell>
          <cell r="D54">
            <v>435000</v>
          </cell>
          <cell r="E54">
            <v>1750961</v>
          </cell>
          <cell r="G54">
            <v>0</v>
          </cell>
          <cell r="H54">
            <v>-303000</v>
          </cell>
          <cell r="I54">
            <v>-303000</v>
          </cell>
          <cell r="K54">
            <v>-132000</v>
          </cell>
          <cell r="L54">
            <v>0</v>
          </cell>
          <cell r="M54">
            <v>-132000</v>
          </cell>
          <cell r="O54">
            <v>25000</v>
          </cell>
          <cell r="Q54">
            <v>1340961</v>
          </cell>
          <cell r="S54">
            <v>2.4</v>
          </cell>
          <cell r="T54">
            <v>1.0249999999999999</v>
          </cell>
        </row>
        <row r="55">
          <cell r="A55">
            <v>36465</v>
          </cell>
          <cell r="B55">
            <v>1375000</v>
          </cell>
          <cell r="C55">
            <v>1015000</v>
          </cell>
          <cell r="D55">
            <v>-1000000</v>
          </cell>
          <cell r="E55">
            <v>1390000</v>
          </cell>
          <cell r="G55">
            <v>600000</v>
          </cell>
          <cell r="H55">
            <v>0</v>
          </cell>
          <cell r="I55">
            <v>600000</v>
          </cell>
          <cell r="K55">
            <v>0</v>
          </cell>
          <cell r="L55">
            <v>400000</v>
          </cell>
          <cell r="M55">
            <v>400000</v>
          </cell>
          <cell r="O55">
            <v>20000</v>
          </cell>
          <cell r="Q55">
            <v>2410000</v>
          </cell>
          <cell r="S55">
            <v>2.75</v>
          </cell>
          <cell r="T55">
            <v>1.0249999999999999</v>
          </cell>
        </row>
        <row r="56">
          <cell r="A56">
            <v>36495</v>
          </cell>
          <cell r="B56">
            <v>2358500</v>
          </cell>
          <cell r="C56">
            <v>1355500</v>
          </cell>
          <cell r="D56">
            <v>-1800000</v>
          </cell>
          <cell r="E56">
            <v>1914000</v>
          </cell>
          <cell r="G56">
            <v>1080000</v>
          </cell>
          <cell r="H56">
            <v>0</v>
          </cell>
          <cell r="I56">
            <v>1080000</v>
          </cell>
          <cell r="K56">
            <v>0</v>
          </cell>
          <cell r="L56">
            <v>720000</v>
          </cell>
          <cell r="M56">
            <v>720000</v>
          </cell>
          <cell r="O56">
            <v>20000</v>
          </cell>
          <cell r="Q56">
            <v>3734000</v>
          </cell>
          <cell r="S56">
            <v>2.75</v>
          </cell>
          <cell r="T56">
            <v>1.0249999999999999</v>
          </cell>
        </row>
        <row r="57">
          <cell r="A57">
            <v>36526</v>
          </cell>
          <cell r="B57">
            <v>3018500</v>
          </cell>
          <cell r="C57">
            <v>1355500</v>
          </cell>
          <cell r="D57">
            <v>-1800000</v>
          </cell>
          <cell r="E57">
            <v>2574000</v>
          </cell>
          <cell r="G57">
            <v>1080000</v>
          </cell>
          <cell r="H57">
            <v>0</v>
          </cell>
          <cell r="I57">
            <v>1080000</v>
          </cell>
          <cell r="K57">
            <v>0</v>
          </cell>
          <cell r="L57">
            <v>720000</v>
          </cell>
          <cell r="M57">
            <v>720000</v>
          </cell>
          <cell r="O57">
            <v>35000</v>
          </cell>
          <cell r="Q57">
            <v>4409000</v>
          </cell>
          <cell r="S57">
            <v>2.5750000000000002</v>
          </cell>
          <cell r="T57">
            <v>1.0249999999999999</v>
          </cell>
        </row>
        <row r="58">
          <cell r="A58">
            <v>36557</v>
          </cell>
          <cell r="B58">
            <v>2311500</v>
          </cell>
          <cell r="C58">
            <v>1314500</v>
          </cell>
          <cell r="D58">
            <v>-1800000</v>
          </cell>
          <cell r="E58">
            <v>1826000</v>
          </cell>
          <cell r="G58">
            <v>1080000</v>
          </cell>
          <cell r="H58">
            <v>0</v>
          </cell>
          <cell r="I58">
            <v>1080000</v>
          </cell>
          <cell r="K58">
            <v>0</v>
          </cell>
          <cell r="L58">
            <v>720000</v>
          </cell>
          <cell r="M58">
            <v>720000</v>
          </cell>
          <cell r="O58">
            <v>35000</v>
          </cell>
          <cell r="Q58">
            <v>3661000</v>
          </cell>
          <cell r="S58">
            <v>2.75</v>
          </cell>
          <cell r="T58">
            <v>1.0249999999999999</v>
          </cell>
        </row>
        <row r="59">
          <cell r="A59">
            <v>36586</v>
          </cell>
          <cell r="B59">
            <v>930500</v>
          </cell>
          <cell r="C59">
            <v>1295500</v>
          </cell>
          <cell r="D59">
            <v>-1100000</v>
          </cell>
          <cell r="E59">
            <v>1126000</v>
          </cell>
          <cell r="G59">
            <v>660000</v>
          </cell>
          <cell r="H59">
            <v>0</v>
          </cell>
          <cell r="I59">
            <v>660000</v>
          </cell>
          <cell r="K59">
            <v>0</v>
          </cell>
          <cell r="L59">
            <v>440000</v>
          </cell>
          <cell r="M59">
            <v>440000</v>
          </cell>
          <cell r="O59">
            <v>22500</v>
          </cell>
          <cell r="Q59">
            <v>2248500</v>
          </cell>
          <cell r="S59">
            <v>2.75</v>
          </cell>
          <cell r="T59">
            <v>1.0249999999999999</v>
          </cell>
        </row>
        <row r="60">
          <cell r="A60">
            <v>36617</v>
          </cell>
          <cell r="B60">
            <v>1235000</v>
          </cell>
          <cell r="C60">
            <v>915000</v>
          </cell>
          <cell r="D60">
            <v>-600000</v>
          </cell>
          <cell r="E60">
            <v>1550000</v>
          </cell>
          <cell r="G60">
            <v>300000</v>
          </cell>
          <cell r="H60">
            <v>0</v>
          </cell>
          <cell r="I60">
            <v>300000</v>
          </cell>
          <cell r="K60">
            <v>0</v>
          </cell>
          <cell r="L60">
            <v>300000</v>
          </cell>
          <cell r="M60">
            <v>300000</v>
          </cell>
          <cell r="O60">
            <v>21000</v>
          </cell>
          <cell r="Q60">
            <v>2171000</v>
          </cell>
          <cell r="S60">
            <v>2.75</v>
          </cell>
          <cell r="T60">
            <v>1.0249999999999999</v>
          </cell>
        </row>
        <row r="61">
          <cell r="A61">
            <v>36647</v>
          </cell>
          <cell r="B61">
            <v>1914500</v>
          </cell>
          <cell r="C61">
            <v>1285500</v>
          </cell>
          <cell r="D61">
            <v>-1250000</v>
          </cell>
          <cell r="E61">
            <v>1950000</v>
          </cell>
          <cell r="G61">
            <v>600000</v>
          </cell>
          <cell r="H61">
            <v>0</v>
          </cell>
          <cell r="I61">
            <v>600000</v>
          </cell>
          <cell r="K61">
            <v>0</v>
          </cell>
          <cell r="L61">
            <v>650000</v>
          </cell>
          <cell r="M61">
            <v>650000</v>
          </cell>
          <cell r="O61">
            <v>21000</v>
          </cell>
          <cell r="Q61">
            <v>3221000</v>
          </cell>
          <cell r="S61">
            <v>2.84</v>
          </cell>
          <cell r="T61">
            <v>1.0249999999999999</v>
          </cell>
        </row>
        <row r="62">
          <cell r="A62">
            <v>36678</v>
          </cell>
          <cell r="B62">
            <v>1162000</v>
          </cell>
          <cell r="C62">
            <v>615000</v>
          </cell>
          <cell r="D62">
            <v>-1300000</v>
          </cell>
          <cell r="E62">
            <v>477000</v>
          </cell>
          <cell r="G62">
            <v>600000</v>
          </cell>
          <cell r="H62">
            <v>0</v>
          </cell>
          <cell r="I62">
            <v>600000</v>
          </cell>
          <cell r="K62">
            <v>0</v>
          </cell>
          <cell r="L62">
            <v>700000</v>
          </cell>
          <cell r="M62">
            <v>700000</v>
          </cell>
          <cell r="O62">
            <v>20000</v>
          </cell>
          <cell r="Q62">
            <v>1797000</v>
          </cell>
          <cell r="S62">
            <v>2.84</v>
          </cell>
          <cell r="T62">
            <v>1.0249999999999999</v>
          </cell>
        </row>
        <row r="63">
          <cell r="A63">
            <v>36708</v>
          </cell>
          <cell r="B63">
            <v>1053500</v>
          </cell>
          <cell r="C63">
            <v>635500</v>
          </cell>
          <cell r="D63">
            <v>-1300000</v>
          </cell>
          <cell r="E63">
            <v>389000</v>
          </cell>
          <cell r="G63">
            <v>600000</v>
          </cell>
          <cell r="H63">
            <v>0</v>
          </cell>
          <cell r="I63">
            <v>600000</v>
          </cell>
          <cell r="K63">
            <v>0</v>
          </cell>
          <cell r="L63">
            <v>700000</v>
          </cell>
          <cell r="M63">
            <v>700000</v>
          </cell>
          <cell r="O63">
            <v>19000</v>
          </cell>
          <cell r="Q63">
            <v>1708000</v>
          </cell>
          <cell r="S63">
            <v>3.27</v>
          </cell>
          <cell r="T63">
            <v>1.0249999999999999</v>
          </cell>
        </row>
        <row r="64">
          <cell r="A64">
            <v>36739</v>
          </cell>
          <cell r="B64">
            <v>1239500</v>
          </cell>
          <cell r="C64">
            <v>635500</v>
          </cell>
          <cell r="D64">
            <v>1300000</v>
          </cell>
          <cell r="E64">
            <v>3175000</v>
          </cell>
          <cell r="G64">
            <v>0</v>
          </cell>
          <cell r="H64">
            <v>-600000</v>
          </cell>
          <cell r="I64">
            <v>-600000</v>
          </cell>
          <cell r="K64">
            <v>-700000</v>
          </cell>
          <cell r="L64">
            <v>0</v>
          </cell>
          <cell r="M64">
            <v>-700000</v>
          </cell>
          <cell r="O64">
            <v>18000</v>
          </cell>
          <cell r="Q64">
            <v>1893000</v>
          </cell>
          <cell r="S64">
            <v>4.2300000000000004</v>
          </cell>
          <cell r="T64">
            <v>1.0249999999999999</v>
          </cell>
        </row>
        <row r="65">
          <cell r="A65">
            <v>36770</v>
          </cell>
          <cell r="B65">
            <v>845000</v>
          </cell>
          <cell r="C65">
            <v>615000</v>
          </cell>
          <cell r="D65">
            <v>1000000</v>
          </cell>
          <cell r="E65">
            <v>2460000</v>
          </cell>
          <cell r="G65">
            <v>0</v>
          </cell>
          <cell r="H65">
            <v>-600000</v>
          </cell>
          <cell r="I65">
            <v>-600000</v>
          </cell>
          <cell r="K65">
            <v>-400000</v>
          </cell>
          <cell r="L65">
            <v>0</v>
          </cell>
          <cell r="M65">
            <v>-400000</v>
          </cell>
          <cell r="O65">
            <v>20000</v>
          </cell>
          <cell r="Q65">
            <v>1480000</v>
          </cell>
          <cell r="S65">
            <v>4.2300000000000004</v>
          </cell>
          <cell r="T65">
            <v>1.0249999999999999</v>
          </cell>
        </row>
        <row r="66">
          <cell r="A66">
            <v>36800</v>
          </cell>
          <cell r="B66">
            <v>804500</v>
          </cell>
          <cell r="C66">
            <v>635500</v>
          </cell>
          <cell r="D66">
            <v>550000</v>
          </cell>
          <cell r="E66">
            <v>1990000</v>
          </cell>
          <cell r="G66">
            <v>0</v>
          </cell>
          <cell r="H66">
            <v>-300000</v>
          </cell>
          <cell r="I66">
            <v>-300000</v>
          </cell>
          <cell r="K66">
            <v>-250000</v>
          </cell>
          <cell r="L66">
            <v>0</v>
          </cell>
          <cell r="M66">
            <v>-250000</v>
          </cell>
          <cell r="O66">
            <v>25000</v>
          </cell>
          <cell r="Q66">
            <v>1465000</v>
          </cell>
          <cell r="S66">
            <v>4.8</v>
          </cell>
          <cell r="T66">
            <v>1.0249999999999999</v>
          </cell>
        </row>
        <row r="67">
          <cell r="A67">
            <v>36831</v>
          </cell>
          <cell r="B67">
            <v>1375000</v>
          </cell>
          <cell r="C67">
            <v>1015000</v>
          </cell>
          <cell r="D67">
            <v>-1000000</v>
          </cell>
          <cell r="E67">
            <v>1390000</v>
          </cell>
          <cell r="G67">
            <v>600000</v>
          </cell>
          <cell r="H67">
            <v>0</v>
          </cell>
          <cell r="I67">
            <v>600000</v>
          </cell>
          <cell r="K67">
            <v>0</v>
          </cell>
          <cell r="L67">
            <v>400000</v>
          </cell>
          <cell r="M67">
            <v>400000</v>
          </cell>
          <cell r="O67">
            <v>20000</v>
          </cell>
          <cell r="Q67">
            <v>2410000</v>
          </cell>
          <cell r="S67">
            <v>5.4</v>
          </cell>
          <cell r="T67">
            <v>1.0249999999999999</v>
          </cell>
        </row>
        <row r="68">
          <cell r="A68">
            <v>36861</v>
          </cell>
          <cell r="B68">
            <v>2163500</v>
          </cell>
          <cell r="C68">
            <v>1550500</v>
          </cell>
          <cell r="D68">
            <v>-1800000</v>
          </cell>
          <cell r="E68">
            <v>1914000</v>
          </cell>
          <cell r="G68">
            <v>885000</v>
          </cell>
          <cell r="H68">
            <v>0</v>
          </cell>
          <cell r="I68">
            <v>885000</v>
          </cell>
          <cell r="K68">
            <v>0</v>
          </cell>
          <cell r="L68">
            <v>915000</v>
          </cell>
          <cell r="M68">
            <v>915000</v>
          </cell>
          <cell r="O68">
            <v>20000</v>
          </cell>
          <cell r="Q68">
            <v>3734000</v>
          </cell>
          <cell r="S68">
            <v>5.4</v>
          </cell>
          <cell r="T68">
            <v>1.0249999999999999</v>
          </cell>
        </row>
        <row r="69">
          <cell r="A69">
            <v>36892</v>
          </cell>
          <cell r="B69">
            <v>2703500</v>
          </cell>
          <cell r="C69">
            <v>1670500</v>
          </cell>
          <cell r="D69">
            <v>-1800000</v>
          </cell>
          <cell r="E69">
            <v>2574000</v>
          </cell>
          <cell r="G69">
            <v>765000</v>
          </cell>
          <cell r="H69">
            <v>0</v>
          </cell>
          <cell r="I69">
            <v>765000</v>
          </cell>
          <cell r="K69">
            <v>0</v>
          </cell>
          <cell r="L69">
            <v>1035000</v>
          </cell>
          <cell r="M69">
            <v>1035000</v>
          </cell>
          <cell r="O69">
            <v>35000</v>
          </cell>
          <cell r="Q69">
            <v>4409000</v>
          </cell>
          <cell r="S69">
            <v>5.4</v>
          </cell>
          <cell r="T69">
            <v>1.0249999999999999</v>
          </cell>
        </row>
        <row r="70">
          <cell r="A70">
            <v>36923</v>
          </cell>
          <cell r="B70">
            <v>2052000</v>
          </cell>
          <cell r="C70">
            <v>1574000</v>
          </cell>
          <cell r="D70">
            <v>-1800000</v>
          </cell>
          <cell r="E70">
            <v>1826000</v>
          </cell>
          <cell r="G70">
            <v>800000</v>
          </cell>
          <cell r="H70">
            <v>0</v>
          </cell>
          <cell r="I70">
            <v>800000</v>
          </cell>
          <cell r="K70">
            <v>0</v>
          </cell>
          <cell r="L70">
            <v>1000000</v>
          </cell>
          <cell r="M70">
            <v>1000000</v>
          </cell>
          <cell r="O70">
            <v>35000</v>
          </cell>
          <cell r="Q70">
            <v>3661000</v>
          </cell>
          <cell r="S70">
            <v>7.42</v>
          </cell>
          <cell r="T70">
            <v>1.0249999999999999</v>
          </cell>
        </row>
        <row r="71">
          <cell r="A71">
            <v>36951</v>
          </cell>
          <cell r="B71">
            <v>1140500</v>
          </cell>
          <cell r="C71">
            <v>1085500</v>
          </cell>
          <cell r="D71">
            <v>-1100000</v>
          </cell>
          <cell r="E71">
            <v>1126000</v>
          </cell>
          <cell r="G71">
            <v>650000</v>
          </cell>
          <cell r="H71">
            <v>0</v>
          </cell>
          <cell r="I71">
            <v>650000</v>
          </cell>
          <cell r="K71">
            <v>0</v>
          </cell>
          <cell r="L71">
            <v>450000</v>
          </cell>
          <cell r="M71">
            <v>450000</v>
          </cell>
          <cell r="O71">
            <v>22500</v>
          </cell>
          <cell r="Q71">
            <v>2248500</v>
          </cell>
          <cell r="S71">
            <v>6</v>
          </cell>
          <cell r="T71">
            <v>1.0249999999999999</v>
          </cell>
        </row>
        <row r="72">
          <cell r="A72">
            <v>36982</v>
          </cell>
          <cell r="B72">
            <v>135000</v>
          </cell>
          <cell r="C72">
            <v>140000</v>
          </cell>
          <cell r="D72">
            <v>600000</v>
          </cell>
          <cell r="E72">
            <v>875000</v>
          </cell>
          <cell r="G72">
            <v>0</v>
          </cell>
          <cell r="H72">
            <v>-300000</v>
          </cell>
          <cell r="I72">
            <v>-300000</v>
          </cell>
          <cell r="K72">
            <v>-300000</v>
          </cell>
          <cell r="L72">
            <v>0</v>
          </cell>
          <cell r="M72">
            <v>-300000</v>
          </cell>
          <cell r="O72">
            <v>21000</v>
          </cell>
          <cell r="Q72">
            <v>296000</v>
          </cell>
          <cell r="S72">
            <v>5.41</v>
          </cell>
          <cell r="T72">
            <v>1.0249999999999999</v>
          </cell>
        </row>
        <row r="73">
          <cell r="A73">
            <v>37012</v>
          </cell>
          <cell r="B73">
            <v>464500</v>
          </cell>
          <cell r="C73">
            <v>360500</v>
          </cell>
          <cell r="D73">
            <v>600000</v>
          </cell>
          <cell r="E73">
            <v>1425000</v>
          </cell>
          <cell r="G73">
            <v>0</v>
          </cell>
          <cell r="H73">
            <v>-600000</v>
          </cell>
          <cell r="I73">
            <v>-600000</v>
          </cell>
          <cell r="K73">
            <v>-700000</v>
          </cell>
          <cell r="L73">
            <v>0</v>
          </cell>
          <cell r="M73">
            <v>-700000</v>
          </cell>
          <cell r="O73">
            <v>21000</v>
          </cell>
          <cell r="Q73">
            <v>146000</v>
          </cell>
          <cell r="S73">
            <v>5.24</v>
          </cell>
          <cell r="T73">
            <v>1.0249999999999999</v>
          </cell>
        </row>
        <row r="74">
          <cell r="A74">
            <v>37043</v>
          </cell>
          <cell r="B74">
            <v>362000</v>
          </cell>
          <cell r="C74">
            <v>440000</v>
          </cell>
          <cell r="D74">
            <v>600000</v>
          </cell>
          <cell r="E74">
            <v>1402000</v>
          </cell>
          <cell r="G74">
            <v>0</v>
          </cell>
          <cell r="H74">
            <v>-600000</v>
          </cell>
          <cell r="I74">
            <v>-600000</v>
          </cell>
          <cell r="K74">
            <v>-700000</v>
          </cell>
          <cell r="L74">
            <v>0</v>
          </cell>
          <cell r="M74">
            <v>-700000</v>
          </cell>
          <cell r="O74">
            <v>20000</v>
          </cell>
          <cell r="Q74">
            <v>122000</v>
          </cell>
          <cell r="S74">
            <v>5.09</v>
          </cell>
          <cell r="T74">
            <v>1.0249999999999999</v>
          </cell>
        </row>
        <row r="75">
          <cell r="A75">
            <v>37073</v>
          </cell>
          <cell r="B75">
            <v>243500</v>
          </cell>
          <cell r="C75">
            <v>420500</v>
          </cell>
          <cell r="D75">
            <v>700000</v>
          </cell>
          <cell r="E75">
            <v>1364000</v>
          </cell>
          <cell r="G75">
            <v>0</v>
          </cell>
          <cell r="H75">
            <v>-700000</v>
          </cell>
          <cell r="I75">
            <v>-700000</v>
          </cell>
          <cell r="K75">
            <v>-700000</v>
          </cell>
          <cell r="L75">
            <v>0</v>
          </cell>
          <cell r="M75">
            <v>-700000</v>
          </cell>
          <cell r="O75">
            <v>20000</v>
          </cell>
          <cell r="Q75">
            <v>-16000</v>
          </cell>
          <cell r="S75">
            <v>4.0599999999999996</v>
          </cell>
          <cell r="T75">
            <v>1.0249999999999999</v>
          </cell>
        </row>
        <row r="76">
          <cell r="A76">
            <v>37104</v>
          </cell>
          <cell r="B76">
            <v>439500</v>
          </cell>
          <cell r="C76">
            <v>435500</v>
          </cell>
          <cell r="D76">
            <v>600000</v>
          </cell>
          <cell r="E76">
            <v>1475000</v>
          </cell>
          <cell r="G76">
            <v>0</v>
          </cell>
          <cell r="H76">
            <v>-600000</v>
          </cell>
          <cell r="I76">
            <v>-600000</v>
          </cell>
          <cell r="K76">
            <v>-700000</v>
          </cell>
          <cell r="L76">
            <v>0</v>
          </cell>
          <cell r="M76">
            <v>-700000</v>
          </cell>
          <cell r="O76">
            <v>20000</v>
          </cell>
          <cell r="Q76">
            <v>195000</v>
          </cell>
          <cell r="S76">
            <v>3.89</v>
          </cell>
          <cell r="T76">
            <v>1.0249999999999999</v>
          </cell>
        </row>
        <row r="77">
          <cell r="A77">
            <v>37196</v>
          </cell>
          <cell r="B77">
            <v>744100</v>
          </cell>
          <cell r="C77">
            <v>1886000</v>
          </cell>
          <cell r="D77">
            <v>2296000</v>
          </cell>
          <cell r="E77">
            <v>4926100</v>
          </cell>
          <cell r="G77">
            <v>2296000</v>
          </cell>
          <cell r="H77">
            <v>0</v>
          </cell>
          <cell r="I77">
            <v>2296000</v>
          </cell>
          <cell r="K77">
            <v>0</v>
          </cell>
          <cell r="L77">
            <v>1920000</v>
          </cell>
          <cell r="M77">
            <v>1920000</v>
          </cell>
          <cell r="O77">
            <v>75000</v>
          </cell>
          <cell r="Q77">
            <v>9217100</v>
          </cell>
          <cell r="S77">
            <v>3.23</v>
          </cell>
          <cell r="T77">
            <v>1.0249999999999999</v>
          </cell>
        </row>
        <row r="78">
          <cell r="A78">
            <v>37288</v>
          </cell>
          <cell r="B78">
            <v>1027900</v>
          </cell>
          <cell r="C78">
            <v>1824500</v>
          </cell>
          <cell r="D78">
            <v>1737000</v>
          </cell>
          <cell r="E78">
            <v>4589400</v>
          </cell>
          <cell r="G78">
            <v>1737000</v>
          </cell>
          <cell r="H78">
            <v>0</v>
          </cell>
          <cell r="I78">
            <v>1737000</v>
          </cell>
          <cell r="K78">
            <v>0</v>
          </cell>
          <cell r="L78">
            <v>1720000</v>
          </cell>
          <cell r="M78">
            <v>1720000</v>
          </cell>
          <cell r="O78">
            <v>78500</v>
          </cell>
          <cell r="Q78">
            <v>8124900</v>
          </cell>
          <cell r="S78">
            <v>3</v>
          </cell>
          <cell r="T78">
            <v>1.0249999999999999</v>
          </cell>
        </row>
        <row r="79">
          <cell r="A79">
            <v>37377</v>
          </cell>
          <cell r="B79">
            <v>357750</v>
          </cell>
          <cell r="C79">
            <v>1886000</v>
          </cell>
          <cell r="D79">
            <v>1594500</v>
          </cell>
          <cell r="E79">
            <v>3838250</v>
          </cell>
          <cell r="H79">
            <v>-996500</v>
          </cell>
          <cell r="I79">
            <v>-996500</v>
          </cell>
          <cell r="K79">
            <v>-598000</v>
          </cell>
          <cell r="M79">
            <v>-598000</v>
          </cell>
          <cell r="O79">
            <v>61000</v>
          </cell>
          <cell r="Q79">
            <v>2304750</v>
          </cell>
          <cell r="S79">
            <v>3.3090000000000002</v>
          </cell>
          <cell r="T79">
            <v>1.0249999999999999</v>
          </cell>
        </row>
        <row r="80">
          <cell r="A80">
            <v>37469</v>
          </cell>
          <cell r="B80">
            <v>494300</v>
          </cell>
          <cell r="C80">
            <v>1886000</v>
          </cell>
          <cell r="D80">
            <v>1594500</v>
          </cell>
          <cell r="E80">
            <v>3974800</v>
          </cell>
          <cell r="H80">
            <v>-996500</v>
          </cell>
          <cell r="I80">
            <v>-996500</v>
          </cell>
          <cell r="K80">
            <v>-598000</v>
          </cell>
          <cell r="M80">
            <v>-598000</v>
          </cell>
          <cell r="O80">
            <v>61000</v>
          </cell>
          <cell r="Q80">
            <v>2441300</v>
          </cell>
          <cell r="S80">
            <v>3.28</v>
          </cell>
          <cell r="T80">
            <v>1.0249999999999999</v>
          </cell>
        </row>
        <row r="81">
          <cell r="A81">
            <v>37561</v>
          </cell>
          <cell r="B81">
            <v>8305065</v>
          </cell>
          <cell r="C81">
            <v>1886000</v>
          </cell>
          <cell r="D81">
            <v>-4756000</v>
          </cell>
          <cell r="E81">
            <v>5435065</v>
          </cell>
          <cell r="G81">
            <v>2296000</v>
          </cell>
          <cell r="I81">
            <v>2296000</v>
          </cell>
          <cell r="L81">
            <v>2460000</v>
          </cell>
          <cell r="M81">
            <v>2460000</v>
          </cell>
          <cell r="O81">
            <v>61000</v>
          </cell>
          <cell r="Q81">
            <v>10252065</v>
          </cell>
          <cell r="S81">
            <v>3.7610000000000001</v>
          </cell>
          <cell r="T81">
            <v>1.0249999999999999</v>
          </cell>
        </row>
        <row r="82">
          <cell r="A82">
            <v>37653</v>
          </cell>
          <cell r="B82">
            <v>4664065</v>
          </cell>
          <cell r="C82">
            <v>1824500</v>
          </cell>
          <cell r="D82">
            <v>-2921000</v>
          </cell>
          <cell r="E82">
            <v>3567565</v>
          </cell>
          <cell r="G82">
            <v>1701000</v>
          </cell>
          <cell r="I82">
            <v>1701000</v>
          </cell>
          <cell r="L82">
            <v>1220000</v>
          </cell>
          <cell r="M82">
            <v>1220000</v>
          </cell>
          <cell r="O82">
            <v>61000</v>
          </cell>
          <cell r="Q82">
            <v>6549565</v>
          </cell>
          <cell r="S82">
            <v>4.1559999999999997</v>
          </cell>
          <cell r="T82">
            <v>1.0249999999999999</v>
          </cell>
        </row>
        <row r="83">
          <cell r="A83">
            <v>37712</v>
          </cell>
          <cell r="B83">
            <v>201000</v>
          </cell>
          <cell r="C83">
            <v>615000</v>
          </cell>
          <cell r="D83">
            <v>264000</v>
          </cell>
          <cell r="E83">
            <v>1080000</v>
          </cell>
          <cell r="H83">
            <v>-264000</v>
          </cell>
          <cell r="I83">
            <v>-264000</v>
          </cell>
          <cell r="M83">
            <v>0</v>
          </cell>
          <cell r="O83">
            <v>61000</v>
          </cell>
          <cell r="Q83">
            <v>877000</v>
          </cell>
          <cell r="S83">
            <v>6.0359999999999996</v>
          </cell>
          <cell r="T83">
            <v>1.0249999999999999</v>
          </cell>
        </row>
        <row r="84">
          <cell r="A84">
            <v>37742</v>
          </cell>
          <cell r="B84">
            <v>551300</v>
          </cell>
          <cell r="C84">
            <v>1886000</v>
          </cell>
          <cell r="D84">
            <v>3284000</v>
          </cell>
          <cell r="E84">
            <v>5721300</v>
          </cell>
          <cell r="H84">
            <v>-1567000</v>
          </cell>
          <cell r="I84">
            <v>-1567000</v>
          </cell>
          <cell r="K84">
            <v>-1717000</v>
          </cell>
          <cell r="M84">
            <v>-1717000</v>
          </cell>
          <cell r="O84">
            <v>61000</v>
          </cell>
          <cell r="Q84">
            <v>2498300</v>
          </cell>
          <cell r="S84">
            <v>5.0979999999999999</v>
          </cell>
          <cell r="T84">
            <v>1.0249999999999999</v>
          </cell>
        </row>
        <row r="85">
          <cell r="A85">
            <v>37834</v>
          </cell>
          <cell r="B85">
            <v>346000</v>
          </cell>
          <cell r="C85">
            <v>1312500</v>
          </cell>
          <cell r="D85">
            <v>3290000</v>
          </cell>
          <cell r="E85">
            <v>4948500</v>
          </cell>
          <cell r="H85">
            <v>-1573000</v>
          </cell>
          <cell r="I85">
            <v>-1573000</v>
          </cell>
          <cell r="K85">
            <v>-1717000</v>
          </cell>
          <cell r="M85">
            <v>-1717000</v>
          </cell>
          <cell r="O85">
            <v>61000</v>
          </cell>
          <cell r="Q85">
            <v>1719500</v>
          </cell>
          <cell r="S85">
            <v>5.7990000000000004</v>
          </cell>
          <cell r="T85">
            <v>1.0249999999999999</v>
          </cell>
        </row>
        <row r="86">
          <cell r="A86">
            <v>37926</v>
          </cell>
          <cell r="B86">
            <v>6484000</v>
          </cell>
          <cell r="C86">
            <v>1886000</v>
          </cell>
          <cell r="D86">
            <v>-5000000</v>
          </cell>
          <cell r="E86">
            <v>3370000</v>
          </cell>
          <cell r="G86">
            <v>2300000</v>
          </cell>
          <cell r="H86">
            <v>0</v>
          </cell>
          <cell r="I86">
            <v>2300000</v>
          </cell>
          <cell r="K86">
            <v>0</v>
          </cell>
          <cell r="L86">
            <v>2700000</v>
          </cell>
          <cell r="M86">
            <v>2700000</v>
          </cell>
          <cell r="O86">
            <v>61000</v>
          </cell>
          <cell r="Q86">
            <v>8431000</v>
          </cell>
          <cell r="S86">
            <v>5.234</v>
          </cell>
          <cell r="T86">
            <v>1.0249999999999999</v>
          </cell>
        </row>
        <row r="87">
          <cell r="A87">
            <v>38018</v>
          </cell>
          <cell r="B87">
            <v>4059600</v>
          </cell>
          <cell r="C87">
            <v>1845000</v>
          </cell>
          <cell r="D87">
            <v>-1786600</v>
          </cell>
          <cell r="E87">
            <v>4118000</v>
          </cell>
          <cell r="G87">
            <v>1349100</v>
          </cell>
          <cell r="H87">
            <v>-513000</v>
          </cell>
          <cell r="I87">
            <v>836100</v>
          </cell>
          <cell r="K87">
            <v>-570000</v>
          </cell>
          <cell r="L87">
            <v>1520500</v>
          </cell>
          <cell r="M87">
            <v>950500</v>
          </cell>
          <cell r="O87">
            <v>61000</v>
          </cell>
          <cell r="Q87">
            <v>5965600</v>
          </cell>
          <cell r="S87">
            <v>5.5650000000000004</v>
          </cell>
          <cell r="T87">
            <v>1.0249999999999999</v>
          </cell>
        </row>
        <row r="88">
          <cell r="A88">
            <v>38108</v>
          </cell>
          <cell r="B88">
            <v>1511000</v>
          </cell>
          <cell r="C88">
            <v>92000</v>
          </cell>
          <cell r="D88">
            <v>3164000</v>
          </cell>
          <cell r="E88">
            <v>4767000</v>
          </cell>
          <cell r="G88">
            <v>0</v>
          </cell>
          <cell r="H88">
            <v>-1582000</v>
          </cell>
          <cell r="I88">
            <v>-1582000</v>
          </cell>
          <cell r="K88">
            <v>-1582000</v>
          </cell>
          <cell r="L88">
            <v>0</v>
          </cell>
          <cell r="M88">
            <v>-1582000</v>
          </cell>
          <cell r="O88">
            <v>61000</v>
          </cell>
          <cell r="Q88">
            <v>1664000</v>
          </cell>
          <cell r="S88">
            <v>5.5229999999999997</v>
          </cell>
          <cell r="T88">
            <v>1.0249999999999999</v>
          </cell>
        </row>
        <row r="89">
          <cell r="A89">
            <v>38200</v>
          </cell>
          <cell r="B89">
            <v>1686000</v>
          </cell>
          <cell r="C89">
            <v>92000</v>
          </cell>
          <cell r="D89">
            <v>4196000</v>
          </cell>
          <cell r="E89">
            <v>5974000</v>
          </cell>
          <cell r="G89">
            <v>0</v>
          </cell>
          <cell r="H89">
            <v>-1573000</v>
          </cell>
          <cell r="I89">
            <v>-1573000</v>
          </cell>
          <cell r="K89">
            <v>-2623000</v>
          </cell>
          <cell r="M89">
            <v>-2623000</v>
          </cell>
          <cell r="O89">
            <v>61000</v>
          </cell>
          <cell r="Q89">
            <v>1839000</v>
          </cell>
          <cell r="S89">
            <v>6.4210000000000003</v>
          </cell>
          <cell r="T89">
            <v>1.0249999999999999</v>
          </cell>
        </row>
        <row r="90">
          <cell r="A90">
            <v>38292</v>
          </cell>
          <cell r="B90">
            <v>7989900</v>
          </cell>
          <cell r="C90">
            <v>92000</v>
          </cell>
          <cell r="D90">
            <v>-6064000</v>
          </cell>
          <cell r="E90">
            <v>2017900</v>
          </cell>
          <cell r="G90">
            <v>2300000</v>
          </cell>
          <cell r="H90">
            <v>0</v>
          </cell>
          <cell r="I90">
            <v>2300000</v>
          </cell>
          <cell r="K90">
            <v>0</v>
          </cell>
          <cell r="L90">
            <v>3764000</v>
          </cell>
          <cell r="M90">
            <v>3764000</v>
          </cell>
          <cell r="O90">
            <v>61000</v>
          </cell>
          <cell r="Q90">
            <v>8142900</v>
          </cell>
          <cell r="S90">
            <v>6.3070000000000004</v>
          </cell>
          <cell r="T90">
            <v>1.0249999999999999</v>
          </cell>
        </row>
        <row r="91">
          <cell r="A91">
            <v>38384</v>
          </cell>
          <cell r="B91">
            <v>5224800</v>
          </cell>
          <cell r="C91">
            <v>89000</v>
          </cell>
          <cell r="D91">
            <v>-2478100</v>
          </cell>
          <cell r="E91">
            <v>2835700</v>
          </cell>
          <cell r="G91">
            <v>1349100</v>
          </cell>
          <cell r="H91">
            <v>-495000</v>
          </cell>
          <cell r="I91">
            <v>854100</v>
          </cell>
          <cell r="K91">
            <v>-495000</v>
          </cell>
          <cell r="L91">
            <v>2119000</v>
          </cell>
          <cell r="M91">
            <v>1624000</v>
          </cell>
          <cell r="O91">
            <v>61000</v>
          </cell>
          <cell r="Q91">
            <v>5374800</v>
          </cell>
          <cell r="S91">
            <v>6.3168629726635404</v>
          </cell>
          <cell r="T91">
            <v>1.0249999999999999</v>
          </cell>
        </row>
        <row r="92">
          <cell r="A92">
            <v>38473</v>
          </cell>
          <cell r="B92">
            <v>1291100.0000000005</v>
          </cell>
          <cell r="C92">
            <v>92000</v>
          </cell>
          <cell r="D92">
            <v>4560968.6500000004</v>
          </cell>
          <cell r="E92">
            <v>5944068.6500000004</v>
          </cell>
          <cell r="H92">
            <v>-2224546.25</v>
          </cell>
          <cell r="I92">
            <v>-2224546.25</v>
          </cell>
          <cell r="K92">
            <v>-2336422.4</v>
          </cell>
          <cell r="M92">
            <v>-2336422.4</v>
          </cell>
          <cell r="O92">
            <v>61000</v>
          </cell>
          <cell r="Q92">
            <v>1444100.0000000005</v>
          </cell>
          <cell r="S92">
            <v>7.391</v>
          </cell>
          <cell r="T92">
            <v>1.0249999999999999</v>
          </cell>
        </row>
        <row r="93">
          <cell r="A93">
            <v>38565</v>
          </cell>
          <cell r="B93">
            <v>1320401</v>
          </cell>
          <cell r="C93">
            <v>92000</v>
          </cell>
          <cell r="D93">
            <v>3573658</v>
          </cell>
          <cell r="E93">
            <v>4986059</v>
          </cell>
          <cell r="F93">
            <v>0</v>
          </cell>
          <cell r="G93">
            <v>0</v>
          </cell>
          <cell r="H93">
            <v>-1902589</v>
          </cell>
          <cell r="I93">
            <v>-1902589</v>
          </cell>
          <cell r="J93">
            <v>0</v>
          </cell>
          <cell r="K93">
            <v>-1671069</v>
          </cell>
          <cell r="L93">
            <v>0</v>
          </cell>
          <cell r="M93">
            <v>-1671069</v>
          </cell>
          <cell r="N93">
            <v>0</v>
          </cell>
          <cell r="O93">
            <v>61000</v>
          </cell>
          <cell r="P93">
            <v>0</v>
          </cell>
          <cell r="Q93">
            <v>1473401</v>
          </cell>
          <cell r="R93">
            <v>0</v>
          </cell>
          <cell r="S93">
            <v>7.6529999999999996</v>
          </cell>
          <cell r="T93">
            <v>1.0249999999999999</v>
          </cell>
        </row>
        <row r="94">
          <cell r="A94">
            <v>38657</v>
          </cell>
          <cell r="B94">
            <v>7522200</v>
          </cell>
          <cell r="C94">
            <v>92000</v>
          </cell>
          <cell r="D94">
            <v>-6072000</v>
          </cell>
          <cell r="E94">
            <v>1542200</v>
          </cell>
          <cell r="G94">
            <v>2300000</v>
          </cell>
          <cell r="H94">
            <v>0</v>
          </cell>
          <cell r="I94">
            <v>2300000</v>
          </cell>
          <cell r="K94">
            <v>0</v>
          </cell>
          <cell r="L94">
            <v>3772000</v>
          </cell>
          <cell r="M94">
            <v>-3772000</v>
          </cell>
          <cell r="O94">
            <v>61000</v>
          </cell>
          <cell r="Q94">
            <v>131200</v>
          </cell>
          <cell r="S94">
            <v>9.5749999999999993</v>
          </cell>
          <cell r="T94">
            <v>1.0249999999999999</v>
          </cell>
        </row>
        <row r="95">
          <cell r="A95">
            <v>38749</v>
          </cell>
          <cell r="B95">
            <v>5178200</v>
          </cell>
          <cell r="C95">
            <v>91000</v>
          </cell>
          <cell r="D95">
            <v>-2574100</v>
          </cell>
          <cell r="E95">
            <v>2695100</v>
          </cell>
          <cell r="G95">
            <v>1349100</v>
          </cell>
          <cell r="H95">
            <v>-444909</v>
          </cell>
          <cell r="I95">
            <v>854100</v>
          </cell>
          <cell r="K95">
            <v>-467284</v>
          </cell>
          <cell r="L95">
            <v>2215000</v>
          </cell>
          <cell r="M95">
            <v>1747716</v>
          </cell>
          <cell r="O95">
            <v>61000</v>
          </cell>
          <cell r="Q95">
            <v>5357916</v>
          </cell>
          <cell r="S95">
            <v>12.723000000000001</v>
          </cell>
          <cell r="T95">
            <v>1.0249999999999999</v>
          </cell>
        </row>
        <row r="96">
          <cell r="A96">
            <v>38838</v>
          </cell>
          <cell r="B96">
            <v>695100</v>
          </cell>
          <cell r="C96">
            <v>91000</v>
          </cell>
          <cell r="D96">
            <v>5361000</v>
          </cell>
          <cell r="E96">
            <v>6147100</v>
          </cell>
          <cell r="H96">
            <v>-3025257</v>
          </cell>
          <cell r="I96">
            <v>-3025257</v>
          </cell>
          <cell r="K96">
            <v>-2335743</v>
          </cell>
          <cell r="M96">
            <v>-2335743</v>
          </cell>
          <cell r="O96">
            <v>61000</v>
          </cell>
          <cell r="Q96">
            <v>847100</v>
          </cell>
          <cell r="S96">
            <v>7.194</v>
          </cell>
          <cell r="T96">
            <v>1.0249999999999999</v>
          </cell>
        </row>
        <row r="97">
          <cell r="A97">
            <v>38930</v>
          </cell>
          <cell r="B97">
            <v>1507500</v>
          </cell>
          <cell r="C97">
            <v>91000</v>
          </cell>
          <cell r="D97">
            <v>1786997</v>
          </cell>
          <cell r="E97">
            <v>3385497</v>
          </cell>
          <cell r="H97">
            <v>-1008417</v>
          </cell>
          <cell r="I97">
            <v>-1008417</v>
          </cell>
          <cell r="K97">
            <v>-778580</v>
          </cell>
          <cell r="M97">
            <v>-778580</v>
          </cell>
          <cell r="O97">
            <v>61000</v>
          </cell>
          <cell r="Q97">
            <v>1659500</v>
          </cell>
          <cell r="S97">
            <v>7.218</v>
          </cell>
          <cell r="T97">
            <v>1.0249999999999999</v>
          </cell>
        </row>
        <row r="98">
          <cell r="A98">
            <v>39022</v>
          </cell>
          <cell r="B98">
            <v>7741200</v>
          </cell>
          <cell r="C98">
            <v>91000</v>
          </cell>
          <cell r="D98">
            <v>-6072000</v>
          </cell>
          <cell r="E98">
            <v>1760200</v>
          </cell>
          <cell r="G98">
            <v>340681</v>
          </cell>
          <cell r="I98">
            <v>340681</v>
          </cell>
          <cell r="L98">
            <v>1436419</v>
          </cell>
          <cell r="M98">
            <v>1436419</v>
          </cell>
          <cell r="O98">
            <v>61000</v>
          </cell>
          <cell r="Q98">
            <v>3598300</v>
          </cell>
          <cell r="S98">
            <v>8.5809999999999995</v>
          </cell>
          <cell r="T98">
            <v>1.0249999999999999</v>
          </cell>
        </row>
        <row r="99">
          <cell r="A99">
            <v>39114</v>
          </cell>
          <cell r="B99">
            <v>5238800</v>
          </cell>
          <cell r="C99">
            <v>91000</v>
          </cell>
          <cell r="D99">
            <v>-1787000</v>
          </cell>
          <cell r="E99">
            <v>3552700</v>
          </cell>
          <cell r="G99">
            <v>1349100</v>
          </cell>
          <cell r="H99">
            <v>-1008419</v>
          </cell>
          <cell r="I99">
            <v>340681</v>
          </cell>
          <cell r="K99">
            <v>-778581</v>
          </cell>
          <cell r="L99">
            <v>2215000</v>
          </cell>
          <cell r="M99">
            <v>1436419</v>
          </cell>
          <cell r="O99">
            <v>61000</v>
          </cell>
          <cell r="Q99">
            <v>5390800</v>
          </cell>
          <cell r="S99">
            <v>6.5910000000000002</v>
          </cell>
          <cell r="T99">
            <v>1.0249999999999999</v>
          </cell>
        </row>
        <row r="100">
          <cell r="A100">
            <v>54789</v>
          </cell>
          <cell r="C100" t="str">
            <v>.</v>
          </cell>
        </row>
      </sheetData>
      <sheetData sheetId="8">
        <row r="10">
          <cell r="A10">
            <v>35065</v>
          </cell>
          <cell r="B10">
            <v>452500</v>
          </cell>
          <cell r="C10">
            <v>75500</v>
          </cell>
          <cell r="D10">
            <v>6500</v>
          </cell>
          <cell r="E10">
            <v>534500</v>
          </cell>
          <cell r="G10">
            <v>-5000</v>
          </cell>
          <cell r="H10">
            <v>0</v>
          </cell>
          <cell r="I10">
            <v>-5000</v>
          </cell>
          <cell r="K10">
            <v>-1500</v>
          </cell>
          <cell r="L10">
            <v>0</v>
          </cell>
          <cell r="M10">
            <v>-1500</v>
          </cell>
          <cell r="O10">
            <v>-6500</v>
          </cell>
          <cell r="Q10">
            <v>240660</v>
          </cell>
          <cell r="R10">
            <v>0</v>
          </cell>
          <cell r="S10">
            <v>240660</v>
          </cell>
          <cell r="U10">
            <v>45840</v>
          </cell>
          <cell r="V10">
            <v>0</v>
          </cell>
          <cell r="W10">
            <v>45840</v>
          </cell>
          <cell r="Y10">
            <v>286500</v>
          </cell>
          <cell r="Z10">
            <v>280000</v>
          </cell>
          <cell r="AA10">
            <v>814500</v>
          </cell>
          <cell r="AB10">
            <v>2</v>
          </cell>
          <cell r="AC10">
            <v>1.04</v>
          </cell>
        </row>
        <row r="11">
          <cell r="A11">
            <v>35096</v>
          </cell>
          <cell r="B11">
            <v>477000</v>
          </cell>
          <cell r="C11">
            <v>66200</v>
          </cell>
          <cell r="D11">
            <v>10000</v>
          </cell>
          <cell r="E11">
            <v>553200</v>
          </cell>
          <cell r="G11">
            <v>-3000</v>
          </cell>
          <cell r="H11">
            <v>0</v>
          </cell>
          <cell r="I11">
            <v>-3000</v>
          </cell>
          <cell r="K11">
            <v>-7000</v>
          </cell>
          <cell r="L11">
            <v>0</v>
          </cell>
          <cell r="M11">
            <v>-7000</v>
          </cell>
          <cell r="O11">
            <v>-10000</v>
          </cell>
          <cell r="Q11">
            <v>285000</v>
          </cell>
          <cell r="R11">
            <v>0</v>
          </cell>
          <cell r="S11">
            <v>285000</v>
          </cell>
          <cell r="U11">
            <v>5000</v>
          </cell>
          <cell r="V11">
            <v>0</v>
          </cell>
          <cell r="W11">
            <v>5000</v>
          </cell>
          <cell r="Y11">
            <v>290000</v>
          </cell>
          <cell r="Z11">
            <v>280000</v>
          </cell>
          <cell r="AA11">
            <v>833200</v>
          </cell>
          <cell r="AB11">
            <v>2.5</v>
          </cell>
          <cell r="AC11">
            <v>1.04</v>
          </cell>
        </row>
        <row r="12">
          <cell r="A12">
            <v>35125</v>
          </cell>
          <cell r="B12">
            <v>403000</v>
          </cell>
          <cell r="C12">
            <v>68200</v>
          </cell>
          <cell r="D12">
            <v>2500</v>
          </cell>
          <cell r="E12">
            <v>473700</v>
          </cell>
          <cell r="G12">
            <v>-1000</v>
          </cell>
          <cell r="H12">
            <v>0</v>
          </cell>
          <cell r="I12">
            <v>-1000</v>
          </cell>
          <cell r="K12">
            <v>-1500</v>
          </cell>
          <cell r="L12">
            <v>0</v>
          </cell>
          <cell r="M12">
            <v>-1500</v>
          </cell>
          <cell r="O12">
            <v>-2500</v>
          </cell>
          <cell r="Q12">
            <v>15500</v>
          </cell>
          <cell r="R12">
            <v>0</v>
          </cell>
          <cell r="S12">
            <v>15500</v>
          </cell>
          <cell r="U12">
            <v>62000</v>
          </cell>
          <cell r="V12">
            <v>0</v>
          </cell>
          <cell r="W12">
            <v>62000</v>
          </cell>
          <cell r="Y12">
            <v>77500</v>
          </cell>
          <cell r="Z12">
            <v>75000</v>
          </cell>
          <cell r="AA12">
            <v>548700</v>
          </cell>
          <cell r="AB12">
            <v>2</v>
          </cell>
          <cell r="AC12">
            <v>1.04</v>
          </cell>
        </row>
        <row r="13">
          <cell r="A13">
            <v>35156</v>
          </cell>
          <cell r="B13">
            <v>194215</v>
          </cell>
          <cell r="C13">
            <v>32550</v>
          </cell>
          <cell r="D13">
            <v>124000</v>
          </cell>
          <cell r="E13">
            <v>350765</v>
          </cell>
          <cell r="G13">
            <v>-49600</v>
          </cell>
          <cell r="H13">
            <v>0</v>
          </cell>
          <cell r="I13">
            <v>-49600</v>
          </cell>
          <cell r="K13">
            <v>-74400</v>
          </cell>
          <cell r="L13">
            <v>0</v>
          </cell>
          <cell r="M13">
            <v>-74400</v>
          </cell>
          <cell r="O13">
            <v>-124000</v>
          </cell>
          <cell r="Q13">
            <v>0</v>
          </cell>
          <cell r="R13">
            <v>0</v>
          </cell>
          <cell r="S13">
            <v>0</v>
          </cell>
          <cell r="U13">
            <v>0</v>
          </cell>
          <cell r="V13">
            <v>0</v>
          </cell>
          <cell r="W13">
            <v>0</v>
          </cell>
          <cell r="Y13">
            <v>0</v>
          </cell>
          <cell r="Z13">
            <v>-124000</v>
          </cell>
          <cell r="AA13">
            <v>226765</v>
          </cell>
          <cell r="AB13">
            <v>2.4</v>
          </cell>
          <cell r="AC13">
            <v>1.04</v>
          </cell>
        </row>
        <row r="14">
          <cell r="A14">
            <v>35186</v>
          </cell>
          <cell r="B14">
            <v>131130</v>
          </cell>
          <cell r="C14">
            <v>27683</v>
          </cell>
          <cell r="D14">
            <v>200000</v>
          </cell>
          <cell r="E14">
            <v>358813</v>
          </cell>
          <cell r="G14">
            <v>-80000</v>
          </cell>
          <cell r="H14">
            <v>0</v>
          </cell>
          <cell r="I14">
            <v>-80000</v>
          </cell>
          <cell r="K14">
            <v>-120000</v>
          </cell>
          <cell r="L14">
            <v>0</v>
          </cell>
          <cell r="M14">
            <v>-120000</v>
          </cell>
          <cell r="O14">
            <v>-200000</v>
          </cell>
          <cell r="Q14">
            <v>0</v>
          </cell>
          <cell r="R14">
            <v>0</v>
          </cell>
          <cell r="S14">
            <v>0</v>
          </cell>
          <cell r="U14">
            <v>0</v>
          </cell>
          <cell r="V14">
            <v>0</v>
          </cell>
          <cell r="W14">
            <v>0</v>
          </cell>
          <cell r="Y14">
            <v>0</v>
          </cell>
          <cell r="Z14">
            <v>-200000</v>
          </cell>
          <cell r="AA14">
            <v>158813</v>
          </cell>
          <cell r="AB14">
            <v>2.5</v>
          </cell>
          <cell r="AC14">
            <v>1.04</v>
          </cell>
        </row>
        <row r="15">
          <cell r="A15">
            <v>35217</v>
          </cell>
          <cell r="B15">
            <v>192000</v>
          </cell>
          <cell r="C15">
            <v>16500</v>
          </cell>
          <cell r="D15">
            <v>200000</v>
          </cell>
          <cell r="E15">
            <v>408500</v>
          </cell>
          <cell r="G15">
            <v>-180000</v>
          </cell>
          <cell r="H15">
            <v>0</v>
          </cell>
          <cell r="I15">
            <v>-180000</v>
          </cell>
          <cell r="K15">
            <v>-20000</v>
          </cell>
          <cell r="L15">
            <v>0</v>
          </cell>
          <cell r="M15">
            <v>-20000</v>
          </cell>
          <cell r="O15">
            <v>-200000</v>
          </cell>
          <cell r="Q15">
            <v>0</v>
          </cell>
          <cell r="R15">
            <v>0</v>
          </cell>
          <cell r="S15">
            <v>0</v>
          </cell>
          <cell r="U15">
            <v>0</v>
          </cell>
          <cell r="V15">
            <v>0</v>
          </cell>
          <cell r="W15">
            <v>0</v>
          </cell>
          <cell r="Y15">
            <v>0</v>
          </cell>
          <cell r="Z15">
            <v>-200000</v>
          </cell>
          <cell r="AA15">
            <v>208500</v>
          </cell>
          <cell r="AB15">
            <v>2.4500000000000002</v>
          </cell>
          <cell r="AC15">
            <v>1.04</v>
          </cell>
        </row>
        <row r="16">
          <cell r="A16">
            <v>35247</v>
          </cell>
          <cell r="B16">
            <v>136400</v>
          </cell>
          <cell r="C16">
            <v>18600</v>
          </cell>
          <cell r="D16">
            <v>238000</v>
          </cell>
          <cell r="E16">
            <v>393000</v>
          </cell>
          <cell r="G16">
            <v>-190400</v>
          </cell>
          <cell r="H16">
            <v>0</v>
          </cell>
          <cell r="I16">
            <v>-190400</v>
          </cell>
          <cell r="K16">
            <v>-47600</v>
          </cell>
          <cell r="L16">
            <v>0</v>
          </cell>
          <cell r="M16">
            <v>-47600</v>
          </cell>
          <cell r="O16">
            <v>-238000</v>
          </cell>
          <cell r="Q16">
            <v>0</v>
          </cell>
          <cell r="R16">
            <v>0</v>
          </cell>
          <cell r="S16">
            <v>0</v>
          </cell>
          <cell r="U16">
            <v>0</v>
          </cell>
          <cell r="V16">
            <v>0</v>
          </cell>
          <cell r="W16">
            <v>0</v>
          </cell>
          <cell r="Y16">
            <v>0</v>
          </cell>
          <cell r="Z16">
            <v>-238000</v>
          </cell>
          <cell r="AA16">
            <v>155000</v>
          </cell>
          <cell r="AB16">
            <v>2.2999999999999998</v>
          </cell>
          <cell r="AC16">
            <v>1.04</v>
          </cell>
        </row>
        <row r="17">
          <cell r="A17">
            <v>35278</v>
          </cell>
          <cell r="B17">
            <v>240000</v>
          </cell>
          <cell r="C17">
            <v>10075</v>
          </cell>
          <cell r="D17">
            <v>166000</v>
          </cell>
          <cell r="E17">
            <v>416075</v>
          </cell>
          <cell r="G17">
            <v>-132800</v>
          </cell>
          <cell r="H17">
            <v>0</v>
          </cell>
          <cell r="I17">
            <v>-132800</v>
          </cell>
          <cell r="K17">
            <v>-33200</v>
          </cell>
          <cell r="L17">
            <v>0</v>
          </cell>
          <cell r="M17">
            <v>-33200</v>
          </cell>
          <cell r="O17">
            <v>-166000</v>
          </cell>
          <cell r="Q17">
            <v>0</v>
          </cell>
          <cell r="R17">
            <v>0</v>
          </cell>
          <cell r="S17">
            <v>0</v>
          </cell>
          <cell r="U17">
            <v>0</v>
          </cell>
          <cell r="V17">
            <v>0</v>
          </cell>
          <cell r="W17">
            <v>0</v>
          </cell>
          <cell r="Y17">
            <v>0</v>
          </cell>
          <cell r="Z17">
            <v>-166000</v>
          </cell>
          <cell r="AA17">
            <v>250075</v>
          </cell>
          <cell r="AB17">
            <v>2.75</v>
          </cell>
          <cell r="AC17">
            <v>1.04</v>
          </cell>
        </row>
        <row r="18">
          <cell r="A18">
            <v>35309</v>
          </cell>
          <cell r="B18">
            <v>112500</v>
          </cell>
          <cell r="C18">
            <v>5100</v>
          </cell>
          <cell r="D18">
            <v>120000</v>
          </cell>
          <cell r="E18">
            <v>237600</v>
          </cell>
          <cell r="G18">
            <v>-96000</v>
          </cell>
          <cell r="H18">
            <v>0</v>
          </cell>
          <cell r="I18">
            <v>-96000</v>
          </cell>
          <cell r="K18">
            <v>-24000</v>
          </cell>
          <cell r="L18">
            <v>0</v>
          </cell>
          <cell r="M18">
            <v>-24000</v>
          </cell>
          <cell r="O18">
            <v>-120000</v>
          </cell>
          <cell r="Q18">
            <v>0</v>
          </cell>
          <cell r="R18">
            <v>0</v>
          </cell>
          <cell r="S18">
            <v>0</v>
          </cell>
          <cell r="U18">
            <v>0</v>
          </cell>
          <cell r="V18">
            <v>0</v>
          </cell>
          <cell r="W18">
            <v>0</v>
          </cell>
          <cell r="Y18">
            <v>0</v>
          </cell>
          <cell r="Z18">
            <v>-120000</v>
          </cell>
          <cell r="AA18">
            <v>117600</v>
          </cell>
          <cell r="AB18">
            <v>2.35</v>
          </cell>
          <cell r="AC18">
            <v>1.04</v>
          </cell>
        </row>
        <row r="19">
          <cell r="A19">
            <v>35339</v>
          </cell>
          <cell r="B19">
            <v>110700</v>
          </cell>
          <cell r="C19">
            <v>5400</v>
          </cell>
          <cell r="D19">
            <v>50000</v>
          </cell>
          <cell r="E19">
            <v>166100</v>
          </cell>
          <cell r="G19">
            <v>-32000</v>
          </cell>
          <cell r="H19">
            <v>0</v>
          </cell>
          <cell r="I19">
            <v>-32000</v>
          </cell>
          <cell r="K19">
            <v>-18000</v>
          </cell>
          <cell r="L19">
            <v>0</v>
          </cell>
          <cell r="M19">
            <v>-18000</v>
          </cell>
          <cell r="O19">
            <v>-50000</v>
          </cell>
          <cell r="Q19">
            <v>0</v>
          </cell>
          <cell r="R19">
            <v>0</v>
          </cell>
          <cell r="S19">
            <v>0</v>
          </cell>
          <cell r="U19">
            <v>0</v>
          </cell>
          <cell r="V19">
            <v>0</v>
          </cell>
          <cell r="W19">
            <v>0</v>
          </cell>
          <cell r="Y19">
            <v>0</v>
          </cell>
          <cell r="Z19">
            <v>-50000</v>
          </cell>
          <cell r="AA19">
            <v>116100</v>
          </cell>
          <cell r="AB19">
            <v>2.15</v>
          </cell>
          <cell r="AC19">
            <v>1.04</v>
          </cell>
        </row>
        <row r="20">
          <cell r="A20">
            <v>35370</v>
          </cell>
          <cell r="B20">
            <v>240000</v>
          </cell>
          <cell r="C20">
            <v>33000</v>
          </cell>
          <cell r="D20">
            <v>0</v>
          </cell>
          <cell r="E20">
            <v>273000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Q20">
            <v>153000</v>
          </cell>
          <cell r="R20">
            <v>0</v>
          </cell>
          <cell r="S20">
            <v>153000</v>
          </cell>
          <cell r="U20">
            <v>10000</v>
          </cell>
          <cell r="V20">
            <v>0</v>
          </cell>
          <cell r="W20">
            <v>10000</v>
          </cell>
          <cell r="Y20">
            <v>163000</v>
          </cell>
          <cell r="Z20">
            <v>163000</v>
          </cell>
          <cell r="AA20">
            <v>436000</v>
          </cell>
          <cell r="AB20">
            <v>2.2999999999999998</v>
          </cell>
          <cell r="AC20">
            <v>1.04</v>
          </cell>
        </row>
        <row r="21">
          <cell r="A21">
            <v>35400</v>
          </cell>
          <cell r="B21">
            <v>450000</v>
          </cell>
          <cell r="C21">
            <v>60000</v>
          </cell>
          <cell r="D21">
            <v>0</v>
          </cell>
          <cell r="E21">
            <v>510000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O21">
            <v>0</v>
          </cell>
          <cell r="Q21">
            <v>150000</v>
          </cell>
          <cell r="R21">
            <v>0</v>
          </cell>
          <cell r="S21">
            <v>150000</v>
          </cell>
          <cell r="U21">
            <v>50000</v>
          </cell>
          <cell r="V21">
            <v>0</v>
          </cell>
          <cell r="W21">
            <v>50000</v>
          </cell>
          <cell r="Y21">
            <v>200000</v>
          </cell>
          <cell r="Z21">
            <v>200000</v>
          </cell>
          <cell r="AA21">
            <v>710000</v>
          </cell>
          <cell r="AB21">
            <v>2.85</v>
          </cell>
          <cell r="AC21">
            <v>1.04</v>
          </cell>
        </row>
        <row r="22">
          <cell r="A22">
            <v>35431</v>
          </cell>
          <cell r="B22">
            <v>377000</v>
          </cell>
          <cell r="C22">
            <v>52000</v>
          </cell>
          <cell r="D22">
            <v>0</v>
          </cell>
          <cell r="E22">
            <v>429000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  <cell r="Q22">
            <v>262000</v>
          </cell>
          <cell r="R22">
            <v>0</v>
          </cell>
          <cell r="S22">
            <v>262000</v>
          </cell>
          <cell r="U22">
            <v>76000</v>
          </cell>
          <cell r="V22">
            <v>0</v>
          </cell>
          <cell r="W22">
            <v>76000</v>
          </cell>
          <cell r="Y22">
            <v>338000</v>
          </cell>
          <cell r="Z22">
            <v>338000</v>
          </cell>
          <cell r="AA22">
            <v>767000</v>
          </cell>
          <cell r="AB22">
            <v>3.15</v>
          </cell>
          <cell r="AC22">
            <v>1.04</v>
          </cell>
        </row>
        <row r="23">
          <cell r="A23">
            <v>35462</v>
          </cell>
          <cell r="B23">
            <v>313000</v>
          </cell>
          <cell r="C23">
            <v>50000</v>
          </cell>
          <cell r="D23">
            <v>0</v>
          </cell>
          <cell r="E23">
            <v>363000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Q23">
            <v>217000</v>
          </cell>
          <cell r="R23">
            <v>0</v>
          </cell>
          <cell r="S23">
            <v>217000</v>
          </cell>
          <cell r="U23">
            <v>60000</v>
          </cell>
          <cell r="V23">
            <v>0</v>
          </cell>
          <cell r="W23">
            <v>60000</v>
          </cell>
          <cell r="Y23">
            <v>277000</v>
          </cell>
          <cell r="Z23">
            <v>277000</v>
          </cell>
          <cell r="AA23">
            <v>640000</v>
          </cell>
          <cell r="AB23">
            <v>3.3</v>
          </cell>
          <cell r="AC23">
            <v>1.04</v>
          </cell>
        </row>
        <row r="24">
          <cell r="A24">
            <v>35490</v>
          </cell>
          <cell r="B24">
            <v>275000</v>
          </cell>
          <cell r="C24">
            <v>35000</v>
          </cell>
          <cell r="D24">
            <v>0</v>
          </cell>
          <cell r="E24">
            <v>310000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  <cell r="Q24">
            <v>75000</v>
          </cell>
          <cell r="R24">
            <v>0</v>
          </cell>
          <cell r="S24">
            <v>75000</v>
          </cell>
          <cell r="U24">
            <v>50000</v>
          </cell>
          <cell r="V24">
            <v>0</v>
          </cell>
          <cell r="W24">
            <v>50000</v>
          </cell>
          <cell r="Y24">
            <v>125000</v>
          </cell>
          <cell r="Z24">
            <v>125000</v>
          </cell>
          <cell r="AA24">
            <v>435000</v>
          </cell>
          <cell r="AB24">
            <v>2.6</v>
          </cell>
          <cell r="AC24">
            <v>1.04</v>
          </cell>
        </row>
        <row r="25">
          <cell r="A25">
            <v>35521</v>
          </cell>
          <cell r="B25">
            <v>230000</v>
          </cell>
          <cell r="C25">
            <v>50000</v>
          </cell>
          <cell r="D25">
            <v>40000</v>
          </cell>
          <cell r="E25">
            <v>320000</v>
          </cell>
          <cell r="G25">
            <v>-30000</v>
          </cell>
          <cell r="H25">
            <v>0</v>
          </cell>
          <cell r="I25">
            <v>-30000</v>
          </cell>
          <cell r="K25">
            <v>-10000</v>
          </cell>
          <cell r="L25">
            <v>0</v>
          </cell>
          <cell r="M25">
            <v>-10000</v>
          </cell>
          <cell r="O25">
            <v>-40000</v>
          </cell>
          <cell r="Q25">
            <v>0</v>
          </cell>
          <cell r="R25">
            <v>0</v>
          </cell>
          <cell r="S25">
            <v>0</v>
          </cell>
          <cell r="U25">
            <v>0</v>
          </cell>
          <cell r="V25">
            <v>0</v>
          </cell>
          <cell r="W25">
            <v>0</v>
          </cell>
          <cell r="Y25">
            <v>0</v>
          </cell>
          <cell r="Z25">
            <v>-40000</v>
          </cell>
          <cell r="AA25">
            <v>280000</v>
          </cell>
          <cell r="AB25">
            <v>1.9</v>
          </cell>
          <cell r="AC25">
            <v>1.04</v>
          </cell>
        </row>
        <row r="26">
          <cell r="A26">
            <v>35551</v>
          </cell>
          <cell r="B26">
            <v>200000</v>
          </cell>
          <cell r="C26">
            <v>26000</v>
          </cell>
          <cell r="D26">
            <v>170000</v>
          </cell>
          <cell r="E26">
            <v>396000</v>
          </cell>
          <cell r="G26">
            <v>-135000</v>
          </cell>
          <cell r="H26">
            <v>0</v>
          </cell>
          <cell r="I26">
            <v>-135000</v>
          </cell>
          <cell r="K26">
            <v>-35000</v>
          </cell>
          <cell r="L26">
            <v>0</v>
          </cell>
          <cell r="M26">
            <v>-35000</v>
          </cell>
          <cell r="O26">
            <v>-170000</v>
          </cell>
          <cell r="Q26">
            <v>0</v>
          </cell>
          <cell r="R26">
            <v>0</v>
          </cell>
          <cell r="S26">
            <v>0</v>
          </cell>
          <cell r="U26">
            <v>0</v>
          </cell>
          <cell r="V26">
            <v>0</v>
          </cell>
          <cell r="W26">
            <v>0</v>
          </cell>
          <cell r="Y26">
            <v>0</v>
          </cell>
          <cell r="Z26">
            <v>-170000</v>
          </cell>
          <cell r="AA26">
            <v>226000</v>
          </cell>
          <cell r="AB26">
            <v>1.75</v>
          </cell>
          <cell r="AC26">
            <v>1.04</v>
          </cell>
        </row>
        <row r="27">
          <cell r="A27">
            <v>35582</v>
          </cell>
          <cell r="B27">
            <v>245000</v>
          </cell>
          <cell r="C27">
            <v>45000</v>
          </cell>
          <cell r="D27">
            <v>245000</v>
          </cell>
          <cell r="E27">
            <v>535000</v>
          </cell>
          <cell r="G27">
            <v>-200000</v>
          </cell>
          <cell r="H27">
            <v>0</v>
          </cell>
          <cell r="I27">
            <v>-200000</v>
          </cell>
          <cell r="K27">
            <v>-45000</v>
          </cell>
          <cell r="L27">
            <v>0</v>
          </cell>
          <cell r="M27">
            <v>-45000</v>
          </cell>
          <cell r="O27">
            <v>-245000</v>
          </cell>
          <cell r="Q27">
            <v>0</v>
          </cell>
          <cell r="R27">
            <v>0</v>
          </cell>
          <cell r="S27">
            <v>0</v>
          </cell>
          <cell r="U27">
            <v>0</v>
          </cell>
          <cell r="V27">
            <v>0</v>
          </cell>
          <cell r="W27">
            <v>0</v>
          </cell>
          <cell r="Y27">
            <v>0</v>
          </cell>
          <cell r="Z27">
            <v>-245000</v>
          </cell>
          <cell r="AA27">
            <v>290000</v>
          </cell>
          <cell r="AB27">
            <v>2</v>
          </cell>
          <cell r="AC27">
            <v>1.04</v>
          </cell>
        </row>
        <row r="28">
          <cell r="A28">
            <v>35612</v>
          </cell>
          <cell r="B28">
            <v>230000</v>
          </cell>
          <cell r="C28">
            <v>45000</v>
          </cell>
          <cell r="D28">
            <v>255000</v>
          </cell>
          <cell r="E28">
            <v>530000</v>
          </cell>
          <cell r="G28">
            <v>-215000</v>
          </cell>
          <cell r="H28">
            <v>0</v>
          </cell>
          <cell r="I28">
            <v>-215000</v>
          </cell>
          <cell r="K28">
            <v>-40000</v>
          </cell>
          <cell r="L28">
            <v>0</v>
          </cell>
          <cell r="M28">
            <v>-40000</v>
          </cell>
          <cell r="O28">
            <v>-255000</v>
          </cell>
          <cell r="Q28">
            <v>0</v>
          </cell>
          <cell r="R28">
            <v>0</v>
          </cell>
          <cell r="S28">
            <v>0</v>
          </cell>
          <cell r="U28">
            <v>0</v>
          </cell>
          <cell r="V28">
            <v>0</v>
          </cell>
          <cell r="W28">
            <v>0</v>
          </cell>
          <cell r="Y28">
            <v>0</v>
          </cell>
          <cell r="Z28">
            <v>-255000</v>
          </cell>
          <cell r="AA28">
            <v>275000</v>
          </cell>
          <cell r="AB28">
            <v>2.15</v>
          </cell>
          <cell r="AC28">
            <v>1.04</v>
          </cell>
        </row>
        <row r="29">
          <cell r="A29">
            <v>35643</v>
          </cell>
          <cell r="B29">
            <v>255000</v>
          </cell>
          <cell r="C29">
            <v>45000</v>
          </cell>
          <cell r="D29">
            <v>195000</v>
          </cell>
          <cell r="E29">
            <v>495000</v>
          </cell>
          <cell r="G29">
            <v>-150000</v>
          </cell>
          <cell r="H29">
            <v>0</v>
          </cell>
          <cell r="I29">
            <v>-150000</v>
          </cell>
          <cell r="K29">
            <v>-45000</v>
          </cell>
          <cell r="L29">
            <v>0</v>
          </cell>
          <cell r="M29">
            <v>-45000</v>
          </cell>
          <cell r="O29">
            <v>-195000</v>
          </cell>
          <cell r="Q29">
            <v>0</v>
          </cell>
          <cell r="R29">
            <v>0</v>
          </cell>
          <cell r="S29">
            <v>0</v>
          </cell>
          <cell r="U29">
            <v>0</v>
          </cell>
          <cell r="V29">
            <v>0</v>
          </cell>
          <cell r="W29">
            <v>0</v>
          </cell>
          <cell r="Y29">
            <v>0</v>
          </cell>
          <cell r="Z29">
            <v>-195000</v>
          </cell>
          <cell r="AA29">
            <v>300000</v>
          </cell>
          <cell r="AB29">
            <v>2.35</v>
          </cell>
          <cell r="AC29">
            <v>1.04</v>
          </cell>
        </row>
        <row r="30">
          <cell r="A30">
            <v>35674</v>
          </cell>
          <cell r="B30">
            <v>265000</v>
          </cell>
          <cell r="C30">
            <v>45000</v>
          </cell>
          <cell r="D30">
            <v>150000</v>
          </cell>
          <cell r="E30">
            <v>460000</v>
          </cell>
          <cell r="G30">
            <v>-110000</v>
          </cell>
          <cell r="H30">
            <v>0</v>
          </cell>
          <cell r="I30">
            <v>-110000</v>
          </cell>
          <cell r="K30">
            <v>-40000</v>
          </cell>
          <cell r="L30">
            <v>0</v>
          </cell>
          <cell r="M30">
            <v>-40000</v>
          </cell>
          <cell r="O30">
            <v>-150000</v>
          </cell>
          <cell r="Q30">
            <v>0</v>
          </cell>
          <cell r="R30">
            <v>0</v>
          </cell>
          <cell r="S30">
            <v>0</v>
          </cell>
          <cell r="U30">
            <v>0</v>
          </cell>
          <cell r="V30">
            <v>0</v>
          </cell>
          <cell r="W30">
            <v>0</v>
          </cell>
          <cell r="Y30">
            <v>0</v>
          </cell>
          <cell r="Z30">
            <v>-150000</v>
          </cell>
          <cell r="AA30">
            <v>310000</v>
          </cell>
          <cell r="AB30">
            <v>2.35</v>
          </cell>
          <cell r="AC30">
            <v>1.04</v>
          </cell>
        </row>
        <row r="31">
          <cell r="A31">
            <v>35704</v>
          </cell>
          <cell r="B31">
            <v>225000</v>
          </cell>
          <cell r="C31">
            <v>40000</v>
          </cell>
          <cell r="D31">
            <v>96500</v>
          </cell>
          <cell r="E31">
            <v>361500</v>
          </cell>
          <cell r="G31">
            <v>-90000</v>
          </cell>
          <cell r="H31">
            <v>0</v>
          </cell>
          <cell r="I31">
            <v>-90000</v>
          </cell>
          <cell r="K31">
            <v>-6500</v>
          </cell>
          <cell r="L31">
            <v>0</v>
          </cell>
          <cell r="M31">
            <v>-6500</v>
          </cell>
          <cell r="O31">
            <v>-96500</v>
          </cell>
          <cell r="Q31">
            <v>0</v>
          </cell>
          <cell r="R31">
            <v>0</v>
          </cell>
          <cell r="S31">
            <v>0</v>
          </cell>
          <cell r="U31">
            <v>0</v>
          </cell>
          <cell r="V31">
            <v>0</v>
          </cell>
          <cell r="W31">
            <v>0</v>
          </cell>
          <cell r="Y31">
            <v>0</v>
          </cell>
          <cell r="Z31">
            <v>-96500</v>
          </cell>
          <cell r="AA31">
            <v>265000</v>
          </cell>
          <cell r="AB31">
            <v>2.5499999999999998</v>
          </cell>
          <cell r="AC31">
            <v>1.04</v>
          </cell>
        </row>
        <row r="32">
          <cell r="A32">
            <v>35735</v>
          </cell>
          <cell r="B32">
            <v>235000</v>
          </cell>
          <cell r="C32">
            <v>45000</v>
          </cell>
          <cell r="D32">
            <v>0</v>
          </cell>
          <cell r="E32">
            <v>280000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O32">
            <v>0</v>
          </cell>
          <cell r="Q32">
            <v>20000</v>
          </cell>
          <cell r="R32">
            <v>0</v>
          </cell>
          <cell r="S32">
            <v>20000</v>
          </cell>
          <cell r="U32">
            <v>10000</v>
          </cell>
          <cell r="V32">
            <v>0</v>
          </cell>
          <cell r="W32">
            <v>10000</v>
          </cell>
          <cell r="Y32">
            <v>30000</v>
          </cell>
          <cell r="Z32">
            <v>30000</v>
          </cell>
          <cell r="AA32">
            <v>310000</v>
          </cell>
          <cell r="AB32">
            <v>3.65</v>
          </cell>
          <cell r="AC32">
            <v>1.04</v>
          </cell>
        </row>
        <row r="33">
          <cell r="A33">
            <v>35765</v>
          </cell>
          <cell r="B33">
            <v>300000</v>
          </cell>
          <cell r="C33">
            <v>35000</v>
          </cell>
          <cell r="D33">
            <v>0</v>
          </cell>
          <cell r="E33">
            <v>335000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  <cell r="O33">
            <v>0</v>
          </cell>
          <cell r="Q33">
            <v>150000</v>
          </cell>
          <cell r="R33">
            <v>0</v>
          </cell>
          <cell r="S33">
            <v>150000</v>
          </cell>
          <cell r="U33">
            <v>55000</v>
          </cell>
          <cell r="V33">
            <v>0</v>
          </cell>
          <cell r="W33">
            <v>55000</v>
          </cell>
          <cell r="Y33">
            <v>205000</v>
          </cell>
          <cell r="Z33">
            <v>205000</v>
          </cell>
          <cell r="AA33">
            <v>540000</v>
          </cell>
          <cell r="AB33">
            <v>3.98</v>
          </cell>
          <cell r="AC33">
            <v>1.04</v>
          </cell>
        </row>
        <row r="34">
          <cell r="A34">
            <v>35796</v>
          </cell>
          <cell r="B34">
            <v>353000</v>
          </cell>
          <cell r="C34">
            <v>49000</v>
          </cell>
          <cell r="D34">
            <v>0</v>
          </cell>
          <cell r="E34">
            <v>402000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O34">
            <v>0</v>
          </cell>
          <cell r="Q34">
            <v>262000</v>
          </cell>
          <cell r="R34">
            <v>0</v>
          </cell>
          <cell r="S34">
            <v>262000</v>
          </cell>
          <cell r="U34">
            <v>76000</v>
          </cell>
          <cell r="V34">
            <v>0</v>
          </cell>
          <cell r="W34">
            <v>76000</v>
          </cell>
          <cell r="Y34">
            <v>338000</v>
          </cell>
          <cell r="Z34">
            <v>338000</v>
          </cell>
          <cell r="AA34">
            <v>740000</v>
          </cell>
          <cell r="AB34">
            <v>3.48</v>
          </cell>
          <cell r="AC34">
            <v>1.04</v>
          </cell>
        </row>
        <row r="35">
          <cell r="A35">
            <v>35827</v>
          </cell>
          <cell r="B35">
            <v>615341</v>
          </cell>
          <cell r="C35">
            <v>99637</v>
          </cell>
          <cell r="D35">
            <v>0</v>
          </cell>
          <cell r="E35">
            <v>714978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O35">
            <v>0</v>
          </cell>
          <cell r="Q35">
            <v>193750</v>
          </cell>
          <cell r="R35">
            <v>0</v>
          </cell>
          <cell r="S35">
            <v>193750</v>
          </cell>
          <cell r="U35">
            <v>56250</v>
          </cell>
          <cell r="V35">
            <v>0</v>
          </cell>
          <cell r="W35">
            <v>56250</v>
          </cell>
          <cell r="Y35">
            <v>250000</v>
          </cell>
          <cell r="Z35">
            <v>250000</v>
          </cell>
          <cell r="AA35">
            <v>964978</v>
          </cell>
          <cell r="AB35">
            <v>2.5</v>
          </cell>
          <cell r="AC35">
            <v>1.04</v>
          </cell>
        </row>
        <row r="36">
          <cell r="A36">
            <v>35855</v>
          </cell>
          <cell r="B36">
            <v>532617</v>
          </cell>
          <cell r="C36">
            <v>78158</v>
          </cell>
          <cell r="D36">
            <v>0</v>
          </cell>
          <cell r="E36">
            <v>610775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O36">
            <v>0</v>
          </cell>
          <cell r="Q36">
            <v>116250</v>
          </cell>
          <cell r="R36">
            <v>0</v>
          </cell>
          <cell r="S36">
            <v>116250</v>
          </cell>
          <cell r="U36">
            <v>33750</v>
          </cell>
          <cell r="V36">
            <v>0</v>
          </cell>
          <cell r="W36">
            <v>33750</v>
          </cell>
          <cell r="Y36">
            <v>150000</v>
          </cell>
          <cell r="Z36">
            <v>150000</v>
          </cell>
          <cell r="AA36">
            <v>760775</v>
          </cell>
          <cell r="AB36">
            <v>2.23</v>
          </cell>
          <cell r="AC36">
            <v>1.04</v>
          </cell>
        </row>
        <row r="37">
          <cell r="A37">
            <v>35886</v>
          </cell>
          <cell r="B37">
            <v>326274</v>
          </cell>
          <cell r="C37">
            <v>38318</v>
          </cell>
          <cell r="D37">
            <v>130000</v>
          </cell>
          <cell r="E37">
            <v>494592</v>
          </cell>
          <cell r="G37">
            <v>-100750</v>
          </cell>
          <cell r="H37">
            <v>0</v>
          </cell>
          <cell r="I37">
            <v>-100750</v>
          </cell>
          <cell r="K37">
            <v>-29250</v>
          </cell>
          <cell r="L37">
            <v>0</v>
          </cell>
          <cell r="M37">
            <v>-29250</v>
          </cell>
          <cell r="O37">
            <v>-130000</v>
          </cell>
          <cell r="Q37">
            <v>0</v>
          </cell>
          <cell r="R37">
            <v>0</v>
          </cell>
          <cell r="S37">
            <v>0</v>
          </cell>
          <cell r="U37">
            <v>0</v>
          </cell>
          <cell r="V37">
            <v>0</v>
          </cell>
          <cell r="W37">
            <v>0</v>
          </cell>
          <cell r="Y37">
            <v>0</v>
          </cell>
          <cell r="Z37">
            <v>-130000</v>
          </cell>
          <cell r="AA37">
            <v>364592</v>
          </cell>
          <cell r="AB37">
            <v>2.2599999999999998</v>
          </cell>
          <cell r="AC37">
            <v>1.04</v>
          </cell>
        </row>
        <row r="38">
          <cell r="A38">
            <v>35916</v>
          </cell>
          <cell r="B38">
            <v>74907</v>
          </cell>
          <cell r="C38">
            <v>17003</v>
          </cell>
          <cell r="D38">
            <v>134323</v>
          </cell>
          <cell r="E38">
            <v>226233</v>
          </cell>
          <cell r="G38">
            <v>-119257</v>
          </cell>
          <cell r="H38">
            <v>0</v>
          </cell>
          <cell r="I38">
            <v>-119257</v>
          </cell>
          <cell r="K38">
            <v>-15066</v>
          </cell>
          <cell r="L38">
            <v>0</v>
          </cell>
          <cell r="M38">
            <v>-15066</v>
          </cell>
          <cell r="O38">
            <v>-134323</v>
          </cell>
          <cell r="Q38">
            <v>0</v>
          </cell>
          <cell r="R38">
            <v>0</v>
          </cell>
          <cell r="S38">
            <v>0</v>
          </cell>
          <cell r="U38">
            <v>0</v>
          </cell>
          <cell r="V38">
            <v>0</v>
          </cell>
          <cell r="W38">
            <v>0</v>
          </cell>
          <cell r="Y38">
            <v>0</v>
          </cell>
          <cell r="Z38">
            <v>-134323</v>
          </cell>
          <cell r="AA38">
            <v>91910</v>
          </cell>
          <cell r="AB38">
            <v>2.41</v>
          </cell>
          <cell r="AC38">
            <v>1.04</v>
          </cell>
        </row>
        <row r="39">
          <cell r="A39">
            <v>35947</v>
          </cell>
          <cell r="B39">
            <v>67363</v>
          </cell>
          <cell r="C39">
            <v>15291</v>
          </cell>
          <cell r="D39">
            <v>129990</v>
          </cell>
          <cell r="E39">
            <v>212644</v>
          </cell>
          <cell r="G39">
            <v>-106020</v>
          </cell>
          <cell r="H39">
            <v>0</v>
          </cell>
          <cell r="I39">
            <v>-106020</v>
          </cell>
          <cell r="K39">
            <v>-23970</v>
          </cell>
          <cell r="L39">
            <v>0</v>
          </cell>
          <cell r="M39">
            <v>-23970</v>
          </cell>
          <cell r="O39">
            <v>-129990</v>
          </cell>
          <cell r="Q39">
            <v>0</v>
          </cell>
          <cell r="R39">
            <v>0</v>
          </cell>
          <cell r="S39">
            <v>0</v>
          </cell>
          <cell r="U39">
            <v>0</v>
          </cell>
          <cell r="V39">
            <v>0</v>
          </cell>
          <cell r="W39">
            <v>0</v>
          </cell>
          <cell r="Y39">
            <v>0</v>
          </cell>
          <cell r="Z39">
            <v>-129990</v>
          </cell>
          <cell r="AA39">
            <v>82654</v>
          </cell>
          <cell r="AB39">
            <v>2.4</v>
          </cell>
          <cell r="AC39">
            <v>1.04</v>
          </cell>
        </row>
        <row r="40">
          <cell r="A40">
            <v>35977</v>
          </cell>
          <cell r="B40">
            <v>5665</v>
          </cell>
          <cell r="C40">
            <v>1286</v>
          </cell>
          <cell r="D40">
            <v>216850</v>
          </cell>
          <cell r="E40">
            <v>223801</v>
          </cell>
          <cell r="G40">
            <v>-168059</v>
          </cell>
          <cell r="H40">
            <v>0</v>
          </cell>
          <cell r="I40">
            <v>-168059</v>
          </cell>
          <cell r="K40">
            <v>-48791</v>
          </cell>
          <cell r="L40">
            <v>0</v>
          </cell>
          <cell r="M40">
            <v>-48791</v>
          </cell>
          <cell r="O40">
            <v>-216850</v>
          </cell>
          <cell r="Q40">
            <v>0</v>
          </cell>
          <cell r="R40">
            <v>0</v>
          </cell>
          <cell r="S40">
            <v>0</v>
          </cell>
          <cell r="U40">
            <v>0</v>
          </cell>
          <cell r="V40">
            <v>0</v>
          </cell>
          <cell r="W40">
            <v>0</v>
          </cell>
          <cell r="Y40">
            <v>0</v>
          </cell>
          <cell r="Z40">
            <v>-216850</v>
          </cell>
          <cell r="AA40">
            <v>6951</v>
          </cell>
          <cell r="AB40">
            <v>2.2999999999999998</v>
          </cell>
          <cell r="AC40">
            <v>1.04</v>
          </cell>
        </row>
        <row r="41">
          <cell r="A41">
            <v>36008</v>
          </cell>
          <cell r="B41">
            <v>28198</v>
          </cell>
          <cell r="C41">
            <v>6401</v>
          </cell>
          <cell r="D41">
            <v>172600</v>
          </cell>
          <cell r="E41">
            <v>207199</v>
          </cell>
          <cell r="G41">
            <v>-133765</v>
          </cell>
          <cell r="H41">
            <v>0</v>
          </cell>
          <cell r="I41">
            <v>-133765</v>
          </cell>
          <cell r="K41">
            <v>-38835</v>
          </cell>
          <cell r="L41">
            <v>0</v>
          </cell>
          <cell r="M41">
            <v>-38835</v>
          </cell>
          <cell r="O41">
            <v>-172600</v>
          </cell>
          <cell r="Q41">
            <v>0</v>
          </cell>
          <cell r="R41">
            <v>0</v>
          </cell>
          <cell r="S41">
            <v>0</v>
          </cell>
          <cell r="U41">
            <v>0</v>
          </cell>
          <cell r="V41">
            <v>0</v>
          </cell>
          <cell r="W41">
            <v>0</v>
          </cell>
          <cell r="Y41">
            <v>0</v>
          </cell>
          <cell r="Z41">
            <v>-172600</v>
          </cell>
          <cell r="AA41">
            <v>34599</v>
          </cell>
          <cell r="AB41">
            <v>2.4500000000000002</v>
          </cell>
          <cell r="AC41">
            <v>1.04</v>
          </cell>
        </row>
        <row r="42">
          <cell r="A42">
            <v>36039</v>
          </cell>
          <cell r="B42">
            <v>72864</v>
          </cell>
          <cell r="C42">
            <v>16540</v>
          </cell>
          <cell r="D42">
            <v>120150</v>
          </cell>
          <cell r="E42">
            <v>209554</v>
          </cell>
          <cell r="G42">
            <v>-93116</v>
          </cell>
          <cell r="H42">
            <v>0</v>
          </cell>
          <cell r="I42">
            <v>-93116</v>
          </cell>
          <cell r="K42">
            <v>-27034</v>
          </cell>
          <cell r="L42">
            <v>0</v>
          </cell>
          <cell r="M42">
            <v>-27034</v>
          </cell>
          <cell r="O42">
            <v>-120150</v>
          </cell>
          <cell r="Q42">
            <v>0</v>
          </cell>
          <cell r="R42">
            <v>0</v>
          </cell>
          <cell r="S42">
            <v>0</v>
          </cell>
          <cell r="U42">
            <v>0</v>
          </cell>
          <cell r="V42">
            <v>0</v>
          </cell>
          <cell r="W42">
            <v>0</v>
          </cell>
          <cell r="Y42">
            <v>0</v>
          </cell>
          <cell r="Z42">
            <v>-120150</v>
          </cell>
          <cell r="AA42">
            <v>89404</v>
          </cell>
          <cell r="AB42">
            <v>2.15</v>
          </cell>
          <cell r="AC42">
            <v>1.04</v>
          </cell>
        </row>
        <row r="43">
          <cell r="A43">
            <v>36069</v>
          </cell>
          <cell r="B43">
            <v>188430</v>
          </cell>
          <cell r="C43">
            <v>42772</v>
          </cell>
          <cell r="D43">
            <v>98000</v>
          </cell>
          <cell r="E43">
            <v>329202</v>
          </cell>
          <cell r="G43">
            <v>-75950</v>
          </cell>
          <cell r="H43">
            <v>0</v>
          </cell>
          <cell r="I43">
            <v>-75950</v>
          </cell>
          <cell r="K43">
            <v>-22050</v>
          </cell>
          <cell r="L43">
            <v>0</v>
          </cell>
          <cell r="M43">
            <v>-22050</v>
          </cell>
          <cell r="O43">
            <v>-98000</v>
          </cell>
          <cell r="Q43">
            <v>0</v>
          </cell>
          <cell r="R43">
            <v>0</v>
          </cell>
          <cell r="S43">
            <v>0</v>
          </cell>
          <cell r="U43">
            <v>0</v>
          </cell>
          <cell r="V43">
            <v>0</v>
          </cell>
          <cell r="W43">
            <v>0</v>
          </cell>
          <cell r="Y43">
            <v>0</v>
          </cell>
          <cell r="Z43">
            <v>-98000</v>
          </cell>
          <cell r="AA43">
            <v>231202</v>
          </cell>
          <cell r="AB43">
            <v>2.15</v>
          </cell>
          <cell r="AC43">
            <v>1.04</v>
          </cell>
        </row>
        <row r="44">
          <cell r="A44">
            <v>36100</v>
          </cell>
          <cell r="B44">
            <v>369849</v>
          </cell>
          <cell r="C44">
            <v>83954</v>
          </cell>
          <cell r="D44">
            <v>-150000</v>
          </cell>
          <cell r="E44">
            <v>303803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O44">
            <v>0</v>
          </cell>
          <cell r="Q44">
            <v>116250</v>
          </cell>
          <cell r="R44">
            <v>0</v>
          </cell>
          <cell r="S44">
            <v>116250</v>
          </cell>
          <cell r="U44">
            <v>33750</v>
          </cell>
          <cell r="V44">
            <v>0</v>
          </cell>
          <cell r="W44">
            <v>33750</v>
          </cell>
          <cell r="Y44">
            <v>150000</v>
          </cell>
          <cell r="Z44">
            <v>150000</v>
          </cell>
          <cell r="AA44">
            <v>453803</v>
          </cell>
          <cell r="AB44">
            <v>2.5099999999999998</v>
          </cell>
          <cell r="AC44">
            <v>1.04</v>
          </cell>
        </row>
        <row r="45">
          <cell r="A45">
            <v>36130</v>
          </cell>
          <cell r="B45">
            <v>496359</v>
          </cell>
          <cell r="C45">
            <v>112670</v>
          </cell>
          <cell r="D45">
            <v>-300000</v>
          </cell>
          <cell r="E45">
            <v>309029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  <cell r="O45">
            <v>0</v>
          </cell>
          <cell r="Q45">
            <v>232500</v>
          </cell>
          <cell r="R45">
            <v>0</v>
          </cell>
          <cell r="S45">
            <v>232500</v>
          </cell>
          <cell r="U45">
            <v>67500</v>
          </cell>
          <cell r="V45">
            <v>0</v>
          </cell>
          <cell r="W45">
            <v>67500</v>
          </cell>
          <cell r="Y45">
            <v>300000</v>
          </cell>
          <cell r="Z45">
            <v>300000</v>
          </cell>
          <cell r="AA45">
            <v>609029</v>
          </cell>
          <cell r="AB45">
            <v>2.37</v>
          </cell>
          <cell r="AC45">
            <v>1.04</v>
          </cell>
        </row>
        <row r="46">
          <cell r="A46">
            <v>36161</v>
          </cell>
          <cell r="B46">
            <v>593925</v>
          </cell>
          <cell r="C46">
            <v>134817</v>
          </cell>
          <cell r="D46">
            <v>-350000</v>
          </cell>
          <cell r="E46">
            <v>378742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  <cell r="O46">
            <v>0</v>
          </cell>
          <cell r="Q46">
            <v>271250</v>
          </cell>
          <cell r="R46">
            <v>0</v>
          </cell>
          <cell r="S46">
            <v>271250</v>
          </cell>
          <cell r="U46">
            <v>78750</v>
          </cell>
          <cell r="V46">
            <v>0</v>
          </cell>
          <cell r="W46">
            <v>78750</v>
          </cell>
          <cell r="Y46">
            <v>350000</v>
          </cell>
          <cell r="Z46">
            <v>350000</v>
          </cell>
          <cell r="AA46">
            <v>728742</v>
          </cell>
          <cell r="AB46">
            <v>2.25</v>
          </cell>
          <cell r="AC46">
            <v>1.04</v>
          </cell>
        </row>
        <row r="47">
          <cell r="A47">
            <v>36192</v>
          </cell>
          <cell r="B47">
            <v>469686</v>
          </cell>
          <cell r="C47">
            <v>106616</v>
          </cell>
          <cell r="D47">
            <v>-300000</v>
          </cell>
          <cell r="E47">
            <v>276302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  <cell r="O47">
            <v>0</v>
          </cell>
          <cell r="Q47">
            <v>232500</v>
          </cell>
          <cell r="R47">
            <v>0</v>
          </cell>
          <cell r="S47">
            <v>232500</v>
          </cell>
          <cell r="U47">
            <v>67500</v>
          </cell>
          <cell r="V47">
            <v>0</v>
          </cell>
          <cell r="W47">
            <v>67500</v>
          </cell>
          <cell r="Y47">
            <v>300000</v>
          </cell>
          <cell r="Z47">
            <v>300000</v>
          </cell>
          <cell r="AA47">
            <v>576302</v>
          </cell>
          <cell r="AB47">
            <v>1.81</v>
          </cell>
          <cell r="AC47">
            <v>1.04</v>
          </cell>
        </row>
        <row r="48">
          <cell r="A48">
            <v>36220</v>
          </cell>
          <cell r="B48">
            <v>384217</v>
          </cell>
          <cell r="C48">
            <v>87215</v>
          </cell>
          <cell r="D48">
            <v>-138000</v>
          </cell>
          <cell r="E48">
            <v>333432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O48">
            <v>0</v>
          </cell>
          <cell r="Q48">
            <v>106950</v>
          </cell>
          <cell r="R48">
            <v>0</v>
          </cell>
          <cell r="S48">
            <v>106950</v>
          </cell>
          <cell r="U48">
            <v>31050</v>
          </cell>
          <cell r="V48">
            <v>0</v>
          </cell>
          <cell r="W48">
            <v>31050</v>
          </cell>
          <cell r="Y48">
            <v>138000</v>
          </cell>
          <cell r="Z48">
            <v>138000</v>
          </cell>
          <cell r="AA48">
            <v>471432</v>
          </cell>
          <cell r="AB48">
            <v>1.77</v>
          </cell>
          <cell r="AC48">
            <v>1.04</v>
          </cell>
        </row>
        <row r="49">
          <cell r="A49">
            <v>36251</v>
          </cell>
          <cell r="B49">
            <v>209378</v>
          </cell>
          <cell r="C49">
            <v>47528</v>
          </cell>
          <cell r="D49">
            <v>130000</v>
          </cell>
          <cell r="E49">
            <v>386906</v>
          </cell>
          <cell r="G49">
            <v>-100750</v>
          </cell>
          <cell r="H49">
            <v>0</v>
          </cell>
          <cell r="I49">
            <v>-100750</v>
          </cell>
          <cell r="K49">
            <v>-29250</v>
          </cell>
          <cell r="L49">
            <v>0</v>
          </cell>
          <cell r="M49">
            <v>-29250</v>
          </cell>
          <cell r="O49">
            <v>-130000</v>
          </cell>
          <cell r="Q49">
            <v>0</v>
          </cell>
          <cell r="R49">
            <v>0</v>
          </cell>
          <cell r="S49">
            <v>0</v>
          </cell>
          <cell r="U49">
            <v>0</v>
          </cell>
          <cell r="V49">
            <v>0</v>
          </cell>
          <cell r="W49">
            <v>0</v>
          </cell>
          <cell r="Y49">
            <v>0</v>
          </cell>
          <cell r="Z49">
            <v>-130000</v>
          </cell>
          <cell r="AA49">
            <v>256906</v>
          </cell>
          <cell r="AB49">
            <v>1.75</v>
          </cell>
          <cell r="AC49">
            <v>1.04</v>
          </cell>
        </row>
        <row r="50">
          <cell r="A50">
            <v>36281</v>
          </cell>
          <cell r="B50">
            <v>111137</v>
          </cell>
          <cell r="C50">
            <v>25227</v>
          </cell>
          <cell r="D50">
            <v>173000</v>
          </cell>
          <cell r="E50">
            <v>309364</v>
          </cell>
          <cell r="G50">
            <v>-134075</v>
          </cell>
          <cell r="H50">
            <v>0</v>
          </cell>
          <cell r="I50">
            <v>-134075</v>
          </cell>
          <cell r="K50">
            <v>-38925</v>
          </cell>
          <cell r="L50">
            <v>0</v>
          </cell>
          <cell r="M50">
            <v>-38925</v>
          </cell>
          <cell r="O50">
            <v>-173000</v>
          </cell>
          <cell r="Q50">
            <v>0</v>
          </cell>
          <cell r="R50">
            <v>0</v>
          </cell>
          <cell r="S50">
            <v>0</v>
          </cell>
          <cell r="U50">
            <v>0</v>
          </cell>
          <cell r="V50">
            <v>0</v>
          </cell>
          <cell r="W50">
            <v>0</v>
          </cell>
          <cell r="Y50">
            <v>0</v>
          </cell>
          <cell r="Z50">
            <v>-173000</v>
          </cell>
          <cell r="AA50">
            <v>136364</v>
          </cell>
          <cell r="AB50">
            <v>1.66</v>
          </cell>
          <cell r="AC50">
            <v>1.04</v>
          </cell>
        </row>
        <row r="51">
          <cell r="A51">
            <v>36312</v>
          </cell>
          <cell r="B51">
            <v>77216</v>
          </cell>
          <cell r="C51">
            <v>17527</v>
          </cell>
          <cell r="D51">
            <v>246000</v>
          </cell>
          <cell r="E51">
            <v>340743</v>
          </cell>
          <cell r="G51">
            <v>-190650</v>
          </cell>
          <cell r="H51">
            <v>0</v>
          </cell>
          <cell r="I51">
            <v>-190650</v>
          </cell>
          <cell r="K51">
            <v>-55350</v>
          </cell>
          <cell r="L51">
            <v>0</v>
          </cell>
          <cell r="M51">
            <v>-55350</v>
          </cell>
          <cell r="O51">
            <v>-246000</v>
          </cell>
          <cell r="Q51">
            <v>0</v>
          </cell>
          <cell r="R51">
            <v>0</v>
          </cell>
          <cell r="S51">
            <v>0</v>
          </cell>
          <cell r="U51">
            <v>0</v>
          </cell>
          <cell r="V51">
            <v>0</v>
          </cell>
          <cell r="W51">
            <v>0</v>
          </cell>
          <cell r="Y51">
            <v>0</v>
          </cell>
          <cell r="Z51">
            <v>-246000</v>
          </cell>
          <cell r="AA51">
            <v>94743</v>
          </cell>
          <cell r="AB51">
            <v>2.0499999999999998</v>
          </cell>
          <cell r="AC51">
            <v>1.04</v>
          </cell>
        </row>
        <row r="52">
          <cell r="A52">
            <v>36342</v>
          </cell>
          <cell r="B52">
            <v>79460</v>
          </cell>
          <cell r="C52">
            <v>18037</v>
          </cell>
          <cell r="D52">
            <v>246000</v>
          </cell>
          <cell r="E52">
            <v>343497</v>
          </cell>
          <cell r="G52">
            <v>-190650</v>
          </cell>
          <cell r="H52">
            <v>0</v>
          </cell>
          <cell r="I52">
            <v>-190650</v>
          </cell>
          <cell r="K52">
            <v>-55350</v>
          </cell>
          <cell r="L52">
            <v>0</v>
          </cell>
          <cell r="M52">
            <v>-55350</v>
          </cell>
          <cell r="O52">
            <v>-246000</v>
          </cell>
          <cell r="Q52">
            <v>0</v>
          </cell>
          <cell r="R52">
            <v>0</v>
          </cell>
          <cell r="S52">
            <v>0</v>
          </cell>
          <cell r="U52">
            <v>0</v>
          </cell>
          <cell r="V52">
            <v>0</v>
          </cell>
          <cell r="W52">
            <v>0</v>
          </cell>
          <cell r="Y52">
            <v>0</v>
          </cell>
          <cell r="Z52">
            <v>-246000</v>
          </cell>
          <cell r="AA52">
            <v>97497</v>
          </cell>
          <cell r="AB52">
            <v>2.34</v>
          </cell>
          <cell r="AC52">
            <v>1.04</v>
          </cell>
        </row>
        <row r="53">
          <cell r="A53">
            <v>36373</v>
          </cell>
          <cell r="B53">
            <v>69256</v>
          </cell>
          <cell r="C53">
            <v>15721</v>
          </cell>
          <cell r="D53">
            <v>166000</v>
          </cell>
          <cell r="E53">
            <v>250977</v>
          </cell>
          <cell r="G53">
            <v>-128650</v>
          </cell>
          <cell r="H53">
            <v>0</v>
          </cell>
          <cell r="I53">
            <v>-128650</v>
          </cell>
          <cell r="K53">
            <v>-37350</v>
          </cell>
          <cell r="L53">
            <v>0</v>
          </cell>
          <cell r="M53">
            <v>-37350</v>
          </cell>
          <cell r="O53">
            <v>-166000</v>
          </cell>
          <cell r="Q53">
            <v>0</v>
          </cell>
          <cell r="R53">
            <v>0</v>
          </cell>
          <cell r="S53">
            <v>0</v>
          </cell>
          <cell r="U53">
            <v>0</v>
          </cell>
          <cell r="V53">
            <v>0</v>
          </cell>
          <cell r="W53">
            <v>0</v>
          </cell>
          <cell r="Y53">
            <v>0</v>
          </cell>
          <cell r="Z53">
            <v>-166000</v>
          </cell>
          <cell r="AA53">
            <v>84977</v>
          </cell>
          <cell r="AB53">
            <v>2.1500000000000004</v>
          </cell>
          <cell r="AC53">
            <v>1.04</v>
          </cell>
        </row>
        <row r="54">
          <cell r="A54">
            <v>36404</v>
          </cell>
          <cell r="B54">
            <v>52543</v>
          </cell>
          <cell r="C54">
            <v>11927</v>
          </cell>
          <cell r="D54">
            <v>123000</v>
          </cell>
          <cell r="E54">
            <v>187470</v>
          </cell>
          <cell r="G54">
            <v>-95325</v>
          </cell>
          <cell r="H54">
            <v>0</v>
          </cell>
          <cell r="I54">
            <v>-95325</v>
          </cell>
          <cell r="K54">
            <v>-27675</v>
          </cell>
          <cell r="L54">
            <v>0</v>
          </cell>
          <cell r="M54">
            <v>-27675</v>
          </cell>
          <cell r="O54">
            <v>-123000</v>
          </cell>
          <cell r="Q54">
            <v>0</v>
          </cell>
          <cell r="R54">
            <v>0</v>
          </cell>
          <cell r="S54">
            <v>0</v>
          </cell>
          <cell r="U54">
            <v>0</v>
          </cell>
          <cell r="V54">
            <v>0</v>
          </cell>
          <cell r="W54">
            <v>0</v>
          </cell>
          <cell r="Y54">
            <v>0</v>
          </cell>
          <cell r="Z54">
            <v>-123000</v>
          </cell>
          <cell r="AA54">
            <v>64470</v>
          </cell>
          <cell r="AB54">
            <v>2.1500000000000004</v>
          </cell>
          <cell r="AC54">
            <v>1.04</v>
          </cell>
        </row>
        <row r="55">
          <cell r="A55">
            <v>36434</v>
          </cell>
          <cell r="B55">
            <v>171626</v>
          </cell>
          <cell r="C55">
            <v>38958</v>
          </cell>
          <cell r="D55">
            <v>98000</v>
          </cell>
          <cell r="E55">
            <v>308584</v>
          </cell>
          <cell r="G55">
            <v>-75950</v>
          </cell>
          <cell r="H55">
            <v>0</v>
          </cell>
          <cell r="I55">
            <v>-75950</v>
          </cell>
          <cell r="K55">
            <v>-22050</v>
          </cell>
          <cell r="L55">
            <v>0</v>
          </cell>
          <cell r="M55">
            <v>-22050</v>
          </cell>
          <cell r="O55">
            <v>-98000</v>
          </cell>
          <cell r="Q55">
            <v>0</v>
          </cell>
          <cell r="R55">
            <v>0</v>
          </cell>
          <cell r="S55">
            <v>0</v>
          </cell>
          <cell r="U55">
            <v>0</v>
          </cell>
          <cell r="V55">
            <v>0</v>
          </cell>
          <cell r="W55">
            <v>0</v>
          </cell>
          <cell r="Y55">
            <v>0</v>
          </cell>
          <cell r="Z55">
            <v>-98000</v>
          </cell>
          <cell r="AA55">
            <v>210584</v>
          </cell>
          <cell r="AB55">
            <v>2.4</v>
          </cell>
          <cell r="AC55">
            <v>1.04</v>
          </cell>
        </row>
        <row r="56">
          <cell r="A56">
            <v>36465</v>
          </cell>
          <cell r="B56">
            <v>382000</v>
          </cell>
          <cell r="C56">
            <v>78000</v>
          </cell>
          <cell r="D56">
            <v>-130000</v>
          </cell>
          <cell r="E56">
            <v>330000</v>
          </cell>
          <cell r="G56">
            <v>108000</v>
          </cell>
          <cell r="H56">
            <v>0</v>
          </cell>
          <cell r="I56">
            <v>108000</v>
          </cell>
          <cell r="K56">
            <v>22000</v>
          </cell>
          <cell r="L56">
            <v>0</v>
          </cell>
          <cell r="M56">
            <v>22000</v>
          </cell>
          <cell r="O56">
            <v>130000</v>
          </cell>
          <cell r="Q56">
            <v>0</v>
          </cell>
          <cell r="R56">
            <v>0</v>
          </cell>
          <cell r="S56">
            <v>0</v>
          </cell>
          <cell r="U56">
            <v>0</v>
          </cell>
          <cell r="V56">
            <v>0</v>
          </cell>
          <cell r="W56">
            <v>0</v>
          </cell>
          <cell r="Y56">
            <v>0</v>
          </cell>
          <cell r="Z56">
            <v>130000</v>
          </cell>
          <cell r="AA56">
            <v>460000</v>
          </cell>
          <cell r="AB56">
            <v>2.75</v>
          </cell>
          <cell r="AC56">
            <v>1.04</v>
          </cell>
        </row>
        <row r="57">
          <cell r="A57">
            <v>36495</v>
          </cell>
          <cell r="B57">
            <v>531200</v>
          </cell>
          <cell r="C57">
            <v>108800</v>
          </cell>
          <cell r="D57">
            <v>-300000</v>
          </cell>
          <cell r="E57">
            <v>340000</v>
          </cell>
          <cell r="G57">
            <v>249000</v>
          </cell>
          <cell r="H57">
            <v>0</v>
          </cell>
          <cell r="I57">
            <v>249000</v>
          </cell>
          <cell r="K57">
            <v>51000</v>
          </cell>
          <cell r="L57">
            <v>0</v>
          </cell>
          <cell r="M57">
            <v>51000</v>
          </cell>
          <cell r="O57">
            <v>300000</v>
          </cell>
          <cell r="Q57">
            <v>0</v>
          </cell>
          <cell r="R57">
            <v>0</v>
          </cell>
          <cell r="S57">
            <v>0</v>
          </cell>
          <cell r="U57">
            <v>0</v>
          </cell>
          <cell r="V57">
            <v>0</v>
          </cell>
          <cell r="W57">
            <v>0</v>
          </cell>
          <cell r="Y57">
            <v>0</v>
          </cell>
          <cell r="Z57">
            <v>300000</v>
          </cell>
          <cell r="AA57">
            <v>640000</v>
          </cell>
          <cell r="AB57">
            <v>2.75</v>
          </cell>
          <cell r="AC57">
            <v>1.04</v>
          </cell>
        </row>
        <row r="58">
          <cell r="A58">
            <v>36526</v>
          </cell>
          <cell r="B58">
            <v>564400</v>
          </cell>
          <cell r="C58">
            <v>115600</v>
          </cell>
          <cell r="D58">
            <v>-300000</v>
          </cell>
          <cell r="E58">
            <v>380000</v>
          </cell>
          <cell r="G58">
            <v>249000</v>
          </cell>
          <cell r="H58">
            <v>0</v>
          </cell>
          <cell r="I58">
            <v>249000</v>
          </cell>
          <cell r="K58">
            <v>51000</v>
          </cell>
          <cell r="L58">
            <v>0</v>
          </cell>
          <cell r="M58">
            <v>51000</v>
          </cell>
          <cell r="O58">
            <v>300000</v>
          </cell>
          <cell r="Q58">
            <v>0</v>
          </cell>
          <cell r="R58">
            <v>0</v>
          </cell>
          <cell r="S58">
            <v>0</v>
          </cell>
          <cell r="U58">
            <v>0</v>
          </cell>
          <cell r="V58">
            <v>0</v>
          </cell>
          <cell r="W58">
            <v>0</v>
          </cell>
          <cell r="Y58">
            <v>0</v>
          </cell>
          <cell r="Z58">
            <v>300000</v>
          </cell>
          <cell r="AA58">
            <v>680000</v>
          </cell>
          <cell r="AB58">
            <v>2.5750000000000002</v>
          </cell>
          <cell r="AC58">
            <v>1.04</v>
          </cell>
        </row>
        <row r="59">
          <cell r="A59">
            <v>36557</v>
          </cell>
          <cell r="B59">
            <v>464800</v>
          </cell>
          <cell r="C59">
            <v>95200</v>
          </cell>
          <cell r="D59">
            <v>-300000</v>
          </cell>
          <cell r="E59">
            <v>260000</v>
          </cell>
          <cell r="G59">
            <v>249000</v>
          </cell>
          <cell r="H59">
            <v>0</v>
          </cell>
          <cell r="I59">
            <v>249000</v>
          </cell>
          <cell r="K59">
            <v>51000</v>
          </cell>
          <cell r="L59">
            <v>0</v>
          </cell>
          <cell r="M59">
            <v>51000</v>
          </cell>
          <cell r="O59">
            <v>300000</v>
          </cell>
          <cell r="Q59">
            <v>0</v>
          </cell>
          <cell r="R59">
            <v>0</v>
          </cell>
          <cell r="S59">
            <v>0</v>
          </cell>
          <cell r="U59">
            <v>0</v>
          </cell>
          <cell r="V59">
            <v>0</v>
          </cell>
          <cell r="W59">
            <v>0</v>
          </cell>
          <cell r="Y59">
            <v>0</v>
          </cell>
          <cell r="Z59">
            <v>300000</v>
          </cell>
          <cell r="AA59">
            <v>560000</v>
          </cell>
          <cell r="AB59">
            <v>2.75</v>
          </cell>
          <cell r="AC59">
            <v>1.04</v>
          </cell>
        </row>
        <row r="60">
          <cell r="A60">
            <v>36586</v>
          </cell>
          <cell r="B60">
            <v>431600</v>
          </cell>
          <cell r="C60">
            <v>88400</v>
          </cell>
          <cell r="D60">
            <v>-140000</v>
          </cell>
          <cell r="E60">
            <v>380000</v>
          </cell>
          <cell r="G60">
            <v>116200</v>
          </cell>
          <cell r="H60">
            <v>0</v>
          </cell>
          <cell r="I60">
            <v>116200</v>
          </cell>
          <cell r="K60">
            <v>23800</v>
          </cell>
          <cell r="L60">
            <v>0</v>
          </cell>
          <cell r="M60">
            <v>23800</v>
          </cell>
          <cell r="O60">
            <v>140000</v>
          </cell>
          <cell r="Q60">
            <v>0</v>
          </cell>
          <cell r="R60">
            <v>0</v>
          </cell>
          <cell r="S60">
            <v>0</v>
          </cell>
          <cell r="U60">
            <v>0</v>
          </cell>
          <cell r="V60">
            <v>0</v>
          </cell>
          <cell r="W60">
            <v>0</v>
          </cell>
          <cell r="Y60">
            <v>0</v>
          </cell>
          <cell r="Z60">
            <v>140000</v>
          </cell>
          <cell r="AA60">
            <v>520000</v>
          </cell>
          <cell r="AB60">
            <v>2.75</v>
          </cell>
          <cell r="AC60">
            <v>1.04</v>
          </cell>
        </row>
        <row r="61">
          <cell r="A61">
            <v>36617</v>
          </cell>
          <cell r="B61">
            <v>407837</v>
          </cell>
          <cell r="C61">
            <v>86163</v>
          </cell>
          <cell r="D61">
            <v>-150000</v>
          </cell>
          <cell r="E61">
            <v>344000</v>
          </cell>
          <cell r="G61">
            <v>123837</v>
          </cell>
          <cell r="H61">
            <v>0</v>
          </cell>
          <cell r="I61">
            <v>123837</v>
          </cell>
          <cell r="K61">
            <v>26163</v>
          </cell>
          <cell r="L61">
            <v>0</v>
          </cell>
          <cell r="M61">
            <v>26163</v>
          </cell>
          <cell r="O61">
            <v>150000</v>
          </cell>
          <cell r="Q61">
            <v>0</v>
          </cell>
          <cell r="R61">
            <v>0</v>
          </cell>
          <cell r="S61">
            <v>0</v>
          </cell>
          <cell r="U61">
            <v>0</v>
          </cell>
          <cell r="V61">
            <v>0</v>
          </cell>
          <cell r="W61">
            <v>0</v>
          </cell>
          <cell r="Y61">
            <v>0</v>
          </cell>
          <cell r="Z61">
            <v>150000</v>
          </cell>
          <cell r="AA61">
            <v>494000</v>
          </cell>
          <cell r="AB61">
            <v>2.75</v>
          </cell>
          <cell r="AC61">
            <v>1.04</v>
          </cell>
        </row>
        <row r="62">
          <cell r="A62">
            <v>36647</v>
          </cell>
          <cell r="B62">
            <v>413901</v>
          </cell>
          <cell r="C62">
            <v>88099</v>
          </cell>
          <cell r="D62">
            <v>-200000</v>
          </cell>
          <cell r="E62">
            <v>302000</v>
          </cell>
          <cell r="G62">
            <v>164901</v>
          </cell>
          <cell r="H62">
            <v>0</v>
          </cell>
          <cell r="I62">
            <v>164901</v>
          </cell>
          <cell r="K62">
            <v>35099</v>
          </cell>
          <cell r="L62">
            <v>0</v>
          </cell>
          <cell r="M62">
            <v>35099</v>
          </cell>
          <cell r="O62">
            <v>200000</v>
          </cell>
          <cell r="Q62">
            <v>0</v>
          </cell>
          <cell r="R62">
            <v>0</v>
          </cell>
          <cell r="S62">
            <v>0</v>
          </cell>
          <cell r="U62">
            <v>0</v>
          </cell>
          <cell r="V62">
            <v>0</v>
          </cell>
          <cell r="W62">
            <v>0</v>
          </cell>
          <cell r="Y62">
            <v>0</v>
          </cell>
          <cell r="Z62">
            <v>200000</v>
          </cell>
          <cell r="AA62">
            <v>502000</v>
          </cell>
          <cell r="AB62">
            <v>2.84</v>
          </cell>
          <cell r="AC62">
            <v>1.04</v>
          </cell>
        </row>
        <row r="63">
          <cell r="A63">
            <v>36678</v>
          </cell>
          <cell r="B63">
            <v>252000</v>
          </cell>
          <cell r="C63">
            <v>51000</v>
          </cell>
          <cell r="D63">
            <v>-215000</v>
          </cell>
          <cell r="E63">
            <v>88000</v>
          </cell>
          <cell r="G63">
            <v>178815</v>
          </cell>
          <cell r="H63">
            <v>0</v>
          </cell>
          <cell r="I63">
            <v>178815</v>
          </cell>
          <cell r="K63">
            <v>36185</v>
          </cell>
          <cell r="L63">
            <v>0</v>
          </cell>
          <cell r="M63">
            <v>36185</v>
          </cell>
          <cell r="O63">
            <v>215000</v>
          </cell>
          <cell r="Q63">
            <v>0</v>
          </cell>
          <cell r="R63">
            <v>0</v>
          </cell>
          <cell r="S63">
            <v>0</v>
          </cell>
          <cell r="U63">
            <v>0</v>
          </cell>
          <cell r="V63">
            <v>0</v>
          </cell>
          <cell r="W63">
            <v>0</v>
          </cell>
          <cell r="Y63">
            <v>0</v>
          </cell>
          <cell r="Z63">
            <v>215000</v>
          </cell>
          <cell r="AA63">
            <v>303000</v>
          </cell>
          <cell r="AB63">
            <v>2.84</v>
          </cell>
          <cell r="AC63">
            <v>1.04</v>
          </cell>
        </row>
        <row r="64">
          <cell r="A64">
            <v>36708</v>
          </cell>
          <cell r="B64">
            <v>245000</v>
          </cell>
          <cell r="C64">
            <v>50000</v>
          </cell>
          <cell r="D64">
            <v>-210000</v>
          </cell>
          <cell r="E64">
            <v>85000</v>
          </cell>
          <cell r="G64">
            <v>174405</v>
          </cell>
          <cell r="H64">
            <v>0</v>
          </cell>
          <cell r="I64">
            <v>174405</v>
          </cell>
          <cell r="K64">
            <v>35595</v>
          </cell>
          <cell r="L64">
            <v>0</v>
          </cell>
          <cell r="M64">
            <v>35595</v>
          </cell>
          <cell r="O64">
            <v>210000</v>
          </cell>
          <cell r="Q64">
            <v>0</v>
          </cell>
          <cell r="R64">
            <v>0</v>
          </cell>
          <cell r="S64">
            <v>0</v>
          </cell>
          <cell r="U64">
            <v>0</v>
          </cell>
          <cell r="V64">
            <v>0</v>
          </cell>
          <cell r="W64">
            <v>0</v>
          </cell>
          <cell r="Y64">
            <v>0</v>
          </cell>
          <cell r="Z64">
            <v>210000</v>
          </cell>
          <cell r="AA64">
            <v>295000</v>
          </cell>
          <cell r="AB64">
            <v>3.27</v>
          </cell>
          <cell r="AC64">
            <v>1.04</v>
          </cell>
        </row>
        <row r="65">
          <cell r="A65">
            <v>36739</v>
          </cell>
          <cell r="B65">
            <v>252000</v>
          </cell>
          <cell r="C65">
            <v>49000</v>
          </cell>
          <cell r="D65">
            <v>200000</v>
          </cell>
          <cell r="E65">
            <v>501000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  <cell r="O65">
            <v>0</v>
          </cell>
          <cell r="Q65">
            <v>-167400</v>
          </cell>
          <cell r="R65">
            <v>0</v>
          </cell>
          <cell r="S65">
            <v>-167400</v>
          </cell>
          <cell r="U65">
            <v>-32600</v>
          </cell>
          <cell r="V65">
            <v>0</v>
          </cell>
          <cell r="W65">
            <v>-32600</v>
          </cell>
          <cell r="Y65">
            <v>-200000</v>
          </cell>
          <cell r="Z65">
            <v>-200000</v>
          </cell>
          <cell r="AA65">
            <v>301000</v>
          </cell>
          <cell r="AB65">
            <v>4.2300000000000004</v>
          </cell>
          <cell r="AC65">
            <v>1.04</v>
          </cell>
        </row>
        <row r="66">
          <cell r="A66">
            <v>36770</v>
          </cell>
          <cell r="B66">
            <v>189000</v>
          </cell>
          <cell r="C66">
            <v>37000</v>
          </cell>
          <cell r="D66">
            <v>125000</v>
          </cell>
          <cell r="E66">
            <v>351000</v>
          </cell>
          <cell r="G66">
            <v>0</v>
          </cell>
          <cell r="H66">
            <v>0</v>
          </cell>
          <cell r="I66">
            <v>0</v>
          </cell>
          <cell r="K66">
            <v>0</v>
          </cell>
          <cell r="L66">
            <v>0</v>
          </cell>
          <cell r="M66">
            <v>0</v>
          </cell>
          <cell r="O66">
            <v>0</v>
          </cell>
          <cell r="Q66">
            <v>-104537</v>
          </cell>
          <cell r="R66">
            <v>0</v>
          </cell>
          <cell r="S66">
            <v>-104537</v>
          </cell>
          <cell r="U66">
            <v>-20463</v>
          </cell>
          <cell r="V66">
            <v>0</v>
          </cell>
          <cell r="W66">
            <v>-20463</v>
          </cell>
          <cell r="Y66">
            <v>-125000</v>
          </cell>
          <cell r="Z66">
            <v>-125000</v>
          </cell>
          <cell r="AA66">
            <v>226000</v>
          </cell>
          <cell r="AB66">
            <v>4.2300000000000004</v>
          </cell>
          <cell r="AC66">
            <v>1.04</v>
          </cell>
        </row>
        <row r="67">
          <cell r="A67">
            <v>36800</v>
          </cell>
          <cell r="B67">
            <v>245000</v>
          </cell>
          <cell r="C67">
            <v>51000</v>
          </cell>
          <cell r="D67">
            <v>100000</v>
          </cell>
          <cell r="E67">
            <v>396000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O67">
            <v>0</v>
          </cell>
          <cell r="Q67">
            <v>-82770</v>
          </cell>
          <cell r="R67">
            <v>0</v>
          </cell>
          <cell r="S67">
            <v>-82770</v>
          </cell>
          <cell r="U67">
            <v>-17230</v>
          </cell>
          <cell r="V67">
            <v>0</v>
          </cell>
          <cell r="W67">
            <v>-17230</v>
          </cell>
          <cell r="Y67">
            <v>-100000</v>
          </cell>
          <cell r="Z67">
            <v>-100000</v>
          </cell>
          <cell r="AA67">
            <v>296000</v>
          </cell>
          <cell r="AB67">
            <v>4.8</v>
          </cell>
          <cell r="AC67">
            <v>1.04</v>
          </cell>
        </row>
        <row r="68">
          <cell r="A68">
            <v>36831</v>
          </cell>
          <cell r="B68">
            <v>381939</v>
          </cell>
          <cell r="C68">
            <v>78061</v>
          </cell>
          <cell r="D68">
            <v>-130000</v>
          </cell>
          <cell r="E68">
            <v>330000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O68">
            <v>0</v>
          </cell>
          <cell r="Q68">
            <v>0</v>
          </cell>
          <cell r="R68">
            <v>107939</v>
          </cell>
          <cell r="S68">
            <v>107939</v>
          </cell>
          <cell r="U68">
            <v>0</v>
          </cell>
          <cell r="V68">
            <v>22061</v>
          </cell>
          <cell r="W68">
            <v>22061</v>
          </cell>
          <cell r="Y68">
            <v>130000</v>
          </cell>
          <cell r="Z68">
            <v>130000</v>
          </cell>
          <cell r="AA68">
            <v>460000</v>
          </cell>
          <cell r="AB68">
            <v>5.4</v>
          </cell>
          <cell r="AC68">
            <v>1.04</v>
          </cell>
        </row>
        <row r="69">
          <cell r="A69">
            <v>36861</v>
          </cell>
          <cell r="B69">
            <v>531200</v>
          </cell>
          <cell r="C69">
            <v>108800</v>
          </cell>
          <cell r="D69">
            <v>-300000</v>
          </cell>
          <cell r="E69">
            <v>340000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O69">
            <v>0</v>
          </cell>
          <cell r="Q69">
            <v>0</v>
          </cell>
          <cell r="R69">
            <v>249000</v>
          </cell>
          <cell r="S69">
            <v>249000</v>
          </cell>
          <cell r="U69">
            <v>0</v>
          </cell>
          <cell r="V69">
            <v>51000</v>
          </cell>
          <cell r="W69">
            <v>51000</v>
          </cell>
          <cell r="Y69">
            <v>300000</v>
          </cell>
          <cell r="Z69">
            <v>300000</v>
          </cell>
          <cell r="AA69">
            <v>640000</v>
          </cell>
          <cell r="AB69">
            <v>5.4</v>
          </cell>
          <cell r="AC69">
            <v>1.04</v>
          </cell>
        </row>
        <row r="70">
          <cell r="A70">
            <v>36892</v>
          </cell>
          <cell r="B70">
            <v>564400</v>
          </cell>
          <cell r="C70">
            <v>115600</v>
          </cell>
          <cell r="D70">
            <v>-300000</v>
          </cell>
          <cell r="E70">
            <v>380000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  <cell r="O70">
            <v>0</v>
          </cell>
          <cell r="Q70">
            <v>0</v>
          </cell>
          <cell r="R70">
            <v>249000</v>
          </cell>
          <cell r="S70">
            <v>249000</v>
          </cell>
          <cell r="U70">
            <v>0</v>
          </cell>
          <cell r="V70">
            <v>51000</v>
          </cell>
          <cell r="W70">
            <v>51000</v>
          </cell>
          <cell r="Y70">
            <v>300000</v>
          </cell>
          <cell r="Z70">
            <v>300000</v>
          </cell>
          <cell r="AA70">
            <v>680000</v>
          </cell>
          <cell r="AB70">
            <v>5.4</v>
          </cell>
          <cell r="AC70">
            <v>1.04</v>
          </cell>
        </row>
        <row r="71">
          <cell r="A71">
            <v>36923</v>
          </cell>
          <cell r="B71">
            <v>464800</v>
          </cell>
          <cell r="C71">
            <v>95200</v>
          </cell>
          <cell r="D71">
            <v>-300000</v>
          </cell>
          <cell r="E71">
            <v>260000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O71">
            <v>0</v>
          </cell>
          <cell r="Q71">
            <v>0</v>
          </cell>
          <cell r="R71">
            <v>249000</v>
          </cell>
          <cell r="S71">
            <v>249000</v>
          </cell>
          <cell r="U71">
            <v>0</v>
          </cell>
          <cell r="V71">
            <v>51000</v>
          </cell>
          <cell r="W71">
            <v>51000</v>
          </cell>
          <cell r="Y71">
            <v>300000</v>
          </cell>
          <cell r="Z71">
            <v>300000</v>
          </cell>
          <cell r="AA71">
            <v>560000</v>
          </cell>
          <cell r="AB71">
            <v>7.42</v>
          </cell>
          <cell r="AC71">
            <v>1.04</v>
          </cell>
        </row>
        <row r="72">
          <cell r="A72">
            <v>36951</v>
          </cell>
          <cell r="B72">
            <v>431600</v>
          </cell>
          <cell r="C72">
            <v>88400</v>
          </cell>
          <cell r="D72">
            <v>-140000</v>
          </cell>
          <cell r="E72">
            <v>380000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O72">
            <v>0</v>
          </cell>
          <cell r="Q72">
            <v>0</v>
          </cell>
          <cell r="R72">
            <v>116200</v>
          </cell>
          <cell r="S72">
            <v>116200</v>
          </cell>
          <cell r="U72">
            <v>0</v>
          </cell>
          <cell r="V72">
            <v>23800</v>
          </cell>
          <cell r="W72">
            <v>23800</v>
          </cell>
          <cell r="Y72">
            <v>140000</v>
          </cell>
          <cell r="Z72">
            <v>140000</v>
          </cell>
          <cell r="AA72">
            <v>520000</v>
          </cell>
          <cell r="AB72">
            <v>6</v>
          </cell>
          <cell r="AC72">
            <v>1.04</v>
          </cell>
        </row>
        <row r="73">
          <cell r="A73">
            <v>36982</v>
          </cell>
          <cell r="B73">
            <v>259000</v>
          </cell>
          <cell r="C73">
            <v>60000</v>
          </cell>
          <cell r="D73">
            <v>150000</v>
          </cell>
          <cell r="E73">
            <v>469000</v>
          </cell>
          <cell r="G73">
            <v>-123837</v>
          </cell>
          <cell r="H73">
            <v>0</v>
          </cell>
          <cell r="I73">
            <v>-123837</v>
          </cell>
          <cell r="K73">
            <v>-26163</v>
          </cell>
          <cell r="L73">
            <v>0</v>
          </cell>
          <cell r="M73">
            <v>-26163</v>
          </cell>
          <cell r="O73">
            <v>-150000</v>
          </cell>
          <cell r="Q73">
            <v>0</v>
          </cell>
          <cell r="R73">
            <v>0</v>
          </cell>
          <cell r="S73">
            <v>0</v>
          </cell>
          <cell r="U73">
            <v>0</v>
          </cell>
          <cell r="V73">
            <v>0</v>
          </cell>
          <cell r="W73">
            <v>0</v>
          </cell>
          <cell r="Y73">
            <v>0</v>
          </cell>
          <cell r="Z73">
            <v>-150000</v>
          </cell>
          <cell r="AA73">
            <v>319000</v>
          </cell>
          <cell r="AB73">
            <v>5.41</v>
          </cell>
          <cell r="AC73">
            <v>1.04</v>
          </cell>
        </row>
        <row r="74">
          <cell r="A74">
            <v>37012</v>
          </cell>
          <cell r="B74">
            <v>84100</v>
          </cell>
          <cell r="C74">
            <v>17900</v>
          </cell>
          <cell r="D74">
            <v>200000</v>
          </cell>
          <cell r="E74">
            <v>302000</v>
          </cell>
          <cell r="G74">
            <v>-164900</v>
          </cell>
          <cell r="H74">
            <v>0</v>
          </cell>
          <cell r="I74">
            <v>-164900</v>
          </cell>
          <cell r="K74">
            <v>-35100</v>
          </cell>
          <cell r="L74">
            <v>0</v>
          </cell>
          <cell r="M74">
            <v>-35100</v>
          </cell>
          <cell r="O74">
            <v>-200000</v>
          </cell>
          <cell r="Q74">
            <v>0</v>
          </cell>
          <cell r="R74">
            <v>0</v>
          </cell>
          <cell r="S74">
            <v>0</v>
          </cell>
          <cell r="U74">
            <v>0</v>
          </cell>
          <cell r="V74">
            <v>0</v>
          </cell>
          <cell r="W74">
            <v>0</v>
          </cell>
          <cell r="Y74">
            <v>0</v>
          </cell>
          <cell r="Z74">
            <v>-200000</v>
          </cell>
          <cell r="AA74">
            <v>102000</v>
          </cell>
          <cell r="AB74">
            <v>5.24</v>
          </cell>
          <cell r="AC74">
            <v>1.04</v>
          </cell>
        </row>
        <row r="75">
          <cell r="A75">
            <v>37043</v>
          </cell>
          <cell r="B75">
            <v>73185</v>
          </cell>
          <cell r="C75">
            <v>14815</v>
          </cell>
          <cell r="D75">
            <v>215000</v>
          </cell>
          <cell r="E75">
            <v>303000</v>
          </cell>
          <cell r="G75">
            <v>-178815</v>
          </cell>
          <cell r="H75">
            <v>0</v>
          </cell>
          <cell r="I75">
            <v>-178815</v>
          </cell>
          <cell r="K75">
            <v>-36185</v>
          </cell>
          <cell r="L75">
            <v>0</v>
          </cell>
          <cell r="M75">
            <v>-36185</v>
          </cell>
          <cell r="O75">
            <v>-215000</v>
          </cell>
          <cell r="Q75">
            <v>0</v>
          </cell>
          <cell r="R75">
            <v>0</v>
          </cell>
          <cell r="S75">
            <v>0</v>
          </cell>
          <cell r="U75">
            <v>0</v>
          </cell>
          <cell r="V75">
            <v>0</v>
          </cell>
          <cell r="W75">
            <v>0</v>
          </cell>
          <cell r="Y75">
            <v>0</v>
          </cell>
          <cell r="Z75">
            <v>-215000</v>
          </cell>
          <cell r="AA75">
            <v>88000</v>
          </cell>
          <cell r="AB75">
            <v>5.09</v>
          </cell>
          <cell r="AC75">
            <v>1.04</v>
          </cell>
        </row>
        <row r="76">
          <cell r="A76">
            <v>37073</v>
          </cell>
          <cell r="B76">
            <v>70595</v>
          </cell>
          <cell r="C76">
            <v>14405</v>
          </cell>
          <cell r="D76">
            <v>210000</v>
          </cell>
          <cell r="E76">
            <v>295000</v>
          </cell>
          <cell r="G76">
            <v>-174405</v>
          </cell>
          <cell r="H76">
            <v>0</v>
          </cell>
          <cell r="I76">
            <v>-174405</v>
          </cell>
          <cell r="K76">
            <v>-35595</v>
          </cell>
          <cell r="L76">
            <v>0</v>
          </cell>
          <cell r="M76">
            <v>-35595</v>
          </cell>
          <cell r="O76">
            <v>-210000</v>
          </cell>
          <cell r="Q76">
            <v>0</v>
          </cell>
          <cell r="R76">
            <v>0</v>
          </cell>
          <cell r="S76">
            <v>0</v>
          </cell>
          <cell r="U76">
            <v>0</v>
          </cell>
          <cell r="V76">
            <v>0</v>
          </cell>
          <cell r="W76">
            <v>0</v>
          </cell>
          <cell r="Y76">
            <v>0</v>
          </cell>
          <cell r="Z76">
            <v>-210000</v>
          </cell>
          <cell r="AA76">
            <v>85000</v>
          </cell>
          <cell r="AB76">
            <v>4.0599999999999996</v>
          </cell>
          <cell r="AC76">
            <v>1.04</v>
          </cell>
        </row>
        <row r="77">
          <cell r="A77">
            <v>37104</v>
          </cell>
          <cell r="B77">
            <v>84560</v>
          </cell>
          <cell r="C77">
            <v>16440</v>
          </cell>
          <cell r="D77">
            <v>200000</v>
          </cell>
          <cell r="E77">
            <v>301000</v>
          </cell>
          <cell r="G77">
            <v>-167440</v>
          </cell>
          <cell r="H77">
            <v>0</v>
          </cell>
          <cell r="I77">
            <v>-167440</v>
          </cell>
          <cell r="K77">
            <v>-32560</v>
          </cell>
          <cell r="L77">
            <v>0</v>
          </cell>
          <cell r="M77">
            <v>-32560</v>
          </cell>
          <cell r="O77">
            <v>-200000</v>
          </cell>
          <cell r="Q77">
            <v>0</v>
          </cell>
          <cell r="R77">
            <v>0</v>
          </cell>
          <cell r="S77">
            <v>0</v>
          </cell>
          <cell r="U77">
            <v>0</v>
          </cell>
          <cell r="V77">
            <v>0</v>
          </cell>
          <cell r="W77">
            <v>0</v>
          </cell>
          <cell r="Y77">
            <v>0</v>
          </cell>
          <cell r="Z77">
            <v>-200000</v>
          </cell>
          <cell r="AA77">
            <v>101000</v>
          </cell>
          <cell r="AB77">
            <v>3.89</v>
          </cell>
          <cell r="AC77">
            <v>1.04</v>
          </cell>
        </row>
        <row r="78">
          <cell r="A78">
            <v>37196</v>
          </cell>
          <cell r="B78">
            <v>1345960</v>
          </cell>
          <cell r="C78">
            <v>378915</v>
          </cell>
          <cell r="D78">
            <v>-760000</v>
          </cell>
          <cell r="E78">
            <v>964875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Q78">
            <v>0</v>
          </cell>
          <cell r="R78">
            <v>591885</v>
          </cell>
          <cell r="S78">
            <v>591885</v>
          </cell>
          <cell r="U78">
            <v>0</v>
          </cell>
          <cell r="V78">
            <v>168115</v>
          </cell>
          <cell r="W78">
            <v>168115</v>
          </cell>
          <cell r="Y78">
            <v>760000</v>
          </cell>
          <cell r="Z78">
            <v>760000</v>
          </cell>
          <cell r="AA78">
            <v>1724875</v>
          </cell>
          <cell r="AB78">
            <v>3.23</v>
          </cell>
          <cell r="AC78">
            <v>1.04</v>
          </cell>
        </row>
        <row r="79">
          <cell r="A79">
            <v>37288</v>
          </cell>
          <cell r="B79">
            <v>1569456</v>
          </cell>
          <cell r="C79">
            <v>296044</v>
          </cell>
          <cell r="D79">
            <v>-698000</v>
          </cell>
          <cell r="E79">
            <v>1167500</v>
          </cell>
          <cell r="G79">
            <v>0</v>
          </cell>
          <cell r="H79">
            <v>0</v>
          </cell>
          <cell r="I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Q79">
            <v>0</v>
          </cell>
          <cell r="R79">
            <v>588536</v>
          </cell>
          <cell r="S79">
            <v>588536</v>
          </cell>
          <cell r="U79">
            <v>0</v>
          </cell>
          <cell r="V79">
            <v>109464</v>
          </cell>
          <cell r="W79">
            <v>109464</v>
          </cell>
          <cell r="Y79">
            <v>698000</v>
          </cell>
          <cell r="Z79">
            <v>698000</v>
          </cell>
          <cell r="AA79">
            <v>1865500</v>
          </cell>
          <cell r="AB79">
            <v>3</v>
          </cell>
          <cell r="AC79">
            <v>1.04</v>
          </cell>
        </row>
        <row r="80">
          <cell r="A80">
            <v>37377</v>
          </cell>
          <cell r="B80">
            <v>266172</v>
          </cell>
          <cell r="C80">
            <v>77038</v>
          </cell>
          <cell r="D80">
            <v>-216200</v>
          </cell>
          <cell r="E80">
            <v>127010</v>
          </cell>
          <cell r="G80">
            <v>-167528</v>
          </cell>
          <cell r="H80">
            <v>0</v>
          </cell>
          <cell r="I80">
            <v>-167528</v>
          </cell>
          <cell r="K80">
            <v>-48672</v>
          </cell>
          <cell r="L80">
            <v>0</v>
          </cell>
          <cell r="M80">
            <v>-48672</v>
          </cell>
          <cell r="O80">
            <v>-216200</v>
          </cell>
          <cell r="Q80">
            <v>0</v>
          </cell>
          <cell r="R80">
            <v>0</v>
          </cell>
          <cell r="S80">
            <v>0</v>
          </cell>
          <cell r="U80">
            <v>0</v>
          </cell>
          <cell r="V80">
            <v>0</v>
          </cell>
          <cell r="W80">
            <v>0</v>
          </cell>
          <cell r="Y80">
            <v>0</v>
          </cell>
          <cell r="Z80">
            <v>-216200</v>
          </cell>
          <cell r="AA80">
            <v>-89190</v>
          </cell>
          <cell r="AB80">
            <v>3.3209</v>
          </cell>
          <cell r="AC80">
            <v>1.04</v>
          </cell>
        </row>
        <row r="81">
          <cell r="A81">
            <v>37469</v>
          </cell>
          <cell r="B81">
            <v>336479</v>
          </cell>
          <cell r="C81">
            <v>99381</v>
          </cell>
          <cell r="D81">
            <v>-70500</v>
          </cell>
          <cell r="E81">
            <v>365360</v>
          </cell>
          <cell r="G81">
            <v>-166721</v>
          </cell>
          <cell r="H81">
            <v>0</v>
          </cell>
          <cell r="I81">
            <v>-166721</v>
          </cell>
          <cell r="K81">
            <v>-49479</v>
          </cell>
          <cell r="L81">
            <v>0</v>
          </cell>
          <cell r="M81">
            <v>-49479</v>
          </cell>
          <cell r="O81">
            <v>-216200</v>
          </cell>
          <cell r="Q81">
            <v>0</v>
          </cell>
          <cell r="R81">
            <v>0</v>
          </cell>
          <cell r="S81">
            <v>0</v>
          </cell>
          <cell r="U81">
            <v>0</v>
          </cell>
          <cell r="V81">
            <v>0</v>
          </cell>
          <cell r="W81">
            <v>0</v>
          </cell>
          <cell r="Y81">
            <v>0</v>
          </cell>
          <cell r="Z81">
            <v>-216200</v>
          </cell>
          <cell r="AA81">
            <v>149160</v>
          </cell>
          <cell r="AB81">
            <v>3.28</v>
          </cell>
          <cell r="AC81">
            <v>1.04</v>
          </cell>
        </row>
        <row r="82">
          <cell r="A82">
            <v>37561</v>
          </cell>
          <cell r="B82">
            <v>1492668</v>
          </cell>
          <cell r="C82">
            <v>400282</v>
          </cell>
          <cell r="D82">
            <v>-730000</v>
          </cell>
          <cell r="E82">
            <v>1162950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O82">
            <v>0</v>
          </cell>
          <cell r="Q82">
            <v>574243</v>
          </cell>
          <cell r="S82">
            <v>574243</v>
          </cell>
          <cell r="U82">
            <v>155757</v>
          </cell>
          <cell r="V82">
            <v>0</v>
          </cell>
          <cell r="W82">
            <v>155757</v>
          </cell>
          <cell r="Y82">
            <v>730000</v>
          </cell>
          <cell r="Z82">
            <v>730000</v>
          </cell>
          <cell r="AA82">
            <v>1892950</v>
          </cell>
          <cell r="AB82">
            <v>3.7610000000000001</v>
          </cell>
          <cell r="AC82">
            <v>1.04</v>
          </cell>
        </row>
        <row r="83">
          <cell r="A83">
            <v>37653</v>
          </cell>
          <cell r="B83">
            <v>1183994</v>
          </cell>
          <cell r="C83">
            <v>271006</v>
          </cell>
          <cell r="D83">
            <v>-410500</v>
          </cell>
          <cell r="E83">
            <v>1044500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O83">
            <v>0</v>
          </cell>
          <cell r="Q83">
            <v>335144</v>
          </cell>
          <cell r="S83">
            <v>335144</v>
          </cell>
          <cell r="U83">
            <v>75356</v>
          </cell>
          <cell r="V83">
            <v>0</v>
          </cell>
          <cell r="W83">
            <v>75356</v>
          </cell>
          <cell r="Y83">
            <v>410500</v>
          </cell>
          <cell r="Z83">
            <v>410500</v>
          </cell>
          <cell r="AA83">
            <v>1455000</v>
          </cell>
          <cell r="AB83">
            <v>4.1559999999999997</v>
          </cell>
          <cell r="AC83">
            <v>1.04</v>
          </cell>
        </row>
        <row r="84">
          <cell r="A84">
            <v>37712</v>
          </cell>
          <cell r="B84">
            <v>227104</v>
          </cell>
          <cell r="C84">
            <v>74396</v>
          </cell>
          <cell r="D84">
            <v>-70500</v>
          </cell>
          <cell r="E84">
            <v>231000</v>
          </cell>
          <cell r="G84">
            <v>-53104</v>
          </cell>
          <cell r="H84">
            <v>0</v>
          </cell>
          <cell r="I84">
            <v>-53104</v>
          </cell>
          <cell r="K84">
            <v>-17396</v>
          </cell>
          <cell r="L84">
            <v>0</v>
          </cell>
          <cell r="M84">
            <v>-17396</v>
          </cell>
          <cell r="O84">
            <v>-70500</v>
          </cell>
          <cell r="S84">
            <v>0</v>
          </cell>
          <cell r="V84">
            <v>0</v>
          </cell>
          <cell r="W84">
            <v>0</v>
          </cell>
          <cell r="Y84">
            <v>0</v>
          </cell>
          <cell r="Z84">
            <v>-70500</v>
          </cell>
          <cell r="AA84">
            <v>160500</v>
          </cell>
          <cell r="AB84">
            <v>6.0359999999999996</v>
          </cell>
          <cell r="AC84">
            <v>1.04</v>
          </cell>
        </row>
        <row r="85">
          <cell r="A85">
            <v>37742</v>
          </cell>
          <cell r="B85">
            <v>266172</v>
          </cell>
          <cell r="C85">
            <v>77038</v>
          </cell>
          <cell r="D85">
            <v>-216200</v>
          </cell>
          <cell r="E85">
            <v>127010</v>
          </cell>
          <cell r="G85">
            <v>-167528</v>
          </cell>
          <cell r="H85">
            <v>0</v>
          </cell>
          <cell r="I85">
            <v>-167528</v>
          </cell>
          <cell r="K85">
            <v>-48672</v>
          </cell>
          <cell r="L85">
            <v>0</v>
          </cell>
          <cell r="M85">
            <v>-48672</v>
          </cell>
          <cell r="O85">
            <v>-216200</v>
          </cell>
          <cell r="S85">
            <v>0</v>
          </cell>
          <cell r="V85">
            <v>0</v>
          </cell>
          <cell r="W85">
            <v>0</v>
          </cell>
          <cell r="Y85">
            <v>0</v>
          </cell>
          <cell r="Z85">
            <v>-216200</v>
          </cell>
          <cell r="AA85">
            <v>-89190</v>
          </cell>
          <cell r="AB85">
            <v>5.0979999999999999</v>
          </cell>
          <cell r="AC85">
            <v>1.04</v>
          </cell>
        </row>
        <row r="86">
          <cell r="A86">
            <v>37834</v>
          </cell>
          <cell r="B86">
            <v>336479</v>
          </cell>
          <cell r="C86">
            <v>99381</v>
          </cell>
          <cell r="D86">
            <v>-216200</v>
          </cell>
          <cell r="E86">
            <v>219660</v>
          </cell>
          <cell r="G86">
            <v>-166721</v>
          </cell>
          <cell r="H86">
            <v>0</v>
          </cell>
          <cell r="I86">
            <v>-166721</v>
          </cell>
          <cell r="K86">
            <v>-49479</v>
          </cell>
          <cell r="L86">
            <v>0</v>
          </cell>
          <cell r="M86">
            <v>-49479</v>
          </cell>
          <cell r="O86">
            <v>-216200</v>
          </cell>
          <cell r="S86">
            <v>0</v>
          </cell>
          <cell r="V86">
            <v>0</v>
          </cell>
          <cell r="W86">
            <v>0</v>
          </cell>
          <cell r="Y86">
            <v>0</v>
          </cell>
          <cell r="Z86">
            <v>-216200</v>
          </cell>
          <cell r="AA86">
            <v>3460</v>
          </cell>
          <cell r="AB86">
            <v>5.7990000000000004</v>
          </cell>
          <cell r="AC86">
            <v>1.04</v>
          </cell>
        </row>
        <row r="87">
          <cell r="A87">
            <v>37926</v>
          </cell>
          <cell r="B87">
            <v>1385343</v>
          </cell>
          <cell r="C87">
            <v>274657</v>
          </cell>
          <cell r="D87">
            <v>-790000</v>
          </cell>
          <cell r="E87">
            <v>870000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O87">
            <v>0</v>
          </cell>
          <cell r="Q87">
            <v>658343</v>
          </cell>
          <cell r="S87">
            <v>658343</v>
          </cell>
          <cell r="U87">
            <v>131657</v>
          </cell>
          <cell r="V87">
            <v>0</v>
          </cell>
          <cell r="W87">
            <v>131657</v>
          </cell>
          <cell r="Y87">
            <v>790000</v>
          </cell>
          <cell r="Z87">
            <v>790000</v>
          </cell>
          <cell r="AA87">
            <v>1660000</v>
          </cell>
          <cell r="AB87">
            <v>5.234</v>
          </cell>
          <cell r="AC87">
            <v>1.04</v>
          </cell>
        </row>
        <row r="88">
          <cell r="A88">
            <v>38018</v>
          </cell>
          <cell r="B88">
            <v>964648</v>
          </cell>
          <cell r="C88">
            <v>216852</v>
          </cell>
          <cell r="D88">
            <v>-389500</v>
          </cell>
          <cell r="E88">
            <v>792000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O88">
            <v>0</v>
          </cell>
          <cell r="Q88">
            <v>438648</v>
          </cell>
          <cell r="S88">
            <v>438648</v>
          </cell>
          <cell r="U88">
            <v>91852</v>
          </cell>
          <cell r="V88">
            <v>0</v>
          </cell>
          <cell r="W88">
            <v>91852</v>
          </cell>
          <cell r="Y88">
            <v>530500</v>
          </cell>
          <cell r="Z88">
            <v>530500</v>
          </cell>
          <cell r="AA88">
            <v>1322500</v>
          </cell>
          <cell r="AB88">
            <v>5.5650000000000004</v>
          </cell>
          <cell r="AC88">
            <v>1.04</v>
          </cell>
        </row>
        <row r="89">
          <cell r="A89">
            <v>38108</v>
          </cell>
          <cell r="B89">
            <v>185000</v>
          </cell>
          <cell r="C89">
            <v>33000</v>
          </cell>
          <cell r="D89">
            <v>-570000</v>
          </cell>
          <cell r="E89">
            <v>-352000</v>
          </cell>
          <cell r="G89">
            <v>-483566</v>
          </cell>
          <cell r="H89">
            <v>0</v>
          </cell>
          <cell r="I89">
            <v>-483566</v>
          </cell>
          <cell r="K89">
            <v>-86434</v>
          </cell>
          <cell r="L89">
            <v>0</v>
          </cell>
          <cell r="M89">
            <v>-86434</v>
          </cell>
          <cell r="O89">
            <v>-570000</v>
          </cell>
          <cell r="Q89">
            <v>0</v>
          </cell>
          <cell r="S89">
            <v>0</v>
          </cell>
          <cell r="U89">
            <v>0</v>
          </cell>
          <cell r="V89">
            <v>0</v>
          </cell>
          <cell r="W89">
            <v>0</v>
          </cell>
          <cell r="Y89">
            <v>0</v>
          </cell>
          <cell r="Z89">
            <v>-570000</v>
          </cell>
          <cell r="AA89">
            <v>-922000</v>
          </cell>
          <cell r="AB89">
            <v>5.5229999999999997</v>
          </cell>
          <cell r="AC89">
            <v>1.04</v>
          </cell>
        </row>
        <row r="90">
          <cell r="A90">
            <v>38200</v>
          </cell>
          <cell r="B90">
            <v>201000</v>
          </cell>
          <cell r="C90">
            <v>36000</v>
          </cell>
          <cell r="D90">
            <v>530000</v>
          </cell>
          <cell r="E90">
            <v>767000</v>
          </cell>
          <cell r="G90">
            <v>-448989</v>
          </cell>
          <cell r="I90">
            <v>-448989</v>
          </cell>
          <cell r="K90">
            <v>-81011</v>
          </cell>
          <cell r="M90">
            <v>-81011</v>
          </cell>
          <cell r="O90">
            <v>-530000</v>
          </cell>
          <cell r="Q90">
            <v>0</v>
          </cell>
          <cell r="S90">
            <v>0</v>
          </cell>
          <cell r="U90">
            <v>0</v>
          </cell>
          <cell r="V90">
            <v>0</v>
          </cell>
          <cell r="W90">
            <v>0</v>
          </cell>
          <cell r="Y90">
            <v>0</v>
          </cell>
          <cell r="Z90">
            <v>-530000</v>
          </cell>
          <cell r="AA90">
            <v>237000</v>
          </cell>
          <cell r="AB90">
            <v>6.4210000000000003</v>
          </cell>
          <cell r="AC90">
            <v>1.04</v>
          </cell>
        </row>
        <row r="91">
          <cell r="A91">
            <v>38292</v>
          </cell>
          <cell r="B91">
            <v>1506475</v>
          </cell>
          <cell r="C91">
            <v>152925</v>
          </cell>
          <cell r="D91">
            <v>-790000</v>
          </cell>
          <cell r="E91">
            <v>869400</v>
          </cell>
          <cell r="G91">
            <v>0</v>
          </cell>
          <cell r="I91">
            <v>0</v>
          </cell>
          <cell r="K91">
            <v>0</v>
          </cell>
          <cell r="M91">
            <v>0</v>
          </cell>
          <cell r="O91">
            <v>0</v>
          </cell>
          <cell r="Q91">
            <v>717375</v>
          </cell>
          <cell r="S91">
            <v>717375</v>
          </cell>
          <cell r="U91">
            <v>72625</v>
          </cell>
          <cell r="V91">
            <v>0</v>
          </cell>
          <cell r="W91">
            <v>72625</v>
          </cell>
          <cell r="Y91">
            <v>790000</v>
          </cell>
          <cell r="Z91">
            <v>790000</v>
          </cell>
          <cell r="AA91">
            <v>1659400</v>
          </cell>
          <cell r="AB91">
            <v>6.3070000000000004</v>
          </cell>
          <cell r="AC91">
            <v>1.04</v>
          </cell>
        </row>
        <row r="92">
          <cell r="A92">
            <v>38384</v>
          </cell>
          <cell r="B92">
            <v>1073273</v>
          </cell>
          <cell r="C92">
            <v>129027</v>
          </cell>
          <cell r="D92">
            <v>-150000</v>
          </cell>
          <cell r="E92">
            <v>1052300</v>
          </cell>
          <cell r="G92">
            <v>-125460</v>
          </cell>
          <cell r="I92">
            <v>-125460</v>
          </cell>
          <cell r="K92">
            <v>-24540</v>
          </cell>
          <cell r="M92">
            <v>-24540</v>
          </cell>
          <cell r="O92">
            <v>-150000</v>
          </cell>
          <cell r="Q92">
            <v>432800</v>
          </cell>
          <cell r="S92">
            <v>432800</v>
          </cell>
          <cell r="U92">
            <v>43500</v>
          </cell>
          <cell r="V92">
            <v>0</v>
          </cell>
          <cell r="W92">
            <v>43500</v>
          </cell>
          <cell r="Y92">
            <v>476300</v>
          </cell>
          <cell r="Z92">
            <v>326300</v>
          </cell>
          <cell r="AA92">
            <v>1378600</v>
          </cell>
          <cell r="AB92">
            <v>6.3168629726635404</v>
          </cell>
          <cell r="AC92">
            <v>1.04</v>
          </cell>
        </row>
        <row r="93">
          <cell r="A93">
            <v>38473</v>
          </cell>
          <cell r="B93">
            <v>867301.83159283223</v>
          </cell>
          <cell r="C93">
            <v>76000.107407167758</v>
          </cell>
          <cell r="D93">
            <v>-436751.38500000001</v>
          </cell>
          <cell r="E93">
            <v>506550.554</v>
          </cell>
          <cell r="G93">
            <v>-366854.38500000001</v>
          </cell>
          <cell r="I93">
            <v>-366854.38500000001</v>
          </cell>
          <cell r="K93">
            <v>-69897</v>
          </cell>
          <cell r="M93">
            <v>-69897</v>
          </cell>
          <cell r="O93">
            <v>-436751.38500000001</v>
          </cell>
          <cell r="Q93">
            <v>0</v>
          </cell>
          <cell r="S93">
            <v>0</v>
          </cell>
          <cell r="U93">
            <v>0</v>
          </cell>
          <cell r="V93">
            <v>0</v>
          </cell>
          <cell r="W93">
            <v>0</v>
          </cell>
          <cell r="Y93">
            <v>0</v>
          </cell>
          <cell r="Z93">
            <v>-436751.38500000001</v>
          </cell>
          <cell r="AA93">
            <v>69799.168999999994</v>
          </cell>
          <cell r="AB93">
            <v>7.391</v>
          </cell>
          <cell r="AC93">
            <v>1.04</v>
          </cell>
        </row>
        <row r="94">
          <cell r="A94">
            <v>38565</v>
          </cell>
          <cell r="B94">
            <v>842711.46471724217</v>
          </cell>
          <cell r="C94">
            <v>59829.643282757868</v>
          </cell>
          <cell r="D94">
            <v>-349401.10800000001</v>
          </cell>
          <cell r="E94">
            <v>553140</v>
          </cell>
          <cell r="G94">
            <v>-249796.96950000001</v>
          </cell>
          <cell r="H94">
            <v>0</v>
          </cell>
          <cell r="I94">
            <v>-249796.96950000001</v>
          </cell>
          <cell r="K94">
            <v>-55929</v>
          </cell>
          <cell r="L94">
            <v>0</v>
          </cell>
          <cell r="M94">
            <v>-55929</v>
          </cell>
          <cell r="O94">
            <v>-305725.96950000001</v>
          </cell>
          <cell r="Q94">
            <v>0</v>
          </cell>
          <cell r="R94">
            <v>0</v>
          </cell>
          <cell r="S94">
            <v>0</v>
          </cell>
          <cell r="U94">
            <v>0</v>
          </cell>
          <cell r="V94">
            <v>0</v>
          </cell>
          <cell r="W94">
            <v>0</v>
          </cell>
          <cell r="Y94">
            <v>0</v>
          </cell>
          <cell r="Z94">
            <v>-305725.96950000001</v>
          </cell>
          <cell r="AA94">
            <v>247414.03049999999</v>
          </cell>
          <cell r="AB94">
            <v>7.6529999999999996</v>
          </cell>
          <cell r="AC94">
            <v>1.04</v>
          </cell>
        </row>
        <row r="95">
          <cell r="A95">
            <v>38657</v>
          </cell>
          <cell r="B95">
            <v>1390721.3959300916</v>
          </cell>
          <cell r="C95">
            <v>206078.60406990841</v>
          </cell>
          <cell r="D95">
            <v>-810000</v>
          </cell>
          <cell r="E95">
            <v>786800</v>
          </cell>
          <cell r="G95">
            <v>0</v>
          </cell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O95">
            <v>0</v>
          </cell>
          <cell r="Q95">
            <v>723334</v>
          </cell>
          <cell r="R95">
            <v>0</v>
          </cell>
          <cell r="S95">
            <v>723334</v>
          </cell>
          <cell r="U95">
            <v>86666</v>
          </cell>
          <cell r="V95">
            <v>0</v>
          </cell>
          <cell r="W95">
            <v>86666</v>
          </cell>
          <cell r="Y95">
            <v>810000</v>
          </cell>
          <cell r="Z95">
            <v>810000</v>
          </cell>
          <cell r="AA95">
            <v>1596800</v>
          </cell>
          <cell r="AB95">
            <v>9.5749999999999993</v>
          </cell>
          <cell r="AC95">
            <v>1.04</v>
          </cell>
        </row>
        <row r="96">
          <cell r="A96">
            <v>38749</v>
          </cell>
          <cell r="B96">
            <v>994472.07237965171</v>
          </cell>
          <cell r="C96">
            <v>174127.92762034823</v>
          </cell>
          <cell r="D96">
            <v>-290000</v>
          </cell>
          <cell r="E96">
            <v>878600</v>
          </cell>
          <cell r="G96">
            <v>-73350</v>
          </cell>
          <cell r="H96">
            <v>0</v>
          </cell>
          <cell r="I96">
            <v>-73350</v>
          </cell>
          <cell r="K96">
            <v>-13980</v>
          </cell>
          <cell r="L96">
            <v>0</v>
          </cell>
          <cell r="M96">
            <v>-13980</v>
          </cell>
          <cell r="O96">
            <v>-87330</v>
          </cell>
          <cell r="Q96">
            <v>384166</v>
          </cell>
          <cell r="R96">
            <v>0</v>
          </cell>
          <cell r="S96">
            <v>384166</v>
          </cell>
          <cell r="U96">
            <v>55834</v>
          </cell>
          <cell r="V96">
            <v>0</v>
          </cell>
          <cell r="W96">
            <v>55834</v>
          </cell>
          <cell r="Y96">
            <v>440000</v>
          </cell>
          <cell r="Z96">
            <v>352670</v>
          </cell>
          <cell r="AA96">
            <v>1231270</v>
          </cell>
          <cell r="AB96">
            <v>12.723000000000001</v>
          </cell>
          <cell r="AC96">
            <v>1.04</v>
          </cell>
        </row>
        <row r="97">
          <cell r="A97">
            <v>38838</v>
          </cell>
          <cell r="B97">
            <v>186960</v>
          </cell>
          <cell r="C97">
            <v>28880</v>
          </cell>
          <cell r="D97">
            <v>673845</v>
          </cell>
          <cell r="E97">
            <v>889685</v>
          </cell>
          <cell r="G97">
            <v>-566031</v>
          </cell>
          <cell r="H97">
            <v>0</v>
          </cell>
          <cell r="I97">
            <v>-566031</v>
          </cell>
          <cell r="K97">
            <v>-107814</v>
          </cell>
          <cell r="L97">
            <v>0</v>
          </cell>
          <cell r="M97">
            <v>-107814</v>
          </cell>
          <cell r="O97">
            <v>-673845</v>
          </cell>
          <cell r="Q97">
            <v>0</v>
          </cell>
          <cell r="R97">
            <v>0</v>
          </cell>
          <cell r="S97">
            <v>0</v>
          </cell>
          <cell r="U97">
            <v>0</v>
          </cell>
          <cell r="V97">
            <v>0</v>
          </cell>
          <cell r="W97">
            <v>0</v>
          </cell>
          <cell r="Y97">
            <v>0</v>
          </cell>
          <cell r="Z97">
            <v>-673845</v>
          </cell>
          <cell r="AA97">
            <v>215840</v>
          </cell>
          <cell r="AB97">
            <v>7.194</v>
          </cell>
          <cell r="AC97">
            <v>1.04</v>
          </cell>
        </row>
        <row r="98">
          <cell r="A98">
            <v>38930</v>
          </cell>
          <cell r="B98">
            <v>217820</v>
          </cell>
          <cell r="C98">
            <v>35710</v>
          </cell>
          <cell r="D98">
            <v>224614</v>
          </cell>
          <cell r="E98">
            <v>478144</v>
          </cell>
          <cell r="G98">
            <v>-188675</v>
          </cell>
          <cell r="H98">
            <v>0</v>
          </cell>
          <cell r="I98">
            <v>-188675</v>
          </cell>
          <cell r="K98">
            <v>-35939</v>
          </cell>
          <cell r="L98">
            <v>0</v>
          </cell>
          <cell r="M98">
            <v>-35939</v>
          </cell>
          <cell r="O98">
            <v>-224614</v>
          </cell>
          <cell r="R98">
            <v>0</v>
          </cell>
          <cell r="S98">
            <v>0</v>
          </cell>
          <cell r="U98">
            <v>0</v>
          </cell>
          <cell r="V98">
            <v>0</v>
          </cell>
          <cell r="W98">
            <v>0</v>
          </cell>
          <cell r="Y98">
            <v>0</v>
          </cell>
          <cell r="Z98">
            <v>-224614</v>
          </cell>
          <cell r="AA98">
            <v>253530</v>
          </cell>
          <cell r="AB98">
            <v>7.218</v>
          </cell>
          <cell r="AC98">
            <v>1.04</v>
          </cell>
        </row>
        <row r="99">
          <cell r="A99">
            <v>39022</v>
          </cell>
          <cell r="B99">
            <v>725420</v>
          </cell>
          <cell r="C99">
            <v>61380</v>
          </cell>
          <cell r="E99">
            <v>786800</v>
          </cell>
          <cell r="H99">
            <v>0</v>
          </cell>
          <cell r="I99">
            <v>0</v>
          </cell>
          <cell r="L99">
            <v>0</v>
          </cell>
          <cell r="M99">
            <v>0</v>
          </cell>
          <cell r="O99">
            <v>0</v>
          </cell>
          <cell r="Q99">
            <v>705821.39593009162</v>
          </cell>
          <cell r="R99">
            <v>0</v>
          </cell>
          <cell r="S99">
            <v>705821.39593009162</v>
          </cell>
          <cell r="U99">
            <v>104178.60406990841</v>
          </cell>
          <cell r="V99">
            <v>0</v>
          </cell>
          <cell r="W99">
            <v>104178.60406990841</v>
          </cell>
          <cell r="Y99">
            <v>810000</v>
          </cell>
          <cell r="Z99">
            <v>810000</v>
          </cell>
          <cell r="AA99">
            <v>1596800</v>
          </cell>
          <cell r="AB99">
            <v>8.5809999999999995</v>
          </cell>
          <cell r="AC99">
            <v>1.04</v>
          </cell>
        </row>
        <row r="100">
          <cell r="A100">
            <v>39114</v>
          </cell>
          <cell r="B100">
            <v>659675</v>
          </cell>
          <cell r="C100">
            <v>120440</v>
          </cell>
          <cell r="D100">
            <v>215385</v>
          </cell>
          <cell r="E100">
            <v>995500</v>
          </cell>
          <cell r="G100">
            <v>-188675</v>
          </cell>
          <cell r="H100">
            <v>0</v>
          </cell>
          <cell r="I100">
            <v>-188675</v>
          </cell>
          <cell r="K100">
            <v>-35940</v>
          </cell>
          <cell r="L100">
            <v>0</v>
          </cell>
          <cell r="M100">
            <v>-35940</v>
          </cell>
          <cell r="O100">
            <v>-224615</v>
          </cell>
          <cell r="Q100">
            <v>374632</v>
          </cell>
          <cell r="R100">
            <v>0</v>
          </cell>
          <cell r="S100">
            <v>374632</v>
          </cell>
          <cell r="U100">
            <v>65368</v>
          </cell>
          <cell r="V100">
            <v>0</v>
          </cell>
          <cell r="W100">
            <v>65368</v>
          </cell>
          <cell r="Y100">
            <v>440000</v>
          </cell>
          <cell r="Z100">
            <v>215385</v>
          </cell>
          <cell r="AA100">
            <v>995500</v>
          </cell>
          <cell r="AB100">
            <v>6.5910000000000002</v>
          </cell>
          <cell r="AC100">
            <v>1.04</v>
          </cell>
        </row>
        <row r="101">
          <cell r="A101">
            <v>54789</v>
          </cell>
        </row>
      </sheetData>
      <sheetData sheetId="9">
        <row r="10">
          <cell r="A10">
            <v>35370</v>
          </cell>
          <cell r="B10">
            <v>240000</v>
          </cell>
          <cell r="C10">
            <v>2.2999999999999998</v>
          </cell>
          <cell r="D10">
            <v>1.0349999999999999</v>
          </cell>
        </row>
        <row r="11">
          <cell r="A11">
            <v>35400</v>
          </cell>
          <cell r="B11">
            <v>240000</v>
          </cell>
          <cell r="C11">
            <v>2.85</v>
          </cell>
          <cell r="D11">
            <v>1.0349999999999999</v>
          </cell>
        </row>
        <row r="12">
          <cell r="A12">
            <v>35431</v>
          </cell>
          <cell r="B12">
            <v>248000</v>
          </cell>
          <cell r="C12">
            <v>3.15</v>
          </cell>
          <cell r="D12">
            <v>1.0349999999999999</v>
          </cell>
        </row>
        <row r="13">
          <cell r="A13">
            <v>35462</v>
          </cell>
          <cell r="B13">
            <v>224000</v>
          </cell>
          <cell r="C13">
            <v>3.3</v>
          </cell>
          <cell r="D13">
            <v>1.0349999999999999</v>
          </cell>
        </row>
        <row r="14">
          <cell r="A14">
            <v>35490</v>
          </cell>
          <cell r="B14">
            <v>250000</v>
          </cell>
          <cell r="C14">
            <v>2.6</v>
          </cell>
          <cell r="D14">
            <v>1.0349999999999999</v>
          </cell>
        </row>
        <row r="15">
          <cell r="A15">
            <v>35521</v>
          </cell>
          <cell r="B15">
            <v>0</v>
          </cell>
          <cell r="C15">
            <v>1.9</v>
          </cell>
          <cell r="D15">
            <v>1.0349999999999999</v>
          </cell>
        </row>
        <row r="16">
          <cell r="A16">
            <v>35551</v>
          </cell>
          <cell r="B16">
            <v>0</v>
          </cell>
          <cell r="C16">
            <v>1.75</v>
          </cell>
          <cell r="D16">
            <v>1.0349999999999999</v>
          </cell>
        </row>
        <row r="17">
          <cell r="A17">
            <v>35582</v>
          </cell>
          <cell r="B17">
            <v>0</v>
          </cell>
          <cell r="C17">
            <v>2</v>
          </cell>
          <cell r="D17">
            <v>1.0349999999999999</v>
          </cell>
        </row>
        <row r="18">
          <cell r="A18">
            <v>35612</v>
          </cell>
          <cell r="B18">
            <v>0</v>
          </cell>
          <cell r="C18">
            <v>2.15</v>
          </cell>
          <cell r="D18">
            <v>1.0349999999999999</v>
          </cell>
        </row>
        <row r="19">
          <cell r="A19">
            <v>35643</v>
          </cell>
          <cell r="B19">
            <v>60000</v>
          </cell>
          <cell r="C19">
            <v>2.35</v>
          </cell>
          <cell r="D19">
            <v>1.0349999999999999</v>
          </cell>
        </row>
        <row r="20">
          <cell r="A20">
            <v>35674</v>
          </cell>
          <cell r="B20">
            <v>60000</v>
          </cell>
          <cell r="C20">
            <v>2.35</v>
          </cell>
          <cell r="D20">
            <v>1.0349999999999999</v>
          </cell>
        </row>
        <row r="21">
          <cell r="A21">
            <v>35704</v>
          </cell>
          <cell r="B21">
            <v>60000</v>
          </cell>
          <cell r="C21">
            <v>2.5499999999999998</v>
          </cell>
          <cell r="D21">
            <v>1.0349999999999999</v>
          </cell>
        </row>
        <row r="22">
          <cell r="A22">
            <v>35735</v>
          </cell>
          <cell r="B22">
            <v>100000</v>
          </cell>
          <cell r="C22">
            <v>3.65</v>
          </cell>
          <cell r="D22">
            <v>1.0349999999999999</v>
          </cell>
        </row>
        <row r="23">
          <cell r="A23">
            <v>35765</v>
          </cell>
          <cell r="B23">
            <v>105000</v>
          </cell>
          <cell r="C23">
            <v>3.98</v>
          </cell>
          <cell r="D23">
            <v>1.0349999999999999</v>
          </cell>
        </row>
        <row r="24">
          <cell r="A24">
            <v>35796</v>
          </cell>
          <cell r="B24">
            <v>248000</v>
          </cell>
          <cell r="C24">
            <v>3.48</v>
          </cell>
          <cell r="D24">
            <v>1.0349999999999999</v>
          </cell>
        </row>
        <row r="25">
          <cell r="A25">
            <v>35827</v>
          </cell>
          <cell r="B25">
            <v>224000</v>
          </cell>
          <cell r="C25">
            <v>2.5</v>
          </cell>
          <cell r="D25">
            <v>1.0349999999999999</v>
          </cell>
        </row>
        <row r="26">
          <cell r="A26">
            <v>35855</v>
          </cell>
          <cell r="B26">
            <v>224000</v>
          </cell>
          <cell r="C26">
            <v>2.23</v>
          </cell>
          <cell r="D26">
            <v>1.0349999999999999</v>
          </cell>
        </row>
        <row r="27">
          <cell r="A27">
            <v>35886</v>
          </cell>
          <cell r="B27">
            <v>75000</v>
          </cell>
          <cell r="C27">
            <v>2.2599999999999998</v>
          </cell>
          <cell r="D27">
            <v>1.0349999999999999</v>
          </cell>
        </row>
        <row r="28">
          <cell r="A28">
            <v>35916</v>
          </cell>
          <cell r="B28">
            <v>62000</v>
          </cell>
          <cell r="C28">
            <v>2.41</v>
          </cell>
          <cell r="D28">
            <v>1.0349999999999999</v>
          </cell>
        </row>
        <row r="29">
          <cell r="A29">
            <v>35947</v>
          </cell>
          <cell r="B29">
            <v>66000</v>
          </cell>
          <cell r="C29">
            <v>2.4</v>
          </cell>
          <cell r="D29">
            <v>1.0349999999999999</v>
          </cell>
        </row>
        <row r="30">
          <cell r="A30">
            <v>35977</v>
          </cell>
          <cell r="B30">
            <v>62000</v>
          </cell>
          <cell r="C30">
            <v>2.2999999999999998</v>
          </cell>
          <cell r="D30">
            <v>1.0349999999999999</v>
          </cell>
        </row>
        <row r="31">
          <cell r="A31">
            <v>36008</v>
          </cell>
          <cell r="B31">
            <v>62000</v>
          </cell>
          <cell r="C31">
            <v>2.4500000000000002</v>
          </cell>
          <cell r="D31">
            <v>1.0349999999999999</v>
          </cell>
        </row>
        <row r="32">
          <cell r="A32">
            <v>36039</v>
          </cell>
          <cell r="B32">
            <v>60000</v>
          </cell>
          <cell r="C32">
            <v>2.15</v>
          </cell>
          <cell r="D32">
            <v>1.0349999999999999</v>
          </cell>
        </row>
        <row r="33">
          <cell r="A33">
            <v>36069</v>
          </cell>
          <cell r="B33">
            <v>59969</v>
          </cell>
          <cell r="C33">
            <v>2.15</v>
          </cell>
          <cell r="D33">
            <v>1.0349999999999999</v>
          </cell>
        </row>
        <row r="34">
          <cell r="A34">
            <v>36100</v>
          </cell>
          <cell r="B34">
            <v>111307</v>
          </cell>
          <cell r="C34">
            <v>2.5099999999999998</v>
          </cell>
          <cell r="D34">
            <v>1.0349999999999999</v>
          </cell>
        </row>
        <row r="35">
          <cell r="A35">
            <v>36130</v>
          </cell>
          <cell r="B35">
            <v>173260</v>
          </cell>
          <cell r="C35">
            <v>2.37</v>
          </cell>
          <cell r="D35">
            <v>1.0349999999999999</v>
          </cell>
        </row>
        <row r="36">
          <cell r="A36">
            <v>36161</v>
          </cell>
          <cell r="B36">
            <v>209000</v>
          </cell>
          <cell r="C36">
            <v>2.25</v>
          </cell>
          <cell r="D36">
            <v>1.0349999999999999</v>
          </cell>
        </row>
        <row r="37">
          <cell r="A37">
            <v>36192</v>
          </cell>
          <cell r="B37">
            <v>208368</v>
          </cell>
          <cell r="C37">
            <v>1.81</v>
          </cell>
          <cell r="D37">
            <v>1.0349999999999999</v>
          </cell>
        </row>
        <row r="38">
          <cell r="A38">
            <v>36220</v>
          </cell>
          <cell r="B38">
            <v>192832</v>
          </cell>
          <cell r="C38">
            <v>1.77</v>
          </cell>
          <cell r="D38">
            <v>1.0349999999999999</v>
          </cell>
        </row>
        <row r="39">
          <cell r="A39">
            <v>36251</v>
          </cell>
          <cell r="B39">
            <v>75000</v>
          </cell>
          <cell r="C39">
            <v>1.75</v>
          </cell>
          <cell r="D39">
            <v>1.0349999999999999</v>
          </cell>
        </row>
        <row r="40">
          <cell r="A40">
            <v>36281</v>
          </cell>
          <cell r="B40">
            <v>66000</v>
          </cell>
          <cell r="C40">
            <v>1.66</v>
          </cell>
          <cell r="D40">
            <v>1.0349999999999999</v>
          </cell>
        </row>
        <row r="41">
          <cell r="A41">
            <v>36312</v>
          </cell>
          <cell r="B41">
            <v>63000</v>
          </cell>
          <cell r="C41">
            <v>2.0499999999999998</v>
          </cell>
          <cell r="D41">
            <v>1.0349999999999999</v>
          </cell>
        </row>
        <row r="42">
          <cell r="A42">
            <v>36342</v>
          </cell>
          <cell r="B42">
            <v>52000</v>
          </cell>
          <cell r="C42">
            <v>2.34</v>
          </cell>
          <cell r="D42">
            <v>1.0349999999999999</v>
          </cell>
        </row>
        <row r="43">
          <cell r="A43">
            <v>36373</v>
          </cell>
          <cell r="B43">
            <v>55000</v>
          </cell>
          <cell r="C43">
            <v>2.1500000000000004</v>
          </cell>
          <cell r="D43">
            <v>1.0349999999999999</v>
          </cell>
        </row>
        <row r="44">
          <cell r="A44">
            <v>36404</v>
          </cell>
          <cell r="B44">
            <v>52000</v>
          </cell>
          <cell r="C44">
            <v>2.1500000000000004</v>
          </cell>
          <cell r="D44">
            <v>1.0349999999999999</v>
          </cell>
        </row>
        <row r="45">
          <cell r="A45">
            <v>36434</v>
          </cell>
          <cell r="B45">
            <v>59969</v>
          </cell>
          <cell r="C45">
            <v>2.4</v>
          </cell>
          <cell r="D45">
            <v>1.0349999999999999</v>
          </cell>
        </row>
        <row r="46">
          <cell r="A46">
            <v>36465</v>
          </cell>
          <cell r="B46">
            <v>120000</v>
          </cell>
          <cell r="C46">
            <v>2.75</v>
          </cell>
          <cell r="D46">
            <v>1.0349999999999999</v>
          </cell>
        </row>
        <row r="47">
          <cell r="A47">
            <v>36495</v>
          </cell>
          <cell r="B47">
            <v>186000</v>
          </cell>
          <cell r="C47">
            <v>2.75</v>
          </cell>
          <cell r="D47">
            <v>1.0349999999999999</v>
          </cell>
        </row>
        <row r="48">
          <cell r="A48">
            <v>36526</v>
          </cell>
          <cell r="B48">
            <v>186000</v>
          </cell>
          <cell r="C48">
            <v>2.5750000000000002</v>
          </cell>
          <cell r="D48">
            <v>1.0349999999999999</v>
          </cell>
        </row>
        <row r="49">
          <cell r="A49">
            <v>36557</v>
          </cell>
          <cell r="B49">
            <v>174000</v>
          </cell>
          <cell r="C49">
            <v>2.75</v>
          </cell>
          <cell r="D49">
            <v>1.0349999999999999</v>
          </cell>
        </row>
        <row r="50">
          <cell r="A50">
            <v>36586</v>
          </cell>
          <cell r="B50">
            <v>124000</v>
          </cell>
          <cell r="C50">
            <v>2.75</v>
          </cell>
          <cell r="D50">
            <v>1.0349999999999999</v>
          </cell>
        </row>
        <row r="51">
          <cell r="A51">
            <v>36617</v>
          </cell>
          <cell r="B51">
            <v>60000</v>
          </cell>
          <cell r="C51">
            <v>2.75</v>
          </cell>
          <cell r="D51">
            <v>1.0349999999999999</v>
          </cell>
        </row>
        <row r="52">
          <cell r="A52">
            <v>36647</v>
          </cell>
          <cell r="B52">
            <v>60000</v>
          </cell>
          <cell r="C52">
            <v>2.84</v>
          </cell>
          <cell r="D52">
            <v>1.0349999999999999</v>
          </cell>
        </row>
        <row r="53">
          <cell r="A53">
            <v>36678</v>
          </cell>
          <cell r="B53">
            <v>60000</v>
          </cell>
          <cell r="C53">
            <v>2.84</v>
          </cell>
          <cell r="D53">
            <v>1.0349999999999999</v>
          </cell>
        </row>
        <row r="54">
          <cell r="A54">
            <v>36708</v>
          </cell>
          <cell r="B54">
            <v>50000</v>
          </cell>
          <cell r="C54">
            <v>3.27</v>
          </cell>
          <cell r="D54">
            <v>1.0349999999999999</v>
          </cell>
        </row>
        <row r="55">
          <cell r="A55">
            <v>36739</v>
          </cell>
          <cell r="B55">
            <v>50000</v>
          </cell>
          <cell r="C55">
            <v>4.2300000000000004</v>
          </cell>
          <cell r="D55">
            <v>1.0349999999999999</v>
          </cell>
        </row>
        <row r="56">
          <cell r="A56">
            <v>36770</v>
          </cell>
          <cell r="B56">
            <v>50000</v>
          </cell>
          <cell r="C56">
            <v>4.2300000000000004</v>
          </cell>
          <cell r="D56">
            <v>1.0349999999999999</v>
          </cell>
        </row>
        <row r="57">
          <cell r="A57">
            <v>36800</v>
          </cell>
          <cell r="B57">
            <v>60000</v>
          </cell>
          <cell r="C57">
            <v>4.8</v>
          </cell>
          <cell r="D57">
            <v>1.0349999999999999</v>
          </cell>
        </row>
        <row r="58">
          <cell r="A58">
            <v>36831</v>
          </cell>
          <cell r="B58">
            <v>120000</v>
          </cell>
          <cell r="C58">
            <v>5.4</v>
          </cell>
          <cell r="D58">
            <v>1.0349999999999999</v>
          </cell>
        </row>
        <row r="59">
          <cell r="A59">
            <v>36861</v>
          </cell>
          <cell r="B59">
            <v>186000</v>
          </cell>
          <cell r="C59">
            <v>5.4</v>
          </cell>
          <cell r="D59">
            <v>1.0349999999999999</v>
          </cell>
        </row>
        <row r="60">
          <cell r="A60">
            <v>36892</v>
          </cell>
          <cell r="B60">
            <v>186000</v>
          </cell>
          <cell r="C60">
            <v>5.4</v>
          </cell>
          <cell r="D60">
            <v>1.0349999999999999</v>
          </cell>
        </row>
        <row r="61">
          <cell r="A61">
            <v>36923</v>
          </cell>
          <cell r="B61">
            <v>174000</v>
          </cell>
          <cell r="C61">
            <v>7.42</v>
          </cell>
          <cell r="D61">
            <v>1.0349999999999999</v>
          </cell>
        </row>
        <row r="62">
          <cell r="A62">
            <v>36951</v>
          </cell>
          <cell r="B62">
            <v>124000</v>
          </cell>
          <cell r="C62">
            <v>6</v>
          </cell>
          <cell r="D62">
            <v>1.0349999999999999</v>
          </cell>
        </row>
        <row r="63">
          <cell r="A63">
            <v>36982</v>
          </cell>
          <cell r="B63">
            <v>60000</v>
          </cell>
          <cell r="C63">
            <v>5.41</v>
          </cell>
          <cell r="D63">
            <v>1.0349999999999999</v>
          </cell>
        </row>
        <row r="64">
          <cell r="A64">
            <v>37012</v>
          </cell>
          <cell r="B64">
            <v>60000</v>
          </cell>
          <cell r="C64">
            <v>5.24</v>
          </cell>
          <cell r="D64">
            <v>1.0349999999999999</v>
          </cell>
        </row>
        <row r="65">
          <cell r="A65">
            <v>37043</v>
          </cell>
          <cell r="B65">
            <v>60000</v>
          </cell>
          <cell r="C65">
            <v>5.09</v>
          </cell>
          <cell r="D65">
            <v>1.0349999999999999</v>
          </cell>
        </row>
        <row r="66">
          <cell r="A66">
            <v>37073</v>
          </cell>
          <cell r="B66">
            <v>50000</v>
          </cell>
          <cell r="C66">
            <v>4.0599999999999996</v>
          </cell>
          <cell r="D66">
            <v>1.0349999999999999</v>
          </cell>
        </row>
        <row r="67">
          <cell r="A67">
            <v>37104</v>
          </cell>
          <cell r="B67">
            <v>50000</v>
          </cell>
          <cell r="C67">
            <v>3.89</v>
          </cell>
          <cell r="D67">
            <v>1.0349999999999999</v>
          </cell>
        </row>
        <row r="68">
          <cell r="A68">
            <v>37196</v>
          </cell>
          <cell r="B68">
            <v>492000</v>
          </cell>
          <cell r="C68">
            <v>3.23</v>
          </cell>
          <cell r="D68">
            <v>1.0349999999999999</v>
          </cell>
        </row>
        <row r="69">
          <cell r="A69">
            <v>37288</v>
          </cell>
          <cell r="B69">
            <v>342100</v>
          </cell>
          <cell r="C69">
            <v>3</v>
          </cell>
          <cell r="D69">
            <v>1.0349999999999999</v>
          </cell>
        </row>
        <row r="70">
          <cell r="A70">
            <v>37377</v>
          </cell>
          <cell r="B70">
            <v>168500</v>
          </cell>
          <cell r="C70">
            <v>3.3090000000000002</v>
          </cell>
          <cell r="D70">
            <v>1.0349999999999999</v>
          </cell>
        </row>
        <row r="71">
          <cell r="A71">
            <v>37469</v>
          </cell>
          <cell r="B71">
            <v>171600</v>
          </cell>
          <cell r="C71">
            <v>3.28</v>
          </cell>
          <cell r="D71">
            <v>1.0349999999999999</v>
          </cell>
        </row>
        <row r="72">
          <cell r="A72">
            <v>37561</v>
          </cell>
          <cell r="B72">
            <v>399000</v>
          </cell>
          <cell r="C72">
            <v>3.7610000000000001</v>
          </cell>
          <cell r="D72">
            <v>1.0349999999999999</v>
          </cell>
        </row>
        <row r="73">
          <cell r="A73">
            <v>37653</v>
          </cell>
          <cell r="B73">
            <v>262000</v>
          </cell>
          <cell r="C73">
            <v>4.1559999999999997</v>
          </cell>
          <cell r="D73">
            <v>1.0349999999999999</v>
          </cell>
        </row>
        <row r="74">
          <cell r="A74">
            <v>37712</v>
          </cell>
          <cell r="B74">
            <v>60000</v>
          </cell>
          <cell r="C74">
            <v>6.0359999999999996</v>
          </cell>
          <cell r="D74">
            <v>1.0349999999999999</v>
          </cell>
        </row>
        <row r="75">
          <cell r="A75">
            <v>37742</v>
          </cell>
          <cell r="B75">
            <v>184000</v>
          </cell>
          <cell r="C75">
            <v>5.0979999999999999</v>
          </cell>
          <cell r="D75">
            <v>1.0349999999999999</v>
          </cell>
        </row>
        <row r="76">
          <cell r="A76">
            <v>37834</v>
          </cell>
          <cell r="B76">
            <v>184000</v>
          </cell>
          <cell r="C76">
            <v>5.7990000000000004</v>
          </cell>
          <cell r="D76">
            <v>1.0349999999999999</v>
          </cell>
        </row>
        <row r="77">
          <cell r="A77">
            <v>37926</v>
          </cell>
          <cell r="B77">
            <v>400000</v>
          </cell>
          <cell r="C77">
            <v>5.234</v>
          </cell>
          <cell r="D77">
            <v>1.0349999999999999</v>
          </cell>
        </row>
        <row r="78">
          <cell r="A78">
            <v>38018</v>
          </cell>
          <cell r="B78">
            <v>249000</v>
          </cell>
          <cell r="C78">
            <v>5.5650000000000004</v>
          </cell>
          <cell r="D78">
            <v>1.0349999999999999</v>
          </cell>
        </row>
        <row r="79">
          <cell r="A79">
            <v>38108</v>
          </cell>
          <cell r="B79">
            <v>184000</v>
          </cell>
          <cell r="C79">
            <v>5.5229999999999997</v>
          </cell>
          <cell r="D79">
            <v>1.0349999999999999</v>
          </cell>
        </row>
        <row r="80">
          <cell r="A80">
            <v>38200</v>
          </cell>
          <cell r="B80">
            <v>184000</v>
          </cell>
          <cell r="C80">
            <v>6.4210000000000003</v>
          </cell>
          <cell r="D80">
            <v>1.0349999999999999</v>
          </cell>
        </row>
        <row r="81">
          <cell r="A81">
            <v>38292</v>
          </cell>
          <cell r="B81">
            <v>400000</v>
          </cell>
          <cell r="C81">
            <v>6.3070000000000004</v>
          </cell>
          <cell r="D81">
            <v>1.0349999999999999</v>
          </cell>
        </row>
        <row r="82">
          <cell r="A82">
            <v>38384</v>
          </cell>
          <cell r="B82">
            <v>249000</v>
          </cell>
          <cell r="C82">
            <v>6.3168629726635404</v>
          </cell>
          <cell r="D82">
            <v>1.0349999999999999</v>
          </cell>
        </row>
        <row r="83">
          <cell r="A83">
            <v>38473</v>
          </cell>
          <cell r="B83">
            <v>184000</v>
          </cell>
          <cell r="C83">
            <v>7.6529999999999996</v>
          </cell>
          <cell r="D83">
            <v>1.0349999999999999</v>
          </cell>
        </row>
        <row r="84">
          <cell r="A84">
            <v>38657</v>
          </cell>
          <cell r="B84">
            <v>400000</v>
          </cell>
          <cell r="C84">
            <v>9.5749999999999993</v>
          </cell>
          <cell r="D84">
            <v>1.0349999999999999</v>
          </cell>
        </row>
        <row r="85">
          <cell r="A85">
            <v>38749</v>
          </cell>
          <cell r="B85">
            <v>249000</v>
          </cell>
          <cell r="C85">
            <v>12.723000000000001</v>
          </cell>
          <cell r="D85">
            <v>1.0349999999999999</v>
          </cell>
        </row>
        <row r="86">
          <cell r="A86">
            <v>38838</v>
          </cell>
          <cell r="B86" t="e">
            <v>#REF!</v>
          </cell>
          <cell r="C86">
            <v>7.194</v>
          </cell>
          <cell r="D86">
            <v>1.0349999999999999</v>
          </cell>
        </row>
        <row r="87">
          <cell r="A87">
            <v>38930</v>
          </cell>
          <cell r="B87" t="e">
            <v>#REF!</v>
          </cell>
          <cell r="C87">
            <v>7.218</v>
          </cell>
          <cell r="D87">
            <v>1.0349999999999999</v>
          </cell>
        </row>
        <row r="88">
          <cell r="A88">
            <v>39022</v>
          </cell>
          <cell r="B88" t="e">
            <v>#REF!</v>
          </cell>
          <cell r="C88">
            <v>8.5809999999999995</v>
          </cell>
          <cell r="D88">
            <v>1.0349999999999999</v>
          </cell>
        </row>
        <row r="89">
          <cell r="A89">
            <v>39114</v>
          </cell>
          <cell r="B89">
            <v>219500</v>
          </cell>
          <cell r="C89">
            <v>6.5910000000000002</v>
          </cell>
          <cell r="D89">
            <v>1.0349999999999999</v>
          </cell>
        </row>
        <row r="90">
          <cell r="A90">
            <v>54789</v>
          </cell>
        </row>
      </sheetData>
      <sheetData sheetId="10">
        <row r="9">
          <cell r="A9">
            <v>34274</v>
          </cell>
          <cell r="B9" t="str">
            <v>N0210</v>
          </cell>
          <cell r="C9" t="str">
            <v>No Notice</v>
          </cell>
          <cell r="D9" t="str">
            <v>Texas Gas</v>
          </cell>
          <cell r="E9">
            <v>2</v>
          </cell>
          <cell r="F9">
            <v>37195</v>
          </cell>
          <cell r="G9">
            <v>45500</v>
          </cell>
          <cell r="H9">
            <v>45500</v>
          </cell>
          <cell r="I9">
            <v>45500</v>
          </cell>
          <cell r="J9">
            <v>36367</v>
          </cell>
          <cell r="K9">
            <v>22292</v>
          </cell>
          <cell r="L9">
            <v>22292</v>
          </cell>
          <cell r="M9">
            <v>22292</v>
          </cell>
          <cell r="N9">
            <v>22292</v>
          </cell>
          <cell r="O9">
            <v>22292</v>
          </cell>
          <cell r="P9">
            <v>40177</v>
          </cell>
          <cell r="Q9">
            <v>45500</v>
          </cell>
          <cell r="R9">
            <v>45500</v>
          </cell>
          <cell r="T9">
            <v>1410500</v>
          </cell>
          <cell r="U9">
            <v>1274000</v>
          </cell>
          <cell r="V9">
            <v>1410500</v>
          </cell>
          <cell r="W9">
            <v>1091010</v>
          </cell>
          <cell r="X9">
            <v>691052</v>
          </cell>
          <cell r="Y9">
            <v>668760</v>
          </cell>
          <cell r="Z9">
            <v>691052</v>
          </cell>
          <cell r="AA9">
            <v>691052</v>
          </cell>
          <cell r="AB9">
            <v>668760</v>
          </cell>
          <cell r="AC9">
            <v>1245487</v>
          </cell>
          <cell r="AD9">
            <v>1365000</v>
          </cell>
          <cell r="AE9">
            <v>1410500</v>
          </cell>
          <cell r="AF9">
            <v>12617673</v>
          </cell>
        </row>
        <row r="10">
          <cell r="A10">
            <v>43831</v>
          </cell>
        </row>
      </sheetData>
      <sheetData sheetId="11">
        <row r="9">
          <cell r="A9">
            <v>34274</v>
          </cell>
          <cell r="B9" t="str">
            <v>N0340</v>
          </cell>
          <cell r="C9" t="str">
            <v>No Notice</v>
          </cell>
          <cell r="D9" t="str">
            <v>Texas Gas</v>
          </cell>
          <cell r="E9">
            <v>3</v>
          </cell>
          <cell r="F9">
            <v>37195</v>
          </cell>
          <cell r="G9">
            <v>81000</v>
          </cell>
          <cell r="H9">
            <v>81000</v>
          </cell>
          <cell r="I9">
            <v>81000</v>
          </cell>
          <cell r="J9">
            <v>81000</v>
          </cell>
          <cell r="K9">
            <v>67375</v>
          </cell>
          <cell r="L9">
            <v>67375</v>
          </cell>
          <cell r="M9">
            <v>67375</v>
          </cell>
          <cell r="N9">
            <v>67375</v>
          </cell>
          <cell r="O9">
            <v>67375</v>
          </cell>
          <cell r="P9">
            <v>81000</v>
          </cell>
          <cell r="Q9">
            <v>81000</v>
          </cell>
          <cell r="R9">
            <v>81000</v>
          </cell>
          <cell r="T9">
            <v>2511000</v>
          </cell>
          <cell r="U9">
            <v>2268000</v>
          </cell>
          <cell r="V9">
            <v>2511000</v>
          </cell>
          <cell r="W9">
            <v>2430000</v>
          </cell>
          <cell r="X9">
            <v>2088625</v>
          </cell>
          <cell r="Y9">
            <v>2021250</v>
          </cell>
          <cell r="Z9">
            <v>2088625</v>
          </cell>
          <cell r="AA9">
            <v>2088625</v>
          </cell>
          <cell r="AB9">
            <v>2021250</v>
          </cell>
          <cell r="AC9">
            <v>2511000</v>
          </cell>
          <cell r="AD9">
            <v>2430000</v>
          </cell>
          <cell r="AE9">
            <v>2511000</v>
          </cell>
          <cell r="AF9">
            <v>27480375</v>
          </cell>
        </row>
        <row r="10">
          <cell r="A10">
            <v>43831</v>
          </cell>
        </row>
      </sheetData>
      <sheetData sheetId="12">
        <row r="9">
          <cell r="A9">
            <v>34274</v>
          </cell>
          <cell r="B9" t="str">
            <v>N0410</v>
          </cell>
          <cell r="C9" t="str">
            <v>No Notice</v>
          </cell>
          <cell r="D9" t="str">
            <v>Texas Gas</v>
          </cell>
          <cell r="E9">
            <v>4</v>
          </cell>
          <cell r="F9">
            <v>37195</v>
          </cell>
          <cell r="G9">
            <v>13500</v>
          </cell>
          <cell r="H9">
            <v>13500</v>
          </cell>
          <cell r="I9">
            <v>13500</v>
          </cell>
          <cell r="J9">
            <v>8838</v>
          </cell>
          <cell r="K9">
            <v>4625</v>
          </cell>
          <cell r="L9">
            <v>4625</v>
          </cell>
          <cell r="M9">
            <v>4625</v>
          </cell>
          <cell r="N9">
            <v>4625</v>
          </cell>
          <cell r="O9">
            <v>4625</v>
          </cell>
          <cell r="P9">
            <v>9984</v>
          </cell>
          <cell r="Q9">
            <v>13500</v>
          </cell>
          <cell r="R9">
            <v>13500</v>
          </cell>
          <cell r="T9">
            <v>418500</v>
          </cell>
          <cell r="U9">
            <v>378000</v>
          </cell>
          <cell r="V9">
            <v>418500</v>
          </cell>
          <cell r="W9">
            <v>265140</v>
          </cell>
          <cell r="X9">
            <v>143375</v>
          </cell>
          <cell r="Y9">
            <v>138750</v>
          </cell>
          <cell r="Z9">
            <v>143375</v>
          </cell>
          <cell r="AA9">
            <v>143375</v>
          </cell>
          <cell r="AB9">
            <v>138750</v>
          </cell>
          <cell r="AC9">
            <v>309504</v>
          </cell>
          <cell r="AD9">
            <v>405000</v>
          </cell>
          <cell r="AE9">
            <v>418500</v>
          </cell>
          <cell r="AF9">
            <v>3320769</v>
          </cell>
        </row>
        <row r="10">
          <cell r="A10">
            <v>43831</v>
          </cell>
        </row>
      </sheetData>
      <sheetData sheetId="13">
        <row r="9">
          <cell r="A9">
            <v>34274</v>
          </cell>
          <cell r="B9" t="str">
            <v>3770</v>
          </cell>
          <cell r="C9" t="str">
            <v>FT</v>
          </cell>
          <cell r="D9" t="str">
            <v>Texas Gas</v>
          </cell>
          <cell r="E9">
            <v>2</v>
          </cell>
          <cell r="F9">
            <v>35369</v>
          </cell>
          <cell r="G9">
            <v>3000</v>
          </cell>
          <cell r="H9">
            <v>3000</v>
          </cell>
          <cell r="I9">
            <v>3000</v>
          </cell>
          <cell r="J9">
            <v>3000</v>
          </cell>
          <cell r="K9">
            <v>3000</v>
          </cell>
          <cell r="L9">
            <v>3000</v>
          </cell>
          <cell r="M9">
            <v>3000</v>
          </cell>
          <cell r="N9">
            <v>3000</v>
          </cell>
          <cell r="O9">
            <v>3000</v>
          </cell>
          <cell r="P9">
            <v>3000</v>
          </cell>
          <cell r="Q9">
            <v>3000</v>
          </cell>
          <cell r="R9">
            <v>3000</v>
          </cell>
          <cell r="S9">
            <v>3000</v>
          </cell>
          <cell r="T9">
            <v>93000</v>
          </cell>
          <cell r="U9">
            <v>84000</v>
          </cell>
          <cell r="V9">
            <v>93000</v>
          </cell>
          <cell r="W9">
            <v>90000</v>
          </cell>
          <cell r="X9">
            <v>93000</v>
          </cell>
          <cell r="Y9">
            <v>90000</v>
          </cell>
          <cell r="Z9">
            <v>93000</v>
          </cell>
          <cell r="AA9">
            <v>93000</v>
          </cell>
          <cell r="AB9">
            <v>90000</v>
          </cell>
          <cell r="AC9">
            <v>93000</v>
          </cell>
          <cell r="AD9">
            <v>90000</v>
          </cell>
          <cell r="AE9">
            <v>93000</v>
          </cell>
          <cell r="AF9">
            <v>1095000</v>
          </cell>
        </row>
        <row r="10">
          <cell r="A10">
            <v>43831</v>
          </cell>
        </row>
      </sheetData>
      <sheetData sheetId="14">
        <row r="9">
          <cell r="A9">
            <v>34274</v>
          </cell>
          <cell r="B9" t="str">
            <v>3817</v>
          </cell>
          <cell r="C9" t="str">
            <v>FT</v>
          </cell>
          <cell r="D9" t="str">
            <v>Texas Gas</v>
          </cell>
          <cell r="E9">
            <v>2</v>
          </cell>
          <cell r="F9">
            <v>35369</v>
          </cell>
          <cell r="G9">
            <v>2428</v>
          </cell>
          <cell r="H9">
            <v>2428</v>
          </cell>
          <cell r="I9">
            <v>2428</v>
          </cell>
          <cell r="J9">
            <v>2428</v>
          </cell>
          <cell r="K9">
            <v>2428</v>
          </cell>
          <cell r="L9">
            <v>2428</v>
          </cell>
          <cell r="M9">
            <v>2428</v>
          </cell>
          <cell r="N9">
            <v>2428</v>
          </cell>
          <cell r="O9">
            <v>2428</v>
          </cell>
          <cell r="P9">
            <v>2428</v>
          </cell>
          <cell r="Q9">
            <v>2428</v>
          </cell>
          <cell r="R9">
            <v>2428</v>
          </cell>
          <cell r="T9">
            <v>75268</v>
          </cell>
          <cell r="U9">
            <v>67984</v>
          </cell>
          <cell r="V9">
            <v>75268</v>
          </cell>
          <cell r="W9">
            <v>72840</v>
          </cell>
          <cell r="X9">
            <v>75268</v>
          </cell>
          <cell r="Y9">
            <v>72840</v>
          </cell>
          <cell r="Z9">
            <v>75268</v>
          </cell>
          <cell r="AA9">
            <v>75268</v>
          </cell>
          <cell r="AB9">
            <v>72840</v>
          </cell>
          <cell r="AC9">
            <v>75268</v>
          </cell>
          <cell r="AD9">
            <v>72840</v>
          </cell>
          <cell r="AE9">
            <v>75268</v>
          </cell>
          <cell r="AF9">
            <v>886220</v>
          </cell>
        </row>
        <row r="10">
          <cell r="A10">
            <v>43831</v>
          </cell>
        </row>
      </sheetData>
      <sheetData sheetId="15">
        <row r="9">
          <cell r="A9">
            <v>34274</v>
          </cell>
          <cell r="B9" t="str">
            <v>3355</v>
          </cell>
          <cell r="C9" t="str">
            <v>FT</v>
          </cell>
          <cell r="D9" t="str">
            <v>Texas Gas</v>
          </cell>
          <cell r="E9">
            <v>3</v>
          </cell>
          <cell r="F9">
            <v>35369</v>
          </cell>
          <cell r="G9">
            <v>10105</v>
          </cell>
          <cell r="H9">
            <v>10105</v>
          </cell>
          <cell r="I9">
            <v>10105</v>
          </cell>
          <cell r="J9">
            <v>10105</v>
          </cell>
          <cell r="K9">
            <v>10105</v>
          </cell>
          <cell r="L9">
            <v>10105</v>
          </cell>
          <cell r="M9">
            <v>10105</v>
          </cell>
          <cell r="N9">
            <v>10105</v>
          </cell>
          <cell r="O9">
            <v>10105</v>
          </cell>
          <cell r="P9">
            <v>10105</v>
          </cell>
          <cell r="Q9">
            <v>10105</v>
          </cell>
          <cell r="R9">
            <v>10105</v>
          </cell>
          <cell r="T9">
            <v>313255</v>
          </cell>
          <cell r="U9">
            <v>282940</v>
          </cell>
          <cell r="V9">
            <v>313255</v>
          </cell>
          <cell r="W9">
            <v>303150</v>
          </cell>
          <cell r="X9">
            <v>313255</v>
          </cell>
          <cell r="Y9">
            <v>303150</v>
          </cell>
          <cell r="Z9">
            <v>313255</v>
          </cell>
          <cell r="AA9">
            <v>313255</v>
          </cell>
          <cell r="AB9">
            <v>303150</v>
          </cell>
          <cell r="AC9">
            <v>313255</v>
          </cell>
          <cell r="AD9">
            <v>303150</v>
          </cell>
          <cell r="AE9">
            <v>313255</v>
          </cell>
          <cell r="AF9">
            <v>3688325</v>
          </cell>
        </row>
        <row r="10">
          <cell r="A10">
            <v>34700</v>
          </cell>
          <cell r="B10" t="str">
            <v>3355</v>
          </cell>
          <cell r="C10" t="str">
            <v>FT</v>
          </cell>
          <cell r="D10" t="str">
            <v>Texas Gas</v>
          </cell>
          <cell r="E10">
            <v>3</v>
          </cell>
          <cell r="F10">
            <v>35369</v>
          </cell>
          <cell r="G10">
            <v>6819</v>
          </cell>
          <cell r="H10">
            <v>6819</v>
          </cell>
          <cell r="I10">
            <v>6819</v>
          </cell>
          <cell r="J10">
            <v>6819</v>
          </cell>
          <cell r="K10">
            <v>6819</v>
          </cell>
          <cell r="L10">
            <v>6819</v>
          </cell>
          <cell r="M10">
            <v>6819</v>
          </cell>
          <cell r="N10">
            <v>6819</v>
          </cell>
          <cell r="O10">
            <v>6819</v>
          </cell>
          <cell r="P10">
            <v>6819</v>
          </cell>
          <cell r="Q10">
            <v>6819</v>
          </cell>
          <cell r="R10">
            <v>6819</v>
          </cell>
          <cell r="T10">
            <v>211389</v>
          </cell>
          <cell r="U10">
            <v>190932</v>
          </cell>
          <cell r="V10">
            <v>211389</v>
          </cell>
          <cell r="W10">
            <v>204570</v>
          </cell>
          <cell r="X10">
            <v>211389</v>
          </cell>
          <cell r="Y10">
            <v>204570</v>
          </cell>
          <cell r="Z10">
            <v>211389</v>
          </cell>
          <cell r="AA10">
            <v>211389</v>
          </cell>
          <cell r="AB10">
            <v>204570</v>
          </cell>
          <cell r="AC10">
            <v>211389</v>
          </cell>
          <cell r="AD10">
            <v>204570</v>
          </cell>
          <cell r="AE10">
            <v>211389</v>
          </cell>
          <cell r="AF10">
            <v>2488935</v>
          </cell>
        </row>
        <row r="11">
          <cell r="A11">
            <v>36557</v>
          </cell>
          <cell r="B11" t="str">
            <v>3355</v>
          </cell>
          <cell r="C11" t="str">
            <v>FT</v>
          </cell>
          <cell r="D11" t="str">
            <v>Texas Gas</v>
          </cell>
          <cell r="E11">
            <v>3</v>
          </cell>
          <cell r="F11">
            <v>37195</v>
          </cell>
          <cell r="G11">
            <v>8577</v>
          </cell>
          <cell r="H11">
            <v>8577</v>
          </cell>
          <cell r="I11">
            <v>8577</v>
          </cell>
          <cell r="J11">
            <v>8577</v>
          </cell>
          <cell r="K11">
            <v>8577</v>
          </cell>
          <cell r="L11">
            <v>8577</v>
          </cell>
          <cell r="M11">
            <v>8577</v>
          </cell>
          <cell r="N11">
            <v>8577</v>
          </cell>
          <cell r="O11">
            <v>8577</v>
          </cell>
          <cell r="P11">
            <v>8577</v>
          </cell>
          <cell r="Q11">
            <v>8577</v>
          </cell>
          <cell r="R11">
            <v>8577</v>
          </cell>
          <cell r="T11">
            <v>265887</v>
          </cell>
          <cell r="U11">
            <v>240156</v>
          </cell>
          <cell r="V11">
            <v>265887</v>
          </cell>
          <cell r="W11">
            <v>257310</v>
          </cell>
          <cell r="X11">
            <v>265887</v>
          </cell>
          <cell r="Y11">
            <v>257310</v>
          </cell>
          <cell r="Z11">
            <v>265887</v>
          </cell>
          <cell r="AA11">
            <v>265887</v>
          </cell>
          <cell r="AB11">
            <v>257310</v>
          </cell>
          <cell r="AC11">
            <v>265887</v>
          </cell>
          <cell r="AD11">
            <v>257310</v>
          </cell>
          <cell r="AE11">
            <v>265887</v>
          </cell>
          <cell r="AF11">
            <v>3130605</v>
          </cell>
        </row>
        <row r="12">
          <cell r="A12">
            <v>43831</v>
          </cell>
        </row>
      </sheetData>
      <sheetData sheetId="16">
        <row r="9">
          <cell r="A9">
            <v>34274</v>
          </cell>
          <cell r="B9" t="str">
            <v>3355.1</v>
          </cell>
          <cell r="C9" t="str">
            <v>FT</v>
          </cell>
          <cell r="D9" t="str">
            <v>Texas Gas</v>
          </cell>
          <cell r="E9">
            <v>3</v>
          </cell>
          <cell r="F9">
            <v>35369</v>
          </cell>
          <cell r="G9">
            <v>5106</v>
          </cell>
          <cell r="H9">
            <v>5106</v>
          </cell>
          <cell r="I9">
            <v>5106</v>
          </cell>
          <cell r="J9">
            <v>5106</v>
          </cell>
          <cell r="K9">
            <v>5106</v>
          </cell>
          <cell r="L9">
            <v>5106</v>
          </cell>
          <cell r="M9">
            <v>5106</v>
          </cell>
          <cell r="N9">
            <v>5106</v>
          </cell>
          <cell r="O9">
            <v>5106</v>
          </cell>
          <cell r="P9">
            <v>5106</v>
          </cell>
          <cell r="Q9">
            <v>5106</v>
          </cell>
          <cell r="R9">
            <v>5106</v>
          </cell>
          <cell r="T9">
            <v>158286</v>
          </cell>
          <cell r="U9">
            <v>142968</v>
          </cell>
          <cell r="V9">
            <v>158286</v>
          </cell>
          <cell r="W9">
            <v>153180</v>
          </cell>
          <cell r="X9">
            <v>158286</v>
          </cell>
          <cell r="Y9">
            <v>153180</v>
          </cell>
          <cell r="Z9">
            <v>158286</v>
          </cell>
          <cell r="AA9">
            <v>158286</v>
          </cell>
          <cell r="AB9">
            <v>153180</v>
          </cell>
          <cell r="AC9">
            <v>158286</v>
          </cell>
          <cell r="AD9">
            <v>153180</v>
          </cell>
          <cell r="AE9">
            <v>158286</v>
          </cell>
          <cell r="AF9">
            <v>1863690</v>
          </cell>
        </row>
        <row r="10">
          <cell r="A10">
            <v>36557</v>
          </cell>
          <cell r="B10" t="str">
            <v>3355.1</v>
          </cell>
          <cell r="C10" t="str">
            <v>FT</v>
          </cell>
          <cell r="D10" t="str">
            <v>Texas Gas</v>
          </cell>
          <cell r="E10">
            <v>3</v>
          </cell>
          <cell r="F10">
            <v>37195</v>
          </cell>
          <cell r="G10">
            <v>6423</v>
          </cell>
          <cell r="H10">
            <v>6423</v>
          </cell>
          <cell r="I10">
            <v>6423</v>
          </cell>
          <cell r="J10">
            <v>6423</v>
          </cell>
          <cell r="K10">
            <v>6423</v>
          </cell>
          <cell r="L10">
            <v>6423</v>
          </cell>
          <cell r="M10">
            <v>6423</v>
          </cell>
          <cell r="N10">
            <v>6423</v>
          </cell>
          <cell r="O10">
            <v>6423</v>
          </cell>
          <cell r="P10">
            <v>6423</v>
          </cell>
          <cell r="Q10">
            <v>6423</v>
          </cell>
          <cell r="R10">
            <v>6423</v>
          </cell>
          <cell r="T10">
            <v>199113</v>
          </cell>
          <cell r="U10">
            <v>179844</v>
          </cell>
          <cell r="V10">
            <v>199113</v>
          </cell>
          <cell r="W10">
            <v>192690</v>
          </cell>
          <cell r="X10">
            <v>199113</v>
          </cell>
          <cell r="Y10">
            <v>192690</v>
          </cell>
          <cell r="Z10">
            <v>199113</v>
          </cell>
          <cell r="AA10">
            <v>199113</v>
          </cell>
          <cell r="AB10">
            <v>192690</v>
          </cell>
          <cell r="AC10">
            <v>199113</v>
          </cell>
          <cell r="AD10">
            <v>192690</v>
          </cell>
          <cell r="AE10">
            <v>199113</v>
          </cell>
          <cell r="AF10">
            <v>2344395</v>
          </cell>
        </row>
        <row r="11">
          <cell r="A11">
            <v>43831</v>
          </cell>
        </row>
      </sheetData>
      <sheetData sheetId="17">
        <row r="9">
          <cell r="A9">
            <v>34274</v>
          </cell>
          <cell r="B9" t="str">
            <v>3819</v>
          </cell>
          <cell r="C9" t="str">
            <v>FT</v>
          </cell>
          <cell r="D9" t="str">
            <v>Texas Gas</v>
          </cell>
          <cell r="E9">
            <v>4</v>
          </cell>
          <cell r="F9">
            <v>37195</v>
          </cell>
          <cell r="G9">
            <v>3500</v>
          </cell>
          <cell r="H9">
            <v>3500</v>
          </cell>
          <cell r="I9">
            <v>3500</v>
          </cell>
          <cell r="J9">
            <v>3500</v>
          </cell>
          <cell r="K9">
            <v>3500</v>
          </cell>
          <cell r="L9">
            <v>3500</v>
          </cell>
          <cell r="M9">
            <v>3500</v>
          </cell>
          <cell r="N9">
            <v>3500</v>
          </cell>
          <cell r="O9">
            <v>3500</v>
          </cell>
          <cell r="P9">
            <v>3500</v>
          </cell>
          <cell r="Q9">
            <v>3500</v>
          </cell>
          <cell r="R9">
            <v>3500</v>
          </cell>
          <cell r="T9">
            <v>108500</v>
          </cell>
          <cell r="U9">
            <v>98000</v>
          </cell>
          <cell r="V9">
            <v>108500</v>
          </cell>
          <cell r="W9">
            <v>105000</v>
          </cell>
          <cell r="X9">
            <v>108500</v>
          </cell>
          <cell r="Y9">
            <v>105000</v>
          </cell>
          <cell r="Z9">
            <v>108500</v>
          </cell>
          <cell r="AA9">
            <v>108500</v>
          </cell>
          <cell r="AB9">
            <v>105000</v>
          </cell>
          <cell r="AC9">
            <v>108500</v>
          </cell>
          <cell r="AD9">
            <v>105000</v>
          </cell>
          <cell r="AE9">
            <v>108500</v>
          </cell>
          <cell r="AF9">
            <v>1277500</v>
          </cell>
        </row>
        <row r="10">
          <cell r="A10">
            <v>43831</v>
          </cell>
        </row>
      </sheetData>
      <sheetData sheetId="18">
        <row r="9">
          <cell r="A9">
            <v>35370</v>
          </cell>
          <cell r="B9" t="str">
            <v>9213</v>
          </cell>
          <cell r="C9" t="str">
            <v>FT</v>
          </cell>
          <cell r="D9" t="str">
            <v>Texas Gas</v>
          </cell>
          <cell r="E9">
            <v>3</v>
          </cell>
          <cell r="F9">
            <v>35735</v>
          </cell>
          <cell r="G9">
            <v>12000</v>
          </cell>
          <cell r="H9">
            <v>12000</v>
          </cell>
          <cell r="I9">
            <v>12000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12000</v>
          </cell>
          <cell r="R9">
            <v>12000</v>
          </cell>
          <cell r="T9">
            <v>372000</v>
          </cell>
          <cell r="U9">
            <v>336000</v>
          </cell>
          <cell r="V9">
            <v>372000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360000</v>
          </cell>
          <cell r="AE9">
            <v>372000</v>
          </cell>
          <cell r="AF9">
            <v>1812000</v>
          </cell>
        </row>
        <row r="10">
          <cell r="A10">
            <v>43831</v>
          </cell>
        </row>
      </sheetData>
      <sheetData sheetId="19">
        <row r="8">
          <cell r="A8">
            <v>34274</v>
          </cell>
          <cell r="B8">
            <v>1504222</v>
          </cell>
        </row>
        <row r="9">
          <cell r="A9">
            <v>35370</v>
          </cell>
          <cell r="B9">
            <v>166841.97</v>
          </cell>
        </row>
        <row r="10">
          <cell r="A10">
            <v>36831</v>
          </cell>
          <cell r="B10">
            <v>0</v>
          </cell>
        </row>
        <row r="11">
          <cell r="A11">
            <v>54789</v>
          </cell>
        </row>
      </sheetData>
      <sheetData sheetId="20"/>
      <sheetData sheetId="21">
        <row r="10">
          <cell r="A10">
            <v>34274</v>
          </cell>
          <cell r="B10" t="str">
            <v>2546</v>
          </cell>
          <cell r="C10" t="str">
            <v>FT-G</v>
          </cell>
          <cell r="D10" t="str">
            <v>Tennessee</v>
          </cell>
          <cell r="E10" t="str">
            <v>Danville</v>
          </cell>
          <cell r="F10">
            <v>36831</v>
          </cell>
          <cell r="G10">
            <v>13529</v>
          </cell>
          <cell r="H10">
            <v>13529</v>
          </cell>
          <cell r="I10">
            <v>13529</v>
          </cell>
          <cell r="J10">
            <v>10229</v>
          </cell>
          <cell r="K10">
            <v>7236</v>
          </cell>
          <cell r="L10">
            <v>5160</v>
          </cell>
          <cell r="M10">
            <v>4703</v>
          </cell>
          <cell r="N10">
            <v>4730</v>
          </cell>
          <cell r="O10">
            <v>5259</v>
          </cell>
          <cell r="P10">
            <v>9192</v>
          </cell>
          <cell r="Q10">
            <v>13529</v>
          </cell>
          <cell r="R10">
            <v>13529</v>
          </cell>
          <cell r="T10">
            <v>114154</v>
          </cell>
        </row>
        <row r="11">
          <cell r="A11">
            <v>36557</v>
          </cell>
          <cell r="B11" t="str">
            <v>2546</v>
          </cell>
          <cell r="C11" t="str">
            <v>FT-G</v>
          </cell>
          <cell r="D11" t="str">
            <v>Tennessee</v>
          </cell>
          <cell r="E11" t="str">
            <v>Danville</v>
          </cell>
          <cell r="F11">
            <v>36831</v>
          </cell>
          <cell r="G11">
            <v>13483</v>
          </cell>
          <cell r="H11">
            <v>13483</v>
          </cell>
          <cell r="I11">
            <v>13483</v>
          </cell>
          <cell r="J11">
            <v>9887</v>
          </cell>
          <cell r="K11">
            <v>7191</v>
          </cell>
          <cell r="L11">
            <v>7191</v>
          </cell>
          <cell r="M11">
            <v>4944</v>
          </cell>
          <cell r="N11">
            <v>4944</v>
          </cell>
          <cell r="O11">
            <v>5393</v>
          </cell>
          <cell r="P11">
            <v>8989</v>
          </cell>
          <cell r="Q11">
            <v>13483</v>
          </cell>
          <cell r="R11">
            <v>13483</v>
          </cell>
          <cell r="T11">
            <v>115954</v>
          </cell>
        </row>
        <row r="12">
          <cell r="A12">
            <v>36831</v>
          </cell>
          <cell r="B12" t="str">
            <v>2546</v>
          </cell>
          <cell r="C12" t="str">
            <v>FT-G</v>
          </cell>
          <cell r="D12" t="str">
            <v>Tennessee</v>
          </cell>
          <cell r="E12" t="str">
            <v>Danville</v>
          </cell>
          <cell r="F12">
            <v>37561</v>
          </cell>
          <cell r="G12">
            <v>13483</v>
          </cell>
          <cell r="H12">
            <v>13483</v>
          </cell>
          <cell r="I12">
            <v>13483</v>
          </cell>
          <cell r="J12">
            <v>9887</v>
          </cell>
          <cell r="K12">
            <v>7191</v>
          </cell>
          <cell r="L12">
            <v>5393</v>
          </cell>
          <cell r="M12">
            <v>4944</v>
          </cell>
          <cell r="N12">
            <v>4944</v>
          </cell>
          <cell r="O12">
            <v>5393</v>
          </cell>
          <cell r="P12">
            <v>8989</v>
          </cell>
          <cell r="Q12">
            <v>13483</v>
          </cell>
          <cell r="R12">
            <v>13483</v>
          </cell>
          <cell r="T12">
            <v>114156</v>
          </cell>
        </row>
        <row r="13">
          <cell r="A13">
            <v>43831</v>
          </cell>
        </row>
      </sheetData>
      <sheetData sheetId="22">
        <row r="10">
          <cell r="A10">
            <v>34274</v>
          </cell>
          <cell r="B10" t="str">
            <v>2546</v>
          </cell>
          <cell r="C10" t="str">
            <v>FT-G</v>
          </cell>
          <cell r="D10" t="str">
            <v>Tennessee Gas</v>
          </cell>
          <cell r="E10" t="str">
            <v>Danville</v>
          </cell>
          <cell r="F10">
            <v>36831</v>
          </cell>
          <cell r="G10">
            <v>1471</v>
          </cell>
          <cell r="H10">
            <v>1471</v>
          </cell>
          <cell r="I10">
            <v>1471</v>
          </cell>
          <cell r="J10">
            <v>771</v>
          </cell>
          <cell r="K10">
            <v>764</v>
          </cell>
          <cell r="L10">
            <v>840</v>
          </cell>
          <cell r="M10">
            <v>797</v>
          </cell>
          <cell r="N10">
            <v>770</v>
          </cell>
          <cell r="O10">
            <v>741</v>
          </cell>
          <cell r="P10">
            <v>808</v>
          </cell>
          <cell r="Q10">
            <v>1471</v>
          </cell>
          <cell r="R10">
            <v>1471</v>
          </cell>
          <cell r="T10">
            <v>12846</v>
          </cell>
        </row>
        <row r="11">
          <cell r="A11">
            <v>36557</v>
          </cell>
          <cell r="B11" t="str">
            <v>2546</v>
          </cell>
          <cell r="C11" t="str">
            <v>FT-G</v>
          </cell>
          <cell r="D11" t="str">
            <v>Tennessee Gas</v>
          </cell>
          <cell r="E11" t="str">
            <v>Danville</v>
          </cell>
          <cell r="F11">
            <v>36831</v>
          </cell>
          <cell r="G11">
            <v>1517</v>
          </cell>
          <cell r="H11">
            <v>1517</v>
          </cell>
          <cell r="I11">
            <v>1517</v>
          </cell>
          <cell r="J11">
            <v>1113</v>
          </cell>
          <cell r="K11">
            <v>809</v>
          </cell>
          <cell r="L11">
            <v>809</v>
          </cell>
          <cell r="M11">
            <v>556</v>
          </cell>
          <cell r="N11">
            <v>556</v>
          </cell>
          <cell r="O11">
            <v>607</v>
          </cell>
          <cell r="P11">
            <v>1011</v>
          </cell>
          <cell r="Q11">
            <v>1517</v>
          </cell>
          <cell r="R11">
            <v>1517</v>
          </cell>
          <cell r="T11">
            <v>13046</v>
          </cell>
        </row>
        <row r="12">
          <cell r="A12">
            <v>36831</v>
          </cell>
          <cell r="B12" t="str">
            <v>2546</v>
          </cell>
          <cell r="C12" t="str">
            <v>FT-G</v>
          </cell>
          <cell r="D12" t="str">
            <v>Tennessee Gas</v>
          </cell>
          <cell r="E12" t="str">
            <v>Danville</v>
          </cell>
          <cell r="F12">
            <v>37561</v>
          </cell>
          <cell r="G12">
            <v>1517</v>
          </cell>
          <cell r="H12">
            <v>1517</v>
          </cell>
          <cell r="I12">
            <v>1517</v>
          </cell>
          <cell r="J12">
            <v>1113</v>
          </cell>
          <cell r="K12">
            <v>809</v>
          </cell>
          <cell r="L12">
            <v>607</v>
          </cell>
          <cell r="M12">
            <v>556</v>
          </cell>
          <cell r="N12">
            <v>556</v>
          </cell>
          <cell r="O12">
            <v>607</v>
          </cell>
          <cell r="P12">
            <v>1011</v>
          </cell>
          <cell r="Q12">
            <v>1517</v>
          </cell>
          <cell r="R12">
            <v>1517</v>
          </cell>
          <cell r="T12">
            <v>12844</v>
          </cell>
        </row>
        <row r="13">
          <cell r="A13">
            <v>43831</v>
          </cell>
        </row>
      </sheetData>
      <sheetData sheetId="23">
        <row r="9">
          <cell r="A9">
            <v>34274</v>
          </cell>
          <cell r="B9" t="str">
            <v>2548</v>
          </cell>
          <cell r="C9" t="str">
            <v>FT-G</v>
          </cell>
          <cell r="D9" t="str">
            <v>Tennessee Gas</v>
          </cell>
          <cell r="E9" t="str">
            <v>Lebanon</v>
          </cell>
          <cell r="F9">
            <v>36831</v>
          </cell>
          <cell r="G9">
            <v>5324</v>
          </cell>
          <cell r="H9">
            <v>5324</v>
          </cell>
          <cell r="I9">
            <v>5324</v>
          </cell>
          <cell r="J9">
            <v>5100</v>
          </cell>
          <cell r="K9">
            <v>2261</v>
          </cell>
          <cell r="L9">
            <v>1720</v>
          </cell>
          <cell r="M9">
            <v>1710</v>
          </cell>
          <cell r="N9">
            <v>1720</v>
          </cell>
          <cell r="O9">
            <v>2191</v>
          </cell>
          <cell r="P9">
            <v>3677</v>
          </cell>
          <cell r="Q9">
            <v>5324</v>
          </cell>
          <cell r="R9">
            <v>5324</v>
          </cell>
          <cell r="T9">
            <v>44999</v>
          </cell>
        </row>
        <row r="10">
          <cell r="A10">
            <v>36557</v>
          </cell>
          <cell r="B10" t="str">
            <v>2548</v>
          </cell>
          <cell r="C10" t="str">
            <v>FT-G</v>
          </cell>
          <cell r="D10" t="str">
            <v>Tennessee Gas</v>
          </cell>
          <cell r="E10" t="str">
            <v>Lebanon</v>
          </cell>
          <cell r="F10">
            <v>36831</v>
          </cell>
          <cell r="G10">
            <v>5262</v>
          </cell>
          <cell r="H10">
            <v>5262</v>
          </cell>
          <cell r="I10">
            <v>5262</v>
          </cell>
          <cell r="J10">
            <v>5014</v>
          </cell>
          <cell r="K10">
            <v>2279</v>
          </cell>
          <cell r="L10">
            <v>2279</v>
          </cell>
          <cell r="M10">
            <v>1823</v>
          </cell>
          <cell r="N10">
            <v>1823</v>
          </cell>
          <cell r="O10">
            <v>1823</v>
          </cell>
          <cell r="P10">
            <v>1823</v>
          </cell>
          <cell r="Q10">
            <v>5262</v>
          </cell>
          <cell r="R10">
            <v>5262</v>
          </cell>
          <cell r="T10">
            <v>43174</v>
          </cell>
        </row>
        <row r="11">
          <cell r="A11">
            <v>36831</v>
          </cell>
          <cell r="B11" t="str">
            <v>2548</v>
          </cell>
          <cell r="C11" t="str">
            <v>FT-G</v>
          </cell>
          <cell r="D11" t="str">
            <v>Tennessee Gas</v>
          </cell>
          <cell r="E11" t="str">
            <v>Lebanon</v>
          </cell>
          <cell r="F11">
            <v>37561</v>
          </cell>
          <cell r="G11">
            <v>5262</v>
          </cell>
          <cell r="H11">
            <v>5262</v>
          </cell>
          <cell r="I11">
            <v>5262</v>
          </cell>
          <cell r="J11">
            <v>5014</v>
          </cell>
          <cell r="K11">
            <v>2279</v>
          </cell>
          <cell r="L11">
            <v>1823</v>
          </cell>
          <cell r="M11">
            <v>1823</v>
          </cell>
          <cell r="N11">
            <v>1823</v>
          </cell>
          <cell r="O11">
            <v>2279</v>
          </cell>
          <cell r="P11">
            <v>3646</v>
          </cell>
          <cell r="Q11">
            <v>5262</v>
          </cell>
          <cell r="R11">
            <v>5262</v>
          </cell>
          <cell r="T11">
            <v>44997</v>
          </cell>
        </row>
        <row r="12">
          <cell r="A12">
            <v>43831</v>
          </cell>
        </row>
      </sheetData>
      <sheetData sheetId="24">
        <row r="9">
          <cell r="A9">
            <v>34274</v>
          </cell>
          <cell r="B9" t="str">
            <v>2548</v>
          </cell>
          <cell r="C9" t="str">
            <v>FT-G</v>
          </cell>
          <cell r="D9" t="str">
            <v>Tennessee Gas</v>
          </cell>
          <cell r="E9" t="str">
            <v>Lebanon</v>
          </cell>
          <cell r="F9">
            <v>36831</v>
          </cell>
          <cell r="G9">
            <v>448</v>
          </cell>
          <cell r="H9">
            <v>448</v>
          </cell>
          <cell r="I9">
            <v>448</v>
          </cell>
          <cell r="J9">
            <v>400</v>
          </cell>
          <cell r="K9">
            <v>239</v>
          </cell>
          <cell r="L9">
            <v>280</v>
          </cell>
          <cell r="M9">
            <v>290</v>
          </cell>
          <cell r="N9">
            <v>280</v>
          </cell>
          <cell r="O9">
            <v>309</v>
          </cell>
          <cell r="P9">
            <v>323</v>
          </cell>
          <cell r="Q9">
            <v>448</v>
          </cell>
          <cell r="R9">
            <v>448</v>
          </cell>
          <cell r="T9">
            <v>4361</v>
          </cell>
        </row>
        <row r="10">
          <cell r="A10">
            <v>36557</v>
          </cell>
          <cell r="B10" t="str">
            <v>2548</v>
          </cell>
          <cell r="C10" t="str">
            <v>FT-G</v>
          </cell>
          <cell r="D10" t="str">
            <v>Tennessee Gas</v>
          </cell>
          <cell r="E10" t="str">
            <v>Lebanon</v>
          </cell>
          <cell r="F10">
            <v>36831</v>
          </cell>
          <cell r="G10">
            <v>510</v>
          </cell>
          <cell r="H10">
            <v>510</v>
          </cell>
          <cell r="I10">
            <v>510</v>
          </cell>
          <cell r="J10">
            <v>486</v>
          </cell>
          <cell r="K10">
            <v>221</v>
          </cell>
          <cell r="L10">
            <v>221</v>
          </cell>
          <cell r="M10">
            <v>177</v>
          </cell>
          <cell r="N10">
            <v>177</v>
          </cell>
          <cell r="O10">
            <v>177</v>
          </cell>
          <cell r="P10">
            <v>177</v>
          </cell>
          <cell r="Q10">
            <v>510</v>
          </cell>
          <cell r="R10">
            <v>510</v>
          </cell>
          <cell r="T10">
            <v>4186</v>
          </cell>
        </row>
        <row r="11">
          <cell r="A11">
            <v>36831</v>
          </cell>
          <cell r="B11" t="str">
            <v>2548</v>
          </cell>
          <cell r="C11" t="str">
            <v>FT-G</v>
          </cell>
          <cell r="D11" t="str">
            <v>Tennessee Gas</v>
          </cell>
          <cell r="E11" t="str">
            <v>Lebanon</v>
          </cell>
          <cell r="F11">
            <v>37561</v>
          </cell>
          <cell r="G11">
            <v>510</v>
          </cell>
          <cell r="H11">
            <v>510</v>
          </cell>
          <cell r="I11">
            <v>510</v>
          </cell>
          <cell r="J11">
            <v>486</v>
          </cell>
          <cell r="K11">
            <v>221</v>
          </cell>
          <cell r="L11">
            <v>177</v>
          </cell>
          <cell r="M11">
            <v>177</v>
          </cell>
          <cell r="N11">
            <v>177</v>
          </cell>
          <cell r="O11">
            <v>221</v>
          </cell>
          <cell r="P11">
            <v>354</v>
          </cell>
          <cell r="Q11">
            <v>510</v>
          </cell>
          <cell r="R11">
            <v>510</v>
          </cell>
          <cell r="T11">
            <v>4363</v>
          </cell>
        </row>
        <row r="12">
          <cell r="A12">
            <v>43831</v>
          </cell>
        </row>
      </sheetData>
      <sheetData sheetId="25">
        <row r="9">
          <cell r="A9">
            <v>34274</v>
          </cell>
          <cell r="B9" t="str">
            <v>2550</v>
          </cell>
          <cell r="C9" t="str">
            <v>FT-G</v>
          </cell>
          <cell r="D9" t="str">
            <v>Tennessee Gas</v>
          </cell>
          <cell r="E9" t="str">
            <v>Campbellsville</v>
          </cell>
          <cell r="F9">
            <v>36831</v>
          </cell>
          <cell r="G9">
            <v>6361</v>
          </cell>
          <cell r="H9">
            <v>6361</v>
          </cell>
          <cell r="I9">
            <v>6361</v>
          </cell>
          <cell r="J9">
            <v>5789</v>
          </cell>
          <cell r="K9">
            <v>4523</v>
          </cell>
          <cell r="L9">
            <v>3010</v>
          </cell>
          <cell r="M9">
            <v>3004</v>
          </cell>
          <cell r="N9">
            <v>3010</v>
          </cell>
          <cell r="O9">
            <v>4004</v>
          </cell>
          <cell r="P9">
            <v>4596</v>
          </cell>
          <cell r="Q9">
            <v>6361</v>
          </cell>
          <cell r="R9">
            <v>6361</v>
          </cell>
          <cell r="T9">
            <v>59741</v>
          </cell>
        </row>
        <row r="10">
          <cell r="A10">
            <v>36557</v>
          </cell>
          <cell r="B10" t="str">
            <v>2550</v>
          </cell>
          <cell r="C10" t="str">
            <v>FT-G</v>
          </cell>
          <cell r="D10" t="str">
            <v>Tennessee Gas</v>
          </cell>
          <cell r="E10" t="str">
            <v>Campbellsville</v>
          </cell>
          <cell r="F10">
            <v>36831</v>
          </cell>
          <cell r="G10">
            <v>6255</v>
          </cell>
          <cell r="H10">
            <v>6255</v>
          </cell>
          <cell r="I10">
            <v>6255</v>
          </cell>
          <cell r="J10">
            <v>5657</v>
          </cell>
          <cell r="K10">
            <v>4562</v>
          </cell>
          <cell r="L10">
            <v>4562</v>
          </cell>
          <cell r="M10">
            <v>3193</v>
          </cell>
          <cell r="N10">
            <v>3193</v>
          </cell>
          <cell r="O10">
            <v>4106</v>
          </cell>
          <cell r="P10">
            <v>4562</v>
          </cell>
          <cell r="Q10">
            <v>6255</v>
          </cell>
          <cell r="R10">
            <v>6255</v>
          </cell>
          <cell r="T10">
            <v>61110</v>
          </cell>
        </row>
        <row r="11">
          <cell r="A11">
            <v>36831</v>
          </cell>
          <cell r="B11" t="str">
            <v>2550</v>
          </cell>
          <cell r="C11" t="str">
            <v>FT-G</v>
          </cell>
          <cell r="D11" t="str">
            <v>Tennessee Gas</v>
          </cell>
          <cell r="E11" t="str">
            <v>Campbellsville</v>
          </cell>
          <cell r="F11">
            <v>37561</v>
          </cell>
          <cell r="G11">
            <v>6255</v>
          </cell>
          <cell r="H11">
            <v>6255</v>
          </cell>
          <cell r="I11">
            <v>6255</v>
          </cell>
          <cell r="J11">
            <v>5657</v>
          </cell>
          <cell r="K11">
            <v>4562</v>
          </cell>
          <cell r="L11">
            <v>3193</v>
          </cell>
          <cell r="M11">
            <v>3193</v>
          </cell>
          <cell r="N11">
            <v>3193</v>
          </cell>
          <cell r="O11">
            <v>4106</v>
          </cell>
          <cell r="P11">
            <v>4562</v>
          </cell>
          <cell r="Q11">
            <v>6255</v>
          </cell>
          <cell r="R11">
            <v>6255</v>
          </cell>
          <cell r="T11">
            <v>59741</v>
          </cell>
        </row>
        <row r="12">
          <cell r="A12">
            <v>43831</v>
          </cell>
        </row>
      </sheetData>
      <sheetData sheetId="26">
        <row r="9">
          <cell r="A9">
            <v>34274</v>
          </cell>
          <cell r="B9" t="str">
            <v>2550</v>
          </cell>
          <cell r="C9" t="str">
            <v>FT-G</v>
          </cell>
          <cell r="D9" t="str">
            <v>Tennessee Gas</v>
          </cell>
          <cell r="E9" t="str">
            <v>Campbellsville</v>
          </cell>
          <cell r="F9">
            <v>36831</v>
          </cell>
          <cell r="G9">
            <v>495</v>
          </cell>
          <cell r="H9">
            <v>495</v>
          </cell>
          <cell r="I9">
            <v>495</v>
          </cell>
          <cell r="J9">
            <v>411</v>
          </cell>
          <cell r="K9">
            <v>477</v>
          </cell>
          <cell r="L9">
            <v>490</v>
          </cell>
          <cell r="M9">
            <v>496</v>
          </cell>
          <cell r="N9">
            <v>490</v>
          </cell>
          <cell r="O9">
            <v>496</v>
          </cell>
          <cell r="P9">
            <v>404</v>
          </cell>
          <cell r="Q9">
            <v>495</v>
          </cell>
          <cell r="R9">
            <v>495</v>
          </cell>
          <cell r="T9">
            <v>5739</v>
          </cell>
        </row>
        <row r="10">
          <cell r="A10">
            <v>36557</v>
          </cell>
          <cell r="B10" t="str">
            <v>2550</v>
          </cell>
          <cell r="C10" t="str">
            <v>FT-G</v>
          </cell>
          <cell r="D10" t="str">
            <v>Tennessee Gas</v>
          </cell>
          <cell r="E10" t="str">
            <v>Campbellsville</v>
          </cell>
          <cell r="F10">
            <v>36831</v>
          </cell>
          <cell r="G10">
            <v>601</v>
          </cell>
          <cell r="H10">
            <v>601</v>
          </cell>
          <cell r="I10">
            <v>601</v>
          </cell>
          <cell r="J10">
            <v>543</v>
          </cell>
          <cell r="K10">
            <v>438</v>
          </cell>
          <cell r="L10">
            <v>438</v>
          </cell>
          <cell r="M10">
            <v>307</v>
          </cell>
          <cell r="N10">
            <v>307</v>
          </cell>
          <cell r="O10">
            <v>394</v>
          </cell>
          <cell r="P10">
            <v>438</v>
          </cell>
          <cell r="Q10">
            <v>601</v>
          </cell>
          <cell r="R10">
            <v>601</v>
          </cell>
          <cell r="T10">
            <v>5870</v>
          </cell>
        </row>
        <row r="11">
          <cell r="A11">
            <v>36831</v>
          </cell>
          <cell r="B11" t="str">
            <v>2550</v>
          </cell>
          <cell r="C11" t="str">
            <v>FT-G</v>
          </cell>
          <cell r="D11" t="str">
            <v>Tennessee Gas</v>
          </cell>
          <cell r="E11" t="str">
            <v>Campbellsville</v>
          </cell>
          <cell r="F11">
            <v>37561</v>
          </cell>
          <cell r="G11">
            <v>601</v>
          </cell>
          <cell r="H11">
            <v>601</v>
          </cell>
          <cell r="I11">
            <v>601</v>
          </cell>
          <cell r="J11">
            <v>543</v>
          </cell>
          <cell r="K11">
            <v>438</v>
          </cell>
          <cell r="L11">
            <v>307</v>
          </cell>
          <cell r="M11">
            <v>307</v>
          </cell>
          <cell r="N11">
            <v>307</v>
          </cell>
          <cell r="O11">
            <v>394</v>
          </cell>
          <cell r="P11">
            <v>438</v>
          </cell>
          <cell r="Q11">
            <v>601</v>
          </cell>
          <cell r="R11">
            <v>601</v>
          </cell>
          <cell r="T11">
            <v>5739</v>
          </cell>
        </row>
        <row r="12">
          <cell r="A12">
            <v>43831</v>
          </cell>
        </row>
      </sheetData>
      <sheetData sheetId="27">
        <row r="9">
          <cell r="A9">
            <v>34274</v>
          </cell>
          <cell r="B9" t="str">
            <v>2551</v>
          </cell>
          <cell r="C9" t="str">
            <v>FT-G</v>
          </cell>
          <cell r="D9" t="str">
            <v>Tennessee Gas</v>
          </cell>
          <cell r="E9" t="str">
            <v>Harrodsburg</v>
          </cell>
          <cell r="F9">
            <v>36831</v>
          </cell>
          <cell r="G9">
            <v>5121</v>
          </cell>
          <cell r="H9">
            <v>5121</v>
          </cell>
          <cell r="I9">
            <v>5121</v>
          </cell>
          <cell r="J9">
            <v>4625</v>
          </cell>
          <cell r="K9">
            <v>2713</v>
          </cell>
          <cell r="L9">
            <v>1720</v>
          </cell>
          <cell r="M9">
            <v>1710</v>
          </cell>
          <cell r="N9">
            <v>1720</v>
          </cell>
          <cell r="O9">
            <v>2753</v>
          </cell>
          <cell r="P9">
            <v>4213</v>
          </cell>
          <cell r="Q9">
            <v>5121</v>
          </cell>
          <cell r="R9">
            <v>5121</v>
          </cell>
          <cell r="T9">
            <v>45059</v>
          </cell>
        </row>
        <row r="10">
          <cell r="A10">
            <v>36557</v>
          </cell>
          <cell r="B10" t="str">
            <v>2551</v>
          </cell>
          <cell r="C10" t="str">
            <v>FT-G</v>
          </cell>
          <cell r="D10" t="str">
            <v>Tennessee Gas</v>
          </cell>
          <cell r="E10" t="str">
            <v>Harrodsburg</v>
          </cell>
          <cell r="F10">
            <v>36831</v>
          </cell>
          <cell r="G10">
            <v>5098</v>
          </cell>
          <cell r="H10">
            <v>5098</v>
          </cell>
          <cell r="I10">
            <v>5098</v>
          </cell>
          <cell r="J10">
            <v>4551</v>
          </cell>
          <cell r="K10">
            <v>2731</v>
          </cell>
          <cell r="L10">
            <v>2731</v>
          </cell>
          <cell r="M10">
            <v>1820</v>
          </cell>
          <cell r="N10">
            <v>1820</v>
          </cell>
          <cell r="O10">
            <v>1820</v>
          </cell>
          <cell r="P10">
            <v>1820</v>
          </cell>
          <cell r="Q10">
            <v>5098</v>
          </cell>
          <cell r="R10">
            <v>5098</v>
          </cell>
          <cell r="T10">
            <v>42783</v>
          </cell>
        </row>
        <row r="11">
          <cell r="A11">
            <v>36831</v>
          </cell>
          <cell r="B11" t="str">
            <v>2551</v>
          </cell>
          <cell r="C11" t="str">
            <v>FT-G</v>
          </cell>
          <cell r="D11" t="str">
            <v>Tennessee Gas</v>
          </cell>
          <cell r="E11" t="str">
            <v>Harrodsburg</v>
          </cell>
          <cell r="F11">
            <v>37561</v>
          </cell>
          <cell r="G11">
            <v>5098</v>
          </cell>
          <cell r="H11">
            <v>5098</v>
          </cell>
          <cell r="I11">
            <v>5098</v>
          </cell>
          <cell r="J11">
            <v>4551</v>
          </cell>
          <cell r="K11">
            <v>2731</v>
          </cell>
          <cell r="L11">
            <v>1821</v>
          </cell>
          <cell r="M11">
            <v>1820</v>
          </cell>
          <cell r="N11">
            <v>1820</v>
          </cell>
          <cell r="O11">
            <v>2730</v>
          </cell>
          <cell r="P11">
            <v>4095</v>
          </cell>
          <cell r="Q11">
            <v>5098</v>
          </cell>
          <cell r="R11">
            <v>5098</v>
          </cell>
          <cell r="T11">
            <v>45058</v>
          </cell>
        </row>
        <row r="12">
          <cell r="A12">
            <v>43831</v>
          </cell>
        </row>
      </sheetData>
      <sheetData sheetId="28">
        <row r="9">
          <cell r="A9">
            <v>34274</v>
          </cell>
          <cell r="B9" t="str">
            <v>2551.1</v>
          </cell>
          <cell r="C9" t="str">
            <v>FT-G</v>
          </cell>
          <cell r="D9" t="str">
            <v>Tennessee Gas</v>
          </cell>
          <cell r="E9" t="str">
            <v>Harrodsburg</v>
          </cell>
          <cell r="F9">
            <v>36831</v>
          </cell>
          <cell r="G9">
            <v>480</v>
          </cell>
          <cell r="H9">
            <v>480</v>
          </cell>
          <cell r="I9">
            <v>480</v>
          </cell>
          <cell r="J9">
            <v>375</v>
          </cell>
          <cell r="K9">
            <v>287</v>
          </cell>
          <cell r="L9">
            <v>280</v>
          </cell>
          <cell r="M9">
            <v>290</v>
          </cell>
          <cell r="N9">
            <v>280</v>
          </cell>
          <cell r="O9">
            <v>247</v>
          </cell>
          <cell r="P9">
            <v>287</v>
          </cell>
          <cell r="Q9">
            <v>480</v>
          </cell>
          <cell r="R9">
            <v>480</v>
          </cell>
          <cell r="T9">
            <v>4446</v>
          </cell>
        </row>
        <row r="10">
          <cell r="A10">
            <v>36557</v>
          </cell>
          <cell r="B10" t="str">
            <v>2551.1</v>
          </cell>
          <cell r="C10" t="str">
            <v>FT-G</v>
          </cell>
          <cell r="D10" t="str">
            <v>Tennessee Gas</v>
          </cell>
          <cell r="E10" t="str">
            <v>Harrodsburg</v>
          </cell>
          <cell r="F10">
            <v>36831</v>
          </cell>
          <cell r="G10">
            <v>503</v>
          </cell>
          <cell r="H10">
            <v>503</v>
          </cell>
          <cell r="I10">
            <v>503</v>
          </cell>
          <cell r="J10">
            <v>449</v>
          </cell>
          <cell r="K10">
            <v>269</v>
          </cell>
          <cell r="L10">
            <v>269</v>
          </cell>
          <cell r="M10">
            <v>180</v>
          </cell>
          <cell r="N10">
            <v>180</v>
          </cell>
          <cell r="O10">
            <v>180</v>
          </cell>
          <cell r="P10">
            <v>180</v>
          </cell>
          <cell r="Q10">
            <v>503</v>
          </cell>
          <cell r="R10">
            <v>503</v>
          </cell>
          <cell r="T10">
            <v>4222</v>
          </cell>
        </row>
        <row r="11">
          <cell r="A11">
            <v>36831</v>
          </cell>
          <cell r="B11" t="str">
            <v>2551.1</v>
          </cell>
          <cell r="C11" t="str">
            <v>FT-G</v>
          </cell>
          <cell r="D11" t="str">
            <v>Tennessee Gas</v>
          </cell>
          <cell r="E11" t="str">
            <v>Harrodsburg</v>
          </cell>
          <cell r="F11">
            <v>37561</v>
          </cell>
          <cell r="G11">
            <v>503</v>
          </cell>
          <cell r="H11">
            <v>503</v>
          </cell>
          <cell r="I11">
            <v>503</v>
          </cell>
          <cell r="J11">
            <v>449</v>
          </cell>
          <cell r="K11">
            <v>269</v>
          </cell>
          <cell r="L11">
            <v>179</v>
          </cell>
          <cell r="M11">
            <v>180</v>
          </cell>
          <cell r="N11">
            <v>180</v>
          </cell>
          <cell r="O11">
            <v>270</v>
          </cell>
          <cell r="P11">
            <v>405</v>
          </cell>
          <cell r="Q11">
            <v>503</v>
          </cell>
          <cell r="R11">
            <v>503</v>
          </cell>
          <cell r="T11">
            <v>4447</v>
          </cell>
        </row>
        <row r="12">
          <cell r="A12">
            <v>43831</v>
          </cell>
        </row>
      </sheetData>
      <sheetData sheetId="29">
        <row r="9">
          <cell r="A9">
            <v>34274</v>
          </cell>
          <cell r="B9" t="str">
            <v>2385</v>
          </cell>
          <cell r="C9" t="str">
            <v>FT-GS</v>
          </cell>
          <cell r="D9" t="str">
            <v>Tennessee Gas</v>
          </cell>
          <cell r="E9" t="str">
            <v>Greensburg</v>
          </cell>
          <cell r="F9">
            <v>36831</v>
          </cell>
          <cell r="G9">
            <v>8282</v>
          </cell>
          <cell r="H9">
            <v>8282</v>
          </cell>
          <cell r="I9">
            <v>8282</v>
          </cell>
          <cell r="J9">
            <v>8282</v>
          </cell>
          <cell r="K9">
            <v>8282</v>
          </cell>
          <cell r="L9">
            <v>8282</v>
          </cell>
          <cell r="M9">
            <v>8282</v>
          </cell>
          <cell r="N9">
            <v>8282</v>
          </cell>
          <cell r="O9">
            <v>8282</v>
          </cell>
          <cell r="P9">
            <v>8282</v>
          </cell>
          <cell r="Q9">
            <v>8282</v>
          </cell>
          <cell r="R9">
            <v>8282</v>
          </cell>
          <cell r="T9">
            <v>99384</v>
          </cell>
        </row>
        <row r="10">
          <cell r="A10">
            <v>43831</v>
          </cell>
        </row>
      </sheetData>
      <sheetData sheetId="30"/>
      <sheetData sheetId="31">
        <row r="10">
          <cell r="A10">
            <v>35370</v>
          </cell>
          <cell r="B10" t="str">
            <v>014573</v>
          </cell>
          <cell r="C10" t="str">
            <v>T-FTS</v>
          </cell>
          <cell r="D10" t="str">
            <v>Trunkline Gas</v>
          </cell>
          <cell r="E10" t="str">
            <v>Paducah</v>
          </cell>
          <cell r="F10">
            <v>35703</v>
          </cell>
          <cell r="G10">
            <v>8000</v>
          </cell>
          <cell r="H10">
            <v>8000</v>
          </cell>
          <cell r="I10">
            <v>8000</v>
          </cell>
          <cell r="J10">
            <v>8000</v>
          </cell>
          <cell r="K10">
            <v>2200</v>
          </cell>
          <cell r="L10">
            <v>2200</v>
          </cell>
          <cell r="M10">
            <v>2200</v>
          </cell>
          <cell r="N10">
            <v>2200</v>
          </cell>
          <cell r="O10">
            <v>2200</v>
          </cell>
          <cell r="P10">
            <v>8000</v>
          </cell>
          <cell r="Q10">
            <v>8000</v>
          </cell>
          <cell r="R10">
            <v>8000</v>
          </cell>
          <cell r="T10">
            <v>67000</v>
          </cell>
        </row>
        <row r="11">
          <cell r="A11">
            <v>35704</v>
          </cell>
          <cell r="B11" t="str">
            <v>014573</v>
          </cell>
          <cell r="C11" t="str">
            <v>T-FTS</v>
          </cell>
          <cell r="D11" t="str">
            <v>Trunkline Gas</v>
          </cell>
          <cell r="E11" t="str">
            <v>Paducah</v>
          </cell>
          <cell r="F11">
            <v>36068</v>
          </cell>
          <cell r="G11">
            <v>8000</v>
          </cell>
          <cell r="H11">
            <v>8000</v>
          </cell>
          <cell r="I11">
            <v>8000</v>
          </cell>
          <cell r="J11">
            <v>8000</v>
          </cell>
          <cell r="K11">
            <v>2200</v>
          </cell>
          <cell r="L11">
            <v>2200</v>
          </cell>
          <cell r="M11">
            <v>2200</v>
          </cell>
          <cell r="N11">
            <v>2200</v>
          </cell>
          <cell r="O11">
            <v>2200</v>
          </cell>
          <cell r="P11">
            <v>8000</v>
          </cell>
          <cell r="Q11">
            <v>8000</v>
          </cell>
          <cell r="R11">
            <v>8000</v>
          </cell>
          <cell r="T11">
            <v>67000</v>
          </cell>
        </row>
        <row r="12">
          <cell r="A12">
            <v>36069</v>
          </cell>
          <cell r="B12" t="str">
            <v>014573</v>
          </cell>
          <cell r="C12" t="str">
            <v>T-FTS</v>
          </cell>
          <cell r="D12" t="str">
            <v>Trunkline Gas</v>
          </cell>
          <cell r="E12" t="str">
            <v>Paducah</v>
          </cell>
          <cell r="F12">
            <v>36433</v>
          </cell>
          <cell r="G12">
            <v>8000</v>
          </cell>
          <cell r="H12">
            <v>8000</v>
          </cell>
          <cell r="I12">
            <v>8000</v>
          </cell>
          <cell r="J12">
            <v>8000</v>
          </cell>
          <cell r="K12">
            <v>2200</v>
          </cell>
          <cell r="L12">
            <v>2200</v>
          </cell>
          <cell r="M12">
            <v>2200</v>
          </cell>
          <cell r="N12">
            <v>2200</v>
          </cell>
          <cell r="O12">
            <v>2200</v>
          </cell>
          <cell r="P12">
            <v>8000</v>
          </cell>
          <cell r="Q12">
            <v>8000</v>
          </cell>
          <cell r="R12">
            <v>8000</v>
          </cell>
          <cell r="T12">
            <v>67000</v>
          </cell>
        </row>
        <row r="13">
          <cell r="A13">
            <v>36434</v>
          </cell>
          <cell r="B13" t="str">
            <v>014573</v>
          </cell>
          <cell r="C13" t="str">
            <v>T-FTS</v>
          </cell>
          <cell r="D13" t="str">
            <v>Trunkline Gas</v>
          </cell>
          <cell r="E13" t="str">
            <v>Paducah</v>
          </cell>
          <cell r="F13">
            <v>36464</v>
          </cell>
          <cell r="G13">
            <v>8000</v>
          </cell>
          <cell r="H13">
            <v>8000</v>
          </cell>
          <cell r="I13">
            <v>8000</v>
          </cell>
          <cell r="J13">
            <v>8000</v>
          </cell>
          <cell r="K13">
            <v>2200</v>
          </cell>
          <cell r="L13">
            <v>2200</v>
          </cell>
          <cell r="M13">
            <v>2200</v>
          </cell>
          <cell r="N13">
            <v>2200</v>
          </cell>
          <cell r="O13">
            <v>2200</v>
          </cell>
          <cell r="P13">
            <v>8000</v>
          </cell>
          <cell r="Q13">
            <v>8000</v>
          </cell>
          <cell r="R13">
            <v>8000</v>
          </cell>
          <cell r="T13">
            <v>67000</v>
          </cell>
        </row>
        <row r="14">
          <cell r="A14">
            <v>36465</v>
          </cell>
          <cell r="B14" t="str">
            <v>014573</v>
          </cell>
          <cell r="C14" t="str">
            <v>T-FTS</v>
          </cell>
          <cell r="D14" t="str">
            <v>Trunkline Gas</v>
          </cell>
          <cell r="E14" t="str">
            <v>Paducah</v>
          </cell>
          <cell r="F14">
            <v>36799</v>
          </cell>
          <cell r="G14">
            <v>11000</v>
          </cell>
          <cell r="H14">
            <v>11000</v>
          </cell>
          <cell r="I14">
            <v>11000</v>
          </cell>
          <cell r="J14">
            <v>11000</v>
          </cell>
          <cell r="K14">
            <v>3025</v>
          </cell>
          <cell r="L14">
            <v>3025</v>
          </cell>
          <cell r="M14">
            <v>3025</v>
          </cell>
          <cell r="N14">
            <v>3025</v>
          </cell>
          <cell r="O14">
            <v>3025</v>
          </cell>
          <cell r="P14">
            <v>11000</v>
          </cell>
          <cell r="Q14">
            <v>11000</v>
          </cell>
          <cell r="R14">
            <v>11000</v>
          </cell>
          <cell r="T14">
            <v>92125</v>
          </cell>
        </row>
        <row r="15">
          <cell r="A15">
            <v>36800</v>
          </cell>
          <cell r="B15" t="str">
            <v>014573</v>
          </cell>
          <cell r="C15" t="str">
            <v>T-FTS</v>
          </cell>
          <cell r="D15" t="str">
            <v>Trunkline Gas</v>
          </cell>
          <cell r="E15" t="str">
            <v>Paducah</v>
          </cell>
          <cell r="F15">
            <v>37164</v>
          </cell>
          <cell r="G15">
            <v>11000</v>
          </cell>
          <cell r="H15">
            <v>11000</v>
          </cell>
          <cell r="I15">
            <v>11000</v>
          </cell>
          <cell r="J15">
            <v>11000</v>
          </cell>
          <cell r="K15">
            <v>3025</v>
          </cell>
          <cell r="L15">
            <v>3025</v>
          </cell>
          <cell r="M15">
            <v>3025</v>
          </cell>
          <cell r="N15">
            <v>3025</v>
          </cell>
          <cell r="O15">
            <v>3025</v>
          </cell>
          <cell r="P15">
            <v>11000</v>
          </cell>
          <cell r="Q15">
            <v>11000</v>
          </cell>
          <cell r="R15">
            <v>11000</v>
          </cell>
          <cell r="T15">
            <v>92125</v>
          </cell>
        </row>
        <row r="16">
          <cell r="A16">
            <v>37165</v>
          </cell>
          <cell r="B16" t="str">
            <v>014573</v>
          </cell>
          <cell r="C16" t="str">
            <v>T-FTS</v>
          </cell>
          <cell r="D16" t="str">
            <v>Trunkline Gas</v>
          </cell>
          <cell r="E16" t="str">
            <v>Paducah</v>
          </cell>
          <cell r="F16">
            <v>37195</v>
          </cell>
          <cell r="G16">
            <v>11000</v>
          </cell>
          <cell r="H16">
            <v>11000</v>
          </cell>
          <cell r="I16">
            <v>11000</v>
          </cell>
          <cell r="J16">
            <v>11000</v>
          </cell>
          <cell r="K16">
            <v>3025</v>
          </cell>
          <cell r="L16">
            <v>3025</v>
          </cell>
          <cell r="M16">
            <v>3025</v>
          </cell>
          <cell r="N16">
            <v>3025</v>
          </cell>
          <cell r="O16">
            <v>3025</v>
          </cell>
          <cell r="P16">
            <v>11000</v>
          </cell>
          <cell r="Q16">
            <v>11000</v>
          </cell>
          <cell r="R16">
            <v>11000</v>
          </cell>
          <cell r="T16">
            <v>92125</v>
          </cell>
        </row>
        <row r="17">
          <cell r="A17">
            <v>37926</v>
          </cell>
          <cell r="B17" t="str">
            <v>014573</v>
          </cell>
          <cell r="C17" t="str">
            <v>T-FTS</v>
          </cell>
          <cell r="D17" t="str">
            <v>Trunkline Gas</v>
          </cell>
          <cell r="E17" t="str">
            <v>Paducah</v>
          </cell>
          <cell r="G17">
            <v>8000</v>
          </cell>
          <cell r="H17">
            <v>8000</v>
          </cell>
          <cell r="I17">
            <v>8000</v>
          </cell>
          <cell r="J17">
            <v>8000</v>
          </cell>
          <cell r="K17">
            <v>2200</v>
          </cell>
          <cell r="L17">
            <v>2200</v>
          </cell>
          <cell r="M17">
            <v>2200</v>
          </cell>
          <cell r="N17">
            <v>2200</v>
          </cell>
          <cell r="O17">
            <v>2200</v>
          </cell>
          <cell r="P17">
            <v>8000</v>
          </cell>
          <cell r="Q17">
            <v>8000</v>
          </cell>
          <cell r="R17">
            <v>8000</v>
          </cell>
          <cell r="T17">
            <v>67000</v>
          </cell>
        </row>
        <row r="18">
          <cell r="A18">
            <v>43831</v>
          </cell>
        </row>
      </sheetData>
      <sheetData sheetId="32">
        <row r="8">
          <cell r="A8">
            <v>35370</v>
          </cell>
          <cell r="B8">
            <v>0.25800000000000001</v>
          </cell>
          <cell r="C8">
            <v>0.26</v>
          </cell>
          <cell r="D8">
            <v>248000</v>
          </cell>
          <cell r="E8">
            <v>224000</v>
          </cell>
          <cell r="F8">
            <v>248000</v>
          </cell>
          <cell r="G8">
            <v>240000</v>
          </cell>
          <cell r="H8">
            <v>68200</v>
          </cell>
          <cell r="I8">
            <v>66000</v>
          </cell>
          <cell r="J8">
            <v>68200</v>
          </cell>
          <cell r="K8">
            <v>68200</v>
          </cell>
          <cell r="L8">
            <v>66000</v>
          </cell>
          <cell r="M8">
            <v>248000</v>
          </cell>
          <cell r="N8">
            <v>240000</v>
          </cell>
          <cell r="O8">
            <v>248000</v>
          </cell>
          <cell r="P8">
            <v>2032600</v>
          </cell>
          <cell r="Q8">
            <v>562310.80000000005</v>
          </cell>
        </row>
        <row r="9">
          <cell r="A9">
            <v>36557</v>
          </cell>
          <cell r="B9">
            <v>0.26790000000000003</v>
          </cell>
          <cell r="C9">
            <v>0.23</v>
          </cell>
          <cell r="D9">
            <v>248000</v>
          </cell>
          <cell r="E9">
            <v>224000</v>
          </cell>
          <cell r="F9">
            <v>248000</v>
          </cell>
          <cell r="G9">
            <v>240000</v>
          </cell>
          <cell r="H9">
            <v>68200</v>
          </cell>
          <cell r="I9">
            <v>66000</v>
          </cell>
          <cell r="J9">
            <v>68200</v>
          </cell>
          <cell r="K9">
            <v>68200</v>
          </cell>
          <cell r="L9">
            <v>66000</v>
          </cell>
          <cell r="M9">
            <v>248000</v>
          </cell>
          <cell r="N9">
            <v>240000</v>
          </cell>
          <cell r="O9">
            <v>248000</v>
          </cell>
          <cell r="P9">
            <v>2032600</v>
          </cell>
          <cell r="Q9">
            <v>580423.54</v>
          </cell>
        </row>
        <row r="10">
          <cell r="A10">
            <v>36831</v>
          </cell>
          <cell r="B10">
            <v>0.26790000000000003</v>
          </cell>
          <cell r="C10">
            <v>0.2</v>
          </cell>
          <cell r="D10">
            <v>248000</v>
          </cell>
          <cell r="E10">
            <v>224000</v>
          </cell>
          <cell r="F10">
            <v>248000</v>
          </cell>
          <cell r="G10">
            <v>240000</v>
          </cell>
          <cell r="H10">
            <v>68200</v>
          </cell>
          <cell r="I10">
            <v>66000</v>
          </cell>
          <cell r="J10">
            <v>68200</v>
          </cell>
          <cell r="K10">
            <v>68200</v>
          </cell>
          <cell r="L10">
            <v>66000</v>
          </cell>
          <cell r="M10">
            <v>248000</v>
          </cell>
          <cell r="N10">
            <v>240000</v>
          </cell>
          <cell r="O10">
            <v>248000</v>
          </cell>
          <cell r="P10">
            <v>2032600</v>
          </cell>
          <cell r="Q10">
            <v>557933.54</v>
          </cell>
        </row>
        <row r="11">
          <cell r="A11">
            <v>54789</v>
          </cell>
        </row>
      </sheetData>
      <sheetData sheetId="33"/>
      <sheetData sheetId="34">
        <row r="1">
          <cell r="A1" t="str">
            <v>Trunkline Gas Rates</v>
          </cell>
        </row>
        <row r="9">
          <cell r="A9">
            <v>35339</v>
          </cell>
          <cell r="B9">
            <v>2.5100000000000001E-2</v>
          </cell>
          <cell r="D9">
            <v>1.9E-3</v>
          </cell>
          <cell r="E9">
            <v>8.8000000000000005E-3</v>
          </cell>
        </row>
        <row r="10">
          <cell r="A10">
            <v>35370</v>
          </cell>
          <cell r="B10">
            <v>2.5100000000000001E-2</v>
          </cell>
          <cell r="D10">
            <v>1.9E-3</v>
          </cell>
          <cell r="E10">
            <v>8.8000000000000005E-3</v>
          </cell>
        </row>
        <row r="11">
          <cell r="A11">
            <v>35521</v>
          </cell>
          <cell r="B11">
            <v>2.5100000000000001E-2</v>
          </cell>
          <cell r="D11">
            <v>1.9E-3</v>
          </cell>
          <cell r="E11">
            <v>8.8000000000000005E-3</v>
          </cell>
          <cell r="F11">
            <v>1.18E-2</v>
          </cell>
        </row>
        <row r="12">
          <cell r="A12">
            <v>36465</v>
          </cell>
          <cell r="B12">
            <v>2.5099999999999997E-2</v>
          </cell>
          <cell r="D12">
            <v>2.2000000000000001E-3</v>
          </cell>
          <cell r="E12">
            <v>7.3000000000000001E-3</v>
          </cell>
          <cell r="F12">
            <v>9.7999999999999997E-3</v>
          </cell>
        </row>
        <row r="13">
          <cell r="A13">
            <v>36831</v>
          </cell>
          <cell r="B13">
            <v>2.5099999999999997E-2</v>
          </cell>
          <cell r="D13">
            <v>2.2000000000000001E-3</v>
          </cell>
          <cell r="E13">
            <v>7.1999999999999998E-3</v>
          </cell>
          <cell r="F13">
            <v>7.6E-3</v>
          </cell>
        </row>
        <row r="14">
          <cell r="A14">
            <v>37043</v>
          </cell>
          <cell r="B14">
            <v>2.5099999999999997E-2</v>
          </cell>
          <cell r="D14">
            <v>2.2000000000000001E-3</v>
          </cell>
          <cell r="E14">
            <v>7.0000000000000001E-3</v>
          </cell>
          <cell r="F14">
            <v>8.2000000000000007E-3</v>
          </cell>
        </row>
        <row r="15">
          <cell r="A15">
            <v>37196</v>
          </cell>
          <cell r="B15">
            <v>2.1299999999999999E-2</v>
          </cell>
          <cell r="D15">
            <v>2.2000000000000001E-3</v>
          </cell>
          <cell r="E15">
            <v>7.0000000000000001E-3</v>
          </cell>
          <cell r="F15">
            <v>8.2000000000000007E-3</v>
          </cell>
        </row>
        <row r="16">
          <cell r="A16">
            <v>37561</v>
          </cell>
          <cell r="B16">
            <v>2.1299999999999999E-2</v>
          </cell>
          <cell r="D16">
            <v>2.0999999999999999E-3</v>
          </cell>
          <cell r="E16">
            <v>5.4999999999999997E-3</v>
          </cell>
          <cell r="F16">
            <v>1.12E-2</v>
          </cell>
        </row>
        <row r="17">
          <cell r="A17">
            <v>37834</v>
          </cell>
          <cell r="B17">
            <v>2.1299999999999999E-2</v>
          </cell>
          <cell r="D17">
            <v>2.0999999999999999E-3</v>
          </cell>
          <cell r="E17">
            <v>4.0000000000000001E-3</v>
          </cell>
          <cell r="F17">
            <v>1.2800000000000001E-2</v>
          </cell>
        </row>
        <row r="18">
          <cell r="A18">
            <v>37926</v>
          </cell>
          <cell r="B18">
            <v>2.1299999999999999E-2</v>
          </cell>
          <cell r="D18">
            <v>2.0999999999999999E-3</v>
          </cell>
          <cell r="E18">
            <v>4.0000000000000001E-3</v>
          </cell>
          <cell r="F18">
            <v>1.32E-2</v>
          </cell>
        </row>
        <row r="19">
          <cell r="A19">
            <v>38108</v>
          </cell>
          <cell r="B19">
            <v>2.1299999999999999E-2</v>
          </cell>
          <cell r="D19">
            <v>2.0999999999999999E-3</v>
          </cell>
          <cell r="E19">
            <v>4.0000000000000001E-3</v>
          </cell>
          <cell r="F19">
            <v>1.11E-2</v>
          </cell>
        </row>
        <row r="20">
          <cell r="A20">
            <v>38200</v>
          </cell>
          <cell r="B20">
            <v>2.1299999999999999E-2</v>
          </cell>
          <cell r="D20">
            <v>2.0999999999999999E-3</v>
          </cell>
          <cell r="E20">
            <v>0</v>
          </cell>
          <cell r="F20">
            <v>1.11E-2</v>
          </cell>
        </row>
        <row r="21">
          <cell r="A21">
            <v>38384</v>
          </cell>
          <cell r="B21">
            <v>2.1299999999999999E-2</v>
          </cell>
          <cell r="D21">
            <v>1.9E-3</v>
          </cell>
          <cell r="E21">
            <v>0</v>
          </cell>
          <cell r="F21">
            <v>1.11E-2</v>
          </cell>
        </row>
        <row r="22">
          <cell r="A22">
            <v>39114</v>
          </cell>
          <cell r="B22">
            <v>2.1299999999999999E-2</v>
          </cell>
          <cell r="D22">
            <v>1.6000000000000001E-3</v>
          </cell>
          <cell r="E22">
            <v>0</v>
          </cell>
          <cell r="F22">
            <v>1.2999999999999999E-3</v>
          </cell>
        </row>
        <row r="23">
          <cell r="A23">
            <v>54789</v>
          </cell>
        </row>
      </sheetData>
      <sheetData sheetId="35"/>
      <sheetData sheetId="36">
        <row r="7">
          <cell r="A7" t="str">
            <v>Case No.</v>
          </cell>
          <cell r="B7" t="str">
            <v>Effective</v>
          </cell>
          <cell r="C7" t="str">
            <v>Commodity</v>
          </cell>
          <cell r="D7" t="str">
            <v>Demand</v>
          </cell>
          <cell r="E7" t="str">
            <v>TOP</v>
          </cell>
          <cell r="F7" t="str">
            <v>Transition</v>
          </cell>
          <cell r="G7" t="str">
            <v>BCOG</v>
          </cell>
          <cell r="H7" t="str">
            <v>CF</v>
          </cell>
          <cell r="I7" t="str">
            <v>RF</v>
          </cell>
          <cell r="J7" t="str">
            <v>PBRRF</v>
          </cell>
          <cell r="K7" t="str">
            <v>GCA</v>
          </cell>
        </row>
        <row r="8">
          <cell r="A8" t="str">
            <v>95-010</v>
          </cell>
          <cell r="B8">
            <v>34943</v>
          </cell>
          <cell r="C8">
            <v>1.6283000000000001</v>
          </cell>
          <cell r="D8">
            <v>1.0213000000000001</v>
          </cell>
          <cell r="E8">
            <v>8.2000000000000007E-3</v>
          </cell>
          <cell r="F8">
            <v>0.13819999999999999</v>
          </cell>
          <cell r="G8">
            <v>3.4331</v>
          </cell>
          <cell r="H8">
            <v>2.86E-2</v>
          </cell>
          <cell r="I8">
            <v>-0.26279999999999998</v>
          </cell>
          <cell r="K8">
            <v>-0.87129999999999974</v>
          </cell>
          <cell r="L8">
            <v>2.7960000000000003</v>
          </cell>
          <cell r="M8" t="str">
            <v>I</v>
          </cell>
          <cell r="N8" t="str">
            <v>I</v>
          </cell>
          <cell r="O8" t="str">
            <v>R</v>
          </cell>
          <cell r="P8" t="str">
            <v>N</v>
          </cell>
          <cell r="Q8" t="str">
            <v>R</v>
          </cell>
        </row>
        <row r="9">
          <cell r="A9" t="str">
            <v>95-010 A</v>
          </cell>
          <cell r="B9">
            <v>34999</v>
          </cell>
          <cell r="C9">
            <v>1.9764999999999999</v>
          </cell>
          <cell r="D9">
            <v>1.0213000000000001</v>
          </cell>
          <cell r="E9">
            <v>8.2000000000000007E-3</v>
          </cell>
          <cell r="F9">
            <v>0.1231</v>
          </cell>
          <cell r="G9">
            <v>3.4344000000000001</v>
          </cell>
          <cell r="H9">
            <v>-0.16750000000000001</v>
          </cell>
          <cell r="I9">
            <v>-0.26279999999999998</v>
          </cell>
          <cell r="K9">
            <v>-0.73560000000000036</v>
          </cell>
          <cell r="L9">
            <v>3.1290999999999998</v>
          </cell>
          <cell r="M9" t="str">
            <v>I</v>
          </cell>
          <cell r="N9" t="str">
            <v>R</v>
          </cell>
          <cell r="O9" t="str">
            <v>N</v>
          </cell>
          <cell r="P9" t="str">
            <v>N</v>
          </cell>
          <cell r="Q9" t="str">
            <v>I</v>
          </cell>
        </row>
        <row r="10">
          <cell r="A10" t="str">
            <v>95-010 B</v>
          </cell>
          <cell r="B10">
            <v>35004</v>
          </cell>
          <cell r="C10">
            <v>1.9550000000000001</v>
          </cell>
          <cell r="D10">
            <v>1.0213000000000001</v>
          </cell>
          <cell r="E10">
            <v>8.2000000000000007E-3</v>
          </cell>
          <cell r="F10">
            <v>7.7499999999999999E-2</v>
          </cell>
          <cell r="G10">
            <v>3.4331</v>
          </cell>
          <cell r="H10">
            <v>-0.16750000000000001</v>
          </cell>
          <cell r="I10">
            <v>-0.21329999999999999</v>
          </cell>
          <cell r="K10">
            <v>-0.75189999999999979</v>
          </cell>
          <cell r="L10">
            <v>3.0620000000000003</v>
          </cell>
          <cell r="M10" t="str">
            <v>R</v>
          </cell>
          <cell r="N10" t="str">
            <v>N</v>
          </cell>
          <cell r="O10" t="str">
            <v>I</v>
          </cell>
          <cell r="P10" t="str">
            <v>N</v>
          </cell>
          <cell r="Q10" t="str">
            <v>R</v>
          </cell>
        </row>
        <row r="11">
          <cell r="A11" t="str">
            <v>95-010 C</v>
          </cell>
          <cell r="B11">
            <v>35034</v>
          </cell>
          <cell r="C11">
            <v>2.0304000000000002</v>
          </cell>
          <cell r="D11">
            <v>1.0213000000000001</v>
          </cell>
          <cell r="E11">
            <v>8.2000000000000007E-3</v>
          </cell>
          <cell r="F11">
            <v>7.46E-2</v>
          </cell>
          <cell r="G11">
            <v>3.4331</v>
          </cell>
          <cell r="H11">
            <v>-0.16750000000000001</v>
          </cell>
          <cell r="I11">
            <v>-0.216</v>
          </cell>
          <cell r="K11">
            <v>-0.68209999999999993</v>
          </cell>
          <cell r="L11">
            <v>3.1345000000000001</v>
          </cell>
          <cell r="M11" t="str">
            <v>I</v>
          </cell>
          <cell r="N11" t="str">
            <v>N</v>
          </cell>
          <cell r="O11" t="str">
            <v>R</v>
          </cell>
          <cell r="P11" t="str">
            <v>N</v>
          </cell>
          <cell r="Q11" t="str">
            <v>I</v>
          </cell>
        </row>
        <row r="12">
          <cell r="A12" t="str">
            <v>95-010 D</v>
          </cell>
          <cell r="B12">
            <v>35065</v>
          </cell>
          <cell r="C12">
            <v>2.1781000000000001</v>
          </cell>
          <cell r="D12">
            <v>1.0088999999999999</v>
          </cell>
          <cell r="E12">
            <v>8.2000000000000007E-3</v>
          </cell>
          <cell r="F12">
            <v>7.46E-2</v>
          </cell>
          <cell r="G12">
            <v>3.4331</v>
          </cell>
          <cell r="H12">
            <v>-0.16750000000000001</v>
          </cell>
          <cell r="I12">
            <v>-0.216</v>
          </cell>
          <cell r="K12">
            <v>-0.54679999999999995</v>
          </cell>
          <cell r="L12">
            <v>3.2698</v>
          </cell>
          <cell r="M12" t="str">
            <v>I</v>
          </cell>
          <cell r="N12" t="str">
            <v>N</v>
          </cell>
          <cell r="O12" t="str">
            <v>N</v>
          </cell>
          <cell r="P12" t="str">
            <v>N</v>
          </cell>
          <cell r="Q12" t="str">
            <v>I</v>
          </cell>
        </row>
        <row r="13">
          <cell r="A13" t="str">
            <v>95-010 E</v>
          </cell>
          <cell r="B13">
            <v>35096</v>
          </cell>
          <cell r="C13">
            <v>2.5087000000000002</v>
          </cell>
          <cell r="D13">
            <v>1.0424</v>
          </cell>
          <cell r="E13">
            <v>0</v>
          </cell>
          <cell r="F13">
            <v>6.3200000000000006E-2</v>
          </cell>
          <cell r="G13">
            <v>3.4331</v>
          </cell>
          <cell r="H13">
            <v>-0.16750000000000001</v>
          </cell>
          <cell r="I13">
            <v>-0.1249</v>
          </cell>
          <cell r="K13">
            <v>-0.11119999999999997</v>
          </cell>
          <cell r="L13">
            <v>3.6143000000000001</v>
          </cell>
          <cell r="M13" t="str">
            <v>I</v>
          </cell>
          <cell r="N13" t="str">
            <v>N</v>
          </cell>
          <cell r="O13" t="str">
            <v>I</v>
          </cell>
          <cell r="P13" t="str">
            <v>N</v>
          </cell>
          <cell r="Q13" t="str">
            <v>I</v>
          </cell>
        </row>
        <row r="14">
          <cell r="A14" t="str">
            <v>95-010 F</v>
          </cell>
          <cell r="B14">
            <v>35125</v>
          </cell>
          <cell r="C14">
            <v>2.2099000000000002</v>
          </cell>
          <cell r="D14">
            <v>1.044</v>
          </cell>
          <cell r="E14">
            <v>0</v>
          </cell>
          <cell r="F14">
            <v>6.3200000000000006E-2</v>
          </cell>
          <cell r="G14">
            <v>3.4331</v>
          </cell>
          <cell r="H14">
            <v>-0.16750000000000001</v>
          </cell>
          <cell r="I14">
            <v>-0.1249</v>
          </cell>
          <cell r="K14">
            <v>-0.40839999999999965</v>
          </cell>
          <cell r="L14">
            <v>3.3171000000000004</v>
          </cell>
          <cell r="M14" t="str">
            <v>R</v>
          </cell>
          <cell r="N14" t="str">
            <v>N</v>
          </cell>
          <cell r="O14" t="str">
            <v>N</v>
          </cell>
          <cell r="P14" t="str">
            <v>N</v>
          </cell>
          <cell r="Q14" t="str">
            <v>R</v>
          </cell>
        </row>
        <row r="15">
          <cell r="A15" t="str">
            <v>95-010 G</v>
          </cell>
          <cell r="B15">
            <v>35156</v>
          </cell>
          <cell r="C15">
            <v>2.9235000000000002</v>
          </cell>
          <cell r="D15">
            <v>1.0227999999999999</v>
          </cell>
          <cell r="E15">
            <v>0</v>
          </cell>
          <cell r="F15">
            <v>6.6400000000000001E-2</v>
          </cell>
          <cell r="G15">
            <v>3.4331</v>
          </cell>
          <cell r="H15">
            <v>-0.121</v>
          </cell>
          <cell r="I15">
            <v>-9.0499999999999997E-2</v>
          </cell>
          <cell r="K15">
            <v>0.36809999999999965</v>
          </cell>
          <cell r="L15">
            <v>4.0126999999999997</v>
          </cell>
          <cell r="M15" t="str">
            <v>I</v>
          </cell>
          <cell r="N15" t="str">
            <v>I</v>
          </cell>
          <cell r="O15" t="str">
            <v>I</v>
          </cell>
          <cell r="P15" t="str">
            <v>N</v>
          </cell>
          <cell r="Q15" t="str">
            <v>I</v>
          </cell>
        </row>
        <row r="16">
          <cell r="A16" t="str">
            <v>95-010 H</v>
          </cell>
          <cell r="B16">
            <v>35186</v>
          </cell>
          <cell r="C16">
            <v>3.2216</v>
          </cell>
          <cell r="D16">
            <v>0.9073</v>
          </cell>
          <cell r="E16">
            <v>0</v>
          </cell>
          <cell r="F16">
            <v>6.6400000000000001E-2</v>
          </cell>
          <cell r="G16">
            <v>3.4331</v>
          </cell>
          <cell r="H16">
            <v>-0.121</v>
          </cell>
          <cell r="I16">
            <v>-9.0499999999999997E-2</v>
          </cell>
          <cell r="K16">
            <v>0.55069999999999952</v>
          </cell>
          <cell r="L16">
            <v>4.1952999999999996</v>
          </cell>
          <cell r="M16" t="str">
            <v>I</v>
          </cell>
          <cell r="N16" t="str">
            <v>N</v>
          </cell>
          <cell r="O16" t="str">
            <v>N</v>
          </cell>
          <cell r="P16" t="str">
            <v>N</v>
          </cell>
          <cell r="Q16" t="str">
            <v>I</v>
          </cell>
        </row>
        <row r="17">
          <cell r="A17" t="str">
            <v>95-010 I</v>
          </cell>
          <cell r="B17">
            <v>35217</v>
          </cell>
          <cell r="C17">
            <v>2.7440000000000002</v>
          </cell>
          <cell r="D17">
            <v>0.86250000000000004</v>
          </cell>
          <cell r="E17">
            <v>0</v>
          </cell>
          <cell r="F17">
            <v>4.2099999999999999E-2</v>
          </cell>
          <cell r="G17">
            <v>3.4331</v>
          </cell>
          <cell r="H17">
            <v>-0.121</v>
          </cell>
          <cell r="I17">
            <v>-0.16889999999999999</v>
          </cell>
          <cell r="K17">
            <v>-7.4399999999999522E-2</v>
          </cell>
          <cell r="L17">
            <v>3.6486000000000005</v>
          </cell>
          <cell r="M17" t="str">
            <v>R</v>
          </cell>
          <cell r="N17" t="str">
            <v>N</v>
          </cell>
          <cell r="O17" t="str">
            <v>R</v>
          </cell>
          <cell r="P17" t="str">
            <v>N</v>
          </cell>
          <cell r="Q17" t="str">
            <v>R</v>
          </cell>
        </row>
        <row r="18">
          <cell r="A18" t="str">
            <v>95-010 J</v>
          </cell>
          <cell r="B18">
            <v>35247</v>
          </cell>
          <cell r="C18">
            <v>2.6507999999999998</v>
          </cell>
          <cell r="D18">
            <v>0.85740000000000005</v>
          </cell>
          <cell r="E18">
            <v>0</v>
          </cell>
          <cell r="F18">
            <v>4.3499999999999997E-2</v>
          </cell>
          <cell r="G18">
            <v>3.4331</v>
          </cell>
          <cell r="H18">
            <v>-0.121</v>
          </cell>
          <cell r="I18">
            <v>-0.1172</v>
          </cell>
          <cell r="K18">
            <v>-0.11960000000000018</v>
          </cell>
          <cell r="L18">
            <v>3.5516999999999999</v>
          </cell>
          <cell r="M18" t="str">
            <v>R</v>
          </cell>
          <cell r="N18" t="str">
            <v>N</v>
          </cell>
          <cell r="O18" t="str">
            <v>I</v>
          </cell>
          <cell r="P18" t="str">
            <v>N</v>
          </cell>
          <cell r="Q18" t="str">
            <v>R</v>
          </cell>
        </row>
        <row r="19">
          <cell r="A19" t="str">
            <v>95-010 K</v>
          </cell>
          <cell r="B19">
            <v>35278</v>
          </cell>
          <cell r="C19">
            <v>2.8601999999999999</v>
          </cell>
          <cell r="D19">
            <v>0.85519999999999996</v>
          </cell>
          <cell r="E19">
            <v>0</v>
          </cell>
          <cell r="F19">
            <v>4.3499999999999997E-2</v>
          </cell>
          <cell r="G19">
            <v>3.4331</v>
          </cell>
          <cell r="H19">
            <v>-0.121</v>
          </cell>
          <cell r="I19">
            <v>-0.1172</v>
          </cell>
          <cell r="K19">
            <v>8.7599999999999997E-2</v>
          </cell>
          <cell r="L19">
            <v>3.7588999999999997</v>
          </cell>
          <cell r="M19" t="str">
            <v>I</v>
          </cell>
          <cell r="N19" t="str">
            <v>N</v>
          </cell>
          <cell r="O19" t="str">
            <v>N</v>
          </cell>
          <cell r="P19" t="str">
            <v>N</v>
          </cell>
          <cell r="Q19" t="str">
            <v>I</v>
          </cell>
        </row>
        <row r="20">
          <cell r="A20" t="str">
            <v>95-010 L</v>
          </cell>
          <cell r="B20">
            <v>35309</v>
          </cell>
          <cell r="C20">
            <v>2.4763999999999999</v>
          </cell>
          <cell r="D20">
            <v>0.88370000000000004</v>
          </cell>
          <cell r="E20">
            <v>0</v>
          </cell>
          <cell r="F20">
            <v>4.7500000000000001E-2</v>
          </cell>
          <cell r="G20">
            <v>3.4331</v>
          </cell>
          <cell r="H20">
            <v>-0.121</v>
          </cell>
          <cell r="I20">
            <v>-8.4899999999999989E-2</v>
          </cell>
          <cell r="K20">
            <v>-0.23140000000000005</v>
          </cell>
          <cell r="L20">
            <v>3.4076</v>
          </cell>
          <cell r="M20" t="str">
            <v>R</v>
          </cell>
          <cell r="N20" t="str">
            <v>N</v>
          </cell>
          <cell r="O20" t="str">
            <v>I</v>
          </cell>
          <cell r="P20" t="str">
            <v>N</v>
          </cell>
          <cell r="Q20" t="str">
            <v>R</v>
          </cell>
        </row>
        <row r="21">
          <cell r="A21" t="str">
            <v>95-010 M</v>
          </cell>
          <cell r="B21">
            <v>35339</v>
          </cell>
          <cell r="C21">
            <v>2.3786999999999998</v>
          </cell>
          <cell r="D21">
            <v>0.87540000000000007</v>
          </cell>
          <cell r="E21">
            <v>0</v>
          </cell>
          <cell r="F21">
            <v>4.99E-2</v>
          </cell>
          <cell r="G21">
            <v>3.4331</v>
          </cell>
          <cell r="H21">
            <v>-3.3999999999999998E-3</v>
          </cell>
          <cell r="I21">
            <v>-8.4899999999999989E-2</v>
          </cell>
          <cell r="K21">
            <v>-0.21740000000000001</v>
          </cell>
          <cell r="L21">
            <v>3.3039999999999998</v>
          </cell>
          <cell r="M21" t="str">
            <v>R</v>
          </cell>
          <cell r="N21" t="str">
            <v>I</v>
          </cell>
          <cell r="O21" t="str">
            <v>N</v>
          </cell>
          <cell r="P21" t="str">
            <v>N</v>
          </cell>
          <cell r="Q21" t="str">
            <v>I</v>
          </cell>
        </row>
        <row r="22">
          <cell r="A22" t="str">
            <v>95-010 N</v>
          </cell>
          <cell r="B22">
            <v>35370</v>
          </cell>
          <cell r="C22">
            <v>2.4285999999999999</v>
          </cell>
          <cell r="D22">
            <v>0.83779999999999999</v>
          </cell>
          <cell r="E22">
            <v>0</v>
          </cell>
          <cell r="F22">
            <v>4.9799999999999997E-2</v>
          </cell>
          <cell r="G22">
            <v>3.4331</v>
          </cell>
          <cell r="H22">
            <v>-3.3999999999999998E-3</v>
          </cell>
          <cell r="I22">
            <v>-7.8299999999999995E-2</v>
          </cell>
          <cell r="K22">
            <v>-0.19860000000000022</v>
          </cell>
          <cell r="L22">
            <v>3.3161999999999998</v>
          </cell>
          <cell r="M22" t="str">
            <v>I</v>
          </cell>
          <cell r="N22" t="str">
            <v>N</v>
          </cell>
          <cell r="O22" t="str">
            <v>I</v>
          </cell>
          <cell r="P22" t="str">
            <v>N</v>
          </cell>
          <cell r="Q22" t="str">
            <v>I</v>
          </cell>
        </row>
        <row r="23">
          <cell r="A23" t="str">
            <v>95-010 O</v>
          </cell>
          <cell r="B23">
            <v>35400</v>
          </cell>
          <cell r="C23">
            <v>2.8285</v>
          </cell>
          <cell r="D23">
            <v>0.81059999999999999</v>
          </cell>
          <cell r="E23">
            <v>0</v>
          </cell>
          <cell r="F23">
            <v>4.9799999999999997E-2</v>
          </cell>
          <cell r="G23">
            <v>3.4331</v>
          </cell>
          <cell r="H23">
            <v>-3.3999999999999998E-3</v>
          </cell>
          <cell r="I23">
            <v>-7.5600000000000001E-2</v>
          </cell>
          <cell r="K23">
            <v>0.17679999999999979</v>
          </cell>
          <cell r="L23">
            <v>3.6888999999999998</v>
          </cell>
          <cell r="M23" t="str">
            <v>I</v>
          </cell>
          <cell r="N23" t="str">
            <v>N</v>
          </cell>
          <cell r="O23" t="str">
            <v>I</v>
          </cell>
          <cell r="P23" t="str">
            <v>N</v>
          </cell>
          <cell r="Q23" t="str">
            <v>I</v>
          </cell>
        </row>
        <row r="24">
          <cell r="A24" t="str">
            <v>95-010 P</v>
          </cell>
          <cell r="B24">
            <v>35431</v>
          </cell>
          <cell r="C24">
            <v>3.1322999999999999</v>
          </cell>
          <cell r="D24">
            <v>0.81059999999999999</v>
          </cell>
          <cell r="E24">
            <v>0</v>
          </cell>
          <cell r="F24">
            <v>6.1899999999999997E-2</v>
          </cell>
          <cell r="G24">
            <v>3.4331</v>
          </cell>
          <cell r="H24">
            <v>-3.3999999999999998E-3</v>
          </cell>
          <cell r="I24">
            <v>-7.5600000000000001E-2</v>
          </cell>
          <cell r="K24">
            <v>0.49269999999999942</v>
          </cell>
          <cell r="L24">
            <v>4.0047999999999995</v>
          </cell>
          <cell r="M24" t="str">
            <v>I</v>
          </cell>
          <cell r="N24" t="str">
            <v>N</v>
          </cell>
          <cell r="O24" t="str">
            <v>N</v>
          </cell>
          <cell r="P24" t="str">
            <v>N</v>
          </cell>
          <cell r="Q24" t="str">
            <v>I</v>
          </cell>
        </row>
        <row r="25">
          <cell r="A25" t="str">
            <v>95-010 Q</v>
          </cell>
          <cell r="B25">
            <v>35462</v>
          </cell>
          <cell r="C25">
            <v>3.1871999999999998</v>
          </cell>
          <cell r="D25">
            <v>0.81059999999999999</v>
          </cell>
          <cell r="E25">
            <v>0</v>
          </cell>
          <cell r="F25">
            <v>6.1800000000000001E-2</v>
          </cell>
          <cell r="G25">
            <v>3.4331</v>
          </cell>
          <cell r="H25">
            <v>-3.3999999999999998E-3</v>
          </cell>
          <cell r="I25">
            <v>-7.5600000000000001E-2</v>
          </cell>
          <cell r="K25">
            <v>0.54749999999999999</v>
          </cell>
          <cell r="L25">
            <v>4.0595999999999997</v>
          </cell>
          <cell r="M25" t="str">
            <v>I</v>
          </cell>
          <cell r="N25" t="str">
            <v>N</v>
          </cell>
          <cell r="O25" t="str">
            <v>N</v>
          </cell>
          <cell r="P25" t="str">
            <v>N</v>
          </cell>
          <cell r="Q25" t="str">
            <v>I</v>
          </cell>
        </row>
        <row r="26">
          <cell r="A26" t="str">
            <v>95-010 R</v>
          </cell>
          <cell r="B26">
            <v>35490</v>
          </cell>
          <cell r="C26">
            <v>2.7440000000000002</v>
          </cell>
          <cell r="D26">
            <v>0.81090000000000007</v>
          </cell>
          <cell r="E26">
            <v>0</v>
          </cell>
          <cell r="F26">
            <v>6.1800000000000001E-2</v>
          </cell>
          <cell r="G26">
            <v>3.4331</v>
          </cell>
          <cell r="H26">
            <v>-3.3999999999999998E-3</v>
          </cell>
          <cell r="I26">
            <v>-7.5600000000000001E-2</v>
          </cell>
          <cell r="K26">
            <v>0.10460000000000021</v>
          </cell>
          <cell r="L26">
            <v>3.6167000000000002</v>
          </cell>
          <cell r="M26" t="str">
            <v>R</v>
          </cell>
          <cell r="N26" t="str">
            <v>N</v>
          </cell>
          <cell r="O26" t="str">
            <v>N</v>
          </cell>
          <cell r="P26" t="str">
            <v>N</v>
          </cell>
          <cell r="Q26" t="str">
            <v>R</v>
          </cell>
        </row>
        <row r="27">
          <cell r="A27" t="str">
            <v>95-010 S</v>
          </cell>
          <cell r="B27">
            <v>35521</v>
          </cell>
          <cell r="C27">
            <v>2.1516000000000002</v>
          </cell>
          <cell r="D27">
            <v>0.79519999999999991</v>
          </cell>
          <cell r="E27">
            <v>0</v>
          </cell>
          <cell r="F27">
            <v>6.1800000000000001E-2</v>
          </cell>
          <cell r="G27">
            <v>3.4331</v>
          </cell>
          <cell r="H27">
            <v>9.3799999999999994E-2</v>
          </cell>
          <cell r="I27">
            <v>-7.5600000000000001E-2</v>
          </cell>
          <cell r="K27">
            <v>-0.40630000000000011</v>
          </cell>
          <cell r="L27">
            <v>3.0085999999999999</v>
          </cell>
          <cell r="M27" t="str">
            <v>R</v>
          </cell>
          <cell r="N27" t="str">
            <v>I</v>
          </cell>
          <cell r="O27" t="str">
            <v>N</v>
          </cell>
          <cell r="P27" t="str">
            <v>N</v>
          </cell>
          <cell r="Q27" t="str">
            <v>R</v>
          </cell>
        </row>
        <row r="28">
          <cell r="A28" t="str">
            <v>95-010 T</v>
          </cell>
          <cell r="B28">
            <v>35551</v>
          </cell>
          <cell r="C28">
            <v>1.9819</v>
          </cell>
          <cell r="D28">
            <v>0.79519999999999991</v>
          </cell>
          <cell r="E28">
            <v>0</v>
          </cell>
          <cell r="F28">
            <v>6.1800000000000001E-2</v>
          </cell>
          <cell r="G28">
            <v>3.4331</v>
          </cell>
          <cell r="H28">
            <v>9.3799999999999994E-2</v>
          </cell>
          <cell r="I28">
            <v>-7.5600000000000001E-2</v>
          </cell>
          <cell r="K28">
            <v>-0.57599999999999996</v>
          </cell>
          <cell r="L28">
            <v>2.8388999999999998</v>
          </cell>
          <cell r="M28" t="str">
            <v>R</v>
          </cell>
          <cell r="N28" t="str">
            <v>N</v>
          </cell>
          <cell r="O28" t="str">
            <v>N</v>
          </cell>
          <cell r="P28" t="str">
            <v>N</v>
          </cell>
          <cell r="Q28" t="str">
            <v>R</v>
          </cell>
        </row>
        <row r="29">
          <cell r="A29" t="str">
            <v>95-010 U</v>
          </cell>
          <cell r="B29">
            <v>35582</v>
          </cell>
          <cell r="C29">
            <v>2.2673999999999999</v>
          </cell>
          <cell r="D29">
            <v>0.84510000000000007</v>
          </cell>
          <cell r="E29">
            <v>0</v>
          </cell>
          <cell r="F29">
            <v>5.2900000000000003E-2</v>
          </cell>
          <cell r="G29">
            <v>3.4331</v>
          </cell>
          <cell r="H29">
            <v>9.3799999999999994E-2</v>
          </cell>
          <cell r="I29">
            <v>-4.8799999999999996E-2</v>
          </cell>
          <cell r="K29">
            <v>-0.22270000000000006</v>
          </cell>
          <cell r="L29">
            <v>3.1654</v>
          </cell>
          <cell r="M29" t="str">
            <v>I</v>
          </cell>
          <cell r="N29" t="str">
            <v>N</v>
          </cell>
          <cell r="O29" t="str">
            <v>I</v>
          </cell>
          <cell r="P29" t="str">
            <v>N</v>
          </cell>
          <cell r="Q29" t="str">
            <v>I</v>
          </cell>
        </row>
        <row r="30">
          <cell r="A30" t="str">
            <v>95-010 V</v>
          </cell>
          <cell r="B30">
            <v>35612</v>
          </cell>
          <cell r="C30">
            <v>2.4232</v>
          </cell>
          <cell r="D30">
            <v>0.84510000000000007</v>
          </cell>
          <cell r="E30">
            <v>0</v>
          </cell>
          <cell r="F30">
            <v>5.2900000000000003E-2</v>
          </cell>
          <cell r="G30">
            <v>3.4331</v>
          </cell>
          <cell r="H30">
            <v>9.3799999999999994E-2</v>
          </cell>
          <cell r="I30">
            <v>-4.5299999999999993E-2</v>
          </cell>
          <cell r="K30">
            <v>-6.3399999999999887E-2</v>
          </cell>
          <cell r="L30">
            <v>3.3212000000000002</v>
          </cell>
          <cell r="M30" t="str">
            <v>I</v>
          </cell>
          <cell r="N30" t="str">
            <v>N</v>
          </cell>
          <cell r="O30" t="str">
            <v>I</v>
          </cell>
          <cell r="P30" t="str">
            <v>N</v>
          </cell>
          <cell r="Q30" t="str">
            <v>I</v>
          </cell>
        </row>
        <row r="31">
          <cell r="A31" t="str">
            <v>95-010 W</v>
          </cell>
          <cell r="B31">
            <v>35643</v>
          </cell>
          <cell r="C31">
            <v>2.6347999999999998</v>
          </cell>
          <cell r="D31">
            <v>0.98599999999999999</v>
          </cell>
          <cell r="E31">
            <v>0</v>
          </cell>
          <cell r="F31">
            <v>5.1999999999999998E-2</v>
          </cell>
          <cell r="G31">
            <v>3.4331</v>
          </cell>
          <cell r="H31">
            <v>9.3799999999999994E-2</v>
          </cell>
          <cell r="I31">
            <v>-4.5299999999999993E-2</v>
          </cell>
          <cell r="K31">
            <v>0.28820000000000001</v>
          </cell>
          <cell r="L31">
            <v>3.6728000000000001</v>
          </cell>
          <cell r="M31" t="str">
            <v>I</v>
          </cell>
          <cell r="N31" t="str">
            <v>N</v>
          </cell>
          <cell r="O31" t="str">
            <v>N</v>
          </cell>
          <cell r="P31" t="str">
            <v>N</v>
          </cell>
          <cell r="Q31" t="str">
            <v>I</v>
          </cell>
        </row>
        <row r="32">
          <cell r="A32" t="str">
            <v>95-010 X</v>
          </cell>
          <cell r="B32">
            <v>35674</v>
          </cell>
          <cell r="C32">
            <v>2.6177999999999999</v>
          </cell>
          <cell r="D32">
            <v>0.83379999999999999</v>
          </cell>
          <cell r="E32">
            <v>0</v>
          </cell>
          <cell r="F32">
            <v>5.1999999999999998E-2</v>
          </cell>
          <cell r="G32">
            <v>3.4331</v>
          </cell>
          <cell r="H32">
            <v>9.3799999999999994E-2</v>
          </cell>
          <cell r="I32">
            <v>-4.5299999999999993E-2</v>
          </cell>
          <cell r="K32">
            <v>0.11900000000000001</v>
          </cell>
          <cell r="L32">
            <v>3.5036</v>
          </cell>
          <cell r="M32" t="str">
            <v>R</v>
          </cell>
          <cell r="N32" t="str">
            <v>N</v>
          </cell>
          <cell r="O32" t="str">
            <v>N</v>
          </cell>
          <cell r="P32" t="str">
            <v>N</v>
          </cell>
          <cell r="Q32" t="str">
            <v>R</v>
          </cell>
        </row>
        <row r="33">
          <cell r="A33" t="str">
            <v>95-010 Y</v>
          </cell>
          <cell r="B33">
            <v>35704</v>
          </cell>
          <cell r="C33">
            <v>2.8130000000000002</v>
          </cell>
          <cell r="D33">
            <v>0.84150000000000003</v>
          </cell>
          <cell r="E33">
            <v>0</v>
          </cell>
          <cell r="F33">
            <v>5.9200000000000003E-2</v>
          </cell>
          <cell r="G33">
            <v>3.4331</v>
          </cell>
          <cell r="H33">
            <v>0.1211</v>
          </cell>
          <cell r="I33">
            <v>-4.5299999999999993E-2</v>
          </cell>
          <cell r="K33">
            <v>0.35640000000000016</v>
          </cell>
          <cell r="L33">
            <v>3.7137000000000002</v>
          </cell>
          <cell r="M33" t="str">
            <v>I</v>
          </cell>
          <cell r="N33" t="str">
            <v>I</v>
          </cell>
          <cell r="O33" t="str">
            <v>N</v>
          </cell>
          <cell r="P33" t="str">
            <v>N</v>
          </cell>
          <cell r="Q33" t="str">
            <v>I</v>
          </cell>
        </row>
        <row r="34">
          <cell r="A34" t="str">
            <v>95-010 Z</v>
          </cell>
          <cell r="B34">
            <v>35735</v>
          </cell>
          <cell r="C34">
            <v>3.9502000000000002</v>
          </cell>
          <cell r="D34">
            <v>0.84150000000000003</v>
          </cell>
          <cell r="E34">
            <v>0</v>
          </cell>
          <cell r="F34">
            <v>5.9200000000000003E-2</v>
          </cell>
          <cell r="G34">
            <v>3.4331</v>
          </cell>
          <cell r="H34">
            <v>0.1211</v>
          </cell>
          <cell r="I34">
            <v>-5.1899999999999995E-2</v>
          </cell>
          <cell r="K34">
            <v>1.4870000000000001</v>
          </cell>
          <cell r="L34">
            <v>4.8509000000000002</v>
          </cell>
          <cell r="M34" t="str">
            <v>I</v>
          </cell>
          <cell r="N34" t="str">
            <v>N</v>
          </cell>
          <cell r="O34" t="str">
            <v>R</v>
          </cell>
          <cell r="P34" t="str">
            <v>N</v>
          </cell>
          <cell r="Q34" t="str">
            <v>I</v>
          </cell>
        </row>
        <row r="35">
          <cell r="A35" t="str">
            <v>95-010 AA</v>
          </cell>
          <cell r="B35">
            <v>35765</v>
          </cell>
          <cell r="C35">
            <v>3.9398</v>
          </cell>
          <cell r="D35">
            <v>0.99509999999999998</v>
          </cell>
          <cell r="E35">
            <v>0</v>
          </cell>
          <cell r="F35">
            <v>5.9200000000000003E-2</v>
          </cell>
          <cell r="G35">
            <v>3.4331</v>
          </cell>
          <cell r="H35">
            <v>0.1211</v>
          </cell>
          <cell r="I35">
            <v>-5.1899999999999995E-2</v>
          </cell>
          <cell r="K35">
            <v>1.6301999999999994</v>
          </cell>
          <cell r="L35">
            <v>4.9940999999999995</v>
          </cell>
          <cell r="M35" t="str">
            <v>I</v>
          </cell>
          <cell r="N35" t="str">
            <v>N</v>
          </cell>
          <cell r="O35" t="str">
            <v>N</v>
          </cell>
          <cell r="P35" t="str">
            <v>N</v>
          </cell>
          <cell r="Q35" t="str">
            <v>I</v>
          </cell>
        </row>
        <row r="36">
          <cell r="A36" t="str">
            <v>95-010 BB</v>
          </cell>
          <cell r="B36">
            <v>35796</v>
          </cell>
          <cell r="C36">
            <v>3.0838000000000001</v>
          </cell>
          <cell r="D36">
            <v>0.99509999999999998</v>
          </cell>
          <cell r="E36">
            <v>0</v>
          </cell>
          <cell r="F36">
            <v>5.9200000000000003E-2</v>
          </cell>
          <cell r="G36">
            <v>3.4331</v>
          </cell>
          <cell r="H36">
            <v>0.1211</v>
          </cell>
          <cell r="I36">
            <v>-5.1899999999999995E-2</v>
          </cell>
          <cell r="K36">
            <v>0.77419999999999967</v>
          </cell>
          <cell r="L36">
            <v>4.1380999999999997</v>
          </cell>
          <cell r="M36" t="str">
            <v>R</v>
          </cell>
          <cell r="N36" t="str">
            <v>N</v>
          </cell>
          <cell r="O36" t="str">
            <v>N</v>
          </cell>
          <cell r="P36" t="str">
            <v>N</v>
          </cell>
          <cell r="Q36" t="str">
            <v>R</v>
          </cell>
        </row>
        <row r="37">
          <cell r="A37" t="str">
            <v>95-010 CC</v>
          </cell>
          <cell r="B37">
            <v>35827</v>
          </cell>
          <cell r="C37">
            <v>2.6434000000000002</v>
          </cell>
          <cell r="D37">
            <v>0.99509999999999998</v>
          </cell>
          <cell r="E37">
            <v>0</v>
          </cell>
          <cell r="F37">
            <v>5.9200000000000003E-2</v>
          </cell>
          <cell r="G37">
            <v>3.4331</v>
          </cell>
          <cell r="H37">
            <v>0.1211</v>
          </cell>
          <cell r="I37">
            <v>-5.3499999999999992E-2</v>
          </cell>
          <cell r="K37">
            <v>0.33220000000000016</v>
          </cell>
          <cell r="L37">
            <v>3.6977000000000002</v>
          </cell>
          <cell r="M37" t="str">
            <v>R</v>
          </cell>
          <cell r="N37" t="str">
            <v>N</v>
          </cell>
          <cell r="O37" t="str">
            <v>R</v>
          </cell>
          <cell r="P37" t="str">
            <v>N</v>
          </cell>
          <cell r="Q37" t="str">
            <v>R</v>
          </cell>
        </row>
        <row r="38">
          <cell r="A38" t="str">
            <v>95-010 DD</v>
          </cell>
          <cell r="B38">
            <v>35855</v>
          </cell>
          <cell r="C38">
            <v>2.4820000000000002</v>
          </cell>
          <cell r="D38">
            <v>0.87449999999999994</v>
          </cell>
          <cell r="E38">
            <v>0</v>
          </cell>
          <cell r="F38">
            <v>3.09E-2</v>
          </cell>
          <cell r="G38">
            <v>3.4331</v>
          </cell>
          <cell r="H38">
            <v>0.1211</v>
          </cell>
          <cell r="I38">
            <v>-5.3499999999999992E-2</v>
          </cell>
          <cell r="K38">
            <v>2.1899999999999933E-2</v>
          </cell>
          <cell r="L38">
            <v>3.3874</v>
          </cell>
          <cell r="M38" t="str">
            <v>R</v>
          </cell>
          <cell r="N38" t="str">
            <v>N</v>
          </cell>
          <cell r="O38" t="str">
            <v>N</v>
          </cell>
          <cell r="P38" t="str">
            <v>N</v>
          </cell>
          <cell r="Q38" t="str">
            <v>R</v>
          </cell>
        </row>
        <row r="39">
          <cell r="A39" t="str">
            <v>95-010 EE</v>
          </cell>
          <cell r="B39">
            <v>35886</v>
          </cell>
          <cell r="C39">
            <v>2.5598000000000001</v>
          </cell>
          <cell r="D39">
            <v>0.82040000000000002</v>
          </cell>
          <cell r="E39">
            <v>0</v>
          </cell>
          <cell r="F39">
            <v>1.8599999999999998E-2</v>
          </cell>
          <cell r="G39">
            <v>3.4331</v>
          </cell>
          <cell r="H39">
            <v>-0.1147</v>
          </cell>
          <cell r="I39">
            <v>-5.3499999999999992E-2</v>
          </cell>
          <cell r="K39">
            <v>-0.20250000000000001</v>
          </cell>
          <cell r="L39">
            <v>3.3988000000000005</v>
          </cell>
          <cell r="M39" t="str">
            <v>I</v>
          </cell>
          <cell r="N39" t="str">
            <v>R</v>
          </cell>
          <cell r="O39" t="str">
            <v>N</v>
          </cell>
          <cell r="P39" t="str">
            <v>N</v>
          </cell>
          <cell r="Q39" t="str">
            <v>R</v>
          </cell>
        </row>
        <row r="40">
          <cell r="A40" t="str">
            <v>95-010 FF</v>
          </cell>
          <cell r="B40">
            <v>35916</v>
          </cell>
          <cell r="C40">
            <v>2.7326000000000001</v>
          </cell>
          <cell r="D40">
            <v>0.82040000000000002</v>
          </cell>
          <cell r="E40">
            <v>0</v>
          </cell>
          <cell r="F40">
            <v>1.8599999999999998E-2</v>
          </cell>
          <cell r="G40">
            <v>3.4331</v>
          </cell>
          <cell r="H40">
            <v>-0.1147</v>
          </cell>
          <cell r="I40">
            <v>-5.3499999999999992E-2</v>
          </cell>
          <cell r="K40">
            <v>-2.9699999999999921E-2</v>
          </cell>
          <cell r="L40">
            <v>3.5716000000000001</v>
          </cell>
          <cell r="M40" t="str">
            <v>I</v>
          </cell>
          <cell r="N40" t="str">
            <v>N</v>
          </cell>
          <cell r="O40" t="str">
            <v>N</v>
          </cell>
          <cell r="P40" t="str">
            <v>N</v>
          </cell>
          <cell r="Q40" t="str">
            <v>I</v>
          </cell>
        </row>
        <row r="41">
          <cell r="A41" t="str">
            <v>95-010 GG</v>
          </cell>
          <cell r="B41">
            <v>35947</v>
          </cell>
          <cell r="C41">
            <v>2.8946999999999998</v>
          </cell>
          <cell r="D41">
            <v>0.82040000000000002</v>
          </cell>
          <cell r="E41">
            <v>0</v>
          </cell>
          <cell r="F41">
            <v>1.8599999999999998E-2</v>
          </cell>
          <cell r="G41">
            <v>3.4331</v>
          </cell>
          <cell r="H41">
            <v>-0.1147</v>
          </cell>
          <cell r="I41">
            <v>-1.9E-3</v>
          </cell>
          <cell r="K41">
            <v>0.18399999999999977</v>
          </cell>
          <cell r="L41">
            <v>3.7336999999999998</v>
          </cell>
          <cell r="M41" t="str">
            <v>I</v>
          </cell>
          <cell r="N41" t="str">
            <v>N</v>
          </cell>
          <cell r="O41" t="str">
            <v>I</v>
          </cell>
          <cell r="P41" t="str">
            <v>N</v>
          </cell>
          <cell r="Q41" t="str">
            <v>I</v>
          </cell>
        </row>
        <row r="42">
          <cell r="A42" t="str">
            <v>95-010 HH</v>
          </cell>
          <cell r="B42">
            <v>35977</v>
          </cell>
          <cell r="C42">
            <v>2.6385999999999998</v>
          </cell>
          <cell r="D42">
            <v>0.82040000000000002</v>
          </cell>
          <cell r="E42">
            <v>0</v>
          </cell>
          <cell r="F42">
            <v>1.8599999999999998E-2</v>
          </cell>
          <cell r="G42">
            <v>3.4331</v>
          </cell>
          <cell r="H42">
            <v>-0.1147</v>
          </cell>
          <cell r="I42">
            <v>-1.11E-2</v>
          </cell>
          <cell r="K42">
            <v>-8.1300000000000233E-2</v>
          </cell>
          <cell r="L42">
            <v>3.4775999999999998</v>
          </cell>
          <cell r="M42" t="str">
            <v>R</v>
          </cell>
          <cell r="N42" t="str">
            <v>N</v>
          </cell>
          <cell r="O42" t="str">
            <v>R</v>
          </cell>
          <cell r="P42" t="str">
            <v>N</v>
          </cell>
          <cell r="Q42" t="str">
            <v>R</v>
          </cell>
        </row>
        <row r="43">
          <cell r="A43" t="str">
            <v>95-010 II</v>
          </cell>
          <cell r="B43">
            <v>36008</v>
          </cell>
          <cell r="C43">
            <v>2.7168000000000001</v>
          </cell>
          <cell r="D43">
            <v>0.82040000000000002</v>
          </cell>
          <cell r="E43">
            <v>0</v>
          </cell>
          <cell r="F43">
            <v>1.8599999999999998E-2</v>
          </cell>
          <cell r="G43">
            <v>3.4331</v>
          </cell>
          <cell r="H43">
            <v>-0.1147</v>
          </cell>
          <cell r="I43">
            <v>-1.11E-2</v>
          </cell>
          <cell r="K43">
            <v>-3.0999999999995198E-3</v>
          </cell>
          <cell r="L43">
            <v>3.5558000000000005</v>
          </cell>
          <cell r="M43" t="str">
            <v>I</v>
          </cell>
          <cell r="N43" t="str">
            <v>N</v>
          </cell>
          <cell r="O43" t="str">
            <v>N</v>
          </cell>
          <cell r="P43" t="str">
            <v>N</v>
          </cell>
          <cell r="Q43" t="str">
            <v>I</v>
          </cell>
        </row>
        <row r="44">
          <cell r="A44" t="str">
            <v>95-010 JJ</v>
          </cell>
          <cell r="B44">
            <v>36039</v>
          </cell>
          <cell r="C44">
            <v>2.4003000000000001</v>
          </cell>
          <cell r="D44">
            <v>0.82040000000000002</v>
          </cell>
          <cell r="E44">
            <v>0</v>
          </cell>
          <cell r="F44">
            <v>1.8599999999999998E-2</v>
          </cell>
          <cell r="G44">
            <v>3.4331</v>
          </cell>
          <cell r="H44">
            <v>-0.1147</v>
          </cell>
          <cell r="I44">
            <v>-1.11E-2</v>
          </cell>
          <cell r="K44">
            <v>-0.3196</v>
          </cell>
          <cell r="L44">
            <v>3.2393000000000001</v>
          </cell>
          <cell r="M44" t="str">
            <v>R</v>
          </cell>
          <cell r="N44" t="str">
            <v>N</v>
          </cell>
          <cell r="O44" t="str">
            <v>N</v>
          </cell>
          <cell r="P44" t="str">
            <v>N</v>
          </cell>
          <cell r="Q44" t="str">
            <v>R</v>
          </cell>
        </row>
        <row r="45">
          <cell r="A45" t="str">
            <v>95-010 KK</v>
          </cell>
          <cell r="B45">
            <v>36069</v>
          </cell>
          <cell r="C45">
            <v>2.3995000000000002</v>
          </cell>
          <cell r="D45">
            <v>0.82040000000000002</v>
          </cell>
          <cell r="E45">
            <v>0</v>
          </cell>
          <cell r="F45">
            <v>1.8599999999999998E-2</v>
          </cell>
          <cell r="G45">
            <v>3.4331</v>
          </cell>
          <cell r="H45">
            <v>-0.311</v>
          </cell>
          <cell r="I45">
            <v>-2.41E-2</v>
          </cell>
          <cell r="K45">
            <v>-0.52969999999999984</v>
          </cell>
          <cell r="L45">
            <v>3.2385000000000002</v>
          </cell>
          <cell r="M45" t="str">
            <v>R</v>
          </cell>
          <cell r="N45" t="str">
            <v>R</v>
          </cell>
          <cell r="O45" t="str">
            <v>R</v>
          </cell>
          <cell r="P45" t="str">
            <v>N</v>
          </cell>
          <cell r="Q45" t="str">
            <v>R</v>
          </cell>
        </row>
        <row r="46">
          <cell r="A46" t="str">
            <v>95-010 LL</v>
          </cell>
          <cell r="B46">
            <v>36100</v>
          </cell>
          <cell r="C46">
            <v>2.7469000000000001</v>
          </cell>
          <cell r="D46">
            <v>0.75429999999999997</v>
          </cell>
          <cell r="E46">
            <v>0</v>
          </cell>
          <cell r="F46">
            <v>1.8599999999999998E-2</v>
          </cell>
          <cell r="G46">
            <v>3.4331</v>
          </cell>
          <cell r="H46">
            <v>-0.311</v>
          </cell>
          <cell r="I46">
            <v>-2.41E-2</v>
          </cell>
          <cell r="K46">
            <v>-0.24840000000000001</v>
          </cell>
          <cell r="L46">
            <v>3.5198</v>
          </cell>
          <cell r="M46" t="str">
            <v>I</v>
          </cell>
          <cell r="N46" t="str">
            <v>N</v>
          </cell>
          <cell r="O46" t="str">
            <v>N</v>
          </cell>
          <cell r="P46" t="str">
            <v>N</v>
          </cell>
          <cell r="Q46" t="str">
            <v>I</v>
          </cell>
        </row>
        <row r="47">
          <cell r="A47" t="str">
            <v>95-010 MM</v>
          </cell>
          <cell r="B47">
            <v>36130</v>
          </cell>
          <cell r="C47">
            <v>2.5857000000000001</v>
          </cell>
          <cell r="D47">
            <v>0.75429999999999997</v>
          </cell>
          <cell r="E47">
            <v>0</v>
          </cell>
          <cell r="F47">
            <v>1.8599999999999998E-2</v>
          </cell>
          <cell r="G47">
            <v>3.4331</v>
          </cell>
          <cell r="H47">
            <v>-0.311</v>
          </cell>
          <cell r="I47">
            <v>-2.41E-2</v>
          </cell>
          <cell r="K47">
            <v>-0.40960000000000002</v>
          </cell>
          <cell r="L47">
            <v>3.3586</v>
          </cell>
          <cell r="M47" t="str">
            <v>R</v>
          </cell>
          <cell r="N47" t="str">
            <v>N</v>
          </cell>
          <cell r="O47" t="str">
            <v>N</v>
          </cell>
          <cell r="P47" t="str">
            <v>N</v>
          </cell>
          <cell r="Q47" t="str">
            <v>R</v>
          </cell>
        </row>
        <row r="48">
          <cell r="A48" t="str">
            <v>95-010 NN</v>
          </cell>
          <cell r="B48">
            <v>36161</v>
          </cell>
          <cell r="C48">
            <v>2.4861</v>
          </cell>
          <cell r="D48">
            <v>0.75429999999999997</v>
          </cell>
          <cell r="E48">
            <v>0</v>
          </cell>
          <cell r="F48">
            <v>1.8599999999999998E-2</v>
          </cell>
          <cell r="G48">
            <v>3.4331</v>
          </cell>
          <cell r="H48">
            <v>-0.311</v>
          </cell>
          <cell r="I48">
            <v>-2.41E-2</v>
          </cell>
          <cell r="K48">
            <v>-0.50919999999999965</v>
          </cell>
          <cell r="L48">
            <v>3.2590000000000003</v>
          </cell>
          <cell r="M48" t="str">
            <v>R</v>
          </cell>
          <cell r="N48" t="str">
            <v>N</v>
          </cell>
          <cell r="O48" t="str">
            <v>N</v>
          </cell>
          <cell r="P48" t="str">
            <v>N</v>
          </cell>
          <cell r="Q48" t="str">
            <v>R</v>
          </cell>
        </row>
        <row r="49">
          <cell r="A49" t="str">
            <v>95-010 OO</v>
          </cell>
          <cell r="B49">
            <v>36192</v>
          </cell>
          <cell r="C49">
            <v>2.0943000000000001</v>
          </cell>
          <cell r="D49">
            <v>0.75429999999999997</v>
          </cell>
          <cell r="E49">
            <v>0</v>
          </cell>
          <cell r="F49">
            <v>1.8599999999999998E-2</v>
          </cell>
          <cell r="G49">
            <v>3.4331</v>
          </cell>
          <cell r="H49">
            <v>-0.311</v>
          </cell>
          <cell r="I49">
            <v>-2.2499999999999999E-2</v>
          </cell>
          <cell r="J49">
            <v>2.47E-2</v>
          </cell>
          <cell r="K49">
            <v>-0.87469999999999959</v>
          </cell>
          <cell r="L49">
            <v>2.8672000000000004</v>
          </cell>
          <cell r="M49" t="str">
            <v>R</v>
          </cell>
          <cell r="N49" t="str">
            <v>N</v>
          </cell>
          <cell r="O49" t="str">
            <v>I</v>
          </cell>
          <cell r="P49" t="str">
            <v>I</v>
          </cell>
          <cell r="Q49" t="str">
            <v>R</v>
          </cell>
        </row>
        <row r="50">
          <cell r="A50" t="str">
            <v>95-010 PP</v>
          </cell>
          <cell r="B50">
            <v>36220</v>
          </cell>
          <cell r="C50">
            <v>2.0348000000000002</v>
          </cell>
          <cell r="D50">
            <v>0.75429999999999997</v>
          </cell>
          <cell r="E50">
            <v>0</v>
          </cell>
          <cell r="F50">
            <v>1.8599999999999998E-2</v>
          </cell>
          <cell r="G50">
            <v>3.4331</v>
          </cell>
          <cell r="H50">
            <v>-0.311</v>
          </cell>
          <cell r="I50">
            <v>-2.2499999999999999E-2</v>
          </cell>
          <cell r="J50">
            <v>2.47E-2</v>
          </cell>
          <cell r="K50">
            <v>-0.93419999999999948</v>
          </cell>
          <cell r="L50">
            <v>2.8077000000000005</v>
          </cell>
          <cell r="M50" t="str">
            <v>R</v>
          </cell>
          <cell r="N50" t="str">
            <v>N</v>
          </cell>
          <cell r="O50" t="str">
            <v>N</v>
          </cell>
          <cell r="P50" t="str">
            <v>N</v>
          </cell>
          <cell r="Q50" t="str">
            <v>R</v>
          </cell>
        </row>
        <row r="51">
          <cell r="A51" t="str">
            <v>95-010 QQ</v>
          </cell>
          <cell r="B51">
            <v>36251</v>
          </cell>
          <cell r="C51">
            <v>1.9604999999999999</v>
          </cell>
          <cell r="D51">
            <v>0.75429999999999997</v>
          </cell>
          <cell r="E51">
            <v>0</v>
          </cell>
          <cell r="F51">
            <v>1.8599999999999998E-2</v>
          </cell>
          <cell r="G51">
            <v>3.4331</v>
          </cell>
          <cell r="H51">
            <v>-0.18820000000000001</v>
          </cell>
          <cell r="I51">
            <v>-6.54E-2</v>
          </cell>
          <cell r="J51">
            <v>2.47E-2</v>
          </cell>
          <cell r="K51">
            <v>-0.92859999999999998</v>
          </cell>
          <cell r="L51">
            <v>2.7334000000000001</v>
          </cell>
          <cell r="M51" t="str">
            <v>R</v>
          </cell>
          <cell r="N51" t="str">
            <v>I</v>
          </cell>
          <cell r="O51" t="str">
            <v>R</v>
          </cell>
          <cell r="P51" t="str">
            <v>N</v>
          </cell>
          <cell r="Q51" t="str">
            <v>I</v>
          </cell>
        </row>
        <row r="52">
          <cell r="A52" t="str">
            <v>95-010 RR</v>
          </cell>
          <cell r="B52">
            <v>36281</v>
          </cell>
          <cell r="C52">
            <v>1.8638999999999999</v>
          </cell>
          <cell r="D52">
            <v>0.75429999999999997</v>
          </cell>
          <cell r="E52">
            <v>0</v>
          </cell>
          <cell r="F52">
            <v>1.8599999999999998E-2</v>
          </cell>
          <cell r="G52">
            <v>3.4331</v>
          </cell>
          <cell r="H52">
            <v>-0.18820000000000001</v>
          </cell>
          <cell r="I52">
            <v>-6.54E-2</v>
          </cell>
          <cell r="J52">
            <v>2.47E-2</v>
          </cell>
          <cell r="K52">
            <v>-1.0251999999999999</v>
          </cell>
          <cell r="L52">
            <v>2.6368</v>
          </cell>
          <cell r="M52" t="str">
            <v>R</v>
          </cell>
          <cell r="N52" t="str">
            <v>N</v>
          </cell>
          <cell r="O52" t="str">
            <v>N</v>
          </cell>
          <cell r="P52" t="str">
            <v>N</v>
          </cell>
          <cell r="Q52" t="str">
            <v>R</v>
          </cell>
        </row>
        <row r="53">
          <cell r="A53" t="str">
            <v>95-010 SS</v>
          </cell>
          <cell r="B53">
            <v>36312</v>
          </cell>
          <cell r="C53">
            <v>2.2873999999999999</v>
          </cell>
          <cell r="D53">
            <v>0.75429999999999997</v>
          </cell>
          <cell r="E53">
            <v>0</v>
          </cell>
          <cell r="F53">
            <v>1.8599999999999998E-2</v>
          </cell>
          <cell r="G53">
            <v>3.4331</v>
          </cell>
          <cell r="H53">
            <v>-0.18820000000000001</v>
          </cell>
          <cell r="I53">
            <v>-6.54E-2</v>
          </cell>
          <cell r="J53">
            <v>2.47E-2</v>
          </cell>
          <cell r="K53">
            <v>-0.60170000000000023</v>
          </cell>
          <cell r="L53">
            <v>3.0602999999999998</v>
          </cell>
          <cell r="M53" t="str">
            <v>I</v>
          </cell>
          <cell r="N53" t="str">
            <v>N</v>
          </cell>
          <cell r="O53" t="str">
            <v>N</v>
          </cell>
          <cell r="P53" t="str">
            <v>N</v>
          </cell>
          <cell r="Q53" t="str">
            <v>I</v>
          </cell>
        </row>
        <row r="54">
          <cell r="A54" t="str">
            <v>95-010 TT</v>
          </cell>
          <cell r="B54">
            <v>36342</v>
          </cell>
          <cell r="C54">
            <v>2.6103999999999998</v>
          </cell>
          <cell r="D54">
            <v>0.75429999999999997</v>
          </cell>
          <cell r="E54">
            <v>0</v>
          </cell>
          <cell r="F54">
            <v>1.8599999999999998E-2</v>
          </cell>
          <cell r="G54">
            <v>3.4331</v>
          </cell>
          <cell r="H54">
            <v>-0.18820000000000001</v>
          </cell>
          <cell r="I54">
            <v>-5.5899999999999998E-2</v>
          </cell>
          <cell r="J54">
            <v>2.47E-2</v>
          </cell>
          <cell r="K54">
            <v>-0.26919999999999988</v>
          </cell>
          <cell r="L54">
            <v>3.3833000000000002</v>
          </cell>
          <cell r="M54" t="str">
            <v>I</v>
          </cell>
          <cell r="N54" t="str">
            <v>N</v>
          </cell>
          <cell r="O54" t="str">
            <v>I</v>
          </cell>
          <cell r="P54" t="str">
            <v>N</v>
          </cell>
          <cell r="Q54" t="str">
            <v>I</v>
          </cell>
        </row>
        <row r="55">
          <cell r="A55" t="str">
            <v>95-010 UU</v>
          </cell>
          <cell r="B55">
            <v>36373</v>
          </cell>
          <cell r="C55">
            <v>2.3969</v>
          </cell>
          <cell r="D55">
            <v>0.75429999999999997</v>
          </cell>
          <cell r="E55">
            <v>0</v>
          </cell>
          <cell r="F55">
            <v>1.8599999999999998E-2</v>
          </cell>
          <cell r="G55">
            <v>3.4331</v>
          </cell>
          <cell r="H55">
            <v>-0.18820000000000001</v>
          </cell>
          <cell r="I55">
            <v>-5.5899999999999998E-2</v>
          </cell>
          <cell r="J55">
            <v>2.47E-2</v>
          </cell>
          <cell r="K55">
            <v>-0.48269999999999968</v>
          </cell>
          <cell r="L55">
            <v>3.1698000000000004</v>
          </cell>
          <cell r="M55" t="str">
            <v>R</v>
          </cell>
          <cell r="N55" t="str">
            <v>N</v>
          </cell>
          <cell r="O55" t="str">
            <v>N</v>
          </cell>
          <cell r="P55" t="str">
            <v>N</v>
          </cell>
          <cell r="Q55" t="str">
            <v>R</v>
          </cell>
        </row>
        <row r="56">
          <cell r="A56" t="str">
            <v>95-010 VV</v>
          </cell>
          <cell r="B56">
            <v>36404</v>
          </cell>
          <cell r="C56">
            <v>2.3862000000000001</v>
          </cell>
          <cell r="D56">
            <v>0.75429999999999997</v>
          </cell>
          <cell r="E56">
            <v>0</v>
          </cell>
          <cell r="F56">
            <v>1.8599999999999998E-2</v>
          </cell>
          <cell r="G56">
            <v>3.4331</v>
          </cell>
          <cell r="H56">
            <v>-0.18820000000000001</v>
          </cell>
          <cell r="I56">
            <v>-5.5899999999999998E-2</v>
          </cell>
          <cell r="J56">
            <v>2.47E-2</v>
          </cell>
          <cell r="K56">
            <v>-0.49339999999999962</v>
          </cell>
          <cell r="L56">
            <v>3.1591000000000005</v>
          </cell>
          <cell r="M56" t="str">
            <v>R</v>
          </cell>
          <cell r="N56" t="str">
            <v>N</v>
          </cell>
          <cell r="O56" t="str">
            <v>N</v>
          </cell>
          <cell r="P56" t="str">
            <v>N</v>
          </cell>
          <cell r="Q56" t="str">
            <v>R</v>
          </cell>
        </row>
        <row r="57">
          <cell r="A57" t="str">
            <v>95-010 WW</v>
          </cell>
          <cell r="B57">
            <v>36434</v>
          </cell>
          <cell r="C57">
            <v>2.6629</v>
          </cell>
          <cell r="D57">
            <v>0.75429999999999997</v>
          </cell>
          <cell r="E57">
            <v>0</v>
          </cell>
          <cell r="F57">
            <v>1.8599999999999998E-2</v>
          </cell>
          <cell r="G57">
            <v>3.4331</v>
          </cell>
          <cell r="H57">
            <v>-0.22389999999999999</v>
          </cell>
          <cell r="I57">
            <v>-4.5200000000000004E-2</v>
          </cell>
          <cell r="J57">
            <v>2.47E-2</v>
          </cell>
          <cell r="K57">
            <v>-0.24169999999999964</v>
          </cell>
          <cell r="L57">
            <v>3.4358000000000004</v>
          </cell>
          <cell r="M57" t="str">
            <v>I</v>
          </cell>
          <cell r="N57" t="str">
            <v>R</v>
          </cell>
          <cell r="O57" t="str">
            <v>I</v>
          </cell>
          <cell r="P57" t="str">
            <v>N</v>
          </cell>
          <cell r="Q57" t="str">
            <v>I</v>
          </cell>
        </row>
        <row r="58">
          <cell r="A58" t="str">
            <v>95-010 XX</v>
          </cell>
          <cell r="B58">
            <v>36465</v>
          </cell>
          <cell r="C58">
            <v>2.9028</v>
          </cell>
          <cell r="D58">
            <v>0.76140000000000008</v>
          </cell>
          <cell r="E58">
            <v>0</v>
          </cell>
          <cell r="F58">
            <v>3.0000000000000001E-3</v>
          </cell>
          <cell r="G58">
            <v>3.4331</v>
          </cell>
          <cell r="H58">
            <v>-0.22389999999999999</v>
          </cell>
          <cell r="I58">
            <v>-4.5200000000000004E-2</v>
          </cell>
          <cell r="J58">
            <v>2.47E-2</v>
          </cell>
          <cell r="K58">
            <v>-1.0299999999999809E-2</v>
          </cell>
          <cell r="L58">
            <v>3.6672000000000002</v>
          </cell>
          <cell r="M58" t="str">
            <v>I</v>
          </cell>
          <cell r="N58" t="str">
            <v>N</v>
          </cell>
          <cell r="O58" t="str">
            <v>N</v>
          </cell>
          <cell r="P58" t="str">
            <v>N</v>
          </cell>
          <cell r="Q58" t="str">
            <v>I</v>
          </cell>
        </row>
        <row r="59">
          <cell r="A59" t="str">
            <v>95-010 YY</v>
          </cell>
          <cell r="B59">
            <v>36495</v>
          </cell>
          <cell r="C59">
            <v>2.9401000000000002</v>
          </cell>
          <cell r="D59">
            <v>0.75679999999999992</v>
          </cell>
          <cell r="E59">
            <v>0</v>
          </cell>
          <cell r="F59">
            <v>3.0000000000000001E-3</v>
          </cell>
          <cell r="G59">
            <v>3.4331</v>
          </cell>
          <cell r="H59">
            <v>-0.22389999999999999</v>
          </cell>
          <cell r="I59">
            <v>-4.5200000000000004E-2</v>
          </cell>
          <cell r="J59">
            <v>2.47E-2</v>
          </cell>
          <cell r="K59">
            <v>2.2400000000000364E-2</v>
          </cell>
          <cell r="L59">
            <v>3.6999000000000004</v>
          </cell>
          <cell r="M59" t="str">
            <v>I</v>
          </cell>
          <cell r="N59" t="str">
            <v>N</v>
          </cell>
          <cell r="O59" t="str">
            <v>N</v>
          </cell>
          <cell r="P59" t="str">
            <v>N</v>
          </cell>
          <cell r="Q59" t="str">
            <v>I</v>
          </cell>
        </row>
        <row r="60">
          <cell r="A60" t="str">
            <v>99-070</v>
          </cell>
          <cell r="B60">
            <v>36526</v>
          </cell>
          <cell r="C60">
            <v>2.4571999999999998</v>
          </cell>
          <cell r="D60">
            <v>0.75679999999999992</v>
          </cell>
          <cell r="E60">
            <v>0</v>
          </cell>
          <cell r="F60">
            <v>3.0000000000000001E-3</v>
          </cell>
          <cell r="G60">
            <v>0</v>
          </cell>
          <cell r="H60">
            <v>-0.22389999999999999</v>
          </cell>
          <cell r="I60">
            <v>-4.8000000000000001E-2</v>
          </cell>
          <cell r="J60">
            <v>2.47E-2</v>
          </cell>
          <cell r="K60">
            <v>2.9697999999999998</v>
          </cell>
          <cell r="L60">
            <v>3.2169999999999996</v>
          </cell>
          <cell r="M60" t="str">
            <v>R</v>
          </cell>
          <cell r="N60" t="str">
            <v>N</v>
          </cell>
          <cell r="O60" t="str">
            <v>R</v>
          </cell>
          <cell r="P60" t="str">
            <v>N</v>
          </cell>
          <cell r="Q60" t="str">
            <v>I</v>
          </cell>
        </row>
        <row r="61">
          <cell r="A61" t="str">
            <v>99-070 A</v>
          </cell>
          <cell r="B61">
            <v>36557</v>
          </cell>
          <cell r="C61">
            <v>2.5337000000000001</v>
          </cell>
          <cell r="D61">
            <v>0.76029999999999998</v>
          </cell>
          <cell r="E61">
            <v>0</v>
          </cell>
          <cell r="F61">
            <v>3.0000000000000001E-3</v>
          </cell>
          <cell r="G61">
            <v>0</v>
          </cell>
          <cell r="H61">
            <v>-0.22389999999999999</v>
          </cell>
          <cell r="I61">
            <v>-4.8000000000000001E-2</v>
          </cell>
          <cell r="J61">
            <v>9.3399999999999997E-2</v>
          </cell>
          <cell r="K61">
            <v>3.1185</v>
          </cell>
          <cell r="L61">
            <v>3.2970000000000002</v>
          </cell>
          <cell r="M61" t="str">
            <v>I</v>
          </cell>
          <cell r="N61" t="str">
            <v>N</v>
          </cell>
          <cell r="O61" t="str">
            <v>N</v>
          </cell>
          <cell r="P61" t="str">
            <v>I</v>
          </cell>
          <cell r="Q61" t="str">
            <v>I</v>
          </cell>
        </row>
        <row r="62">
          <cell r="A62" t="str">
            <v>1999-070 B</v>
          </cell>
          <cell r="B62">
            <v>36617</v>
          </cell>
          <cell r="C62">
            <v>2.5337000000000001</v>
          </cell>
          <cell r="D62">
            <v>0.76029999999999998</v>
          </cell>
          <cell r="E62">
            <v>0</v>
          </cell>
          <cell r="F62">
            <v>3.0000000000000001E-3</v>
          </cell>
          <cell r="G62">
            <v>0</v>
          </cell>
          <cell r="H62">
            <v>0</v>
          </cell>
          <cell r="I62">
            <v>-5.1000000000000004E-3</v>
          </cell>
          <cell r="J62">
            <v>9.3399999999999997E-2</v>
          </cell>
          <cell r="K62">
            <v>3.3853</v>
          </cell>
          <cell r="L62">
            <v>3.2970000000000002</v>
          </cell>
          <cell r="M62" t="str">
            <v>N</v>
          </cell>
          <cell r="N62" t="str">
            <v>I</v>
          </cell>
          <cell r="O62" t="str">
            <v>I</v>
          </cell>
          <cell r="P62" t="str">
            <v>N</v>
          </cell>
          <cell r="Q62" t="str">
            <v>I</v>
          </cell>
        </row>
        <row r="63">
          <cell r="A63" t="str">
            <v>1999-070 C</v>
          </cell>
          <cell r="B63">
            <v>36647</v>
          </cell>
          <cell r="C63">
            <v>2.5749</v>
          </cell>
          <cell r="D63">
            <v>0.76029999999999998</v>
          </cell>
          <cell r="E63">
            <v>0</v>
          </cell>
          <cell r="F63">
            <v>3.0000000000000001E-3</v>
          </cell>
          <cell r="G63">
            <v>0</v>
          </cell>
          <cell r="H63">
            <v>0.25019999999999998</v>
          </cell>
          <cell r="I63">
            <v>-5.1000000000000004E-3</v>
          </cell>
          <cell r="J63">
            <v>9.3399999999999997E-2</v>
          </cell>
          <cell r="K63">
            <v>3.6766999999999999</v>
          </cell>
          <cell r="L63">
            <v>3.3382000000000001</v>
          </cell>
          <cell r="M63" t="str">
            <v>I</v>
          </cell>
          <cell r="N63" t="str">
            <v>I</v>
          </cell>
          <cell r="O63" t="str">
            <v>N</v>
          </cell>
          <cell r="P63" t="str">
            <v>N</v>
          </cell>
          <cell r="Q63" t="str">
            <v>I</v>
          </cell>
        </row>
        <row r="64">
          <cell r="A64" t="str">
            <v>1999-070 D</v>
          </cell>
          <cell r="B64">
            <v>36708</v>
          </cell>
          <cell r="C64">
            <v>3.1747999999999998</v>
          </cell>
          <cell r="D64">
            <v>0.76029999999999998</v>
          </cell>
          <cell r="E64">
            <v>0</v>
          </cell>
          <cell r="F64">
            <v>3.0000000000000001E-3</v>
          </cell>
          <cell r="G64">
            <v>0</v>
          </cell>
          <cell r="H64">
            <v>0.25019999999999998</v>
          </cell>
          <cell r="I64">
            <v>-5.1000000000000004E-3</v>
          </cell>
          <cell r="J64">
            <v>9.3399999999999997E-2</v>
          </cell>
          <cell r="K64">
            <v>4.2766000000000002</v>
          </cell>
          <cell r="L64">
            <v>3.9380999999999999</v>
          </cell>
          <cell r="M64" t="str">
            <v>I</v>
          </cell>
          <cell r="N64" t="str">
            <v>N</v>
          </cell>
          <cell r="O64" t="str">
            <v>N</v>
          </cell>
          <cell r="P64" t="str">
            <v>N</v>
          </cell>
          <cell r="Q64" t="str">
            <v>I</v>
          </cell>
        </row>
        <row r="65">
          <cell r="A65" t="str">
            <v>1999-070 E</v>
          </cell>
          <cell r="B65">
            <v>36739</v>
          </cell>
          <cell r="C65">
            <v>4.6079999999999997</v>
          </cell>
          <cell r="D65">
            <v>0.76029999999999998</v>
          </cell>
          <cell r="E65">
            <v>0</v>
          </cell>
          <cell r="F65">
            <v>3.0000000000000001E-3</v>
          </cell>
          <cell r="G65">
            <v>0</v>
          </cell>
          <cell r="H65">
            <v>0.25019999999999998</v>
          </cell>
          <cell r="I65">
            <v>-1.6800000000000002E-2</v>
          </cell>
          <cell r="J65">
            <v>9.3399999999999997E-2</v>
          </cell>
          <cell r="K65">
            <v>5.6981000000000002</v>
          </cell>
          <cell r="L65">
            <v>5.3712999999999997</v>
          </cell>
          <cell r="M65" t="str">
            <v>I</v>
          </cell>
          <cell r="N65" t="str">
            <v>N</v>
          </cell>
          <cell r="O65" t="str">
            <v>R</v>
          </cell>
          <cell r="P65" t="str">
            <v>N</v>
          </cell>
          <cell r="Q65" t="str">
            <v>I</v>
          </cell>
        </row>
        <row r="66">
          <cell r="A66" t="str">
            <v>1999-070 F</v>
          </cell>
          <cell r="B66">
            <v>36800</v>
          </cell>
          <cell r="C66">
            <v>5.2323000000000004</v>
          </cell>
          <cell r="D66">
            <v>0.76029999999999998</v>
          </cell>
          <cell r="E66">
            <v>0</v>
          </cell>
          <cell r="F66">
            <v>3.0000000000000001E-3</v>
          </cell>
          <cell r="G66">
            <v>0</v>
          </cell>
          <cell r="H66">
            <v>0.25019999999999998</v>
          </cell>
          <cell r="I66">
            <v>-1.4500000000000001E-2</v>
          </cell>
          <cell r="J66">
            <v>9.3399999999999997E-2</v>
          </cell>
          <cell r="K66">
            <v>6.3247</v>
          </cell>
          <cell r="L66">
            <v>5.9956000000000005</v>
          </cell>
          <cell r="M66" t="str">
            <v>I</v>
          </cell>
          <cell r="N66" t="str">
            <v>N</v>
          </cell>
          <cell r="O66" t="str">
            <v>I</v>
          </cell>
          <cell r="P66" t="str">
            <v>N</v>
          </cell>
          <cell r="Q66" t="str">
            <v>I</v>
          </cell>
        </row>
        <row r="67">
          <cell r="A67" t="str">
            <v>1999-070 G</v>
          </cell>
          <cell r="B67">
            <v>36831</v>
          </cell>
          <cell r="C67">
            <v>5.5765000000000002</v>
          </cell>
          <cell r="D67">
            <v>0.9506</v>
          </cell>
          <cell r="E67">
            <v>0</v>
          </cell>
          <cell r="F67">
            <v>0</v>
          </cell>
          <cell r="G67">
            <v>0</v>
          </cell>
          <cell r="H67">
            <v>1.1344000000000001</v>
          </cell>
          <cell r="I67">
            <v>-1.4500000000000001E-2</v>
          </cell>
          <cell r="J67">
            <v>9.3399999999999997E-2</v>
          </cell>
          <cell r="K67">
            <v>7.7404000000000002</v>
          </cell>
          <cell r="L67">
            <v>6.5270999999999999</v>
          </cell>
          <cell r="M67" t="str">
            <v>I</v>
          </cell>
          <cell r="N67" t="str">
            <v>I</v>
          </cell>
          <cell r="O67" t="str">
            <v>N</v>
          </cell>
          <cell r="P67" t="str">
            <v>N</v>
          </cell>
          <cell r="Q67" t="str">
            <v>I</v>
          </cell>
        </row>
        <row r="68">
          <cell r="A68" t="str">
            <v>1999-070 H</v>
          </cell>
          <cell r="B68">
            <v>36923</v>
          </cell>
          <cell r="C68">
            <v>6.9600999999999997</v>
          </cell>
          <cell r="D68">
            <v>1.2250000000000001</v>
          </cell>
          <cell r="E68">
            <v>0</v>
          </cell>
          <cell r="F68">
            <v>0</v>
          </cell>
          <cell r="G68">
            <v>0</v>
          </cell>
          <cell r="H68">
            <v>1.1344000000000001</v>
          </cell>
          <cell r="I68">
            <v>-1.17E-2</v>
          </cell>
          <cell r="J68">
            <v>6.0199999999999997E-2</v>
          </cell>
          <cell r="K68">
            <v>9.3680000000000003</v>
          </cell>
          <cell r="L68">
            <v>8.1851000000000003</v>
          </cell>
          <cell r="M68" t="str">
            <v>I</v>
          </cell>
          <cell r="N68" t="str">
            <v>N</v>
          </cell>
          <cell r="O68" t="str">
            <v>I</v>
          </cell>
          <cell r="P68" t="str">
            <v>R</v>
          </cell>
          <cell r="Q68" t="str">
            <v>I</v>
          </cell>
        </row>
        <row r="69">
          <cell r="A69" t="str">
            <v>1999-070 I</v>
          </cell>
          <cell r="B69">
            <v>36951</v>
          </cell>
          <cell r="C69">
            <v>6.0629999999999997</v>
          </cell>
          <cell r="D69">
            <v>1.2250000000000001</v>
          </cell>
          <cell r="E69">
            <v>0</v>
          </cell>
          <cell r="F69">
            <v>0</v>
          </cell>
          <cell r="G69">
            <v>0</v>
          </cell>
          <cell r="H69">
            <v>1.1344000000000001</v>
          </cell>
          <cell r="I69">
            <v>-1.17E-2</v>
          </cell>
          <cell r="J69">
            <v>6.0199999999999997E-2</v>
          </cell>
          <cell r="K69">
            <v>8.4709000000000003</v>
          </cell>
          <cell r="L69">
            <v>7.2880000000000003</v>
          </cell>
          <cell r="M69" t="str">
            <v>R</v>
          </cell>
          <cell r="N69" t="str">
            <v>N</v>
          </cell>
          <cell r="O69" t="str">
            <v>N</v>
          </cell>
          <cell r="P69" t="str">
            <v>N</v>
          </cell>
          <cell r="Q69" t="str">
            <v>R</v>
          </cell>
        </row>
        <row r="70">
          <cell r="A70" t="str">
            <v>1999-070 J</v>
          </cell>
          <cell r="B70">
            <v>36982</v>
          </cell>
          <cell r="C70">
            <v>6.0091999999999999</v>
          </cell>
          <cell r="D70">
            <v>1.2250000000000001</v>
          </cell>
          <cell r="E70">
            <v>0</v>
          </cell>
          <cell r="F70">
            <v>0</v>
          </cell>
          <cell r="G70">
            <v>0</v>
          </cell>
          <cell r="H70">
            <v>1.1344000000000001</v>
          </cell>
          <cell r="I70">
            <v>-1.17E-2</v>
          </cell>
          <cell r="J70">
            <v>6.0199999999999997E-2</v>
          </cell>
          <cell r="K70">
            <v>8.4170999999999996</v>
          </cell>
          <cell r="L70">
            <v>7.2341999999999995</v>
          </cell>
          <cell r="M70" t="str">
            <v>R</v>
          </cell>
          <cell r="N70" t="str">
            <v>N</v>
          </cell>
          <cell r="O70" t="str">
            <v>N</v>
          </cell>
          <cell r="P70" t="str">
            <v>N</v>
          </cell>
          <cell r="Q70" t="str">
            <v>R</v>
          </cell>
        </row>
        <row r="71">
          <cell r="A71" t="str">
            <v>1999-070 K</v>
          </cell>
          <cell r="B71">
            <v>37012</v>
          </cell>
          <cell r="C71">
            <v>5.8128000000000002</v>
          </cell>
          <cell r="D71">
            <v>1.0611999999999999</v>
          </cell>
          <cell r="E71">
            <v>0</v>
          </cell>
          <cell r="F71">
            <v>0</v>
          </cell>
          <cell r="G71">
            <v>0</v>
          </cell>
          <cell r="H71">
            <v>1.4216</v>
          </cell>
          <cell r="I71">
            <v>-1.2200000000000001E-2</v>
          </cell>
          <cell r="J71">
            <v>6.0199999999999997E-2</v>
          </cell>
          <cell r="K71">
            <v>8.3436000000000003</v>
          </cell>
          <cell r="L71">
            <v>6.8740000000000006</v>
          </cell>
          <cell r="M71" t="str">
            <v>R</v>
          </cell>
          <cell r="N71" t="str">
            <v>I</v>
          </cell>
          <cell r="O71" t="str">
            <v>R</v>
          </cell>
          <cell r="P71" t="str">
            <v>N</v>
          </cell>
          <cell r="Q71" t="str">
            <v>R</v>
          </cell>
        </row>
        <row r="72">
          <cell r="A72" t="str">
            <v>1999-070 L</v>
          </cell>
          <cell r="B72">
            <v>37043</v>
          </cell>
          <cell r="C72">
            <v>5.6711</v>
          </cell>
          <cell r="D72">
            <v>1.0611999999999999</v>
          </cell>
          <cell r="E72">
            <v>0</v>
          </cell>
          <cell r="F72">
            <v>0</v>
          </cell>
          <cell r="G72">
            <v>0</v>
          </cell>
          <cell r="H72">
            <v>1.4216</v>
          </cell>
          <cell r="I72">
            <v>-1.2200000000000001E-2</v>
          </cell>
          <cell r="J72">
            <v>6.0199999999999997E-2</v>
          </cell>
          <cell r="K72">
            <v>8.2019000000000002</v>
          </cell>
          <cell r="L72">
            <v>6.7323000000000004</v>
          </cell>
          <cell r="M72" t="str">
            <v>R</v>
          </cell>
          <cell r="N72" t="str">
            <v>N</v>
          </cell>
          <cell r="O72" t="str">
            <v>N</v>
          </cell>
          <cell r="P72" t="str">
            <v>N</v>
          </cell>
          <cell r="Q72" t="str">
            <v>R</v>
          </cell>
        </row>
        <row r="73">
          <cell r="A73" t="str">
            <v>1999-070 M</v>
          </cell>
          <cell r="B73">
            <v>37073</v>
          </cell>
          <cell r="C73">
            <v>4.9177</v>
          </cell>
          <cell r="D73">
            <v>1.0611999999999999</v>
          </cell>
          <cell r="E73">
            <v>0</v>
          </cell>
          <cell r="F73">
            <v>0</v>
          </cell>
          <cell r="G73">
            <v>0</v>
          </cell>
          <cell r="H73">
            <v>1.4216</v>
          </cell>
          <cell r="I73">
            <v>-1.2200000000000001E-2</v>
          </cell>
          <cell r="J73">
            <v>6.0199999999999997E-2</v>
          </cell>
          <cell r="K73">
            <v>7.4484999999999992</v>
          </cell>
          <cell r="L73">
            <v>5.9788999999999994</v>
          </cell>
          <cell r="M73" t="str">
            <v>R</v>
          </cell>
          <cell r="N73" t="str">
            <v>N</v>
          </cell>
          <cell r="O73" t="str">
            <v>N</v>
          </cell>
          <cell r="P73" t="str">
            <v>N</v>
          </cell>
          <cell r="Q73" t="str">
            <v>R</v>
          </cell>
        </row>
        <row r="74">
          <cell r="A74" t="str">
            <v>1999-070 N</v>
          </cell>
          <cell r="B74">
            <v>37104</v>
          </cell>
          <cell r="C74">
            <v>4.3213999999999997</v>
          </cell>
          <cell r="D74">
            <v>1.0611999999999999</v>
          </cell>
          <cell r="E74">
            <v>0</v>
          </cell>
          <cell r="F74">
            <v>0</v>
          </cell>
          <cell r="G74">
            <v>0</v>
          </cell>
          <cell r="H74">
            <v>1.4216</v>
          </cell>
          <cell r="I74">
            <v>-5.0000000000000001E-4</v>
          </cell>
          <cell r="J74">
            <v>6.0199999999999997E-2</v>
          </cell>
          <cell r="K74">
            <v>6.8639000000000001</v>
          </cell>
          <cell r="L74">
            <v>5.3826000000000001</v>
          </cell>
          <cell r="M74" t="str">
            <v>R</v>
          </cell>
          <cell r="N74" t="str">
            <v>N</v>
          </cell>
          <cell r="O74" t="str">
            <v>I</v>
          </cell>
          <cell r="P74" t="str">
            <v>N</v>
          </cell>
          <cell r="Q74" t="str">
            <v>R</v>
          </cell>
        </row>
        <row r="75">
          <cell r="A75" t="str">
            <v>1999-070 O</v>
          </cell>
          <cell r="B75">
            <v>37196</v>
          </cell>
          <cell r="C75">
            <v>3.6354000000000002</v>
          </cell>
          <cell r="D75">
            <v>1.0611999999999999</v>
          </cell>
          <cell r="E75">
            <v>0</v>
          </cell>
          <cell r="F75">
            <v>0</v>
          </cell>
          <cell r="G75">
            <v>0</v>
          </cell>
          <cell r="H75">
            <v>0.1522</v>
          </cell>
          <cell r="I75">
            <v>-2.4000000000000002E-3</v>
          </cell>
          <cell r="J75">
            <v>6.0199999999999997E-2</v>
          </cell>
          <cell r="K75">
            <v>4.9066000000000001</v>
          </cell>
        </row>
        <row r="76">
          <cell r="A76" t="str">
            <v>1999-070 P</v>
          </cell>
          <cell r="B76">
            <v>37288</v>
          </cell>
          <cell r="C76">
            <v>3.34</v>
          </cell>
          <cell r="D76">
            <v>1.0611999999999999</v>
          </cell>
          <cell r="E76">
            <v>0</v>
          </cell>
          <cell r="F76">
            <v>0</v>
          </cell>
          <cell r="G76">
            <v>0</v>
          </cell>
          <cell r="H76">
            <v>3.8899999999999997E-2</v>
          </cell>
          <cell r="I76">
            <v>-2.4000000000000002E-3</v>
          </cell>
          <cell r="J76">
            <v>2.3699999999999999E-2</v>
          </cell>
          <cell r="K76">
            <v>4.4613999999999994</v>
          </cell>
        </row>
        <row r="77">
          <cell r="A77" t="str">
            <v>2002-00113</v>
          </cell>
          <cell r="B77">
            <v>37377</v>
          </cell>
          <cell r="C77">
            <v>3.5903999999999998</v>
          </cell>
          <cell r="D77">
            <v>1.0611999999999999</v>
          </cell>
          <cell r="E77">
            <v>0</v>
          </cell>
          <cell r="F77">
            <v>0</v>
          </cell>
          <cell r="G77">
            <v>0</v>
          </cell>
          <cell r="H77">
            <v>-0.2407</v>
          </cell>
          <cell r="I77">
            <v>-1.9E-3</v>
          </cell>
          <cell r="J77">
            <v>2.3699999999999999E-2</v>
          </cell>
          <cell r="K77">
            <v>4.4327000000000005</v>
          </cell>
        </row>
        <row r="78">
          <cell r="A78" t="str">
            <v>2002-00251</v>
          </cell>
          <cell r="B78">
            <v>37469</v>
          </cell>
          <cell r="C78">
            <v>3.5659999999999998</v>
          </cell>
          <cell r="D78">
            <v>1.0611999999999999</v>
          </cell>
          <cell r="E78">
            <v>0</v>
          </cell>
          <cell r="F78">
            <v>0</v>
          </cell>
          <cell r="G78">
            <v>0</v>
          </cell>
          <cell r="H78">
            <v>-0.2248</v>
          </cell>
          <cell r="I78">
            <v>-1.14E-2</v>
          </cell>
          <cell r="J78">
            <v>2.3699999999999999E-2</v>
          </cell>
          <cell r="K78">
            <v>4.4146999999999998</v>
          </cell>
        </row>
        <row r="79">
          <cell r="A79" t="str">
            <v>2002-00359</v>
          </cell>
          <cell r="B79">
            <v>37561</v>
          </cell>
          <cell r="C79">
            <v>4.0022000000000002</v>
          </cell>
          <cell r="D79">
            <v>0.96189999999999998</v>
          </cell>
          <cell r="E79">
            <v>0</v>
          </cell>
          <cell r="F79">
            <v>0</v>
          </cell>
          <cell r="G79">
            <v>0</v>
          </cell>
          <cell r="H79">
            <v>5.1999999999999998E-3</v>
          </cell>
          <cell r="I79">
            <v>-0.16690000000000002</v>
          </cell>
          <cell r="J79">
            <v>2.3699999999999999E-2</v>
          </cell>
          <cell r="K79">
            <v>4.8261000000000003</v>
          </cell>
        </row>
        <row r="80">
          <cell r="A80" t="str">
            <v>2003-00002</v>
          </cell>
          <cell r="B80">
            <v>37653</v>
          </cell>
          <cell r="C80">
            <v>4.4122000000000003</v>
          </cell>
          <cell r="D80">
            <v>1.0845</v>
          </cell>
          <cell r="E80">
            <v>0</v>
          </cell>
          <cell r="F80">
            <v>0</v>
          </cell>
          <cell r="G80">
            <v>0</v>
          </cell>
          <cell r="H80">
            <v>0.1686</v>
          </cell>
          <cell r="I80">
            <v>-0.16690000000000002</v>
          </cell>
          <cell r="J80">
            <v>7.4700000000000003E-2</v>
          </cell>
          <cell r="K80">
            <v>5.1513</v>
          </cell>
        </row>
        <row r="81">
          <cell r="A81" t="str">
            <v>2003-00083</v>
          </cell>
          <cell r="B81">
            <v>37713</v>
          </cell>
          <cell r="C81">
            <v>6.6096000000000004</v>
          </cell>
          <cell r="D81">
            <v>1.0845</v>
          </cell>
          <cell r="E81">
            <v>0</v>
          </cell>
          <cell r="F81">
            <v>0</v>
          </cell>
          <cell r="G81">
            <v>0</v>
          </cell>
          <cell r="H81">
            <v>0.1686</v>
          </cell>
          <cell r="I81">
            <v>-0.16690000000000002</v>
          </cell>
          <cell r="J81">
            <v>7.4700000000000003E-2</v>
          </cell>
          <cell r="K81">
            <v>7.7705000000000002</v>
          </cell>
        </row>
        <row r="82">
          <cell r="A82" t="str">
            <v>2003-00126</v>
          </cell>
          <cell r="B82" t="str">
            <v>05/01/03</v>
          </cell>
          <cell r="C82">
            <v>5.5705</v>
          </cell>
          <cell r="D82">
            <v>1.0845</v>
          </cell>
          <cell r="E82">
            <v>0</v>
          </cell>
          <cell r="F82">
            <v>0</v>
          </cell>
          <cell r="G82">
            <v>0</v>
          </cell>
          <cell r="H82">
            <v>0.21640000000000001</v>
          </cell>
          <cell r="I82">
            <v>-0.16690000000000002</v>
          </cell>
          <cell r="J82">
            <v>7.4700000000000003E-2</v>
          </cell>
          <cell r="K82">
            <v>6.7792000000000003</v>
          </cell>
        </row>
        <row r="83">
          <cell r="A83" t="str">
            <v>2003-00258</v>
          </cell>
          <cell r="B83">
            <v>37834</v>
          </cell>
          <cell r="C83">
            <v>6.3529999999999998</v>
          </cell>
          <cell r="D83">
            <v>1.0658000000000001</v>
          </cell>
          <cell r="E83">
            <v>0</v>
          </cell>
          <cell r="F83">
            <v>0</v>
          </cell>
          <cell r="G83">
            <v>0</v>
          </cell>
          <cell r="H83">
            <v>0.45200000000000001</v>
          </cell>
          <cell r="I83">
            <v>-0.15740000000000001</v>
          </cell>
          <cell r="J83">
            <v>7.4700000000000003E-2</v>
          </cell>
          <cell r="K83">
            <v>7.7881</v>
          </cell>
        </row>
        <row r="84">
          <cell r="A84" t="str">
            <v>2003-00377</v>
          </cell>
          <cell r="B84">
            <v>37926</v>
          </cell>
          <cell r="C84">
            <v>5.6509999999999998</v>
          </cell>
          <cell r="D84">
            <v>1.0759000000000001</v>
          </cell>
          <cell r="E84">
            <v>0</v>
          </cell>
          <cell r="F84">
            <v>0</v>
          </cell>
          <cell r="G84">
            <v>0</v>
          </cell>
          <cell r="H84">
            <v>0.54669999999999996</v>
          </cell>
          <cell r="I84">
            <v>-5.9999999999999995E-4</v>
          </cell>
          <cell r="J84">
            <v>7.4700000000000003E-2</v>
          </cell>
          <cell r="K84">
            <v>7.3476999999999997</v>
          </cell>
        </row>
        <row r="85">
          <cell r="A85" t="str">
            <v>2003-00504</v>
          </cell>
          <cell r="B85">
            <v>38018</v>
          </cell>
          <cell r="C85">
            <v>5.9219999999999997</v>
          </cell>
          <cell r="D85">
            <v>1.0759000000000001</v>
          </cell>
          <cell r="E85">
            <v>0</v>
          </cell>
          <cell r="F85">
            <v>0</v>
          </cell>
          <cell r="G85">
            <v>0</v>
          </cell>
          <cell r="H85">
            <v>0.5554</v>
          </cell>
          <cell r="I85">
            <v>-5.9999999999999995E-4</v>
          </cell>
          <cell r="J85">
            <v>6.1199999999999997E-2</v>
          </cell>
          <cell r="K85">
            <v>7.6138999999999992</v>
          </cell>
        </row>
        <row r="86">
          <cell r="A86" t="str">
            <v>2004-00122</v>
          </cell>
          <cell r="B86">
            <v>38108</v>
          </cell>
          <cell r="C86">
            <v>6.0660999999999996</v>
          </cell>
          <cell r="D86">
            <v>1.0759000000000001</v>
          </cell>
          <cell r="E86">
            <v>0</v>
          </cell>
          <cell r="F86">
            <v>0</v>
          </cell>
          <cell r="G86">
            <v>0</v>
          </cell>
          <cell r="H86">
            <v>0.14910000000000001</v>
          </cell>
          <cell r="I86">
            <v>-5.9999999999999995E-4</v>
          </cell>
          <cell r="J86">
            <v>6.1199999999999997E-2</v>
          </cell>
          <cell r="K86">
            <v>7.3516999999999992</v>
          </cell>
        </row>
        <row r="87">
          <cell r="A87" t="str">
            <v>2004-00269</v>
          </cell>
          <cell r="B87">
            <v>38200</v>
          </cell>
          <cell r="C87">
            <v>7.0430999999999999</v>
          </cell>
          <cell r="D87">
            <v>1.0759000000000001</v>
          </cell>
          <cell r="E87">
            <v>0</v>
          </cell>
          <cell r="F87">
            <v>0</v>
          </cell>
          <cell r="G87">
            <v>0</v>
          </cell>
          <cell r="H87">
            <v>0.1148</v>
          </cell>
          <cell r="I87">
            <v>-5.4000000000000003E-3</v>
          </cell>
          <cell r="J87">
            <v>6.1199999999999997E-2</v>
          </cell>
          <cell r="K87">
            <v>8.2896000000000001</v>
          </cell>
        </row>
        <row r="88">
          <cell r="A88" t="str">
            <v>2004-00398</v>
          </cell>
          <cell r="B88">
            <v>38292</v>
          </cell>
          <cell r="C88">
            <v>6.8804999999999996</v>
          </cell>
          <cell r="D88">
            <v>1.0718000000000001</v>
          </cell>
          <cell r="E88">
            <v>0</v>
          </cell>
          <cell r="F88">
            <v>0</v>
          </cell>
          <cell r="G88">
            <v>0</v>
          </cell>
          <cell r="H88">
            <v>0.2064</v>
          </cell>
          <cell r="I88">
            <v>-4.7999999999999996E-3</v>
          </cell>
          <cell r="J88">
            <v>6.1199999999999997E-2</v>
          </cell>
          <cell r="K88">
            <v>8.2150999999999996</v>
          </cell>
        </row>
        <row r="89">
          <cell r="A89" t="str">
            <v>2005-00013</v>
          </cell>
          <cell r="B89">
            <v>38384</v>
          </cell>
          <cell r="C89">
            <v>6.7214999999999998</v>
          </cell>
          <cell r="D89">
            <v>1.0718000000000001</v>
          </cell>
          <cell r="E89">
            <v>0</v>
          </cell>
          <cell r="F89">
            <v>0</v>
          </cell>
          <cell r="G89">
            <v>0</v>
          </cell>
          <cell r="H89">
            <v>0.3876</v>
          </cell>
          <cell r="I89">
            <v>-4.7999999999999996E-3</v>
          </cell>
          <cell r="J89">
            <v>4.48E-2</v>
          </cell>
          <cell r="K89">
            <v>8.2209000000000003</v>
          </cell>
        </row>
        <row r="90">
          <cell r="A90" t="str">
            <v>2005-00139</v>
          </cell>
          <cell r="B90">
            <v>38473</v>
          </cell>
          <cell r="C90">
            <v>8.0664999999999996</v>
          </cell>
          <cell r="D90">
            <v>1.0718000000000001</v>
          </cell>
          <cell r="E90">
            <v>0</v>
          </cell>
          <cell r="F90">
            <v>0</v>
          </cell>
          <cell r="G90">
            <v>0</v>
          </cell>
          <cell r="H90">
            <v>0.34960000000000002</v>
          </cell>
          <cell r="I90">
            <v>-4.7999999999999996E-3</v>
          </cell>
          <cell r="J90">
            <v>4.48E-2</v>
          </cell>
          <cell r="K90">
            <v>9.5278999999999989</v>
          </cell>
        </row>
        <row r="91">
          <cell r="A91" t="str">
            <v>2005-00271</v>
          </cell>
          <cell r="B91">
            <v>38565</v>
          </cell>
          <cell r="C91">
            <v>8.327</v>
          </cell>
          <cell r="D91">
            <v>1.0718000000000001</v>
          </cell>
          <cell r="E91">
            <v>0</v>
          </cell>
          <cell r="F91">
            <v>0</v>
          </cell>
          <cell r="G91">
            <v>0</v>
          </cell>
          <cell r="H91">
            <v>5.7599999999999998E-2</v>
          </cell>
          <cell r="I91">
            <v>-4.7999999999999996E-3</v>
          </cell>
          <cell r="J91">
            <v>4.48E-2</v>
          </cell>
          <cell r="K91">
            <v>9.4963999999999995</v>
          </cell>
        </row>
        <row r="92">
          <cell r="A92" t="str">
            <v>2005-00354</v>
          </cell>
          <cell r="B92">
            <v>38626</v>
          </cell>
          <cell r="C92">
            <v>10.2639</v>
          </cell>
          <cell r="D92">
            <v>1.0718000000000001</v>
          </cell>
          <cell r="E92">
            <v>0</v>
          </cell>
          <cell r="F92">
            <v>0</v>
          </cell>
          <cell r="G92">
            <v>0</v>
          </cell>
          <cell r="H92">
            <v>5.7599999999999998E-2</v>
          </cell>
          <cell r="I92">
            <v>-4.7999999999999996E-3</v>
          </cell>
          <cell r="J92">
            <v>4.48E-2</v>
          </cell>
          <cell r="K92">
            <v>11.433300000000001</v>
          </cell>
        </row>
        <row r="93">
          <cell r="A93" t="str">
            <v>2005-00399</v>
          </cell>
          <cell r="B93">
            <v>38657</v>
          </cell>
          <cell r="C93">
            <v>9.9666999999999994</v>
          </cell>
          <cell r="D93">
            <v>1.0718000000000001</v>
          </cell>
          <cell r="E93">
            <v>0</v>
          </cell>
          <cell r="F93">
            <v>0</v>
          </cell>
          <cell r="G93">
            <v>0</v>
          </cell>
          <cell r="H93">
            <v>0.40460000000000002</v>
          </cell>
          <cell r="I93">
            <v>-1.6999999999999999E-3</v>
          </cell>
          <cell r="J93">
            <v>4.48E-2</v>
          </cell>
          <cell r="K93">
            <v>11.486199999999998</v>
          </cell>
        </row>
        <row r="94">
          <cell r="A94" t="str">
            <v>2005-00552</v>
          </cell>
          <cell r="B94">
            <v>38749</v>
          </cell>
          <cell r="C94">
            <v>10.3019</v>
          </cell>
          <cell r="D94">
            <v>1.2622</v>
          </cell>
          <cell r="E94">
            <v>0</v>
          </cell>
          <cell r="F94">
            <v>0</v>
          </cell>
          <cell r="G94">
            <v>0</v>
          </cell>
          <cell r="H94">
            <v>0.77170000000000005</v>
          </cell>
          <cell r="I94">
            <v>-1.6999999999999999E-3</v>
          </cell>
          <cell r="J94">
            <v>3.9899999999999998E-2</v>
          </cell>
          <cell r="K94">
            <v>12.373999999999999</v>
          </cell>
        </row>
        <row r="95">
          <cell r="A95" t="str">
            <v>2006-00135</v>
          </cell>
          <cell r="B95">
            <v>38838</v>
          </cell>
          <cell r="C95">
            <v>7.9545000000000003</v>
          </cell>
          <cell r="D95">
            <v>1.0571999999999999</v>
          </cell>
          <cell r="E95">
            <v>0</v>
          </cell>
          <cell r="F95">
            <v>0</v>
          </cell>
          <cell r="G95">
            <v>0</v>
          </cell>
          <cell r="H95">
            <v>0.29880000000000001</v>
          </cell>
          <cell r="I95">
            <v>-1.6999999999999999E-3</v>
          </cell>
          <cell r="J95">
            <v>3.9899999999999998E-2</v>
          </cell>
          <cell r="K95">
            <v>9.3487000000000009</v>
          </cell>
        </row>
        <row r="96">
          <cell r="A96" t="str">
            <v>2006-00324</v>
          </cell>
          <cell r="B96">
            <v>38930</v>
          </cell>
          <cell r="C96">
            <v>7.7975000000000003</v>
          </cell>
          <cell r="D96">
            <v>1.0571999999999999</v>
          </cell>
          <cell r="E96">
            <v>0</v>
          </cell>
          <cell r="F96">
            <v>0</v>
          </cell>
          <cell r="G96">
            <v>0</v>
          </cell>
          <cell r="H96">
            <v>-0.1749</v>
          </cell>
          <cell r="I96">
            <v>-1.6999999999999999E-3</v>
          </cell>
          <cell r="J96">
            <v>3.9899999999999998E-2</v>
          </cell>
          <cell r="K96">
            <v>8.7180000000000017</v>
          </cell>
          <cell r="L96" t="str">
            <v>Source: Exhibit A</v>
          </cell>
        </row>
        <row r="97">
          <cell r="A97" t="str">
            <v>2006-00428</v>
          </cell>
          <cell r="B97">
            <v>39022</v>
          </cell>
          <cell r="C97">
            <v>8.0540000000000003</v>
          </cell>
          <cell r="D97">
            <v>1.0571999999999999</v>
          </cell>
          <cell r="E97">
            <v>0</v>
          </cell>
          <cell r="F97">
            <v>0</v>
          </cell>
          <cell r="G97">
            <v>0</v>
          </cell>
          <cell r="H97">
            <v>-0.30880000000000002</v>
          </cell>
          <cell r="I97">
            <v>-5.5399999999999998E-2</v>
          </cell>
          <cell r="J97">
            <v>3.9899999999999998E-2</v>
          </cell>
          <cell r="K97">
            <v>8.7868999999999993</v>
          </cell>
          <cell r="L97" t="str">
            <v>Source: Exhibit A</v>
          </cell>
        </row>
        <row r="98">
          <cell r="A98" t="str">
            <v>End of Database</v>
          </cell>
        </row>
      </sheetData>
      <sheetData sheetId="37">
        <row r="7">
          <cell r="A7" t="str">
            <v>Case No.</v>
          </cell>
          <cell r="B7" t="str">
            <v>Effective</v>
          </cell>
          <cell r="C7" t="str">
            <v>Commodity</v>
          </cell>
          <cell r="D7" t="str">
            <v>Demand</v>
          </cell>
          <cell r="E7" t="str">
            <v>TOP</v>
          </cell>
          <cell r="F7" t="str">
            <v>Transition</v>
          </cell>
          <cell r="G7" t="str">
            <v>BCOG</v>
          </cell>
          <cell r="H7" t="str">
            <v>CF</v>
          </cell>
          <cell r="I7" t="str">
            <v>RF</v>
          </cell>
          <cell r="J7" t="str">
            <v>PBRRF</v>
          </cell>
          <cell r="K7" t="str">
            <v>GCA</v>
          </cell>
          <cell r="L7" t="str">
            <v>HLF</v>
          </cell>
        </row>
        <row r="8">
          <cell r="A8" t="str">
            <v>95-010</v>
          </cell>
          <cell r="B8">
            <v>34943</v>
          </cell>
          <cell r="C8">
            <v>1.6283000000000001</v>
          </cell>
          <cell r="D8">
            <v>0.28760000000000002</v>
          </cell>
          <cell r="E8">
            <v>8.2000000000000007E-3</v>
          </cell>
          <cell r="F8">
            <v>0.13819999999999999</v>
          </cell>
          <cell r="G8">
            <v>2.6513</v>
          </cell>
          <cell r="H8">
            <v>2.86E-2</v>
          </cell>
          <cell r="I8">
            <v>-0.26279999999999998</v>
          </cell>
          <cell r="K8">
            <v>-0.82319999999999993</v>
          </cell>
          <cell r="L8">
            <v>5.5145</v>
          </cell>
          <cell r="M8">
            <v>2.0623</v>
          </cell>
          <cell r="N8" t="str">
            <v>I</v>
          </cell>
          <cell r="O8" t="str">
            <v>I</v>
          </cell>
          <cell r="P8" t="str">
            <v>R</v>
          </cell>
          <cell r="Q8" t="str">
            <v>N</v>
          </cell>
          <cell r="R8" t="str">
            <v>R</v>
          </cell>
          <cell r="S8" t="str">
            <v>I</v>
          </cell>
        </row>
        <row r="9">
          <cell r="A9" t="str">
            <v>95-010 A</v>
          </cell>
          <cell r="B9">
            <v>34999</v>
          </cell>
          <cell r="C9" t="str">
            <v>NA</v>
          </cell>
          <cell r="D9" t="str">
            <v>NA</v>
          </cell>
          <cell r="E9" t="str">
            <v>NA</v>
          </cell>
          <cell r="F9" t="str">
            <v>NA</v>
          </cell>
          <cell r="G9" t="str">
            <v>NA</v>
          </cell>
          <cell r="H9" t="str">
            <v>NA</v>
          </cell>
          <cell r="I9" t="str">
            <v>NA</v>
          </cell>
          <cell r="K9" t="str">
            <v>NA</v>
          </cell>
          <cell r="L9" t="str">
            <v>NA</v>
          </cell>
          <cell r="M9">
            <v>0</v>
          </cell>
          <cell r="N9" t="str">
            <v>R</v>
          </cell>
          <cell r="O9" t="str">
            <v>R</v>
          </cell>
          <cell r="P9" t="str">
            <v>I</v>
          </cell>
          <cell r="Q9" t="str">
            <v>N</v>
          </cell>
          <cell r="R9" t="str">
            <v>I</v>
          </cell>
          <cell r="S9" t="str">
            <v>R</v>
          </cell>
        </row>
        <row r="10">
          <cell r="A10" t="str">
            <v>95-010 B</v>
          </cell>
          <cell r="B10">
            <v>35004</v>
          </cell>
          <cell r="C10">
            <v>1.9550000000000001</v>
          </cell>
          <cell r="D10">
            <v>0.28760000000000002</v>
          </cell>
          <cell r="E10">
            <v>8.2000000000000007E-3</v>
          </cell>
          <cell r="F10">
            <v>7.7499999999999999E-2</v>
          </cell>
          <cell r="G10">
            <v>2.6513</v>
          </cell>
          <cell r="H10">
            <v>-0.16750000000000001</v>
          </cell>
          <cell r="I10">
            <v>-0.21329999999999999</v>
          </cell>
          <cell r="K10">
            <v>-0.70379999999999998</v>
          </cell>
          <cell r="L10">
            <v>5.6445999999999996</v>
          </cell>
          <cell r="M10">
            <v>2.3283</v>
          </cell>
          <cell r="N10" t="str">
            <v>I</v>
          </cell>
          <cell r="O10" t="str">
            <v>R</v>
          </cell>
          <cell r="P10" t="str">
            <v>R</v>
          </cell>
          <cell r="Q10" t="str">
            <v>N</v>
          </cell>
          <cell r="R10" t="str">
            <v>R</v>
          </cell>
          <cell r="S10" t="str">
            <v>I</v>
          </cell>
        </row>
        <row r="11">
          <cell r="A11" t="str">
            <v>95-010 C</v>
          </cell>
          <cell r="B11">
            <v>35034</v>
          </cell>
          <cell r="C11">
            <v>2.0304000000000002</v>
          </cell>
          <cell r="D11">
            <v>0.28760000000000002</v>
          </cell>
          <cell r="E11">
            <v>8.2000000000000007E-3</v>
          </cell>
          <cell r="F11">
            <v>7.46E-2</v>
          </cell>
          <cell r="G11">
            <v>2.6513</v>
          </cell>
          <cell r="H11">
            <v>-0.16750000000000001</v>
          </cell>
          <cell r="I11">
            <v>-0.216</v>
          </cell>
          <cell r="K11">
            <v>-0.63399999999999967</v>
          </cell>
          <cell r="L11">
            <v>5.6445999999999996</v>
          </cell>
          <cell r="M11">
            <v>2.4008000000000003</v>
          </cell>
          <cell r="N11" t="str">
            <v>I</v>
          </cell>
          <cell r="O11" t="str">
            <v>N</v>
          </cell>
          <cell r="P11" t="str">
            <v>R</v>
          </cell>
          <cell r="Q11" t="str">
            <v>N</v>
          </cell>
          <cell r="R11" t="str">
            <v>I</v>
          </cell>
          <cell r="S11" t="str">
            <v>N</v>
          </cell>
        </row>
        <row r="12">
          <cell r="A12" t="str">
            <v>95-010 D</v>
          </cell>
          <cell r="B12">
            <v>35065</v>
          </cell>
          <cell r="C12">
            <v>2.1781000000000001</v>
          </cell>
          <cell r="D12">
            <v>0.28410000000000002</v>
          </cell>
          <cell r="E12">
            <v>8.2000000000000007E-3</v>
          </cell>
          <cell r="F12">
            <v>7.46E-2</v>
          </cell>
          <cell r="G12">
            <v>2.6513</v>
          </cell>
          <cell r="H12">
            <v>-0.16750000000000001</v>
          </cell>
          <cell r="I12">
            <v>-0.216</v>
          </cell>
          <cell r="K12">
            <v>-0.48980000000000007</v>
          </cell>
          <cell r="L12">
            <v>5.5761000000000003</v>
          </cell>
          <cell r="M12">
            <v>2.5449999999999999</v>
          </cell>
          <cell r="N12" t="str">
            <v>I</v>
          </cell>
          <cell r="O12" t="str">
            <v>N</v>
          </cell>
          <cell r="P12" t="str">
            <v>N</v>
          </cell>
          <cell r="Q12" t="str">
            <v>N</v>
          </cell>
          <cell r="R12" t="str">
            <v>I</v>
          </cell>
          <cell r="S12" t="str">
            <v>R</v>
          </cell>
        </row>
        <row r="13">
          <cell r="A13" t="str">
            <v>95-010 E</v>
          </cell>
          <cell r="B13">
            <v>35096</v>
          </cell>
          <cell r="C13">
            <v>2.5087000000000002</v>
          </cell>
          <cell r="D13">
            <v>0.28820000000000001</v>
          </cell>
          <cell r="E13">
            <v>0</v>
          </cell>
          <cell r="F13">
            <v>6.3200000000000006E-2</v>
          </cell>
          <cell r="G13">
            <v>2.6513</v>
          </cell>
          <cell r="H13">
            <v>-0.16750000000000001</v>
          </cell>
          <cell r="I13">
            <v>-0.1249</v>
          </cell>
          <cell r="K13">
            <v>-8.3599999999999897E-2</v>
          </cell>
          <cell r="L13">
            <v>5.6570999999999998</v>
          </cell>
          <cell r="M13">
            <v>2.8601000000000001</v>
          </cell>
          <cell r="N13" t="str">
            <v>I</v>
          </cell>
          <cell r="O13" t="str">
            <v>N</v>
          </cell>
          <cell r="P13" t="str">
            <v>I</v>
          </cell>
          <cell r="Q13" t="str">
            <v>N</v>
          </cell>
          <cell r="R13" t="str">
            <v>I</v>
          </cell>
          <cell r="S13" t="str">
            <v>I</v>
          </cell>
        </row>
        <row r="14">
          <cell r="A14" t="str">
            <v>95-010 F</v>
          </cell>
          <cell r="B14">
            <v>35125</v>
          </cell>
          <cell r="C14">
            <v>2.2099000000000002</v>
          </cell>
          <cell r="D14">
            <v>0.28870000000000001</v>
          </cell>
          <cell r="E14">
            <v>0</v>
          </cell>
          <cell r="F14">
            <v>6.3200000000000006E-2</v>
          </cell>
          <cell r="G14">
            <v>2.6513</v>
          </cell>
          <cell r="H14">
            <v>-0.16750000000000001</v>
          </cell>
          <cell r="I14">
            <v>-0.1249</v>
          </cell>
          <cell r="K14">
            <v>-0.38189999999999968</v>
          </cell>
          <cell r="L14">
            <v>5.6666999999999996</v>
          </cell>
          <cell r="M14">
            <v>2.5618000000000003</v>
          </cell>
          <cell r="N14" t="str">
            <v>R</v>
          </cell>
          <cell r="O14" t="str">
            <v>N</v>
          </cell>
          <cell r="P14" t="str">
            <v>N</v>
          </cell>
          <cell r="Q14" t="str">
            <v>N</v>
          </cell>
          <cell r="R14" t="str">
            <v>R</v>
          </cell>
          <cell r="S14" t="str">
            <v>I</v>
          </cell>
        </row>
        <row r="15">
          <cell r="A15" t="str">
            <v>95-010 G</v>
          </cell>
          <cell r="B15">
            <v>35156</v>
          </cell>
          <cell r="C15">
            <v>2.9235000000000002</v>
          </cell>
          <cell r="D15">
            <v>0.27360000000000001</v>
          </cell>
          <cell r="E15">
            <v>0</v>
          </cell>
          <cell r="F15">
            <v>6.6400000000000001E-2</v>
          </cell>
          <cell r="G15">
            <v>2.6513</v>
          </cell>
          <cell r="H15">
            <v>-0.121</v>
          </cell>
          <cell r="I15">
            <v>-9.0499999999999997E-2</v>
          </cell>
          <cell r="K15">
            <v>0.40070000000000006</v>
          </cell>
          <cell r="L15">
            <v>5.5183</v>
          </cell>
          <cell r="M15">
            <v>3.2635000000000001</v>
          </cell>
          <cell r="N15" t="str">
            <v>I</v>
          </cell>
          <cell r="O15" t="str">
            <v>I</v>
          </cell>
          <cell r="P15" t="str">
            <v>I</v>
          </cell>
          <cell r="Q15" t="str">
            <v>N</v>
          </cell>
          <cell r="R15" t="str">
            <v>I</v>
          </cell>
          <cell r="S15" t="str">
            <v>R</v>
          </cell>
        </row>
        <row r="16">
          <cell r="A16" t="str">
            <v>95-010 H</v>
          </cell>
          <cell r="B16">
            <v>35186</v>
          </cell>
          <cell r="C16">
            <v>3.2216</v>
          </cell>
          <cell r="D16">
            <v>0.2432</v>
          </cell>
          <cell r="E16">
            <v>0</v>
          </cell>
          <cell r="F16">
            <v>6.6400000000000001E-2</v>
          </cell>
          <cell r="G16">
            <v>2.6513</v>
          </cell>
          <cell r="H16">
            <v>-0.121</v>
          </cell>
          <cell r="I16">
            <v>-9.0499999999999997E-2</v>
          </cell>
          <cell r="K16">
            <v>0.66839999999999966</v>
          </cell>
          <cell r="L16">
            <v>4.9048999999999996</v>
          </cell>
          <cell r="M16">
            <v>3.5311999999999997</v>
          </cell>
          <cell r="N16" t="str">
            <v>I</v>
          </cell>
          <cell r="O16" t="str">
            <v>N</v>
          </cell>
          <cell r="P16" t="str">
            <v>N</v>
          </cell>
          <cell r="Q16" t="str">
            <v>N</v>
          </cell>
          <cell r="R16" t="str">
            <v>I</v>
          </cell>
          <cell r="S16" t="str">
            <v>R</v>
          </cell>
        </row>
        <row r="17">
          <cell r="A17" t="str">
            <v>95-010 I</v>
          </cell>
          <cell r="B17">
            <v>35217</v>
          </cell>
          <cell r="C17">
            <v>2.7440000000000002</v>
          </cell>
          <cell r="D17">
            <v>0.22789999999999999</v>
          </cell>
          <cell r="E17">
            <v>0</v>
          </cell>
          <cell r="F17">
            <v>4.2099999999999999E-2</v>
          </cell>
          <cell r="G17">
            <v>3.4331</v>
          </cell>
          <cell r="H17">
            <v>-0.121</v>
          </cell>
          <cell r="I17">
            <v>-0.16889999999999999</v>
          </cell>
          <cell r="K17">
            <v>-0.70899999999999985</v>
          </cell>
          <cell r="L17">
            <v>4.5968999999999998</v>
          </cell>
          <cell r="M17">
            <v>3.0140000000000002</v>
          </cell>
          <cell r="N17" t="str">
            <v>R</v>
          </cell>
          <cell r="O17" t="str">
            <v>N</v>
          </cell>
          <cell r="P17" t="str">
            <v>R</v>
          </cell>
          <cell r="Q17" t="str">
            <v>N</v>
          </cell>
          <cell r="R17" t="str">
            <v>R</v>
          </cell>
          <cell r="S17" t="str">
            <v>R</v>
          </cell>
        </row>
        <row r="18">
          <cell r="A18" t="str">
            <v>95-010 J</v>
          </cell>
          <cell r="B18">
            <v>35247</v>
          </cell>
          <cell r="C18">
            <v>2.6507999999999998</v>
          </cell>
          <cell r="D18">
            <v>0.2266</v>
          </cell>
          <cell r="E18">
            <v>0</v>
          </cell>
          <cell r="F18">
            <v>4.3499999999999997E-2</v>
          </cell>
          <cell r="G18">
            <v>3.4331</v>
          </cell>
          <cell r="H18">
            <v>-0.121</v>
          </cell>
          <cell r="I18">
            <v>-0.1172</v>
          </cell>
          <cell r="K18">
            <v>-0.7504000000000004</v>
          </cell>
          <cell r="L18">
            <v>4.5693999999999999</v>
          </cell>
          <cell r="M18">
            <v>2.9208999999999996</v>
          </cell>
          <cell r="N18" t="str">
            <v>R</v>
          </cell>
          <cell r="O18" t="str">
            <v>N</v>
          </cell>
          <cell r="P18" t="str">
            <v>I</v>
          </cell>
          <cell r="Q18" t="str">
            <v>N</v>
          </cell>
          <cell r="R18" t="str">
            <v>R</v>
          </cell>
          <cell r="S18" t="str">
            <v>R</v>
          </cell>
        </row>
        <row r="19">
          <cell r="A19" t="str">
            <v>95-010 K</v>
          </cell>
          <cell r="B19">
            <v>35278</v>
          </cell>
          <cell r="C19">
            <v>2.8601999999999999</v>
          </cell>
          <cell r="D19">
            <v>0.22600000000000001</v>
          </cell>
          <cell r="E19">
            <v>0</v>
          </cell>
          <cell r="F19">
            <v>4.3499999999999997E-2</v>
          </cell>
          <cell r="G19">
            <v>3.4331</v>
          </cell>
          <cell r="H19">
            <v>-0.121</v>
          </cell>
          <cell r="I19">
            <v>-0.1172</v>
          </cell>
          <cell r="K19">
            <v>-0.5416000000000003</v>
          </cell>
          <cell r="L19">
            <v>4.5575000000000001</v>
          </cell>
          <cell r="M19">
            <v>3.1296999999999997</v>
          </cell>
          <cell r="N19" t="str">
            <v>I</v>
          </cell>
          <cell r="O19" t="str">
            <v>N</v>
          </cell>
          <cell r="P19" t="str">
            <v>N</v>
          </cell>
          <cell r="Q19" t="str">
            <v>N</v>
          </cell>
          <cell r="R19" t="str">
            <v>I</v>
          </cell>
          <cell r="S19" t="str">
            <v>R</v>
          </cell>
        </row>
        <row r="20">
          <cell r="A20" t="str">
            <v>95-010 L</v>
          </cell>
          <cell r="B20">
            <v>35309</v>
          </cell>
          <cell r="C20">
            <v>2.4763999999999999</v>
          </cell>
          <cell r="D20">
            <v>0.23350000000000001</v>
          </cell>
          <cell r="E20">
            <v>0</v>
          </cell>
          <cell r="F20">
            <v>4.7500000000000001E-2</v>
          </cell>
          <cell r="G20">
            <v>3.4331</v>
          </cell>
          <cell r="H20">
            <v>-0.121</v>
          </cell>
          <cell r="I20">
            <v>-8.4899999999999989E-2</v>
          </cell>
          <cell r="K20">
            <v>-0.88160000000000038</v>
          </cell>
          <cell r="L20">
            <v>4.7096</v>
          </cell>
          <cell r="M20">
            <v>2.7573999999999996</v>
          </cell>
          <cell r="N20" t="str">
            <v>R</v>
          </cell>
          <cell r="O20" t="str">
            <v>N</v>
          </cell>
          <cell r="P20" t="str">
            <v>I</v>
          </cell>
          <cell r="Q20" t="str">
            <v>N</v>
          </cell>
          <cell r="R20" t="str">
            <v>R</v>
          </cell>
          <cell r="S20" t="str">
            <v>I</v>
          </cell>
        </row>
        <row r="21">
          <cell r="A21" t="str">
            <v>95-010 M</v>
          </cell>
          <cell r="B21">
            <v>35339</v>
          </cell>
          <cell r="C21">
            <v>2.3786999999999998</v>
          </cell>
          <cell r="D21">
            <v>0.2336</v>
          </cell>
          <cell r="E21">
            <v>0</v>
          </cell>
          <cell r="F21">
            <v>4.99E-2</v>
          </cell>
          <cell r="G21">
            <v>3.4331</v>
          </cell>
          <cell r="H21">
            <v>-3.3999999999999998E-3</v>
          </cell>
          <cell r="I21">
            <v>-8.4900000000000003E-2</v>
          </cell>
          <cell r="K21">
            <v>-0.85919999999999996</v>
          </cell>
          <cell r="L21">
            <v>4.7243000000000004</v>
          </cell>
          <cell r="M21">
            <v>2.6621999999999999</v>
          </cell>
          <cell r="N21" t="str">
            <v>R</v>
          </cell>
          <cell r="O21" t="str">
            <v>I</v>
          </cell>
          <cell r="P21" t="str">
            <v>N</v>
          </cell>
          <cell r="Q21" t="str">
            <v>N</v>
          </cell>
          <cell r="R21" t="str">
            <v>I</v>
          </cell>
          <cell r="S21" t="str">
            <v>I</v>
          </cell>
        </row>
        <row r="22">
          <cell r="A22" t="str">
            <v>95-010 N</v>
          </cell>
          <cell r="B22">
            <v>35370</v>
          </cell>
          <cell r="C22">
            <v>2.4285999999999999</v>
          </cell>
          <cell r="D22">
            <v>0.22359999999999999</v>
          </cell>
          <cell r="E22">
            <v>0</v>
          </cell>
          <cell r="F22">
            <v>4.9799999999999997E-2</v>
          </cell>
          <cell r="G22">
            <v>3.4331</v>
          </cell>
          <cell r="H22">
            <v>-3.3999999999999998E-3</v>
          </cell>
          <cell r="I22">
            <v>-7.8299999999999995E-2</v>
          </cell>
          <cell r="K22">
            <v>-0.81280000000000052</v>
          </cell>
          <cell r="L22">
            <v>4.5213999999999999</v>
          </cell>
          <cell r="M22">
            <v>2.7019999999999995</v>
          </cell>
          <cell r="N22" t="str">
            <v>I</v>
          </cell>
          <cell r="O22" t="str">
            <v>N</v>
          </cell>
          <cell r="P22" t="str">
            <v>I</v>
          </cell>
          <cell r="Q22" t="str">
            <v>N</v>
          </cell>
          <cell r="R22" t="str">
            <v>I</v>
          </cell>
          <cell r="S22" t="str">
            <v>R</v>
          </cell>
        </row>
        <row r="23">
          <cell r="A23" t="str">
            <v>95-010 O</v>
          </cell>
          <cell r="B23">
            <v>35400</v>
          </cell>
          <cell r="C23">
            <v>2.8285</v>
          </cell>
          <cell r="D23">
            <v>0.21629999999999999</v>
          </cell>
          <cell r="E23">
            <v>0</v>
          </cell>
          <cell r="F23">
            <v>4.9799999999999997E-2</v>
          </cell>
          <cell r="G23">
            <v>3.4331</v>
          </cell>
          <cell r="H23">
            <v>-3.3999999999999998E-3</v>
          </cell>
          <cell r="I23">
            <v>-7.5600000000000001E-2</v>
          </cell>
          <cell r="K23">
            <v>-0.41749999999999998</v>
          </cell>
          <cell r="L23">
            <v>4.375</v>
          </cell>
          <cell r="M23">
            <v>3.0945999999999998</v>
          </cell>
          <cell r="N23" t="str">
            <v>I</v>
          </cell>
          <cell r="O23" t="str">
            <v>N</v>
          </cell>
          <cell r="P23" t="str">
            <v>I</v>
          </cell>
          <cell r="Q23" t="str">
            <v>N</v>
          </cell>
          <cell r="R23" t="str">
            <v>I</v>
          </cell>
          <cell r="S23" t="str">
            <v>R</v>
          </cell>
        </row>
        <row r="24">
          <cell r="A24" t="str">
            <v>95-010 P</v>
          </cell>
          <cell r="B24">
            <v>35431</v>
          </cell>
          <cell r="C24">
            <v>3.1322999999999999</v>
          </cell>
          <cell r="D24">
            <v>0.21629999999999999</v>
          </cell>
          <cell r="E24">
            <v>0</v>
          </cell>
          <cell r="F24">
            <v>6.1899999999999997E-2</v>
          </cell>
          <cell r="G24">
            <v>3.4331</v>
          </cell>
          <cell r="H24">
            <v>-3.3999999999999998E-3</v>
          </cell>
          <cell r="I24">
            <v>-7.5600000000000001E-2</v>
          </cell>
          <cell r="K24">
            <v>-0.10160000000000018</v>
          </cell>
          <cell r="L24">
            <v>4.375</v>
          </cell>
          <cell r="M24">
            <v>3.4104999999999999</v>
          </cell>
          <cell r="N24" t="str">
            <v>I</v>
          </cell>
          <cell r="O24" t="str">
            <v>N</v>
          </cell>
          <cell r="P24" t="str">
            <v>N</v>
          </cell>
          <cell r="Q24" t="str">
            <v>N</v>
          </cell>
          <cell r="R24" t="str">
            <v>I</v>
          </cell>
          <cell r="S24" t="str">
            <v>N</v>
          </cell>
        </row>
        <row r="25">
          <cell r="A25" t="str">
            <v>95-010 Q</v>
          </cell>
          <cell r="B25">
            <v>35462</v>
          </cell>
          <cell r="C25">
            <v>3.1871999999999998</v>
          </cell>
          <cell r="D25">
            <v>0.21629999999999999</v>
          </cell>
          <cell r="E25">
            <v>0</v>
          </cell>
          <cell r="F25">
            <v>6.1800000000000001E-2</v>
          </cell>
          <cell r="G25">
            <v>3.4331</v>
          </cell>
          <cell r="H25">
            <v>-3.3999999999999998E-3</v>
          </cell>
          <cell r="I25">
            <v>-7.5600000000000001E-2</v>
          </cell>
          <cell r="K25">
            <v>-4.6800000000000438E-2</v>
          </cell>
          <cell r="L25">
            <v>4.375</v>
          </cell>
          <cell r="M25">
            <v>3.4652999999999996</v>
          </cell>
          <cell r="N25" t="str">
            <v>I</v>
          </cell>
          <cell r="O25" t="str">
            <v>N</v>
          </cell>
          <cell r="P25" t="str">
            <v>N</v>
          </cell>
          <cell r="Q25" t="str">
            <v>N</v>
          </cell>
          <cell r="R25" t="str">
            <v>I</v>
          </cell>
          <cell r="S25" t="str">
            <v>N</v>
          </cell>
        </row>
        <row r="26">
          <cell r="A26" t="str">
            <v>95-010 R</v>
          </cell>
          <cell r="B26">
            <v>35490</v>
          </cell>
          <cell r="C26">
            <v>2.7440000000000002</v>
          </cell>
          <cell r="D26">
            <v>0.21640000000000001</v>
          </cell>
          <cell r="E26">
            <v>0</v>
          </cell>
          <cell r="F26">
            <v>6.1800000000000001E-2</v>
          </cell>
          <cell r="G26">
            <v>3.4331</v>
          </cell>
          <cell r="H26">
            <v>-3.3999999999999998E-3</v>
          </cell>
          <cell r="I26">
            <v>-7.5600000000000001E-2</v>
          </cell>
          <cell r="K26">
            <v>-0.48989999999999984</v>
          </cell>
          <cell r="L26">
            <v>4.3760000000000003</v>
          </cell>
          <cell r="M26">
            <v>3.0222000000000002</v>
          </cell>
          <cell r="N26" t="str">
            <v>R</v>
          </cell>
          <cell r="O26" t="str">
            <v>N</v>
          </cell>
          <cell r="P26" t="str">
            <v>N</v>
          </cell>
          <cell r="Q26" t="str">
            <v>N</v>
          </cell>
          <cell r="R26" t="str">
            <v>R</v>
          </cell>
          <cell r="S26" t="str">
            <v>I</v>
          </cell>
        </row>
        <row r="27">
          <cell r="A27" t="str">
            <v>95-010 S</v>
          </cell>
          <cell r="B27">
            <v>35521</v>
          </cell>
          <cell r="C27">
            <v>2.1516000000000002</v>
          </cell>
          <cell r="D27">
            <v>0.2122</v>
          </cell>
          <cell r="E27">
            <v>0</v>
          </cell>
          <cell r="F27">
            <v>6.1800000000000001E-2</v>
          </cell>
          <cell r="G27">
            <v>3.4331</v>
          </cell>
          <cell r="H27">
            <v>9.3799999999999994E-2</v>
          </cell>
          <cell r="I27">
            <v>-7.5600000000000001E-2</v>
          </cell>
          <cell r="K27">
            <v>-0.98929999999999985</v>
          </cell>
          <cell r="L27">
            <v>4.2912999999999997</v>
          </cell>
          <cell r="M27">
            <v>2.4256000000000002</v>
          </cell>
          <cell r="N27" t="str">
            <v>R</v>
          </cell>
          <cell r="O27" t="str">
            <v>I</v>
          </cell>
          <cell r="P27" t="str">
            <v>N</v>
          </cell>
          <cell r="Q27" t="str">
            <v>N</v>
          </cell>
          <cell r="R27" t="str">
            <v>R</v>
          </cell>
          <cell r="S27" t="str">
            <v>R</v>
          </cell>
        </row>
        <row r="28">
          <cell r="A28" t="str">
            <v>95-010 T</v>
          </cell>
          <cell r="B28">
            <v>35551</v>
          </cell>
          <cell r="C28">
            <v>1.9819</v>
          </cell>
          <cell r="D28">
            <v>0.2122</v>
          </cell>
          <cell r="E28">
            <v>0</v>
          </cell>
          <cell r="F28">
            <v>6.1800000000000001E-2</v>
          </cell>
          <cell r="G28">
            <v>3.4331</v>
          </cell>
          <cell r="H28">
            <v>9.3799999999999994E-2</v>
          </cell>
          <cell r="I28">
            <v>-7.5600000000000001E-2</v>
          </cell>
          <cell r="K28">
            <v>-1.159</v>
          </cell>
          <cell r="L28">
            <v>4.2912999999999997</v>
          </cell>
          <cell r="M28">
            <v>2.2559</v>
          </cell>
          <cell r="N28" t="str">
            <v>R</v>
          </cell>
          <cell r="O28" t="str">
            <v>N</v>
          </cell>
          <cell r="P28" t="str">
            <v>N</v>
          </cell>
          <cell r="Q28" t="str">
            <v>N</v>
          </cell>
          <cell r="R28" t="str">
            <v>R</v>
          </cell>
          <cell r="S28" t="str">
            <v>N</v>
          </cell>
        </row>
        <row r="29">
          <cell r="A29" t="str">
            <v>95-010 U</v>
          </cell>
          <cell r="B29">
            <v>35582</v>
          </cell>
          <cell r="C29">
            <v>2.2673999999999999</v>
          </cell>
          <cell r="D29">
            <v>0.22550000000000001</v>
          </cell>
          <cell r="E29">
            <v>0</v>
          </cell>
          <cell r="F29">
            <v>5.2900000000000003E-2</v>
          </cell>
          <cell r="G29">
            <v>3.4331</v>
          </cell>
          <cell r="H29">
            <v>9.3799999999999994E-2</v>
          </cell>
          <cell r="I29">
            <v>-4.8799999999999996E-2</v>
          </cell>
          <cell r="K29">
            <v>-0.84230000000000016</v>
          </cell>
          <cell r="L29">
            <v>4.5613000000000001</v>
          </cell>
          <cell r="M29">
            <v>2.5457999999999998</v>
          </cell>
          <cell r="N29" t="str">
            <v>I</v>
          </cell>
          <cell r="O29" t="str">
            <v>N</v>
          </cell>
          <cell r="P29" t="str">
            <v>I</v>
          </cell>
          <cell r="Q29" t="str">
            <v>N</v>
          </cell>
          <cell r="R29" t="str">
            <v>I</v>
          </cell>
          <cell r="S29" t="str">
            <v>I</v>
          </cell>
        </row>
        <row r="30">
          <cell r="A30" t="str">
            <v>95-010 V</v>
          </cell>
          <cell r="B30">
            <v>35612</v>
          </cell>
          <cell r="C30">
            <v>2.4232</v>
          </cell>
          <cell r="D30">
            <v>0.22550000000000001</v>
          </cell>
          <cell r="E30">
            <v>0</v>
          </cell>
          <cell r="F30">
            <v>5.2900000000000003E-2</v>
          </cell>
          <cell r="G30">
            <v>3.4331</v>
          </cell>
          <cell r="H30">
            <v>9.3799999999999994E-2</v>
          </cell>
          <cell r="I30">
            <v>-4.5299999999999993E-2</v>
          </cell>
          <cell r="K30">
            <v>-0.68300000000000005</v>
          </cell>
          <cell r="L30">
            <v>4.5613000000000001</v>
          </cell>
          <cell r="M30">
            <v>2.7016</v>
          </cell>
          <cell r="N30" t="str">
            <v>I</v>
          </cell>
          <cell r="O30" t="str">
            <v>N</v>
          </cell>
          <cell r="P30" t="str">
            <v>I</v>
          </cell>
          <cell r="Q30" t="str">
            <v>N</v>
          </cell>
          <cell r="R30" t="str">
            <v>I</v>
          </cell>
          <cell r="S30" t="str">
            <v>N</v>
          </cell>
        </row>
        <row r="31">
          <cell r="A31" t="str">
            <v>95-010 W</v>
          </cell>
          <cell r="B31">
            <v>35643</v>
          </cell>
          <cell r="C31">
            <v>2.6347999999999998</v>
          </cell>
          <cell r="D31">
            <v>0.2631</v>
          </cell>
          <cell r="E31">
            <v>0</v>
          </cell>
          <cell r="F31">
            <v>5.1999999999999998E-2</v>
          </cell>
          <cell r="G31">
            <v>3.4331</v>
          </cell>
          <cell r="H31">
            <v>9.3799999999999994E-2</v>
          </cell>
          <cell r="I31">
            <v>-4.5299999999999993E-2</v>
          </cell>
          <cell r="K31">
            <v>-0.43470000000000009</v>
          </cell>
          <cell r="L31">
            <v>5.3216000000000001</v>
          </cell>
          <cell r="M31">
            <v>2.9499</v>
          </cell>
          <cell r="N31" t="str">
            <v>I</v>
          </cell>
          <cell r="O31" t="str">
            <v>N</v>
          </cell>
          <cell r="P31" t="str">
            <v>N</v>
          </cell>
          <cell r="Q31" t="str">
            <v>N</v>
          </cell>
          <cell r="R31" t="str">
            <v>I</v>
          </cell>
          <cell r="S31" t="str">
            <v>I</v>
          </cell>
        </row>
        <row r="32">
          <cell r="A32" t="str">
            <v>95-010 X</v>
          </cell>
          <cell r="B32">
            <v>35674</v>
          </cell>
          <cell r="C32">
            <v>2.6177999999999999</v>
          </cell>
          <cell r="D32">
            <v>0.2225</v>
          </cell>
          <cell r="E32">
            <v>0</v>
          </cell>
          <cell r="F32">
            <v>5.1999999999999998E-2</v>
          </cell>
          <cell r="G32">
            <v>3.4331</v>
          </cell>
          <cell r="H32">
            <v>9.3799999999999994E-2</v>
          </cell>
          <cell r="I32">
            <v>-4.5299999999999993E-2</v>
          </cell>
          <cell r="K32">
            <v>-0.49229999999999996</v>
          </cell>
          <cell r="L32">
            <v>4.5003000000000002</v>
          </cell>
          <cell r="M32">
            <v>2.8923000000000001</v>
          </cell>
          <cell r="N32" t="str">
            <v>R</v>
          </cell>
          <cell r="O32" t="str">
            <v>N</v>
          </cell>
          <cell r="P32" t="str">
            <v>N</v>
          </cell>
          <cell r="Q32" t="str">
            <v>N</v>
          </cell>
          <cell r="R32" t="str">
            <v>R</v>
          </cell>
          <cell r="S32" t="str">
            <v>R</v>
          </cell>
        </row>
        <row r="33">
          <cell r="A33" t="str">
            <v>95-010 Y</v>
          </cell>
          <cell r="B33">
            <v>35704</v>
          </cell>
          <cell r="C33">
            <v>2.8130000000000002</v>
          </cell>
          <cell r="D33">
            <v>0.2225</v>
          </cell>
          <cell r="E33">
            <v>0</v>
          </cell>
          <cell r="F33">
            <v>5.9200000000000003E-2</v>
          </cell>
          <cell r="G33">
            <v>3.4331</v>
          </cell>
          <cell r="H33">
            <v>0.1211</v>
          </cell>
          <cell r="I33">
            <v>-4.5299999999999993E-2</v>
          </cell>
          <cell r="K33">
            <v>-0.26259999999999961</v>
          </cell>
          <cell r="L33">
            <v>4.7756999999999996</v>
          </cell>
          <cell r="M33">
            <v>3.0947000000000005</v>
          </cell>
          <cell r="N33" t="str">
            <v>I</v>
          </cell>
          <cell r="O33" t="str">
            <v>I</v>
          </cell>
          <cell r="P33" t="str">
            <v>N</v>
          </cell>
          <cell r="Q33" t="str">
            <v>N</v>
          </cell>
          <cell r="R33" t="str">
            <v>I</v>
          </cell>
          <cell r="S33" t="str">
            <v>I</v>
          </cell>
        </row>
        <row r="34">
          <cell r="A34" t="str">
            <v>95-010 Z</v>
          </cell>
          <cell r="B34">
            <v>35735</v>
          </cell>
          <cell r="C34">
            <v>3.9502000000000002</v>
          </cell>
          <cell r="D34">
            <v>0.2225</v>
          </cell>
          <cell r="E34">
            <v>0</v>
          </cell>
          <cell r="F34">
            <v>5.9200000000000003E-2</v>
          </cell>
          <cell r="G34">
            <v>3.4331</v>
          </cell>
          <cell r="H34">
            <v>0.1211</v>
          </cell>
          <cell r="I34">
            <v>-5.1899999999999995E-2</v>
          </cell>
          <cell r="K34">
            <v>0.86799999999999955</v>
          </cell>
          <cell r="L34">
            <v>4.7756999999999996</v>
          </cell>
          <cell r="M34">
            <v>4.2318999999999996</v>
          </cell>
          <cell r="N34" t="str">
            <v>I</v>
          </cell>
          <cell r="O34" t="str">
            <v>N</v>
          </cell>
          <cell r="P34" t="str">
            <v>R</v>
          </cell>
          <cell r="Q34" t="str">
            <v>N</v>
          </cell>
          <cell r="R34" t="str">
            <v>I</v>
          </cell>
          <cell r="S34" t="str">
            <v>N</v>
          </cell>
        </row>
        <row r="35">
          <cell r="A35" t="str">
            <v>95-010 AA</v>
          </cell>
          <cell r="B35">
            <v>35765</v>
          </cell>
          <cell r="C35">
            <v>3.9398</v>
          </cell>
          <cell r="D35">
            <v>0.2631</v>
          </cell>
          <cell r="E35">
            <v>0</v>
          </cell>
          <cell r="F35">
            <v>5.9200000000000003E-2</v>
          </cell>
          <cell r="G35">
            <v>3.4331</v>
          </cell>
          <cell r="H35">
            <v>0.1211</v>
          </cell>
          <cell r="I35">
            <v>-5.1899999999999995E-2</v>
          </cell>
          <cell r="K35">
            <v>0.89819999999999933</v>
          </cell>
          <cell r="L35">
            <v>5.6473000000000004</v>
          </cell>
          <cell r="M35">
            <v>4.2620999999999993</v>
          </cell>
          <cell r="N35" t="str">
            <v>I</v>
          </cell>
          <cell r="O35" t="str">
            <v>N</v>
          </cell>
          <cell r="P35" t="str">
            <v>N</v>
          </cell>
          <cell r="Q35" t="str">
            <v>N</v>
          </cell>
          <cell r="R35" t="str">
            <v>I</v>
          </cell>
          <cell r="S35" t="str">
            <v>I</v>
          </cell>
        </row>
        <row r="36">
          <cell r="A36" t="str">
            <v>95-010 BB</v>
          </cell>
          <cell r="B36">
            <v>35796</v>
          </cell>
          <cell r="C36">
            <v>3.0838000000000001</v>
          </cell>
          <cell r="D36">
            <v>0.2631</v>
          </cell>
          <cell r="E36">
            <v>0</v>
          </cell>
          <cell r="F36">
            <v>5.9200000000000003E-2</v>
          </cell>
          <cell r="G36">
            <v>3.4331</v>
          </cell>
          <cell r="H36">
            <v>0.1211</v>
          </cell>
          <cell r="I36">
            <v>-5.1899999999999995E-2</v>
          </cell>
          <cell r="K36">
            <v>4.2200000000000314E-2</v>
          </cell>
          <cell r="L36">
            <v>5.6473000000000004</v>
          </cell>
          <cell r="M36">
            <v>3.4061000000000003</v>
          </cell>
          <cell r="N36" t="str">
            <v>R</v>
          </cell>
          <cell r="O36" t="str">
            <v>N</v>
          </cell>
          <cell r="P36" t="str">
            <v>N</v>
          </cell>
          <cell r="Q36" t="str">
            <v>N</v>
          </cell>
          <cell r="R36" t="str">
            <v>R</v>
          </cell>
          <cell r="S36" t="str">
            <v>N</v>
          </cell>
        </row>
        <row r="37">
          <cell r="A37" t="str">
            <v>95-010 CC</v>
          </cell>
          <cell r="B37">
            <v>35827</v>
          </cell>
          <cell r="C37">
            <v>2.6434000000000002</v>
          </cell>
          <cell r="D37">
            <v>0.2631</v>
          </cell>
          <cell r="E37">
            <v>0</v>
          </cell>
          <cell r="F37">
            <v>5.9200000000000003E-2</v>
          </cell>
          <cell r="G37">
            <v>3.4331</v>
          </cell>
          <cell r="H37">
            <v>0.1211</v>
          </cell>
          <cell r="I37">
            <v>-5.3499999999999992E-2</v>
          </cell>
          <cell r="K37">
            <v>-0.3997999999999996</v>
          </cell>
          <cell r="L37">
            <v>5.6473000000000004</v>
          </cell>
          <cell r="M37">
            <v>2.9657000000000004</v>
          </cell>
          <cell r="N37" t="str">
            <v>R</v>
          </cell>
          <cell r="O37" t="str">
            <v>N</v>
          </cell>
          <cell r="P37" t="str">
            <v>R</v>
          </cell>
          <cell r="Q37" t="str">
            <v>N</v>
          </cell>
          <cell r="R37" t="str">
            <v>R</v>
          </cell>
          <cell r="S37" t="str">
            <v>N</v>
          </cell>
        </row>
        <row r="38">
          <cell r="A38" t="str">
            <v>95-010 DD</v>
          </cell>
          <cell r="B38">
            <v>35855</v>
          </cell>
          <cell r="C38">
            <v>2.4820000000000002</v>
          </cell>
          <cell r="D38">
            <v>0.23119999999999999</v>
          </cell>
          <cell r="E38">
            <v>0</v>
          </cell>
          <cell r="F38">
            <v>3.09E-2</v>
          </cell>
          <cell r="G38">
            <v>3.4331</v>
          </cell>
          <cell r="H38">
            <v>0.1211</v>
          </cell>
          <cell r="I38">
            <v>-5.3499999999999992E-2</v>
          </cell>
          <cell r="K38">
            <v>-0.62140000000000006</v>
          </cell>
          <cell r="L38">
            <v>4.9629000000000003</v>
          </cell>
          <cell r="M38">
            <v>2.7441</v>
          </cell>
          <cell r="N38" t="str">
            <v>R</v>
          </cell>
          <cell r="O38" t="str">
            <v>N</v>
          </cell>
          <cell r="P38" t="str">
            <v>N</v>
          </cell>
          <cell r="Q38" t="str">
            <v>N</v>
          </cell>
          <cell r="R38" t="str">
            <v>R</v>
          </cell>
          <cell r="S38" t="str">
            <v>R</v>
          </cell>
        </row>
        <row r="39">
          <cell r="A39" t="str">
            <v>95-010 EE</v>
          </cell>
          <cell r="B39">
            <v>35886</v>
          </cell>
          <cell r="C39">
            <v>2.5598000000000001</v>
          </cell>
          <cell r="D39">
            <v>0.21690000000000001</v>
          </cell>
          <cell r="E39">
            <v>0</v>
          </cell>
          <cell r="F39">
            <v>1.8599999999999998E-2</v>
          </cell>
          <cell r="G39">
            <v>3.4331</v>
          </cell>
          <cell r="H39">
            <v>-0.1147</v>
          </cell>
          <cell r="I39">
            <v>-5.3499999999999992E-2</v>
          </cell>
          <cell r="K39">
            <v>-0.80599999999999994</v>
          </cell>
          <cell r="L39">
            <v>4.6555999999999997</v>
          </cell>
          <cell r="M39">
            <v>2.7953000000000001</v>
          </cell>
          <cell r="N39" t="str">
            <v>I</v>
          </cell>
          <cell r="O39" t="str">
            <v>R</v>
          </cell>
          <cell r="P39" t="str">
            <v>N</v>
          </cell>
          <cell r="Q39" t="str">
            <v>N</v>
          </cell>
          <cell r="R39" t="str">
            <v>R</v>
          </cell>
          <cell r="S39" t="str">
            <v>R</v>
          </cell>
        </row>
        <row r="40">
          <cell r="A40" t="str">
            <v>95-010 FF</v>
          </cell>
          <cell r="B40">
            <v>35916</v>
          </cell>
          <cell r="C40">
            <v>2.7326000000000001</v>
          </cell>
          <cell r="D40">
            <v>0.21690000000000001</v>
          </cell>
          <cell r="E40">
            <v>0</v>
          </cell>
          <cell r="F40">
            <v>1.8599999999999998E-2</v>
          </cell>
          <cell r="G40">
            <v>3.4331</v>
          </cell>
          <cell r="H40">
            <v>-0.1147</v>
          </cell>
          <cell r="I40">
            <v>-5.3499999999999992E-2</v>
          </cell>
          <cell r="K40">
            <v>-0.63319999999999987</v>
          </cell>
          <cell r="L40">
            <v>4.6555999999999997</v>
          </cell>
          <cell r="M40">
            <v>2.9681000000000002</v>
          </cell>
          <cell r="N40" t="str">
            <v>I</v>
          </cell>
          <cell r="O40" t="str">
            <v>N</v>
          </cell>
          <cell r="P40" t="str">
            <v>N</v>
          </cell>
          <cell r="Q40" t="str">
            <v>N</v>
          </cell>
          <cell r="R40" t="str">
            <v>I</v>
          </cell>
          <cell r="S40" t="str">
            <v>N</v>
          </cell>
        </row>
        <row r="41">
          <cell r="A41" t="str">
            <v>95-010 GG</v>
          </cell>
          <cell r="B41">
            <v>35947</v>
          </cell>
          <cell r="C41">
            <v>2.8946999999999998</v>
          </cell>
          <cell r="D41">
            <v>0.21690000000000001</v>
          </cell>
          <cell r="E41">
            <v>0</v>
          </cell>
          <cell r="F41">
            <v>1.8599999999999998E-2</v>
          </cell>
          <cell r="G41">
            <v>3.4331</v>
          </cell>
          <cell r="H41">
            <v>-0.1147</v>
          </cell>
          <cell r="I41">
            <v>-1.9E-3</v>
          </cell>
          <cell r="K41">
            <v>-0.41950000000000021</v>
          </cell>
          <cell r="L41">
            <v>4.6555999999999997</v>
          </cell>
          <cell r="M41">
            <v>3.1301999999999999</v>
          </cell>
          <cell r="N41" t="str">
            <v>I</v>
          </cell>
          <cell r="O41" t="str">
            <v>N</v>
          </cell>
          <cell r="P41" t="str">
            <v>I</v>
          </cell>
          <cell r="Q41" t="str">
            <v>N</v>
          </cell>
          <cell r="R41" t="str">
            <v>I</v>
          </cell>
          <cell r="S41" t="str">
            <v>N</v>
          </cell>
        </row>
        <row r="42">
          <cell r="A42" t="str">
            <v>95-010 HH</v>
          </cell>
          <cell r="B42">
            <v>35977</v>
          </cell>
          <cell r="C42">
            <v>2.6385999999999998</v>
          </cell>
          <cell r="D42">
            <v>0.21690000000000001</v>
          </cell>
          <cell r="E42">
            <v>0</v>
          </cell>
          <cell r="F42">
            <v>1.8599999999999998E-2</v>
          </cell>
          <cell r="G42">
            <v>3.4331</v>
          </cell>
          <cell r="H42">
            <v>-0.1147</v>
          </cell>
          <cell r="I42">
            <v>-1.11E-2</v>
          </cell>
          <cell r="K42">
            <v>-0.68480000000000019</v>
          </cell>
          <cell r="L42">
            <v>4.6555999999999997</v>
          </cell>
          <cell r="M42">
            <v>2.8740999999999999</v>
          </cell>
          <cell r="N42" t="str">
            <v>R</v>
          </cell>
          <cell r="O42" t="str">
            <v>N</v>
          </cell>
          <cell r="P42" t="str">
            <v>R</v>
          </cell>
          <cell r="Q42" t="str">
            <v>N</v>
          </cell>
          <cell r="R42" t="str">
            <v>R</v>
          </cell>
          <cell r="S42" t="str">
            <v>N</v>
          </cell>
        </row>
        <row r="43">
          <cell r="A43" t="str">
            <v>95-010 II</v>
          </cell>
          <cell r="B43">
            <v>36008</v>
          </cell>
          <cell r="C43">
            <v>2.7168000000000001</v>
          </cell>
          <cell r="D43">
            <v>0.21690000000000001</v>
          </cell>
          <cell r="E43">
            <v>0</v>
          </cell>
          <cell r="F43">
            <v>1.8599999999999998E-2</v>
          </cell>
          <cell r="G43">
            <v>3.4331</v>
          </cell>
          <cell r="H43">
            <v>-0.1147</v>
          </cell>
          <cell r="I43">
            <v>-1.11E-2</v>
          </cell>
          <cell r="K43">
            <v>-0.60659999999999992</v>
          </cell>
          <cell r="L43">
            <v>4.6555999999999997</v>
          </cell>
          <cell r="M43">
            <v>2.9523000000000001</v>
          </cell>
          <cell r="N43" t="str">
            <v>I</v>
          </cell>
          <cell r="O43" t="str">
            <v>N</v>
          </cell>
          <cell r="P43" t="str">
            <v>N</v>
          </cell>
          <cell r="Q43" t="str">
            <v>N</v>
          </cell>
          <cell r="R43" t="str">
            <v>I</v>
          </cell>
          <cell r="S43" t="str">
            <v>N</v>
          </cell>
        </row>
        <row r="44">
          <cell r="A44" t="str">
            <v>95-010 JJ</v>
          </cell>
          <cell r="B44">
            <v>36039</v>
          </cell>
          <cell r="C44">
            <v>2.4003000000000001</v>
          </cell>
          <cell r="D44">
            <v>0.21690000000000001</v>
          </cell>
          <cell r="E44">
            <v>0</v>
          </cell>
          <cell r="F44">
            <v>1.8599999999999998E-2</v>
          </cell>
          <cell r="G44">
            <v>3.4331</v>
          </cell>
          <cell r="H44">
            <v>-0.1147</v>
          </cell>
          <cell r="I44">
            <v>-1.11E-2</v>
          </cell>
          <cell r="K44">
            <v>-0.92310000000000003</v>
          </cell>
          <cell r="L44">
            <v>4.6555999999999997</v>
          </cell>
          <cell r="M44">
            <v>2.6358000000000001</v>
          </cell>
          <cell r="N44" t="str">
            <v>R</v>
          </cell>
          <cell r="O44" t="str">
            <v>N</v>
          </cell>
          <cell r="P44" t="str">
            <v>N</v>
          </cell>
          <cell r="Q44" t="str">
            <v>N</v>
          </cell>
          <cell r="R44" t="str">
            <v>R</v>
          </cell>
          <cell r="S44" t="str">
            <v>N</v>
          </cell>
        </row>
        <row r="45">
          <cell r="A45" t="str">
            <v>95-010 KK</v>
          </cell>
          <cell r="B45">
            <v>36069</v>
          </cell>
          <cell r="C45">
            <v>2.3995000000000002</v>
          </cell>
          <cell r="D45">
            <v>0.21690000000000001</v>
          </cell>
          <cell r="E45">
            <v>0</v>
          </cell>
          <cell r="F45">
            <v>1.8599999999999998E-2</v>
          </cell>
          <cell r="G45">
            <v>3.4331</v>
          </cell>
          <cell r="H45">
            <v>-0.311</v>
          </cell>
          <cell r="I45">
            <v>-2.41E-2</v>
          </cell>
          <cell r="K45">
            <v>-1.1331999999999998</v>
          </cell>
          <cell r="L45">
            <v>4.6555999999999997</v>
          </cell>
          <cell r="M45">
            <v>2.6350000000000002</v>
          </cell>
          <cell r="N45" t="str">
            <v>R</v>
          </cell>
          <cell r="O45" t="str">
            <v>R</v>
          </cell>
          <cell r="P45" t="str">
            <v>R</v>
          </cell>
          <cell r="Q45" t="str">
            <v>N</v>
          </cell>
          <cell r="R45" t="str">
            <v>R</v>
          </cell>
          <cell r="S45" t="str">
            <v>N</v>
          </cell>
        </row>
        <row r="46">
          <cell r="A46" t="str">
            <v>95-010 LL</v>
          </cell>
          <cell r="B46">
            <v>36100</v>
          </cell>
          <cell r="C46">
            <v>2.7469000000000001</v>
          </cell>
          <cell r="D46">
            <v>0.19939999999999999</v>
          </cell>
          <cell r="E46">
            <v>0</v>
          </cell>
          <cell r="F46">
            <v>1.8599999999999998E-2</v>
          </cell>
          <cell r="G46">
            <v>3.4331</v>
          </cell>
          <cell r="H46">
            <v>-0.311</v>
          </cell>
          <cell r="I46">
            <v>-2.41E-2</v>
          </cell>
          <cell r="K46">
            <v>-0.8032999999999999</v>
          </cell>
          <cell r="L46">
            <v>4.2808999999999999</v>
          </cell>
          <cell r="M46">
            <v>2.9649000000000001</v>
          </cell>
          <cell r="N46" t="str">
            <v>I</v>
          </cell>
          <cell r="O46" t="str">
            <v>N</v>
          </cell>
          <cell r="P46" t="str">
            <v>N</v>
          </cell>
          <cell r="Q46" t="str">
            <v>N</v>
          </cell>
          <cell r="R46" t="str">
            <v>I</v>
          </cell>
          <cell r="S46" t="str">
            <v>R</v>
          </cell>
        </row>
        <row r="47">
          <cell r="A47" t="str">
            <v>95-010 MM</v>
          </cell>
          <cell r="B47">
            <v>36130</v>
          </cell>
          <cell r="C47">
            <v>2.5857000000000001</v>
          </cell>
          <cell r="D47">
            <v>0.19939999999999999</v>
          </cell>
          <cell r="E47">
            <v>0</v>
          </cell>
          <cell r="F47">
            <v>1.8599999999999998E-2</v>
          </cell>
          <cell r="G47">
            <v>3.4331</v>
          </cell>
          <cell r="H47">
            <v>-0.311</v>
          </cell>
          <cell r="I47">
            <v>-2.41E-2</v>
          </cell>
          <cell r="K47">
            <v>-0.96449999999999991</v>
          </cell>
          <cell r="L47">
            <v>4.2808999999999999</v>
          </cell>
          <cell r="M47">
            <v>2.8037000000000001</v>
          </cell>
          <cell r="N47" t="str">
            <v>R</v>
          </cell>
          <cell r="O47" t="str">
            <v>N</v>
          </cell>
          <cell r="P47" t="str">
            <v>N</v>
          </cell>
          <cell r="Q47" t="str">
            <v>N</v>
          </cell>
          <cell r="R47" t="str">
            <v>R</v>
          </cell>
          <cell r="S47" t="str">
            <v>N</v>
          </cell>
        </row>
        <row r="48">
          <cell r="A48" t="str">
            <v>95-010 NN</v>
          </cell>
          <cell r="B48">
            <v>36161</v>
          </cell>
          <cell r="C48">
            <v>2.4861</v>
          </cell>
          <cell r="D48">
            <v>0.19939999999999999</v>
          </cell>
          <cell r="E48">
            <v>0</v>
          </cell>
          <cell r="F48">
            <v>1.8599999999999998E-2</v>
          </cell>
          <cell r="G48">
            <v>3.4331</v>
          </cell>
          <cell r="H48">
            <v>-0.311</v>
          </cell>
          <cell r="I48">
            <v>-2.41E-2</v>
          </cell>
          <cell r="K48">
            <v>-1.0641</v>
          </cell>
          <cell r="L48">
            <v>4.2808999999999999</v>
          </cell>
          <cell r="M48">
            <v>2.7040999999999999</v>
          </cell>
          <cell r="N48" t="str">
            <v>R</v>
          </cell>
          <cell r="O48" t="str">
            <v>N</v>
          </cell>
          <cell r="P48" t="str">
            <v>N</v>
          </cell>
          <cell r="Q48" t="str">
            <v>N</v>
          </cell>
          <cell r="R48" t="str">
            <v>R</v>
          </cell>
          <cell r="S48" t="str">
            <v>N</v>
          </cell>
        </row>
        <row r="49">
          <cell r="A49" t="str">
            <v>95-010 OO</v>
          </cell>
          <cell r="B49">
            <v>36192</v>
          </cell>
          <cell r="C49">
            <v>2.0943000000000001</v>
          </cell>
          <cell r="D49">
            <v>0.19939999999999999</v>
          </cell>
          <cell r="E49">
            <v>0</v>
          </cell>
          <cell r="F49">
            <v>1.8599999999999998E-2</v>
          </cell>
          <cell r="G49">
            <v>3.4331</v>
          </cell>
          <cell r="H49">
            <v>-0.311</v>
          </cell>
          <cell r="I49">
            <v>-2.2499999999999999E-2</v>
          </cell>
          <cell r="J49">
            <v>2.47E-2</v>
          </cell>
          <cell r="K49">
            <v>-1.4296</v>
          </cell>
          <cell r="L49">
            <v>4.2808999999999999</v>
          </cell>
          <cell r="M49">
            <v>2.3123</v>
          </cell>
          <cell r="N49" t="str">
            <v>R</v>
          </cell>
          <cell r="O49" t="str">
            <v>N</v>
          </cell>
          <cell r="P49" t="str">
            <v>I</v>
          </cell>
          <cell r="Q49" t="str">
            <v>I</v>
          </cell>
          <cell r="R49" t="str">
            <v>R</v>
          </cell>
          <cell r="S49" t="str">
            <v>N</v>
          </cell>
        </row>
        <row r="50">
          <cell r="A50" t="str">
            <v>95-010 PP</v>
          </cell>
          <cell r="B50">
            <v>36220</v>
          </cell>
          <cell r="C50">
            <v>2.0348000000000002</v>
          </cell>
          <cell r="D50">
            <v>0.19939999999999999</v>
          </cell>
          <cell r="E50">
            <v>0</v>
          </cell>
          <cell r="F50">
            <v>1.8599999999999998E-2</v>
          </cell>
          <cell r="G50">
            <v>3.4331</v>
          </cell>
          <cell r="H50">
            <v>-0.311</v>
          </cell>
          <cell r="I50">
            <v>-2.2499999999999999E-2</v>
          </cell>
          <cell r="J50">
            <v>2.47E-2</v>
          </cell>
          <cell r="K50">
            <v>-1.4890999999999999</v>
          </cell>
          <cell r="L50">
            <v>4.2808999999999999</v>
          </cell>
          <cell r="M50">
            <v>2.2528000000000001</v>
          </cell>
          <cell r="N50" t="str">
            <v>R</v>
          </cell>
          <cell r="O50" t="str">
            <v>N</v>
          </cell>
          <cell r="P50" t="str">
            <v>N</v>
          </cell>
          <cell r="Q50" t="str">
            <v>N</v>
          </cell>
          <cell r="R50" t="str">
            <v>R</v>
          </cell>
          <cell r="S50" t="str">
            <v>N</v>
          </cell>
        </row>
        <row r="51">
          <cell r="A51" t="str">
            <v>95-010 QQ</v>
          </cell>
          <cell r="B51">
            <v>36251</v>
          </cell>
          <cell r="C51">
            <v>1.9604999999999999</v>
          </cell>
          <cell r="D51">
            <v>0.19939999999999999</v>
          </cell>
          <cell r="E51">
            <v>0</v>
          </cell>
          <cell r="F51">
            <v>1.8599999999999998E-2</v>
          </cell>
          <cell r="G51">
            <v>3.4331</v>
          </cell>
          <cell r="H51">
            <v>-0.18820000000000001</v>
          </cell>
          <cell r="I51">
            <v>-6.54E-2</v>
          </cell>
          <cell r="J51">
            <v>2.47E-2</v>
          </cell>
          <cell r="K51">
            <v>-1.4834999999999998</v>
          </cell>
          <cell r="L51">
            <v>4.2808999999999999</v>
          </cell>
          <cell r="M51">
            <v>2.1785000000000001</v>
          </cell>
          <cell r="N51" t="str">
            <v>R</v>
          </cell>
          <cell r="O51" t="str">
            <v>I</v>
          </cell>
          <cell r="P51" t="str">
            <v>R</v>
          </cell>
          <cell r="Q51" t="str">
            <v>N</v>
          </cell>
          <cell r="R51" t="str">
            <v>I</v>
          </cell>
          <cell r="S51" t="str">
            <v>N</v>
          </cell>
        </row>
        <row r="52">
          <cell r="A52" t="str">
            <v>95-010 RR</v>
          </cell>
          <cell r="B52">
            <v>36281</v>
          </cell>
          <cell r="C52">
            <v>1.8638999999999999</v>
          </cell>
          <cell r="D52">
            <v>0.19939999999999999</v>
          </cell>
          <cell r="E52">
            <v>0</v>
          </cell>
          <cell r="F52">
            <v>1.8599999999999998E-2</v>
          </cell>
          <cell r="G52">
            <v>3.4331</v>
          </cell>
          <cell r="H52">
            <v>-0.18820000000000001</v>
          </cell>
          <cell r="I52">
            <v>-6.54E-2</v>
          </cell>
          <cell r="J52">
            <v>2.47E-2</v>
          </cell>
          <cell r="K52">
            <v>-1.5800999999999998</v>
          </cell>
          <cell r="L52">
            <v>4.2808999999999999</v>
          </cell>
          <cell r="M52">
            <v>2.0819000000000001</v>
          </cell>
          <cell r="N52" t="str">
            <v>R</v>
          </cell>
          <cell r="O52" t="str">
            <v>N</v>
          </cell>
          <cell r="P52" t="str">
            <v>N</v>
          </cell>
          <cell r="Q52" t="str">
            <v>N</v>
          </cell>
          <cell r="R52" t="str">
            <v>R</v>
          </cell>
          <cell r="S52" t="str">
            <v>N</v>
          </cell>
        </row>
        <row r="53">
          <cell r="A53" t="str">
            <v>95-010 SS</v>
          </cell>
          <cell r="B53">
            <v>36312</v>
          </cell>
          <cell r="C53">
            <v>2.2873999999999999</v>
          </cell>
          <cell r="D53">
            <v>0.19939999999999999</v>
          </cell>
          <cell r="E53">
            <v>0</v>
          </cell>
          <cell r="F53">
            <v>1.8599999999999998E-2</v>
          </cell>
          <cell r="G53">
            <v>3.4331</v>
          </cell>
          <cell r="H53">
            <v>-0.18820000000000001</v>
          </cell>
          <cell r="I53">
            <v>-6.54E-2</v>
          </cell>
          <cell r="J53">
            <v>2.47E-2</v>
          </cell>
          <cell r="K53">
            <v>-1.1566000000000001</v>
          </cell>
          <cell r="L53">
            <v>4.2808999999999999</v>
          </cell>
          <cell r="M53">
            <v>2.5053999999999998</v>
          </cell>
          <cell r="N53" t="str">
            <v>I</v>
          </cell>
          <cell r="O53" t="str">
            <v>N</v>
          </cell>
          <cell r="P53" t="str">
            <v>N</v>
          </cell>
          <cell r="Q53" t="str">
            <v>N</v>
          </cell>
          <cell r="R53" t="str">
            <v>I</v>
          </cell>
          <cell r="S53" t="str">
            <v>N</v>
          </cell>
        </row>
        <row r="54">
          <cell r="A54" t="str">
            <v>95-010 TT</v>
          </cell>
          <cell r="B54">
            <v>36342</v>
          </cell>
          <cell r="C54">
            <v>2.6103999999999998</v>
          </cell>
          <cell r="D54">
            <v>0.19939999999999999</v>
          </cell>
          <cell r="E54">
            <v>0</v>
          </cell>
          <cell r="F54">
            <v>1.8599999999999998E-2</v>
          </cell>
          <cell r="G54">
            <v>3.4331</v>
          </cell>
          <cell r="H54">
            <v>-0.18820000000000001</v>
          </cell>
          <cell r="I54">
            <v>-5.5899999999999998E-2</v>
          </cell>
          <cell r="J54">
            <v>2.47E-2</v>
          </cell>
          <cell r="K54">
            <v>-0.82410000000000028</v>
          </cell>
          <cell r="L54">
            <v>4.2808999999999999</v>
          </cell>
          <cell r="M54">
            <v>2.8283999999999998</v>
          </cell>
          <cell r="N54" t="str">
            <v>I</v>
          </cell>
          <cell r="O54" t="str">
            <v>N</v>
          </cell>
          <cell r="P54" t="str">
            <v>I</v>
          </cell>
          <cell r="Q54" t="str">
            <v>N</v>
          </cell>
          <cell r="R54" t="str">
            <v>I</v>
          </cell>
          <cell r="S54" t="str">
            <v>N</v>
          </cell>
        </row>
        <row r="55">
          <cell r="A55" t="str">
            <v>95-010 UU</v>
          </cell>
          <cell r="B55">
            <v>36373</v>
          </cell>
          <cell r="C55">
            <v>2.3969</v>
          </cell>
          <cell r="D55">
            <v>0.19939999999999999</v>
          </cell>
          <cell r="E55">
            <v>0</v>
          </cell>
          <cell r="F55">
            <v>1.8599999999999998E-2</v>
          </cell>
          <cell r="G55">
            <v>3.4331</v>
          </cell>
          <cell r="H55">
            <v>-0.18820000000000001</v>
          </cell>
          <cell r="I55">
            <v>-5.5899999999999998E-2</v>
          </cell>
          <cell r="J55">
            <v>2.47E-2</v>
          </cell>
          <cell r="K55">
            <v>-1.0376000000000001</v>
          </cell>
          <cell r="L55">
            <v>4.2808999999999999</v>
          </cell>
          <cell r="M55">
            <v>2.6149</v>
          </cell>
          <cell r="N55" t="str">
            <v>R</v>
          </cell>
          <cell r="O55" t="str">
            <v>N</v>
          </cell>
          <cell r="P55" t="str">
            <v>N</v>
          </cell>
          <cell r="Q55" t="str">
            <v>N</v>
          </cell>
          <cell r="R55" t="str">
            <v>R</v>
          </cell>
          <cell r="S55" t="str">
            <v>N</v>
          </cell>
        </row>
        <row r="56">
          <cell r="A56" t="str">
            <v>95-010 VV</v>
          </cell>
          <cell r="B56">
            <v>36404</v>
          </cell>
          <cell r="C56">
            <v>2.3862000000000001</v>
          </cell>
          <cell r="D56">
            <v>0.19939999999999999</v>
          </cell>
          <cell r="E56">
            <v>0</v>
          </cell>
          <cell r="F56">
            <v>1.8599999999999998E-2</v>
          </cell>
          <cell r="G56">
            <v>3.4331</v>
          </cell>
          <cell r="H56">
            <v>-0.18820000000000001</v>
          </cell>
          <cell r="I56">
            <v>-5.5899999999999998E-2</v>
          </cell>
          <cell r="J56">
            <v>2.47E-2</v>
          </cell>
          <cell r="K56">
            <v>-1.0483</v>
          </cell>
          <cell r="L56">
            <v>4.2808999999999999</v>
          </cell>
          <cell r="M56">
            <v>2.6042000000000001</v>
          </cell>
          <cell r="N56" t="str">
            <v>R</v>
          </cell>
          <cell r="O56" t="str">
            <v>N</v>
          </cell>
          <cell r="P56" t="str">
            <v>N</v>
          </cell>
          <cell r="Q56" t="str">
            <v>N</v>
          </cell>
          <cell r="R56" t="str">
            <v>R</v>
          </cell>
          <cell r="S56" t="str">
            <v>N</v>
          </cell>
        </row>
        <row r="57">
          <cell r="A57" t="str">
            <v>95-010 WW</v>
          </cell>
          <cell r="B57">
            <v>36434</v>
          </cell>
          <cell r="C57">
            <v>2.6629</v>
          </cell>
          <cell r="D57">
            <v>0.19939999999999999</v>
          </cell>
          <cell r="E57">
            <v>0</v>
          </cell>
          <cell r="F57">
            <v>1.8599999999999998E-2</v>
          </cell>
          <cell r="G57">
            <v>3.4331</v>
          </cell>
          <cell r="H57">
            <v>-0.22389999999999999</v>
          </cell>
          <cell r="I57">
            <v>-4.5200000000000004E-2</v>
          </cell>
          <cell r="J57">
            <v>2.47E-2</v>
          </cell>
          <cell r="K57">
            <v>-0.79659999999999997</v>
          </cell>
          <cell r="L57">
            <v>4.2808999999999999</v>
          </cell>
          <cell r="M57">
            <v>2.8809</v>
          </cell>
          <cell r="N57" t="str">
            <v>I</v>
          </cell>
          <cell r="O57" t="str">
            <v>R</v>
          </cell>
          <cell r="P57" t="str">
            <v>I</v>
          </cell>
          <cell r="Q57" t="str">
            <v>N</v>
          </cell>
          <cell r="R57" t="str">
            <v>I</v>
          </cell>
          <cell r="S57" t="str">
            <v>N</v>
          </cell>
        </row>
        <row r="58">
          <cell r="A58" t="str">
            <v>95-010 XX</v>
          </cell>
          <cell r="B58">
            <v>36465</v>
          </cell>
          <cell r="C58">
            <v>2.9028</v>
          </cell>
          <cell r="D58">
            <v>0.20130000000000001</v>
          </cell>
          <cell r="E58">
            <v>0</v>
          </cell>
          <cell r="F58">
            <v>3.0000000000000001E-3</v>
          </cell>
          <cell r="G58">
            <v>3.4331</v>
          </cell>
          <cell r="H58">
            <v>-0.22389999999999999</v>
          </cell>
          <cell r="I58">
            <v>-4.5200000000000004E-2</v>
          </cell>
          <cell r="J58">
            <v>2.47E-2</v>
          </cell>
          <cell r="K58">
            <v>-0.57040000000000002</v>
          </cell>
          <cell r="L58">
            <v>4.3211000000000004</v>
          </cell>
          <cell r="M58">
            <v>3.1071</v>
          </cell>
          <cell r="N58" t="str">
            <v>I</v>
          </cell>
          <cell r="O58" t="str">
            <v>N</v>
          </cell>
          <cell r="P58" t="str">
            <v>N</v>
          </cell>
          <cell r="Q58" t="str">
            <v>N</v>
          </cell>
          <cell r="R58" t="str">
            <v>I</v>
          </cell>
          <cell r="S58" t="str">
            <v>I</v>
          </cell>
        </row>
        <row r="59">
          <cell r="A59" t="str">
            <v>95-010 YY</v>
          </cell>
          <cell r="B59">
            <v>36495</v>
          </cell>
          <cell r="C59">
            <v>2.9401000000000002</v>
          </cell>
          <cell r="D59">
            <v>0.2001</v>
          </cell>
          <cell r="E59">
            <v>0</v>
          </cell>
          <cell r="F59">
            <v>3.0000000000000001E-3</v>
          </cell>
          <cell r="G59">
            <v>3.4331</v>
          </cell>
          <cell r="H59">
            <v>-0.22389999999999999</v>
          </cell>
          <cell r="I59">
            <v>-4.5200000000000004E-2</v>
          </cell>
          <cell r="J59">
            <v>2.47E-2</v>
          </cell>
          <cell r="K59">
            <v>-0.53429999999999978</v>
          </cell>
          <cell r="L59">
            <v>4.2945000000000002</v>
          </cell>
          <cell r="M59">
            <v>3.1432000000000002</v>
          </cell>
          <cell r="N59" t="str">
            <v>I</v>
          </cell>
          <cell r="O59" t="str">
            <v>N</v>
          </cell>
          <cell r="P59" t="str">
            <v>N</v>
          </cell>
          <cell r="Q59" t="str">
            <v>N</v>
          </cell>
          <cell r="R59" t="str">
            <v>I</v>
          </cell>
          <cell r="S59" t="str">
            <v>R</v>
          </cell>
        </row>
        <row r="60">
          <cell r="A60" t="str">
            <v>99-070</v>
          </cell>
          <cell r="B60">
            <v>36526</v>
          </cell>
          <cell r="C60">
            <v>2.4571999999999998</v>
          </cell>
          <cell r="D60">
            <v>0.2001</v>
          </cell>
          <cell r="E60">
            <v>0</v>
          </cell>
          <cell r="F60">
            <v>3.0000000000000001E-3</v>
          </cell>
          <cell r="G60">
            <v>0</v>
          </cell>
          <cell r="H60">
            <v>-0.22389999999999999</v>
          </cell>
          <cell r="I60">
            <v>-4.8000000000000001E-2</v>
          </cell>
          <cell r="J60">
            <v>2.47E-2</v>
          </cell>
          <cell r="K60">
            <v>2.4131</v>
          </cell>
          <cell r="L60">
            <v>4.2945000000000002</v>
          </cell>
          <cell r="M60">
            <v>2.6602999999999999</v>
          </cell>
          <cell r="N60" t="str">
            <v>R</v>
          </cell>
          <cell r="O60" t="str">
            <v>N</v>
          </cell>
          <cell r="P60" t="str">
            <v>R</v>
          </cell>
          <cell r="Q60" t="str">
            <v>N</v>
          </cell>
          <cell r="R60" t="str">
            <v>I</v>
          </cell>
          <cell r="S60" t="str">
            <v>N</v>
          </cell>
        </row>
        <row r="61">
          <cell r="A61" t="str">
            <v>99-070 A</v>
          </cell>
          <cell r="B61">
            <v>36557</v>
          </cell>
          <cell r="C61">
            <v>2.5337000000000001</v>
          </cell>
          <cell r="D61">
            <v>0.20100000000000001</v>
          </cell>
          <cell r="E61">
            <v>0</v>
          </cell>
          <cell r="F61">
            <v>3.0000000000000001E-3</v>
          </cell>
          <cell r="G61">
            <v>0</v>
          </cell>
          <cell r="H61">
            <v>-0.22389999999999999</v>
          </cell>
          <cell r="I61">
            <v>-4.8000000000000001E-2</v>
          </cell>
          <cell r="J61">
            <v>9.3399999999999997E-2</v>
          </cell>
          <cell r="K61">
            <v>2.5592000000000001</v>
          </cell>
          <cell r="L61">
            <v>4.3144999999999998</v>
          </cell>
          <cell r="M61">
            <v>2.7377000000000002</v>
          </cell>
          <cell r="N61" t="str">
            <v>I</v>
          </cell>
          <cell r="O61" t="str">
            <v>N</v>
          </cell>
          <cell r="P61" t="str">
            <v>N</v>
          </cell>
          <cell r="Q61" t="str">
            <v>I</v>
          </cell>
          <cell r="R61" t="str">
            <v>I</v>
          </cell>
          <cell r="S61" t="str">
            <v>I</v>
          </cell>
        </row>
        <row r="62">
          <cell r="A62" t="str">
            <v>1999-070 B</v>
          </cell>
          <cell r="B62">
            <v>36617</v>
          </cell>
          <cell r="C62">
            <v>2.5337000000000001</v>
          </cell>
          <cell r="D62">
            <v>0.20100000000000001</v>
          </cell>
          <cell r="E62">
            <v>0</v>
          </cell>
          <cell r="F62">
            <v>3.0000000000000001E-3</v>
          </cell>
          <cell r="G62">
            <v>0</v>
          </cell>
          <cell r="H62">
            <v>0</v>
          </cell>
          <cell r="I62">
            <v>-5.1000000000000004E-3</v>
          </cell>
          <cell r="J62">
            <v>9.3399999999999997E-2</v>
          </cell>
          <cell r="K62">
            <v>2.8260000000000001</v>
          </cell>
          <cell r="L62">
            <v>4.3144999999999998</v>
          </cell>
          <cell r="M62">
            <v>2.7377000000000002</v>
          </cell>
          <cell r="N62" t="str">
            <v>N</v>
          </cell>
          <cell r="O62" t="str">
            <v>I</v>
          </cell>
          <cell r="P62" t="str">
            <v>I</v>
          </cell>
          <cell r="Q62" t="str">
            <v>N</v>
          </cell>
          <cell r="R62" t="str">
            <v>I</v>
          </cell>
          <cell r="S62" t="str">
            <v>N</v>
          </cell>
        </row>
        <row r="63">
          <cell r="A63" t="str">
            <v>1999-070 C</v>
          </cell>
          <cell r="B63">
            <v>36647</v>
          </cell>
          <cell r="C63">
            <v>2.5749</v>
          </cell>
          <cell r="D63">
            <v>0.20100000000000001</v>
          </cell>
          <cell r="E63">
            <v>0</v>
          </cell>
          <cell r="F63">
            <v>3.0000000000000001E-3</v>
          </cell>
          <cell r="G63">
            <v>0</v>
          </cell>
          <cell r="H63">
            <v>0.25019999999999998</v>
          </cell>
          <cell r="I63">
            <v>-5.1000000000000004E-3</v>
          </cell>
          <cell r="J63">
            <v>9.3399999999999997E-2</v>
          </cell>
          <cell r="K63">
            <v>3.1173999999999999</v>
          </cell>
          <cell r="L63">
            <v>4.3144999999999998</v>
          </cell>
          <cell r="M63">
            <v>2.7789000000000001</v>
          </cell>
          <cell r="N63" t="str">
            <v>I</v>
          </cell>
          <cell r="O63" t="str">
            <v>I</v>
          </cell>
          <cell r="P63" t="str">
            <v>N</v>
          </cell>
          <cell r="Q63" t="str">
            <v>N</v>
          </cell>
          <cell r="R63" t="str">
            <v>I</v>
          </cell>
          <cell r="S63" t="str">
            <v>N</v>
          </cell>
        </row>
        <row r="64">
          <cell r="A64" t="str">
            <v>1999-070 D</v>
          </cell>
          <cell r="B64">
            <v>36708</v>
          </cell>
          <cell r="C64">
            <v>3.1747999999999998</v>
          </cell>
          <cell r="D64">
            <v>0.20100000000000001</v>
          </cell>
          <cell r="E64">
            <v>0</v>
          </cell>
          <cell r="F64">
            <v>3.0000000000000001E-3</v>
          </cell>
          <cell r="G64">
            <v>0</v>
          </cell>
          <cell r="H64">
            <v>0.25019999999999998</v>
          </cell>
          <cell r="I64">
            <v>-5.1000000000000004E-3</v>
          </cell>
          <cell r="J64">
            <v>9.3399999999999997E-2</v>
          </cell>
          <cell r="K64">
            <v>3.7172999999999998</v>
          </cell>
          <cell r="L64">
            <v>4.3144999999999998</v>
          </cell>
          <cell r="M64">
            <v>3.3788</v>
          </cell>
          <cell r="N64" t="str">
            <v>I</v>
          </cell>
          <cell r="O64" t="str">
            <v>N</v>
          </cell>
          <cell r="P64" t="str">
            <v>N</v>
          </cell>
          <cell r="Q64" t="str">
            <v>N</v>
          </cell>
          <cell r="R64" t="str">
            <v>I</v>
          </cell>
          <cell r="S64" t="str">
            <v>N</v>
          </cell>
        </row>
        <row r="65">
          <cell r="A65" t="str">
            <v>1999-070 E</v>
          </cell>
          <cell r="B65">
            <v>36739</v>
          </cell>
          <cell r="C65">
            <v>4.6079999999999997</v>
          </cell>
          <cell r="D65">
            <v>0.20100000000000001</v>
          </cell>
          <cell r="E65">
            <v>0</v>
          </cell>
          <cell r="F65">
            <v>3.0000000000000001E-3</v>
          </cell>
          <cell r="G65">
            <v>0</v>
          </cell>
          <cell r="H65">
            <v>0.25019999999999998</v>
          </cell>
          <cell r="I65">
            <v>-1.6800000000000002E-2</v>
          </cell>
          <cell r="J65">
            <v>9.3399999999999997E-2</v>
          </cell>
          <cell r="K65">
            <v>5.1387999999999989</v>
          </cell>
          <cell r="L65">
            <v>4.3144999999999998</v>
          </cell>
          <cell r="M65">
            <v>4.8119999999999994</v>
          </cell>
          <cell r="N65" t="str">
            <v>I</v>
          </cell>
          <cell r="O65" t="str">
            <v>N</v>
          </cell>
          <cell r="P65" t="str">
            <v>R</v>
          </cell>
          <cell r="Q65" t="str">
            <v>N</v>
          </cell>
          <cell r="R65" t="str">
            <v>I</v>
          </cell>
          <cell r="S65" t="str">
            <v>N</v>
          </cell>
        </row>
        <row r="66">
          <cell r="A66" t="str">
            <v>1999-070 F</v>
          </cell>
          <cell r="B66">
            <v>36800</v>
          </cell>
          <cell r="C66">
            <v>5.2323000000000004</v>
          </cell>
          <cell r="D66">
            <v>0.20100000000000001</v>
          </cell>
          <cell r="E66">
            <v>0</v>
          </cell>
          <cell r="F66">
            <v>3.0000000000000001E-3</v>
          </cell>
          <cell r="G66">
            <v>0</v>
          </cell>
          <cell r="H66">
            <v>0.25019999999999998</v>
          </cell>
          <cell r="I66">
            <v>-1.4500000000000001E-2</v>
          </cell>
          <cell r="J66">
            <v>9.3399999999999997E-2</v>
          </cell>
          <cell r="K66">
            <v>5.7654000000000005</v>
          </cell>
          <cell r="L66">
            <v>4.3144999999999998</v>
          </cell>
          <cell r="M66">
            <v>5.4363000000000001</v>
          </cell>
          <cell r="N66" t="str">
            <v>I</v>
          </cell>
          <cell r="O66" t="str">
            <v>N</v>
          </cell>
          <cell r="P66" t="str">
            <v>I</v>
          </cell>
          <cell r="Q66" t="str">
            <v>N</v>
          </cell>
          <cell r="R66" t="str">
            <v>I</v>
          </cell>
          <cell r="S66" t="str">
            <v>N</v>
          </cell>
        </row>
        <row r="67">
          <cell r="A67" t="str">
            <v>1999-070 G</v>
          </cell>
          <cell r="B67">
            <v>36831</v>
          </cell>
          <cell r="C67">
            <v>5.5765000000000002</v>
          </cell>
          <cell r="D67">
            <v>0.18820000000000001</v>
          </cell>
          <cell r="E67">
            <v>0</v>
          </cell>
          <cell r="F67">
            <v>0</v>
          </cell>
          <cell r="G67">
            <v>0</v>
          </cell>
          <cell r="H67">
            <v>1.1344000000000001</v>
          </cell>
          <cell r="I67">
            <v>-1.4500000000000001E-2</v>
          </cell>
          <cell r="J67">
            <v>9.3399999999999997E-2</v>
          </cell>
          <cell r="K67">
            <v>6.9780000000000006</v>
          </cell>
          <cell r="L67">
            <v>4.5294999999999996</v>
          </cell>
          <cell r="M67">
            <v>5.7647000000000004</v>
          </cell>
          <cell r="N67" t="str">
            <v>I</v>
          </cell>
          <cell r="O67" t="str">
            <v>I</v>
          </cell>
          <cell r="P67" t="str">
            <v>N</v>
          </cell>
          <cell r="Q67" t="str">
            <v>N</v>
          </cell>
          <cell r="R67" t="str">
            <v>I</v>
          </cell>
          <cell r="S67" t="str">
            <v>I</v>
          </cell>
        </row>
        <row r="68">
          <cell r="A68" t="str">
            <v>1999-070 H</v>
          </cell>
          <cell r="B68">
            <v>36923</v>
          </cell>
          <cell r="C68">
            <v>6.9600999999999997</v>
          </cell>
          <cell r="D68">
            <v>0.24249999999999999</v>
          </cell>
          <cell r="E68">
            <v>0</v>
          </cell>
          <cell r="F68">
            <v>0</v>
          </cell>
          <cell r="G68">
            <v>0</v>
          </cell>
          <cell r="H68">
            <v>1.1344000000000001</v>
          </cell>
          <cell r="I68">
            <v>-1.17E-2</v>
          </cell>
          <cell r="J68">
            <v>6.0199999999999997E-2</v>
          </cell>
          <cell r="K68">
            <v>8.3855000000000004</v>
          </cell>
          <cell r="L68">
            <v>5.8369999999999997</v>
          </cell>
          <cell r="M68">
            <v>7.2025999999999994</v>
          </cell>
          <cell r="N68" t="str">
            <v>I</v>
          </cell>
          <cell r="O68" t="str">
            <v>N</v>
          </cell>
          <cell r="P68" t="str">
            <v>I</v>
          </cell>
          <cell r="Q68" t="str">
            <v>R</v>
          </cell>
          <cell r="R68" t="str">
            <v>I</v>
          </cell>
          <cell r="S68" t="str">
            <v>I</v>
          </cell>
        </row>
        <row r="69">
          <cell r="A69" t="str">
            <v>1999-070 I</v>
          </cell>
          <cell r="B69">
            <v>36951</v>
          </cell>
          <cell r="C69">
            <v>6.0629999999999997</v>
          </cell>
          <cell r="D69">
            <v>0.24249999999999999</v>
          </cell>
          <cell r="E69">
            <v>0</v>
          </cell>
          <cell r="F69">
            <v>0</v>
          </cell>
          <cell r="G69">
            <v>0</v>
          </cell>
          <cell r="H69">
            <v>1.1344000000000001</v>
          </cell>
          <cell r="I69">
            <v>-1.17E-2</v>
          </cell>
          <cell r="J69">
            <v>6.0199999999999997E-2</v>
          </cell>
          <cell r="K69">
            <v>7.4883999999999995</v>
          </cell>
          <cell r="L69">
            <v>5.8369999999999997</v>
          </cell>
          <cell r="M69">
            <v>6.3054999999999994</v>
          </cell>
          <cell r="N69" t="str">
            <v>R</v>
          </cell>
          <cell r="O69" t="str">
            <v>N</v>
          </cell>
          <cell r="P69" t="str">
            <v>N</v>
          </cell>
          <cell r="Q69" t="str">
            <v>N</v>
          </cell>
          <cell r="R69" t="str">
            <v>R</v>
          </cell>
          <cell r="S69" t="str">
            <v>N</v>
          </cell>
        </row>
        <row r="70">
          <cell r="A70" t="str">
            <v>1999-070 J</v>
          </cell>
          <cell r="B70">
            <v>36982</v>
          </cell>
          <cell r="C70">
            <v>6.0091999999999999</v>
          </cell>
          <cell r="D70">
            <v>0.24249999999999999</v>
          </cell>
          <cell r="E70">
            <v>0</v>
          </cell>
          <cell r="F70">
            <v>0</v>
          </cell>
          <cell r="G70">
            <v>0</v>
          </cell>
          <cell r="H70">
            <v>1.1344000000000001</v>
          </cell>
          <cell r="I70">
            <v>-1.17E-2</v>
          </cell>
          <cell r="J70">
            <v>6.0199999999999997E-2</v>
          </cell>
          <cell r="K70">
            <v>7.4345999999999997</v>
          </cell>
          <cell r="L70">
            <v>5.8369999999999997</v>
          </cell>
          <cell r="M70">
            <v>6.2516999999999996</v>
          </cell>
          <cell r="N70" t="str">
            <v>R</v>
          </cell>
          <cell r="O70" t="str">
            <v>N</v>
          </cell>
          <cell r="P70" t="str">
            <v>N</v>
          </cell>
          <cell r="Q70" t="str">
            <v>N</v>
          </cell>
          <cell r="R70" t="str">
            <v>R</v>
          </cell>
          <cell r="S70" t="str">
            <v>N</v>
          </cell>
        </row>
        <row r="71">
          <cell r="A71" t="str">
            <v>1999-070 K</v>
          </cell>
          <cell r="B71">
            <v>37012</v>
          </cell>
          <cell r="C71">
            <v>5.8128000000000002</v>
          </cell>
          <cell r="D71">
            <v>0.21010000000000001</v>
          </cell>
          <cell r="E71">
            <v>0</v>
          </cell>
          <cell r="F71">
            <v>0</v>
          </cell>
          <cell r="G71">
            <v>0</v>
          </cell>
          <cell r="H71">
            <v>1.4216</v>
          </cell>
          <cell r="I71">
            <v>-1.2200000000000001E-2</v>
          </cell>
          <cell r="J71">
            <v>6.0199999999999997E-2</v>
          </cell>
          <cell r="K71">
            <v>7.4924999999999997</v>
          </cell>
          <cell r="L71">
            <v>5.0563000000000002</v>
          </cell>
          <cell r="M71">
            <v>6.0228999999999999</v>
          </cell>
          <cell r="N71" t="str">
            <v>R</v>
          </cell>
          <cell r="O71" t="str">
            <v>I</v>
          </cell>
          <cell r="P71" t="str">
            <v>R</v>
          </cell>
          <cell r="Q71" t="str">
            <v>N</v>
          </cell>
          <cell r="R71" t="str">
            <v>I</v>
          </cell>
          <cell r="S71" t="str">
            <v>R</v>
          </cell>
        </row>
        <row r="72">
          <cell r="A72" t="str">
            <v>1999-070 L</v>
          </cell>
          <cell r="B72">
            <v>37043</v>
          </cell>
          <cell r="C72">
            <v>5.6711</v>
          </cell>
          <cell r="D72">
            <v>0.21010000000000001</v>
          </cell>
          <cell r="E72">
            <v>0</v>
          </cell>
          <cell r="F72">
            <v>0</v>
          </cell>
          <cell r="G72">
            <v>0</v>
          </cell>
          <cell r="H72">
            <v>1.4216</v>
          </cell>
          <cell r="I72">
            <v>-1.2200000000000001E-2</v>
          </cell>
          <cell r="J72">
            <v>6.0199999999999997E-2</v>
          </cell>
          <cell r="K72">
            <v>7.3507999999999996</v>
          </cell>
          <cell r="L72">
            <v>5.0563000000000002</v>
          </cell>
          <cell r="M72">
            <v>5.8811999999999998</v>
          </cell>
          <cell r="N72" t="str">
            <v>R</v>
          </cell>
          <cell r="O72" t="str">
            <v>N</v>
          </cell>
          <cell r="P72" t="str">
            <v>N</v>
          </cell>
          <cell r="Q72" t="str">
            <v>N</v>
          </cell>
          <cell r="R72" t="str">
            <v>R</v>
          </cell>
          <cell r="S72" t="str">
            <v>N</v>
          </cell>
        </row>
        <row r="73">
          <cell r="A73" t="str">
            <v>1999-070 M</v>
          </cell>
          <cell r="B73">
            <v>37073</v>
          </cell>
          <cell r="C73">
            <v>4.9177</v>
          </cell>
          <cell r="D73">
            <v>0.21010000000000001</v>
          </cell>
          <cell r="E73">
            <v>0</v>
          </cell>
          <cell r="F73">
            <v>0</v>
          </cell>
          <cell r="G73">
            <v>0</v>
          </cell>
          <cell r="H73">
            <v>1.4216</v>
          </cell>
          <cell r="I73">
            <v>-1.2200000000000001E-2</v>
          </cell>
          <cell r="J73">
            <v>6.0199999999999997E-2</v>
          </cell>
          <cell r="K73">
            <v>6.5973999999999995</v>
          </cell>
          <cell r="L73">
            <v>5.0563000000000002</v>
          </cell>
          <cell r="M73">
            <v>5.1277999999999997</v>
          </cell>
          <cell r="N73" t="str">
            <v>R</v>
          </cell>
          <cell r="O73" t="str">
            <v>N</v>
          </cell>
          <cell r="P73" t="str">
            <v>N</v>
          </cell>
          <cell r="Q73" t="str">
            <v>N</v>
          </cell>
          <cell r="R73" t="str">
            <v>R</v>
          </cell>
          <cell r="S73" t="str">
            <v>N</v>
          </cell>
        </row>
        <row r="74">
          <cell r="A74" t="str">
            <v>1999-070 N</v>
          </cell>
          <cell r="B74">
            <v>37104</v>
          </cell>
          <cell r="C74">
            <v>4.3213999999999997</v>
          </cell>
          <cell r="D74">
            <v>0.21010000000000001</v>
          </cell>
          <cell r="E74">
            <v>0</v>
          </cell>
          <cell r="F74">
            <v>0</v>
          </cell>
          <cell r="G74">
            <v>0</v>
          </cell>
          <cell r="H74">
            <v>1.4216</v>
          </cell>
          <cell r="I74">
            <v>-5.0000000000000001E-4</v>
          </cell>
          <cell r="J74">
            <v>6.0199999999999997E-2</v>
          </cell>
          <cell r="K74">
            <v>6.0127999999999995</v>
          </cell>
          <cell r="L74">
            <v>5.0563000000000002</v>
          </cell>
          <cell r="M74">
            <v>4.5314999999999994</v>
          </cell>
          <cell r="N74" t="str">
            <v>R</v>
          </cell>
          <cell r="O74" t="str">
            <v>N</v>
          </cell>
          <cell r="P74" t="str">
            <v>I</v>
          </cell>
          <cell r="Q74" t="str">
            <v>N</v>
          </cell>
          <cell r="R74" t="str">
            <v>R</v>
          </cell>
          <cell r="S74" t="str">
            <v>N</v>
          </cell>
        </row>
        <row r="75">
          <cell r="A75" t="str">
            <v>1999-070 O</v>
          </cell>
          <cell r="B75">
            <v>37196</v>
          </cell>
          <cell r="C75">
            <v>3.6354000000000002</v>
          </cell>
          <cell r="D75">
            <v>0.21010000000000001</v>
          </cell>
          <cell r="E75">
            <v>0</v>
          </cell>
          <cell r="F75">
            <v>0</v>
          </cell>
          <cell r="G75">
            <v>0</v>
          </cell>
          <cell r="H75">
            <v>0.1522</v>
          </cell>
          <cell r="I75">
            <v>-2.4000000000000002E-3</v>
          </cell>
          <cell r="J75">
            <v>6.0199999999999997E-2</v>
          </cell>
          <cell r="K75">
            <v>4.0555000000000003</v>
          </cell>
          <cell r="L75">
            <v>5.0563000000000002</v>
          </cell>
        </row>
        <row r="76">
          <cell r="A76" t="str">
            <v>1999-070 P</v>
          </cell>
          <cell r="B76">
            <v>37288</v>
          </cell>
          <cell r="C76">
            <v>3.34</v>
          </cell>
          <cell r="D76">
            <v>0.21010000000000001</v>
          </cell>
          <cell r="E76">
            <v>0</v>
          </cell>
          <cell r="F76">
            <v>0</v>
          </cell>
          <cell r="G76">
            <v>0</v>
          </cell>
          <cell r="H76">
            <v>3.8899999999999997E-2</v>
          </cell>
          <cell r="I76">
            <v>-2.4000000000000002E-3</v>
          </cell>
          <cell r="J76">
            <v>2.3699999999999999E-2</v>
          </cell>
          <cell r="K76">
            <v>3.6102999999999996</v>
          </cell>
          <cell r="L76">
            <v>5.0563000000000002</v>
          </cell>
        </row>
        <row r="77">
          <cell r="A77" t="str">
            <v>2002-00113</v>
          </cell>
          <cell r="B77">
            <v>37377</v>
          </cell>
          <cell r="C77">
            <v>3.5903999999999998</v>
          </cell>
          <cell r="D77">
            <v>0.21010000000000001</v>
          </cell>
          <cell r="E77">
            <v>0</v>
          </cell>
          <cell r="F77">
            <v>0</v>
          </cell>
          <cell r="G77">
            <v>0</v>
          </cell>
          <cell r="H77">
            <v>-0.2407</v>
          </cell>
          <cell r="I77">
            <v>-1.9E-3</v>
          </cell>
          <cell r="J77">
            <v>2.3699999999999999E-2</v>
          </cell>
          <cell r="K77">
            <v>3.5815999999999999</v>
          </cell>
          <cell r="L77">
            <v>5.0563000000000002</v>
          </cell>
        </row>
        <row r="78">
          <cell r="A78" t="str">
            <v>2002-00251</v>
          </cell>
          <cell r="B78">
            <v>37469</v>
          </cell>
          <cell r="C78">
            <v>3.5659999999999998</v>
          </cell>
          <cell r="D78">
            <v>0.21010000000000001</v>
          </cell>
          <cell r="E78">
            <v>0</v>
          </cell>
          <cell r="F78">
            <v>0</v>
          </cell>
          <cell r="G78">
            <v>0</v>
          </cell>
          <cell r="H78">
            <v>-0.2248</v>
          </cell>
          <cell r="I78">
            <v>-1.14E-2</v>
          </cell>
          <cell r="J78">
            <v>2.3699999999999999E-2</v>
          </cell>
          <cell r="K78">
            <v>3.5636000000000001</v>
          </cell>
          <cell r="L78">
            <v>5.0563000000000002</v>
          </cell>
        </row>
        <row r="79">
          <cell r="A79" t="str">
            <v>2002-00359</v>
          </cell>
          <cell r="B79">
            <v>37561</v>
          </cell>
          <cell r="C79">
            <v>4.0022000000000002</v>
          </cell>
          <cell r="D79">
            <v>0.19040000000000001</v>
          </cell>
          <cell r="E79">
            <v>0</v>
          </cell>
          <cell r="F79">
            <v>0</v>
          </cell>
          <cell r="G79">
            <v>0</v>
          </cell>
          <cell r="H79">
            <v>5.1999999999999998E-3</v>
          </cell>
          <cell r="I79">
            <v>-0.16690000000000002</v>
          </cell>
          <cell r="J79">
            <v>2.3699999999999999E-2</v>
          </cell>
          <cell r="K79">
            <v>4.0546000000000006</v>
          </cell>
          <cell r="L79">
            <v>4.5831999999999997</v>
          </cell>
        </row>
        <row r="80">
          <cell r="A80" t="str">
            <v>2003-00002</v>
          </cell>
          <cell r="B80">
            <v>37653</v>
          </cell>
          <cell r="C80">
            <v>4.4122000000000003</v>
          </cell>
          <cell r="D80">
            <v>0.19040000000000001</v>
          </cell>
          <cell r="E80">
            <v>0</v>
          </cell>
          <cell r="F80">
            <v>0</v>
          </cell>
          <cell r="G80">
            <v>0</v>
          </cell>
          <cell r="H80">
            <v>0.1686</v>
          </cell>
          <cell r="I80">
            <v>-0.16690000000000002</v>
          </cell>
          <cell r="J80">
            <v>7.4700000000000003E-2</v>
          </cell>
          <cell r="K80">
            <v>4.3798000000000004</v>
          </cell>
          <cell r="L80">
            <v>4.7106000000000003</v>
          </cell>
        </row>
        <row r="81">
          <cell r="A81" t="str">
            <v>2003-00083</v>
          </cell>
          <cell r="B81">
            <v>37713</v>
          </cell>
          <cell r="C81">
            <v>6.6096000000000004</v>
          </cell>
          <cell r="D81">
            <v>0.19040000000000001</v>
          </cell>
          <cell r="E81">
            <v>0</v>
          </cell>
          <cell r="F81">
            <v>0</v>
          </cell>
          <cell r="G81">
            <v>0</v>
          </cell>
          <cell r="H81">
            <v>0.1686</v>
          </cell>
          <cell r="I81">
            <v>-0.16690000000000002</v>
          </cell>
          <cell r="J81">
            <v>7.4700000000000003E-2</v>
          </cell>
          <cell r="K81">
            <v>6.8764000000000003</v>
          </cell>
          <cell r="L81">
            <v>4.7106000000000003</v>
          </cell>
        </row>
        <row r="82">
          <cell r="A82" t="str">
            <v>2003-00126</v>
          </cell>
          <cell r="B82">
            <v>37742</v>
          </cell>
          <cell r="C82">
            <v>5.5705</v>
          </cell>
          <cell r="D82">
            <v>0.19040000000000001</v>
          </cell>
          <cell r="E82">
            <v>0</v>
          </cell>
          <cell r="F82">
            <v>0</v>
          </cell>
          <cell r="G82">
            <v>0</v>
          </cell>
          <cell r="H82">
            <v>0.21640000000000001</v>
          </cell>
          <cell r="I82">
            <v>-0.16690000000000002</v>
          </cell>
          <cell r="J82">
            <v>7.4700000000000003E-2</v>
          </cell>
          <cell r="K82">
            <v>5.8851000000000004</v>
          </cell>
          <cell r="L82">
            <v>4.7106000000000003</v>
          </cell>
        </row>
        <row r="83">
          <cell r="A83" t="str">
            <v>2003-00258</v>
          </cell>
          <cell r="B83">
            <v>37834</v>
          </cell>
          <cell r="C83">
            <v>6.3529999999999998</v>
          </cell>
          <cell r="D83">
            <v>0.18709999999999999</v>
          </cell>
          <cell r="E83">
            <v>0</v>
          </cell>
          <cell r="F83">
            <v>0</v>
          </cell>
          <cell r="G83">
            <v>0</v>
          </cell>
          <cell r="H83">
            <v>0.45200000000000001</v>
          </cell>
          <cell r="I83">
            <v>-0.15740000000000001</v>
          </cell>
          <cell r="J83">
            <v>7.4700000000000003E-2</v>
          </cell>
          <cell r="K83">
            <v>6.9093999999999998</v>
          </cell>
          <cell r="L83">
            <v>4.6295999999999999</v>
          </cell>
        </row>
        <row r="84">
          <cell r="A84" t="str">
            <v>2003-00377</v>
          </cell>
          <cell r="B84">
            <v>37926</v>
          </cell>
          <cell r="C84">
            <v>5.6509999999999998</v>
          </cell>
          <cell r="D84">
            <v>0.18709999999999999</v>
          </cell>
          <cell r="E84">
            <v>0</v>
          </cell>
          <cell r="F84">
            <v>0</v>
          </cell>
          <cell r="G84">
            <v>0</v>
          </cell>
          <cell r="H84">
            <v>0.54669999999999996</v>
          </cell>
          <cell r="I84">
            <v>-5.9999999999999995E-4</v>
          </cell>
          <cell r="J84">
            <v>7.4700000000000003E-2</v>
          </cell>
          <cell r="K84">
            <v>6.4588999999999999</v>
          </cell>
          <cell r="L84">
            <v>4.6387</v>
          </cell>
        </row>
        <row r="85">
          <cell r="A85" t="str">
            <v>2003-00504</v>
          </cell>
          <cell r="B85">
            <v>38018</v>
          </cell>
          <cell r="C85">
            <v>5.9219999999999997</v>
          </cell>
          <cell r="D85">
            <v>0.18709999999999999</v>
          </cell>
          <cell r="E85">
            <v>0</v>
          </cell>
          <cell r="F85">
            <v>0</v>
          </cell>
          <cell r="G85">
            <v>0</v>
          </cell>
          <cell r="H85">
            <v>0.5554</v>
          </cell>
          <cell r="I85">
            <v>-5.9999999999999995E-4</v>
          </cell>
          <cell r="J85">
            <v>6.1199999999999997E-2</v>
          </cell>
          <cell r="K85">
            <v>6.7250999999999994</v>
          </cell>
          <cell r="L85">
            <v>4.6387</v>
          </cell>
        </row>
        <row r="86">
          <cell r="A86" t="str">
            <v>2004-00122</v>
          </cell>
          <cell r="B86">
            <v>38108</v>
          </cell>
          <cell r="C86">
            <v>6.0660999999999996</v>
          </cell>
          <cell r="D86">
            <v>0.18709999999999999</v>
          </cell>
          <cell r="E86">
            <v>0</v>
          </cell>
          <cell r="F86">
            <v>0</v>
          </cell>
          <cell r="G86">
            <v>0</v>
          </cell>
          <cell r="H86">
            <v>0.14910000000000001</v>
          </cell>
          <cell r="I86">
            <v>-5.9999999999999995E-4</v>
          </cell>
          <cell r="J86">
            <v>6.1199999999999997E-2</v>
          </cell>
          <cell r="K86">
            <v>6.4629000000000003</v>
          </cell>
          <cell r="L86">
            <v>4.6387</v>
          </cell>
        </row>
        <row r="87">
          <cell r="A87" t="str">
            <v>2004-00269</v>
          </cell>
          <cell r="B87">
            <v>38200</v>
          </cell>
          <cell r="C87">
            <v>7.0430999999999999</v>
          </cell>
          <cell r="D87">
            <v>0.18709999999999999</v>
          </cell>
          <cell r="E87">
            <v>0</v>
          </cell>
          <cell r="F87">
            <v>0</v>
          </cell>
          <cell r="G87">
            <v>0</v>
          </cell>
          <cell r="H87">
            <v>0.1148</v>
          </cell>
          <cell r="I87">
            <v>-5.3999999999999994E-3</v>
          </cell>
          <cell r="J87">
            <v>6.1199999999999997E-2</v>
          </cell>
          <cell r="K87">
            <v>7.2302</v>
          </cell>
          <cell r="L87">
            <v>4.6387</v>
          </cell>
        </row>
        <row r="88">
          <cell r="A88" t="str">
            <v>2004-00398</v>
          </cell>
          <cell r="B88">
            <v>38292</v>
          </cell>
          <cell r="C88">
            <v>6.8804999999999996</v>
          </cell>
          <cell r="D88">
            <v>0.18640000000000001</v>
          </cell>
          <cell r="E88">
            <v>0</v>
          </cell>
          <cell r="F88">
            <v>0</v>
          </cell>
          <cell r="G88">
            <v>0</v>
          </cell>
          <cell r="H88">
            <v>0.2064</v>
          </cell>
          <cell r="I88">
            <v>-4.7999999999999996E-3</v>
          </cell>
          <cell r="J88">
            <v>6.1199999999999997E-2</v>
          </cell>
          <cell r="K88">
            <v>7.3296999999999999</v>
          </cell>
          <cell r="L88">
            <v>4.6207000000000003</v>
          </cell>
        </row>
        <row r="89">
          <cell r="A89" t="str">
            <v>2005-00013</v>
          </cell>
          <cell r="B89">
            <v>38384</v>
          </cell>
          <cell r="C89">
            <v>6.7214999999999998</v>
          </cell>
          <cell r="D89">
            <v>0.18640000000000001</v>
          </cell>
          <cell r="E89">
            <v>0</v>
          </cell>
          <cell r="F89">
            <v>0</v>
          </cell>
          <cell r="G89">
            <v>0</v>
          </cell>
          <cell r="H89">
            <v>0.3876</v>
          </cell>
          <cell r="I89">
            <v>-4.7999999999999996E-3</v>
          </cell>
          <cell r="J89">
            <v>4.48E-2</v>
          </cell>
          <cell r="K89">
            <v>7.3354999999999997</v>
          </cell>
          <cell r="L89">
            <v>4.6207000000000003</v>
          </cell>
        </row>
        <row r="90">
          <cell r="A90" t="str">
            <v>2005-00139</v>
          </cell>
          <cell r="B90">
            <v>38473</v>
          </cell>
          <cell r="C90">
            <v>8.0664999999999996</v>
          </cell>
          <cell r="D90">
            <v>0.18640000000000001</v>
          </cell>
          <cell r="E90">
            <v>0</v>
          </cell>
          <cell r="F90">
            <v>0</v>
          </cell>
          <cell r="G90">
            <v>0</v>
          </cell>
          <cell r="H90">
            <v>0.34960000000000002</v>
          </cell>
          <cell r="I90">
            <v>-4.7999999999999996E-3</v>
          </cell>
          <cell r="J90">
            <v>4.48E-2</v>
          </cell>
          <cell r="K90">
            <v>8.6425000000000001</v>
          </cell>
          <cell r="L90">
            <v>4.6207000000000003</v>
          </cell>
        </row>
        <row r="91">
          <cell r="A91" t="str">
            <v>2005-00271</v>
          </cell>
          <cell r="B91">
            <v>38565</v>
          </cell>
          <cell r="C91">
            <v>8.327</v>
          </cell>
          <cell r="D91">
            <v>0.18640000000000001</v>
          </cell>
          <cell r="E91">
            <v>0</v>
          </cell>
          <cell r="F91">
            <v>0</v>
          </cell>
          <cell r="G91">
            <v>0</v>
          </cell>
          <cell r="H91">
            <v>5.7599999999999998E-2</v>
          </cell>
          <cell r="I91">
            <v>-4.7999999999999996E-3</v>
          </cell>
          <cell r="J91">
            <v>4.48E-2</v>
          </cell>
          <cell r="K91">
            <v>8.6110000000000024</v>
          </cell>
          <cell r="L91">
            <v>4.6207000000000003</v>
          </cell>
        </row>
        <row r="92">
          <cell r="A92" t="str">
            <v>2005-00354</v>
          </cell>
          <cell r="B92">
            <v>38626</v>
          </cell>
          <cell r="C92">
            <v>10.2639</v>
          </cell>
          <cell r="D92">
            <v>0.18640000000000001</v>
          </cell>
          <cell r="E92">
            <v>0</v>
          </cell>
          <cell r="F92">
            <v>0</v>
          </cell>
          <cell r="G92">
            <v>0</v>
          </cell>
          <cell r="H92">
            <v>5.7599999999999998E-2</v>
          </cell>
          <cell r="I92">
            <v>-4.7999999999999996E-3</v>
          </cell>
          <cell r="J92">
            <v>4.48E-2</v>
          </cell>
          <cell r="K92">
            <v>10.547900000000002</v>
          </cell>
          <cell r="L92">
            <v>4.6207000000000003</v>
          </cell>
        </row>
        <row r="93">
          <cell r="A93" t="str">
            <v>2005-00399</v>
          </cell>
          <cell r="B93">
            <v>38657</v>
          </cell>
          <cell r="C93">
            <v>9.9666999999999994</v>
          </cell>
          <cell r="D93">
            <v>0.18640000000000001</v>
          </cell>
          <cell r="E93">
            <v>0</v>
          </cell>
          <cell r="F93">
            <v>0</v>
          </cell>
          <cell r="G93">
            <v>0</v>
          </cell>
          <cell r="H93">
            <v>0.40460000000000002</v>
          </cell>
          <cell r="I93">
            <v>-1.6999999999999999E-3</v>
          </cell>
          <cell r="J93">
            <v>4.48E-2</v>
          </cell>
          <cell r="K93">
            <v>10.600800000000001</v>
          </cell>
          <cell r="L93">
            <v>4.5575999999999999</v>
          </cell>
        </row>
        <row r="94">
          <cell r="A94" t="str">
            <v>2005-00552</v>
          </cell>
          <cell r="B94">
            <v>38749</v>
          </cell>
          <cell r="C94">
            <v>10.3019</v>
          </cell>
          <cell r="D94">
            <v>0.2195</v>
          </cell>
          <cell r="E94">
            <v>0</v>
          </cell>
          <cell r="F94">
            <v>0</v>
          </cell>
          <cell r="G94">
            <v>0</v>
          </cell>
          <cell r="H94">
            <v>0.77170000000000005</v>
          </cell>
          <cell r="I94">
            <v>-1.6999999999999999E-3</v>
          </cell>
          <cell r="J94">
            <v>3.9899999999999998E-2</v>
          </cell>
          <cell r="K94">
            <v>11.331299999999999</v>
          </cell>
          <cell r="L94">
            <v>5.4417999999999997</v>
          </cell>
        </row>
        <row r="95">
          <cell r="A95" t="str">
            <v>2006-00135</v>
          </cell>
          <cell r="B95">
            <v>38838</v>
          </cell>
          <cell r="C95">
            <v>7.9545000000000003</v>
          </cell>
          <cell r="D95">
            <v>0.18390000000000001</v>
          </cell>
          <cell r="E95">
            <v>0</v>
          </cell>
          <cell r="F95">
            <v>0</v>
          </cell>
          <cell r="G95">
            <v>0</v>
          </cell>
          <cell r="H95">
            <v>0.29880000000000001</v>
          </cell>
          <cell r="I95">
            <v>-1.6999999999999999E-3</v>
          </cell>
          <cell r="J95">
            <v>3.9899999999999998E-2</v>
          </cell>
          <cell r="K95">
            <v>8.4754000000000005</v>
          </cell>
          <cell r="L95">
            <v>4.5575999999999999</v>
          </cell>
        </row>
        <row r="96">
          <cell r="A96" t="str">
            <v>2006-00324</v>
          </cell>
          <cell r="B96">
            <v>38930</v>
          </cell>
          <cell r="C96">
            <v>7.7975000000000003</v>
          </cell>
          <cell r="D96">
            <v>0.18390000000000001</v>
          </cell>
          <cell r="E96">
            <v>0</v>
          </cell>
          <cell r="F96">
            <v>0</v>
          </cell>
          <cell r="G96">
            <v>0</v>
          </cell>
          <cell r="H96">
            <v>-0.1749</v>
          </cell>
          <cell r="I96">
            <v>-1.6999999999999999E-3</v>
          </cell>
          <cell r="J96">
            <v>3.9899999999999998E-2</v>
          </cell>
          <cell r="K96">
            <v>7.8447000000000013</v>
          </cell>
          <cell r="L96">
            <v>4.5575999999999999</v>
          </cell>
        </row>
        <row r="97">
          <cell r="A97" t="str">
            <v>2006-00428</v>
          </cell>
          <cell r="B97">
            <v>39022</v>
          </cell>
          <cell r="C97">
            <v>8.0540000000000003</v>
          </cell>
          <cell r="D97">
            <v>0.18390000000000001</v>
          </cell>
          <cell r="E97">
            <v>0</v>
          </cell>
          <cell r="F97">
            <v>0</v>
          </cell>
          <cell r="G97">
            <v>0</v>
          </cell>
          <cell r="H97">
            <v>-0.30880000000000002</v>
          </cell>
          <cell r="I97">
            <v>-5.5399999999999998E-2</v>
          </cell>
          <cell r="J97">
            <v>3.9899999999999998E-2</v>
          </cell>
          <cell r="K97">
            <v>7.9136000000000006</v>
          </cell>
          <cell r="L97">
            <v>4.5575999999999999</v>
          </cell>
        </row>
        <row r="98">
          <cell r="M98" t="str">
            <v>Source: Exhibit A</v>
          </cell>
        </row>
      </sheetData>
      <sheetData sheetId="38">
        <row r="8">
          <cell r="A8" t="str">
            <v>95-010 C</v>
          </cell>
          <cell r="B8">
            <v>34943</v>
          </cell>
          <cell r="C8">
            <v>1.6788000000000001</v>
          </cell>
          <cell r="D8">
            <v>0.97670000000000001</v>
          </cell>
          <cell r="E8">
            <v>-1.9E-3</v>
          </cell>
        </row>
        <row r="9">
          <cell r="A9" t="str">
            <v>95-010 D</v>
          </cell>
          <cell r="B9">
            <v>34973</v>
          </cell>
          <cell r="C9">
            <v>1.7593000000000001</v>
          </cell>
          <cell r="D9">
            <v>0.96160000000000001</v>
          </cell>
          <cell r="E9">
            <v>3.5000000000000001E-3</v>
          </cell>
        </row>
        <row r="10">
          <cell r="A10" t="str">
            <v>95-010 E</v>
          </cell>
          <cell r="B10">
            <v>35004</v>
          </cell>
          <cell r="C10">
            <v>1.8481000000000001</v>
          </cell>
          <cell r="D10">
            <v>0.96550000000000002</v>
          </cell>
          <cell r="E10">
            <v>3.2500000000000001E-2</v>
          </cell>
        </row>
        <row r="11">
          <cell r="A11" t="str">
            <v>95-010 F</v>
          </cell>
          <cell r="B11">
            <v>35034</v>
          </cell>
          <cell r="C11">
            <v>2.5830000000000002</v>
          </cell>
          <cell r="D11">
            <v>0.96189999999999998</v>
          </cell>
          <cell r="E11">
            <v>0.19769999999999999</v>
          </cell>
        </row>
        <row r="12">
          <cell r="A12" t="str">
            <v>95-010 G</v>
          </cell>
          <cell r="B12">
            <v>35065</v>
          </cell>
          <cell r="C12">
            <v>3.6097000000000001</v>
          </cell>
          <cell r="D12">
            <v>0.94950000000000001</v>
          </cell>
          <cell r="E12">
            <v>1.29E-2</v>
          </cell>
        </row>
        <row r="13">
          <cell r="A13" t="str">
            <v>95-010 H</v>
          </cell>
          <cell r="B13">
            <v>35096</v>
          </cell>
          <cell r="C13">
            <v>3.1621000000000001</v>
          </cell>
          <cell r="D13">
            <v>0.96340000000000003</v>
          </cell>
          <cell r="E13">
            <v>3.8999999999999998E-3</v>
          </cell>
        </row>
        <row r="14">
          <cell r="A14" t="str">
            <v>95-010 I</v>
          </cell>
          <cell r="B14">
            <v>35125</v>
          </cell>
          <cell r="C14">
            <v>3.0878000000000001</v>
          </cell>
          <cell r="D14">
            <v>1.0442</v>
          </cell>
          <cell r="E14">
            <v>7.6999999999998181E-3</v>
          </cell>
        </row>
        <row r="15">
          <cell r="A15" t="str">
            <v>95-010 J</v>
          </cell>
          <cell r="B15">
            <v>35156</v>
          </cell>
          <cell r="C15">
            <v>2.9451999999999998</v>
          </cell>
          <cell r="D15">
            <v>1.0583</v>
          </cell>
          <cell r="E15">
            <v>5.0399999999999778E-2</v>
          </cell>
        </row>
        <row r="16">
          <cell r="A16" t="str">
            <v>95-010 K</v>
          </cell>
          <cell r="B16">
            <v>35186</v>
          </cell>
          <cell r="C16">
            <v>2.3868999999999998</v>
          </cell>
          <cell r="D16">
            <v>0.94279999999999997</v>
          </cell>
          <cell r="E16">
            <v>2.12E-2</v>
          </cell>
        </row>
        <row r="17">
          <cell r="A17" t="str">
            <v>95-010 L</v>
          </cell>
          <cell r="B17">
            <v>35217</v>
          </cell>
          <cell r="C17">
            <v>2.5070000000000001</v>
          </cell>
          <cell r="D17">
            <v>0.80870000000000009</v>
          </cell>
          <cell r="E17">
            <v>-3.0199999999999783E-2</v>
          </cell>
        </row>
        <row r="18">
          <cell r="A18" t="str">
            <v>95-010 M</v>
          </cell>
          <cell r="B18">
            <v>35247</v>
          </cell>
          <cell r="C18">
            <v>2.8332000000000002</v>
          </cell>
          <cell r="D18">
            <v>0.80640000000000001</v>
          </cell>
          <cell r="E18">
            <v>-1.8E-3</v>
          </cell>
        </row>
        <row r="19">
          <cell r="A19" t="str">
            <v>95-010 N</v>
          </cell>
          <cell r="B19">
            <v>35278</v>
          </cell>
          <cell r="C19">
            <v>2.4481999999999999</v>
          </cell>
          <cell r="D19">
            <v>0.80049999999999999</v>
          </cell>
          <cell r="E19">
            <v>0</v>
          </cell>
        </row>
        <row r="20">
          <cell r="A20" t="str">
            <v>95-010 O</v>
          </cell>
          <cell r="B20">
            <v>35309</v>
          </cell>
          <cell r="C20">
            <v>2.3172999999999999</v>
          </cell>
          <cell r="D20">
            <v>0.86319999999999997</v>
          </cell>
          <cell r="E20">
            <v>3.4000000000000252E-2</v>
          </cell>
        </row>
        <row r="21">
          <cell r="A21" t="str">
            <v>95-010 P</v>
          </cell>
          <cell r="B21">
            <v>35339</v>
          </cell>
          <cell r="C21">
            <v>2.0539000000000001</v>
          </cell>
          <cell r="D21">
            <v>0.85729999999999995</v>
          </cell>
          <cell r="E21">
            <v>-0.23839999999999995</v>
          </cell>
        </row>
        <row r="22">
          <cell r="A22" t="str">
            <v>95-010 Q</v>
          </cell>
          <cell r="B22">
            <v>35370</v>
          </cell>
          <cell r="C22">
            <v>3.1606000000000001</v>
          </cell>
          <cell r="D22">
            <v>0.8196</v>
          </cell>
          <cell r="E22">
            <v>3.7000000000000002E-3</v>
          </cell>
        </row>
        <row r="23">
          <cell r="A23" t="str">
            <v>95-010 R</v>
          </cell>
          <cell r="B23">
            <v>35400</v>
          </cell>
          <cell r="C23">
            <v>4.3159000000000001</v>
          </cell>
          <cell r="D23">
            <v>0.79309999999999992</v>
          </cell>
          <cell r="E23">
            <v>-1.6000000000000014E-2</v>
          </cell>
        </row>
        <row r="24">
          <cell r="A24" t="str">
            <v>95-010 S</v>
          </cell>
          <cell r="B24">
            <v>35431</v>
          </cell>
          <cell r="C24">
            <v>4.2289000000000003</v>
          </cell>
          <cell r="D24">
            <v>0.80519999999999992</v>
          </cell>
          <cell r="E24">
            <v>1.000000000000334E-3</v>
          </cell>
        </row>
        <row r="25">
          <cell r="A25" t="str">
            <v>95-010 T</v>
          </cell>
          <cell r="B25">
            <v>35462</v>
          </cell>
          <cell r="C25">
            <v>3.1</v>
          </cell>
          <cell r="D25">
            <v>0.80510000000000004</v>
          </cell>
          <cell r="E25">
            <v>9.9000000000000199E-3</v>
          </cell>
        </row>
        <row r="26">
          <cell r="A26" t="str">
            <v>95-010 U</v>
          </cell>
          <cell r="B26">
            <v>35490</v>
          </cell>
          <cell r="C26">
            <v>1.9297</v>
          </cell>
          <cell r="D26">
            <v>0.8054</v>
          </cell>
          <cell r="E26">
            <v>-5.3900000000000059E-2</v>
          </cell>
        </row>
        <row r="27">
          <cell r="A27" t="str">
            <v>95-010 V</v>
          </cell>
          <cell r="B27">
            <v>35521</v>
          </cell>
          <cell r="C27">
            <v>2.1265000000000001</v>
          </cell>
          <cell r="D27">
            <v>0.78969999999999985</v>
          </cell>
          <cell r="E27">
            <v>-1.4100000000000001E-2</v>
          </cell>
        </row>
        <row r="28">
          <cell r="A28" t="str">
            <v>95-010 W</v>
          </cell>
          <cell r="B28">
            <v>35551</v>
          </cell>
          <cell r="C28">
            <v>2.3639999999999999</v>
          </cell>
          <cell r="D28">
            <v>0.78969999999999996</v>
          </cell>
          <cell r="E28">
            <v>-0.12110000000000021</v>
          </cell>
        </row>
        <row r="29">
          <cell r="A29" t="str">
            <v>95-010 X</v>
          </cell>
          <cell r="B29">
            <v>35582</v>
          </cell>
          <cell r="C29">
            <v>2.4377</v>
          </cell>
          <cell r="D29">
            <v>0.89570000000000016</v>
          </cell>
          <cell r="E29">
            <v>0</v>
          </cell>
        </row>
        <row r="30">
          <cell r="A30" t="str">
            <v>95-010 Y</v>
          </cell>
          <cell r="B30">
            <v>35612</v>
          </cell>
          <cell r="C30">
            <v>2.5013000000000001</v>
          </cell>
          <cell r="D30">
            <v>0.84920000000000018</v>
          </cell>
          <cell r="E30">
            <v>8.1000000000002181E-3</v>
          </cell>
        </row>
        <row r="31">
          <cell r="A31" t="str">
            <v>95-010 Z</v>
          </cell>
          <cell r="B31">
            <v>35643</v>
          </cell>
          <cell r="C31">
            <v>2.3273999999999999</v>
          </cell>
          <cell r="D31">
            <v>0.98920000000000008</v>
          </cell>
          <cell r="E31">
            <v>-9.800000000000253E-3</v>
          </cell>
        </row>
        <row r="32">
          <cell r="A32" t="str">
            <v>95-010 AA</v>
          </cell>
          <cell r="B32">
            <v>35674</v>
          </cell>
          <cell r="C32">
            <v>2.4371999999999998</v>
          </cell>
          <cell r="D32">
            <v>0.83700000000000008</v>
          </cell>
          <cell r="E32">
            <v>2.2499999999999999E-2</v>
          </cell>
        </row>
        <row r="33">
          <cell r="A33" t="str">
            <v>95-010 BB</v>
          </cell>
          <cell r="B33">
            <v>35704</v>
          </cell>
          <cell r="C33">
            <v>3.1143000000000001</v>
          </cell>
          <cell r="D33">
            <v>0.8519000000000001</v>
          </cell>
          <cell r="E33">
            <v>5.4000000000002935E-3</v>
          </cell>
        </row>
        <row r="34">
          <cell r="A34" t="str">
            <v>95-010 CC</v>
          </cell>
          <cell r="B34">
            <v>35735</v>
          </cell>
          <cell r="C34">
            <v>3.4891999999999999</v>
          </cell>
          <cell r="D34">
            <v>0.8519000000000001</v>
          </cell>
          <cell r="E34">
            <v>-0.10470000000000024</v>
          </cell>
        </row>
        <row r="35">
          <cell r="A35" t="str">
            <v>95-010 DD</v>
          </cell>
          <cell r="B35">
            <v>35765</v>
          </cell>
          <cell r="C35">
            <v>2.6930999999999998</v>
          </cell>
          <cell r="D35">
            <v>1.0055000000000001</v>
          </cell>
          <cell r="E35">
            <v>0.115</v>
          </cell>
        </row>
        <row r="36">
          <cell r="A36" t="str">
            <v>95-010 EE</v>
          </cell>
          <cell r="B36">
            <v>35796</v>
          </cell>
          <cell r="C36">
            <v>2.4893999999999998</v>
          </cell>
          <cell r="D36">
            <v>1.0055000000000001</v>
          </cell>
          <cell r="E36">
            <v>-4.469999999999974E-2</v>
          </cell>
        </row>
        <row r="37">
          <cell r="A37" t="str">
            <v>95-010 FF</v>
          </cell>
          <cell r="B37">
            <v>35827</v>
          </cell>
          <cell r="C37">
            <v>2.3378000000000001</v>
          </cell>
          <cell r="D37">
            <v>1.0055000000000001</v>
          </cell>
          <cell r="E37">
            <v>-6.7799999999999638E-2</v>
          </cell>
        </row>
        <row r="38">
          <cell r="A38" t="str">
            <v>95-010 GG</v>
          </cell>
          <cell r="B38">
            <v>35855</v>
          </cell>
          <cell r="C38">
            <v>2.3269000000000002</v>
          </cell>
          <cell r="D38">
            <v>0.85660000000000003</v>
          </cell>
          <cell r="E38">
            <v>-0.15920000000000023</v>
          </cell>
        </row>
        <row r="39">
          <cell r="A39" t="str">
            <v>95-010 HH</v>
          </cell>
          <cell r="B39">
            <v>35886</v>
          </cell>
          <cell r="C39">
            <v>2.4558</v>
          </cell>
          <cell r="D39">
            <v>0.79020000000000001</v>
          </cell>
          <cell r="E39">
            <v>0.10379999999999967</v>
          </cell>
        </row>
        <row r="40">
          <cell r="A40" t="str">
            <v>95-010 II</v>
          </cell>
          <cell r="B40">
            <v>35916</v>
          </cell>
          <cell r="C40">
            <v>2.2869000000000002</v>
          </cell>
          <cell r="D40">
            <v>0.79020000000000001</v>
          </cell>
          <cell r="E40">
            <v>5.259999999999998E-2</v>
          </cell>
        </row>
        <row r="41">
          <cell r="A41" t="str">
            <v>95-010 JJ</v>
          </cell>
          <cell r="B41">
            <v>35947</v>
          </cell>
          <cell r="C41">
            <v>2.3929999999999998</v>
          </cell>
          <cell r="D41">
            <v>0.83899999999999997</v>
          </cell>
          <cell r="E41">
            <v>-1.3700000000000045E-2</v>
          </cell>
        </row>
        <row r="42">
          <cell r="A42" t="str">
            <v>95-010 KK</v>
          </cell>
          <cell r="B42">
            <v>35977</v>
          </cell>
          <cell r="C42">
            <v>2.4350999999999998</v>
          </cell>
          <cell r="D42">
            <v>0.83599999999999997</v>
          </cell>
          <cell r="E42">
            <v>1.4300000000000423E-2</v>
          </cell>
        </row>
        <row r="43">
          <cell r="A43" t="str">
            <v>95-010 LL</v>
          </cell>
          <cell r="B43">
            <v>36008</v>
          </cell>
          <cell r="C43">
            <v>1.9495</v>
          </cell>
          <cell r="D43">
            <v>0.83599999999999997</v>
          </cell>
          <cell r="E43">
            <v>-3.0899999999999928E-2</v>
          </cell>
        </row>
        <row r="44">
          <cell r="A44" t="str">
            <v>95-010 MM</v>
          </cell>
          <cell r="B44">
            <v>36039</v>
          </cell>
          <cell r="C44">
            <v>1.9322999999999999</v>
          </cell>
          <cell r="D44">
            <v>0.83599999999999997</v>
          </cell>
          <cell r="E44">
            <v>0.70840000000000014</v>
          </cell>
        </row>
        <row r="45">
          <cell r="A45" t="str">
            <v>95-010 NN</v>
          </cell>
          <cell r="B45">
            <v>36069</v>
          </cell>
          <cell r="C45">
            <v>1.8403</v>
          </cell>
          <cell r="D45">
            <v>0.83599999999999997</v>
          </cell>
          <cell r="E45">
            <v>-9.199999999999986E-2</v>
          </cell>
        </row>
        <row r="46">
          <cell r="A46" t="str">
            <v>95-010 OO</v>
          </cell>
          <cell r="B46">
            <v>36100</v>
          </cell>
          <cell r="C46">
            <v>2.0097</v>
          </cell>
          <cell r="D46">
            <v>0.76989999999999992</v>
          </cell>
          <cell r="E46">
            <v>0.1694</v>
          </cell>
        </row>
        <row r="47">
          <cell r="A47" t="str">
            <v>95-010 PP</v>
          </cell>
          <cell r="B47">
            <v>36130</v>
          </cell>
          <cell r="C47">
            <v>2.1608000000000001</v>
          </cell>
          <cell r="D47">
            <v>0.76989999999999992</v>
          </cell>
          <cell r="E47">
            <v>0.15110000000000001</v>
          </cell>
        </row>
        <row r="48">
          <cell r="A48" t="str">
            <v>95-010 QQ</v>
          </cell>
          <cell r="B48">
            <v>36161</v>
          </cell>
          <cell r="C48">
            <v>1.9796</v>
          </cell>
          <cell r="D48">
            <v>0.76989999999999992</v>
          </cell>
          <cell r="E48">
            <v>-0.18730000000000002</v>
          </cell>
        </row>
        <row r="49">
          <cell r="A49" t="str">
            <v>95-010 RR</v>
          </cell>
          <cell r="B49">
            <v>36192</v>
          </cell>
          <cell r="C49">
            <v>1.8795999999999999</v>
          </cell>
          <cell r="D49">
            <v>0.76989999999999992</v>
          </cell>
          <cell r="E49">
            <v>-0.1</v>
          </cell>
        </row>
        <row r="50">
          <cell r="A50" t="str">
            <v>95-010 SS</v>
          </cell>
          <cell r="B50">
            <v>36220</v>
          </cell>
          <cell r="C50">
            <v>1.9111</v>
          </cell>
          <cell r="D50">
            <v>0.76989999999999992</v>
          </cell>
          <cell r="E50">
            <v>3.15E-2</v>
          </cell>
        </row>
        <row r="51">
          <cell r="A51" t="str">
            <v>95-010 TT</v>
          </cell>
          <cell r="B51">
            <v>36251</v>
          </cell>
          <cell r="C51">
            <v>1.7602</v>
          </cell>
          <cell r="D51">
            <v>0.76990000000000003</v>
          </cell>
          <cell r="E51">
            <v>-0.1608</v>
          </cell>
        </row>
        <row r="52">
          <cell r="A52" t="str">
            <v>95-010 UU</v>
          </cell>
          <cell r="B52">
            <v>36281</v>
          </cell>
          <cell r="C52">
            <v>2.0323000000000002</v>
          </cell>
          <cell r="D52">
            <v>0.7286999999999999</v>
          </cell>
          <cell r="E52">
            <v>0.27210000000000001</v>
          </cell>
        </row>
        <row r="53">
          <cell r="A53" t="str">
            <v>95-010 VV</v>
          </cell>
          <cell r="B53">
            <v>36312</v>
          </cell>
          <cell r="C53">
            <v>2.3763000000000001</v>
          </cell>
          <cell r="D53">
            <v>0.7286999999999999</v>
          </cell>
          <cell r="E53">
            <v>0.34399999999999997</v>
          </cell>
        </row>
        <row r="54">
          <cell r="A54" t="str">
            <v>95-010 WW</v>
          </cell>
          <cell r="B54">
            <v>36342</v>
          </cell>
          <cell r="C54">
            <v>2.3330000000000002</v>
          </cell>
          <cell r="D54">
            <v>0.73169999999999991</v>
          </cell>
          <cell r="E54">
            <v>-4.5100000000000001E-2</v>
          </cell>
        </row>
        <row r="55">
          <cell r="A55" t="str">
            <v>95-010 XX</v>
          </cell>
          <cell r="B55">
            <v>36373</v>
          </cell>
          <cell r="C55">
            <v>2.2801</v>
          </cell>
          <cell r="D55">
            <v>0.73169999999999991</v>
          </cell>
          <cell r="E55">
            <v>-5.2900000000000003E-2</v>
          </cell>
        </row>
        <row r="56">
          <cell r="A56" t="str">
            <v>95-010 YY</v>
          </cell>
          <cell r="B56">
            <v>36404</v>
          </cell>
          <cell r="C56">
            <v>2.2353000000000001</v>
          </cell>
          <cell r="D56">
            <v>0.73169999999999991</v>
          </cell>
          <cell r="E56">
            <v>0.51049999999999995</v>
          </cell>
        </row>
        <row r="57">
          <cell r="A57" t="str">
            <v>99-070</v>
          </cell>
          <cell r="B57">
            <v>36434</v>
          </cell>
          <cell r="C57">
            <v>2.9076</v>
          </cell>
          <cell r="D57">
            <v>0.73169999999999991</v>
          </cell>
          <cell r="E57">
            <v>0.67230000000000001</v>
          </cell>
        </row>
        <row r="58">
          <cell r="A58" t="str">
            <v>99-070 A</v>
          </cell>
          <cell r="B58">
            <v>36465</v>
          </cell>
          <cell r="C58">
            <v>2.6151</v>
          </cell>
          <cell r="D58">
            <v>0.72319999999999995</v>
          </cell>
          <cell r="E58">
            <v>-9.98E-2</v>
          </cell>
        </row>
        <row r="59">
          <cell r="A59" t="str">
            <v>1999-070 B</v>
          </cell>
          <cell r="B59">
            <v>36526</v>
          </cell>
          <cell r="C59">
            <v>2.6151</v>
          </cell>
          <cell r="D59">
            <v>0.71859999999999991</v>
          </cell>
          <cell r="E59">
            <v>-9.98E-2</v>
          </cell>
        </row>
        <row r="60">
          <cell r="A60" t="str">
            <v>1999-070 C</v>
          </cell>
          <cell r="B60">
            <v>36557</v>
          </cell>
          <cell r="C60">
            <v>3.1292</v>
          </cell>
          <cell r="D60">
            <v>0.72209999999999996</v>
          </cell>
          <cell r="E60">
            <v>0.46689999999999998</v>
          </cell>
        </row>
        <row r="61">
          <cell r="A61" t="str">
            <v>1999-070 D</v>
          </cell>
          <cell r="B61">
            <v>36617</v>
          </cell>
          <cell r="C61">
            <v>2.8828</v>
          </cell>
          <cell r="D61">
            <v>0.76329999999999998</v>
          </cell>
          <cell r="E61">
            <v>9.0700000000000003E-2</v>
          </cell>
        </row>
        <row r="62">
          <cell r="A62" t="str">
            <v>1999-070 E</v>
          </cell>
          <cell r="B62">
            <v>36647</v>
          </cell>
          <cell r="C62">
            <v>3.1551999999999998</v>
          </cell>
          <cell r="D62">
            <v>0.76329999999999998</v>
          </cell>
          <cell r="E62">
            <v>0.27239999999999998</v>
          </cell>
        </row>
        <row r="63">
          <cell r="A63" t="str">
            <v>1999-070 F</v>
          </cell>
          <cell r="B63">
            <v>36708</v>
          </cell>
          <cell r="C63">
            <v>4.6307999999999998</v>
          </cell>
          <cell r="D63">
            <v>0.76329999999999998</v>
          </cell>
          <cell r="E63">
            <v>1.1285000000000001</v>
          </cell>
        </row>
        <row r="64">
          <cell r="A64" t="str">
            <v>1999-070 G</v>
          </cell>
          <cell r="B64">
            <v>36739</v>
          </cell>
          <cell r="C64">
            <v>4.4837999999999996</v>
          </cell>
          <cell r="D64">
            <v>0.76329999999999998</v>
          </cell>
          <cell r="E64">
            <v>-0.14700000000000024</v>
          </cell>
        </row>
        <row r="65">
          <cell r="A65" t="str">
            <v>1999-070 H</v>
          </cell>
          <cell r="B65">
            <v>36831</v>
          </cell>
          <cell r="C65">
            <v>5.4024000000000001</v>
          </cell>
          <cell r="D65">
            <v>0.9506</v>
          </cell>
          <cell r="E65">
            <v>0.30630000000000002</v>
          </cell>
        </row>
        <row r="66">
          <cell r="A66" t="str">
            <v>1999-070 I</v>
          </cell>
          <cell r="B66">
            <v>36861</v>
          </cell>
          <cell r="C66">
            <v>5.2557999999999998</v>
          </cell>
          <cell r="D66">
            <v>0.9506</v>
          </cell>
          <cell r="E66">
            <v>-0.14660000000000001</v>
          </cell>
        </row>
        <row r="67">
          <cell r="A67" t="str">
            <v>1999-070 J</v>
          </cell>
          <cell r="B67">
            <v>36892</v>
          </cell>
          <cell r="C67">
            <v>8.2843999999999998</v>
          </cell>
          <cell r="D67">
            <v>0.9506</v>
          </cell>
          <cell r="E67">
            <v>3.0286</v>
          </cell>
        </row>
        <row r="68">
          <cell r="A68" t="str">
            <v>1999-070 K</v>
          </cell>
          <cell r="B68">
            <v>36923</v>
          </cell>
          <cell r="C68">
            <v>9.5794999999999995</v>
          </cell>
          <cell r="D68">
            <v>1.2250000000000001</v>
          </cell>
          <cell r="E68">
            <v>1.2950999999999999</v>
          </cell>
        </row>
        <row r="69">
          <cell r="A69" t="str">
            <v>1999-070 L</v>
          </cell>
          <cell r="B69">
            <v>36951</v>
          </cell>
          <cell r="C69">
            <v>6.1877000000000004</v>
          </cell>
          <cell r="D69">
            <v>1.2250000000000001</v>
          </cell>
          <cell r="E69">
            <v>-3.3917999999999999</v>
          </cell>
        </row>
        <row r="70">
          <cell r="A70" t="str">
            <v>1999-070 M</v>
          </cell>
          <cell r="B70">
            <v>36982</v>
          </cell>
          <cell r="C70">
            <v>5.2763</v>
          </cell>
          <cell r="D70">
            <v>1.2250000000000001</v>
          </cell>
          <cell r="E70">
            <v>-0.91139999999999999</v>
          </cell>
        </row>
        <row r="71">
          <cell r="A71" t="str">
            <v>1999-070 M</v>
          </cell>
          <cell r="B71">
            <v>37012</v>
          </cell>
          <cell r="C71">
            <v>5.4908999999999999</v>
          </cell>
          <cell r="D71">
            <v>1.0611999999999999</v>
          </cell>
          <cell r="E71">
            <v>0.21460000000000001</v>
          </cell>
        </row>
        <row r="72">
          <cell r="A72" t="str">
            <v>1999-070 N</v>
          </cell>
          <cell r="B72">
            <v>37104</v>
          </cell>
          <cell r="C72">
            <v>3.2307999999999999</v>
          </cell>
          <cell r="D72">
            <v>1.0611999999999999</v>
          </cell>
          <cell r="E72">
            <v>-0.63959999999999995</v>
          </cell>
        </row>
        <row r="73">
          <cell r="A73" t="str">
            <v>1999-070 O</v>
          </cell>
          <cell r="B73">
            <v>37196</v>
          </cell>
          <cell r="C73">
            <v>1.9111</v>
          </cell>
          <cell r="D73">
            <v>1.0611999999999999</v>
          </cell>
          <cell r="E73">
            <v>3.15E-2</v>
          </cell>
        </row>
        <row r="74">
          <cell r="A74" t="str">
            <v>1999-070 P</v>
          </cell>
          <cell r="B74">
            <v>37288</v>
          </cell>
          <cell r="C74">
            <v>1.9111</v>
          </cell>
          <cell r="D74">
            <v>1.0611999999999999</v>
          </cell>
          <cell r="E74">
            <v>3.15E-2</v>
          </cell>
        </row>
        <row r="75">
          <cell r="A75" t="str">
            <v>2002-00251</v>
          </cell>
          <cell r="B75">
            <v>37377</v>
          </cell>
          <cell r="C75">
            <v>1.9111</v>
          </cell>
          <cell r="D75">
            <v>1.0611999999999999</v>
          </cell>
          <cell r="E75">
            <v>3.15E-2</v>
          </cell>
        </row>
        <row r="76">
          <cell r="A76" t="str">
            <v>2002-00359</v>
          </cell>
          <cell r="B76">
            <v>37469</v>
          </cell>
          <cell r="C76">
            <v>1.9111</v>
          </cell>
          <cell r="D76">
            <v>1.0518000000000001</v>
          </cell>
          <cell r="E76">
            <v>3.15E-2</v>
          </cell>
        </row>
        <row r="77">
          <cell r="A77" t="str">
            <v>200 -</v>
          </cell>
          <cell r="B77">
            <v>37561</v>
          </cell>
          <cell r="C77">
            <v>1.9111</v>
          </cell>
          <cell r="D77">
            <v>0</v>
          </cell>
          <cell r="E77">
            <v>3.15E-2</v>
          </cell>
        </row>
        <row r="78">
          <cell r="A78" t="str">
            <v>2003-000</v>
          </cell>
          <cell r="B78">
            <v>37622</v>
          </cell>
          <cell r="C78">
            <v>1.9111</v>
          </cell>
          <cell r="D78">
            <v>0.80489999999999995</v>
          </cell>
          <cell r="E78">
            <v>3.15E-2</v>
          </cell>
        </row>
        <row r="79">
          <cell r="A79" t="str">
            <v>2003-00002</v>
          </cell>
          <cell r="B79">
            <v>37653</v>
          </cell>
          <cell r="C79">
            <v>1.9111</v>
          </cell>
          <cell r="D79">
            <v>0.92749999999999999</v>
          </cell>
          <cell r="E79">
            <v>3.15E-2</v>
          </cell>
        </row>
        <row r="80">
          <cell r="A80" t="str">
            <v>2003-00083</v>
          </cell>
          <cell r="B80">
            <v>37712</v>
          </cell>
          <cell r="C80">
            <v>1.9111</v>
          </cell>
          <cell r="D80">
            <v>0.92749999999999999</v>
          </cell>
          <cell r="E80">
            <v>3.15E-2</v>
          </cell>
        </row>
        <row r="81">
          <cell r="A81" t="str">
            <v>2003-00126</v>
          </cell>
          <cell r="B81">
            <v>37742</v>
          </cell>
          <cell r="C81">
            <v>1.9111</v>
          </cell>
          <cell r="D81">
            <v>0.92749999999999999</v>
          </cell>
          <cell r="E81">
            <v>3.15E-2</v>
          </cell>
        </row>
        <row r="82">
          <cell r="A82" t="str">
            <v>2003-00258</v>
          </cell>
          <cell r="B82">
            <v>37834</v>
          </cell>
          <cell r="C82">
            <v>1.9111</v>
          </cell>
          <cell r="D82">
            <v>0.92749999999999999</v>
          </cell>
          <cell r="E82">
            <v>3.15E-2</v>
          </cell>
        </row>
        <row r="83">
          <cell r="A83" t="str">
            <v>2003-00377</v>
          </cell>
          <cell r="B83">
            <v>37926</v>
          </cell>
          <cell r="C83">
            <v>1.9111</v>
          </cell>
          <cell r="D83">
            <v>0.91820000000000013</v>
          </cell>
          <cell r="E83">
            <v>3.15E-2</v>
          </cell>
        </row>
        <row r="84">
          <cell r="A84" t="str">
            <v>2003-00504</v>
          </cell>
          <cell r="B84">
            <v>38018</v>
          </cell>
          <cell r="C84">
            <v>1.9111</v>
          </cell>
          <cell r="D84">
            <v>0.92830000000000001</v>
          </cell>
          <cell r="E84">
            <v>3.15E-2</v>
          </cell>
        </row>
        <row r="85">
          <cell r="A85" t="str">
            <v>2004-00122</v>
          </cell>
          <cell r="B85">
            <v>38108</v>
          </cell>
          <cell r="C85">
            <v>1.9111</v>
          </cell>
          <cell r="D85">
            <v>1.0759000000000001</v>
          </cell>
          <cell r="E85">
            <v>3.15E-2</v>
          </cell>
        </row>
        <row r="86">
          <cell r="A86" t="str">
            <v>2004-00269</v>
          </cell>
          <cell r="B86">
            <v>38200</v>
          </cell>
          <cell r="C86">
            <v>1.9111</v>
          </cell>
          <cell r="D86">
            <v>0</v>
          </cell>
          <cell r="E86">
            <v>3.15E-2</v>
          </cell>
        </row>
      </sheetData>
      <sheetData sheetId="39">
        <row r="8">
          <cell r="A8" t="str">
            <v>95-010 C</v>
          </cell>
          <cell r="B8">
            <v>34943</v>
          </cell>
          <cell r="C8">
            <v>1.6788000000000001</v>
          </cell>
          <cell r="D8">
            <v>0.97670000000000001</v>
          </cell>
          <cell r="E8">
            <v>-1.9E-3</v>
          </cell>
        </row>
        <row r="9">
          <cell r="A9" t="str">
            <v>95-010 D</v>
          </cell>
          <cell r="B9">
            <v>34973</v>
          </cell>
          <cell r="C9">
            <v>1.7593000000000001</v>
          </cell>
          <cell r="D9">
            <v>0.96160000000000001</v>
          </cell>
          <cell r="E9">
            <v>3.5000000000000001E-3</v>
          </cell>
        </row>
        <row r="10">
          <cell r="A10" t="str">
            <v>95-010 E</v>
          </cell>
          <cell r="B10">
            <v>35004</v>
          </cell>
          <cell r="C10">
            <v>1.8481000000000001</v>
          </cell>
          <cell r="D10">
            <v>0.96550000000000002</v>
          </cell>
          <cell r="E10">
            <v>3.2500000000000001E-2</v>
          </cell>
          <cell r="F10">
            <v>5.6445999999999996</v>
          </cell>
        </row>
        <row r="11">
          <cell r="A11" t="str">
            <v>95-010 F</v>
          </cell>
          <cell r="B11">
            <v>35034</v>
          </cell>
          <cell r="C11">
            <v>2.5830000000000002</v>
          </cell>
          <cell r="D11">
            <v>0.96189999999999998</v>
          </cell>
          <cell r="E11">
            <v>0.19769999999999999</v>
          </cell>
          <cell r="F11">
            <v>5.6445999999999996</v>
          </cell>
        </row>
        <row r="12">
          <cell r="A12" t="str">
            <v>95-010 G</v>
          </cell>
          <cell r="B12">
            <v>35065</v>
          </cell>
          <cell r="C12">
            <v>3.6097000000000001</v>
          </cell>
          <cell r="D12">
            <v>0.22470000000000001</v>
          </cell>
          <cell r="E12">
            <v>1.29E-2</v>
          </cell>
          <cell r="F12">
            <v>5.5761000000000003</v>
          </cell>
        </row>
        <row r="13">
          <cell r="A13" t="str">
            <v>95-010 H</v>
          </cell>
          <cell r="B13">
            <v>35096</v>
          </cell>
          <cell r="C13">
            <v>3.1621000000000001</v>
          </cell>
          <cell r="D13">
            <v>0.31209999999999999</v>
          </cell>
          <cell r="E13">
            <v>3.8999999999999998E-3</v>
          </cell>
          <cell r="F13">
            <v>5.6570999999999998</v>
          </cell>
        </row>
        <row r="14">
          <cell r="A14" t="str">
            <v>95-010 I</v>
          </cell>
          <cell r="B14">
            <v>35125</v>
          </cell>
          <cell r="C14">
            <v>3.0878000000000001</v>
          </cell>
          <cell r="D14">
            <v>0.28889999999999999</v>
          </cell>
          <cell r="E14">
            <v>7.6999999999998181E-3</v>
          </cell>
          <cell r="F14">
            <v>5.6666999999999996</v>
          </cell>
        </row>
        <row r="15">
          <cell r="A15" t="str">
            <v>95-010 J</v>
          </cell>
          <cell r="B15">
            <v>35156</v>
          </cell>
          <cell r="C15">
            <v>2.9451999999999998</v>
          </cell>
          <cell r="D15">
            <v>0.30910000000000004</v>
          </cell>
          <cell r="E15">
            <v>5.0399999999999778E-2</v>
          </cell>
          <cell r="F15">
            <v>5.5183</v>
          </cell>
        </row>
        <row r="16">
          <cell r="A16" t="str">
            <v>95-010 K</v>
          </cell>
          <cell r="B16">
            <v>35186</v>
          </cell>
          <cell r="C16">
            <v>2.3868999999999998</v>
          </cell>
          <cell r="D16">
            <v>0.2787</v>
          </cell>
          <cell r="E16">
            <v>2.12E-2</v>
          </cell>
          <cell r="F16">
            <v>4.9048999999999996</v>
          </cell>
        </row>
        <row r="17">
          <cell r="A17" t="str">
            <v>95-010 L</v>
          </cell>
          <cell r="B17">
            <v>35217</v>
          </cell>
          <cell r="C17">
            <v>2.5070000000000001</v>
          </cell>
          <cell r="D17">
            <v>0.17410000000000003</v>
          </cell>
          <cell r="E17">
            <v>-3.0199999999999783E-2</v>
          </cell>
          <cell r="F17">
            <v>4.5968999999999998</v>
          </cell>
        </row>
        <row r="18">
          <cell r="A18" t="str">
            <v>95-010 M</v>
          </cell>
          <cell r="B18">
            <v>35247</v>
          </cell>
          <cell r="C18">
            <v>2.8332000000000002</v>
          </cell>
          <cell r="D18">
            <v>0.1719</v>
          </cell>
          <cell r="E18">
            <v>-1.8000000000002458E-3</v>
          </cell>
          <cell r="F18">
            <v>4.5693999999999999</v>
          </cell>
        </row>
        <row r="19">
          <cell r="A19" t="str">
            <v>95-010 N</v>
          </cell>
          <cell r="B19">
            <v>35278</v>
          </cell>
          <cell r="C19">
            <v>2.4481999999999999</v>
          </cell>
          <cell r="D19">
            <v>0.17130000000000001</v>
          </cell>
          <cell r="E19">
            <v>0</v>
          </cell>
          <cell r="F19">
            <v>4.5575000000000001</v>
          </cell>
        </row>
        <row r="20">
          <cell r="A20" t="str">
            <v>95-010 O</v>
          </cell>
          <cell r="B20">
            <v>35309</v>
          </cell>
          <cell r="C20">
            <v>2.3172999999999999</v>
          </cell>
          <cell r="D20">
            <v>0.21300000000000002</v>
          </cell>
          <cell r="E20">
            <v>3.4000000000000252E-2</v>
          </cell>
          <cell r="F20">
            <v>4.7096</v>
          </cell>
        </row>
        <row r="21">
          <cell r="A21" t="str">
            <v>95-010 P</v>
          </cell>
          <cell r="B21">
            <v>35339</v>
          </cell>
          <cell r="C21">
            <v>2.0539000000000001</v>
          </cell>
          <cell r="D21">
            <v>0.21549999999999997</v>
          </cell>
          <cell r="E21">
            <v>-0.23839999999999995</v>
          </cell>
          <cell r="F21">
            <v>4.7243000000000004</v>
          </cell>
        </row>
        <row r="22">
          <cell r="A22" t="str">
            <v>95-010 Q</v>
          </cell>
          <cell r="B22">
            <v>35370</v>
          </cell>
          <cell r="C22">
            <v>3.1606000000000001</v>
          </cell>
          <cell r="D22">
            <v>0.2054</v>
          </cell>
          <cell r="E22">
            <v>3.7000000000000002E-3</v>
          </cell>
          <cell r="F22">
            <v>4.5213999999999999</v>
          </cell>
        </row>
        <row r="23">
          <cell r="A23" t="str">
            <v>95-010 R</v>
          </cell>
          <cell r="B23">
            <v>35400</v>
          </cell>
          <cell r="C23">
            <v>4.3159000000000001</v>
          </cell>
          <cell r="D23">
            <v>0.1988</v>
          </cell>
          <cell r="E23">
            <v>-1.6000000000000014E-2</v>
          </cell>
          <cell r="F23">
            <v>4.375</v>
          </cell>
        </row>
        <row r="24">
          <cell r="A24" t="str">
            <v>95-010 S</v>
          </cell>
          <cell r="B24">
            <v>35431</v>
          </cell>
          <cell r="C24">
            <v>4.2289000000000003</v>
          </cell>
          <cell r="D24">
            <v>0.2109</v>
          </cell>
          <cell r="E24">
            <v>1.000000000000334E-3</v>
          </cell>
          <cell r="F24">
            <v>4.375</v>
          </cell>
        </row>
        <row r="25">
          <cell r="A25" t="str">
            <v>95-010 T</v>
          </cell>
          <cell r="B25">
            <v>35462</v>
          </cell>
          <cell r="C25">
            <v>3.1</v>
          </cell>
          <cell r="D25">
            <v>0.21079999999999999</v>
          </cell>
          <cell r="E25">
            <v>9.9000000000000199E-3</v>
          </cell>
          <cell r="F25">
            <v>4.375</v>
          </cell>
        </row>
        <row r="26">
          <cell r="A26" t="str">
            <v>95-010 U</v>
          </cell>
          <cell r="B26">
            <v>35490</v>
          </cell>
          <cell r="C26">
            <v>1.9297</v>
          </cell>
          <cell r="D26">
            <v>0.2109</v>
          </cell>
          <cell r="E26">
            <v>-5.3900000000000059E-2</v>
          </cell>
          <cell r="F26">
            <v>4.3760000000000003</v>
          </cell>
        </row>
        <row r="27">
          <cell r="A27" t="str">
            <v>95-010 V</v>
          </cell>
          <cell r="B27">
            <v>35521</v>
          </cell>
          <cell r="C27">
            <v>2.1265000000000001</v>
          </cell>
          <cell r="D27">
            <v>0.20670000000000002</v>
          </cell>
          <cell r="E27">
            <v>-1.4100000000000001E-2</v>
          </cell>
          <cell r="F27">
            <v>4.2912999999999997</v>
          </cell>
        </row>
        <row r="28">
          <cell r="A28" t="str">
            <v>95-010 W</v>
          </cell>
          <cell r="B28">
            <v>35551</v>
          </cell>
          <cell r="C28">
            <v>2.3639999999999999</v>
          </cell>
          <cell r="D28">
            <v>0.20669999999999999</v>
          </cell>
          <cell r="E28">
            <v>-0.12110000000000021</v>
          </cell>
          <cell r="F28">
            <v>4.2912999999999997</v>
          </cell>
        </row>
        <row r="29">
          <cell r="A29" t="str">
            <v>95-010 X</v>
          </cell>
          <cell r="B29">
            <v>35582</v>
          </cell>
          <cell r="C29">
            <v>2.4377</v>
          </cell>
          <cell r="D29">
            <v>0.27609999999999996</v>
          </cell>
          <cell r="E29">
            <v>0</v>
          </cell>
          <cell r="F29">
            <v>4.5613000000000001</v>
          </cell>
        </row>
        <row r="30">
          <cell r="A30" t="str">
            <v>95-010 Y</v>
          </cell>
          <cell r="B30">
            <v>35612</v>
          </cell>
          <cell r="C30">
            <v>2.5013000000000001</v>
          </cell>
          <cell r="D30">
            <v>0.22959999999999997</v>
          </cell>
          <cell r="E30">
            <v>8.1000000000002181E-3</v>
          </cell>
          <cell r="F30">
            <v>4.5613000000000001</v>
          </cell>
        </row>
        <row r="31">
          <cell r="A31" t="str">
            <v>95-010 Z</v>
          </cell>
          <cell r="B31">
            <v>35643</v>
          </cell>
          <cell r="C31">
            <v>2.3273999999999999</v>
          </cell>
          <cell r="D31">
            <v>0.26629999999999998</v>
          </cell>
          <cell r="E31">
            <v>-9.800000000000253E-3</v>
          </cell>
          <cell r="F31">
            <v>5.3216000000000001</v>
          </cell>
        </row>
        <row r="32">
          <cell r="A32" t="str">
            <v>95-010 AA</v>
          </cell>
          <cell r="B32">
            <v>35674</v>
          </cell>
          <cell r="C32">
            <v>2.4371999999999998</v>
          </cell>
          <cell r="D32">
            <v>0.22570000000000001</v>
          </cell>
          <cell r="E32">
            <v>2.2499999999999999E-2</v>
          </cell>
          <cell r="F32">
            <v>4.5003000000000002</v>
          </cell>
        </row>
        <row r="33">
          <cell r="A33" t="str">
            <v>95-010 BB</v>
          </cell>
          <cell r="B33">
            <v>35704</v>
          </cell>
          <cell r="C33">
            <v>3.1143000000000001</v>
          </cell>
          <cell r="D33">
            <v>0.2329</v>
          </cell>
          <cell r="E33">
            <v>5.4000000000002935E-3</v>
          </cell>
          <cell r="F33">
            <v>4.7756999999999996</v>
          </cell>
        </row>
        <row r="34">
          <cell r="A34" t="str">
            <v>95-010 CC</v>
          </cell>
          <cell r="B34">
            <v>35735</v>
          </cell>
          <cell r="C34">
            <v>3.4891999999999999</v>
          </cell>
          <cell r="D34">
            <v>0.2329</v>
          </cell>
          <cell r="E34">
            <v>-0.10470000000000024</v>
          </cell>
          <cell r="F34">
            <v>4.7756999999999996</v>
          </cell>
        </row>
        <row r="35">
          <cell r="A35" t="str">
            <v>95-010 DD</v>
          </cell>
          <cell r="B35">
            <v>35765</v>
          </cell>
          <cell r="C35">
            <v>2.6930999999999998</v>
          </cell>
          <cell r="D35">
            <v>0.27350000000000002</v>
          </cell>
          <cell r="E35">
            <v>0.115</v>
          </cell>
          <cell r="F35">
            <v>5.6473000000000004</v>
          </cell>
        </row>
        <row r="36">
          <cell r="A36" t="str">
            <v>95-010 EE</v>
          </cell>
          <cell r="B36">
            <v>35796</v>
          </cell>
          <cell r="C36">
            <v>2.4893999999999998</v>
          </cell>
          <cell r="D36">
            <v>0.27350000000000002</v>
          </cell>
          <cell r="E36">
            <v>-4.469999999999974E-2</v>
          </cell>
          <cell r="F36">
            <v>5.6473000000000004</v>
          </cell>
        </row>
        <row r="37">
          <cell r="A37" t="str">
            <v>95-010 FF</v>
          </cell>
          <cell r="B37">
            <v>35827</v>
          </cell>
          <cell r="C37">
            <v>2.3378000000000001</v>
          </cell>
          <cell r="D37">
            <v>0.27350000000000002</v>
          </cell>
          <cell r="E37">
            <v>-6.7799999999999638E-2</v>
          </cell>
          <cell r="F37">
            <v>5.6473000000000004</v>
          </cell>
        </row>
        <row r="38">
          <cell r="A38" t="str">
            <v>95-010 GG</v>
          </cell>
          <cell r="B38">
            <v>35855</v>
          </cell>
          <cell r="C38">
            <v>2.3269000000000002</v>
          </cell>
          <cell r="D38">
            <v>0.21329999999999999</v>
          </cell>
          <cell r="E38">
            <v>-0.15920000000000023</v>
          </cell>
          <cell r="F38">
            <v>4.9629000000000003</v>
          </cell>
        </row>
        <row r="39">
          <cell r="A39" t="str">
            <v>95-010 HH</v>
          </cell>
          <cell r="B39">
            <v>35886</v>
          </cell>
          <cell r="C39">
            <v>2.4558</v>
          </cell>
          <cell r="D39">
            <v>0.1867</v>
          </cell>
          <cell r="E39">
            <v>0.10379999999999967</v>
          </cell>
          <cell r="F39">
            <v>4.6555999999999997</v>
          </cell>
        </row>
        <row r="40">
          <cell r="A40" t="str">
            <v>95-010 II</v>
          </cell>
          <cell r="B40">
            <v>35916</v>
          </cell>
          <cell r="C40">
            <v>2.2869000000000002</v>
          </cell>
          <cell r="D40">
            <v>0.1867</v>
          </cell>
          <cell r="E40">
            <v>5.259999999999998E-2</v>
          </cell>
          <cell r="F40">
            <v>4.6555999999999997</v>
          </cell>
        </row>
        <row r="41">
          <cell r="A41" t="str">
            <v>95-010 JJ</v>
          </cell>
          <cell r="B41">
            <v>35947</v>
          </cell>
          <cell r="C41">
            <v>2.3929999999999998</v>
          </cell>
          <cell r="D41">
            <v>0.23550000000000001</v>
          </cell>
          <cell r="E41">
            <v>-1.3700000000000045E-2</v>
          </cell>
          <cell r="F41">
            <v>4.6555999999999997</v>
          </cell>
        </row>
        <row r="42">
          <cell r="A42" t="str">
            <v>95-010 KK</v>
          </cell>
          <cell r="B42">
            <v>35977</v>
          </cell>
          <cell r="C42">
            <v>2.4350999999999998</v>
          </cell>
          <cell r="D42">
            <v>0.23250000000000001</v>
          </cell>
          <cell r="E42">
            <v>1.4300000000000423E-2</v>
          </cell>
          <cell r="F42">
            <v>4.6555999999999997</v>
          </cell>
        </row>
        <row r="43">
          <cell r="A43" t="str">
            <v>95-010 LL</v>
          </cell>
          <cell r="B43">
            <v>36008</v>
          </cell>
          <cell r="C43">
            <v>1.9495</v>
          </cell>
          <cell r="D43">
            <v>0.23250000000000001</v>
          </cell>
          <cell r="E43">
            <v>-3.0899999999999928E-2</v>
          </cell>
          <cell r="F43">
            <v>4.6555999999999997</v>
          </cell>
        </row>
        <row r="44">
          <cell r="A44" t="str">
            <v>95-010 MM</v>
          </cell>
          <cell r="B44">
            <v>36039</v>
          </cell>
          <cell r="C44">
            <v>1.9322999999999999</v>
          </cell>
          <cell r="D44">
            <v>0.23250000000000001</v>
          </cell>
          <cell r="E44">
            <v>0.70840000000000014</v>
          </cell>
          <cell r="F44">
            <v>4.6555999999999997</v>
          </cell>
        </row>
        <row r="45">
          <cell r="A45" t="str">
            <v>95-010 NN</v>
          </cell>
          <cell r="B45">
            <v>36069</v>
          </cell>
          <cell r="C45">
            <v>1.8403</v>
          </cell>
          <cell r="D45">
            <v>0.23250000000000001</v>
          </cell>
          <cell r="E45">
            <v>-9.199999999999986E-2</v>
          </cell>
          <cell r="F45">
            <v>4.6555999999999997</v>
          </cell>
        </row>
        <row r="46">
          <cell r="A46" t="str">
            <v>95-010 OO</v>
          </cell>
          <cell r="B46">
            <v>36100</v>
          </cell>
          <cell r="C46">
            <v>2.0097</v>
          </cell>
          <cell r="D46">
            <v>0.215</v>
          </cell>
          <cell r="E46">
            <v>0.1694</v>
          </cell>
          <cell r="F46">
            <v>4.2808999999999999</v>
          </cell>
        </row>
        <row r="47">
          <cell r="A47" t="str">
            <v>95-010 PP</v>
          </cell>
          <cell r="B47">
            <v>36130</v>
          </cell>
          <cell r="C47">
            <v>2.1608000000000001</v>
          </cell>
          <cell r="D47">
            <v>0.215</v>
          </cell>
          <cell r="E47">
            <v>0.15110000000000001</v>
          </cell>
          <cell r="F47">
            <v>4.2808999999999999</v>
          </cell>
        </row>
        <row r="48">
          <cell r="A48" t="str">
            <v>95-010 QQ</v>
          </cell>
          <cell r="B48">
            <v>36161</v>
          </cell>
          <cell r="C48">
            <v>1.9796</v>
          </cell>
          <cell r="D48">
            <v>0.215</v>
          </cell>
          <cell r="E48">
            <v>-0.18730000000000002</v>
          </cell>
          <cell r="F48">
            <v>4.2808999999999999</v>
          </cell>
        </row>
        <row r="49">
          <cell r="A49" t="str">
            <v>95-010 RR</v>
          </cell>
          <cell r="B49">
            <v>36192</v>
          </cell>
          <cell r="C49">
            <v>1.8795999999999999</v>
          </cell>
          <cell r="D49">
            <v>0.215</v>
          </cell>
          <cell r="E49">
            <v>-0.1</v>
          </cell>
          <cell r="F49">
            <v>4.2808999999999999</v>
          </cell>
        </row>
        <row r="50">
          <cell r="A50" t="str">
            <v>95-010 SS</v>
          </cell>
          <cell r="B50">
            <v>36220</v>
          </cell>
          <cell r="C50">
            <v>1.9111</v>
          </cell>
          <cell r="D50">
            <v>0.215</v>
          </cell>
          <cell r="E50">
            <v>3.15E-2</v>
          </cell>
          <cell r="F50">
            <v>4.2808999999999999</v>
          </cell>
        </row>
        <row r="51">
          <cell r="A51" t="str">
            <v>95-010 TT</v>
          </cell>
          <cell r="B51">
            <v>36251</v>
          </cell>
          <cell r="C51">
            <v>1.7602</v>
          </cell>
          <cell r="D51">
            <v>0.215</v>
          </cell>
          <cell r="E51">
            <v>-0.1608</v>
          </cell>
          <cell r="F51">
            <v>4.2808999999999999</v>
          </cell>
        </row>
        <row r="52">
          <cell r="A52" t="str">
            <v>95-010 UU</v>
          </cell>
          <cell r="B52">
            <v>36281</v>
          </cell>
          <cell r="C52">
            <v>2.0323000000000002</v>
          </cell>
          <cell r="D52">
            <v>0.17380000000000001</v>
          </cell>
          <cell r="E52">
            <v>0.27210000000000001</v>
          </cell>
          <cell r="F52">
            <v>4.2808999999999999</v>
          </cell>
        </row>
        <row r="53">
          <cell r="A53" t="str">
            <v>95-010 VV</v>
          </cell>
          <cell r="B53">
            <v>36312</v>
          </cell>
          <cell r="C53">
            <v>2.3763000000000001</v>
          </cell>
          <cell r="D53">
            <v>0.17380000000000001</v>
          </cell>
          <cell r="E53">
            <v>0.34399999999999997</v>
          </cell>
          <cell r="F53">
            <v>4.2808999999999999</v>
          </cell>
        </row>
        <row r="54">
          <cell r="A54" t="str">
            <v>95-010 WW</v>
          </cell>
          <cell r="B54">
            <v>36342</v>
          </cell>
          <cell r="C54">
            <v>2.3330000000000002</v>
          </cell>
          <cell r="D54">
            <v>0.17680000000000001</v>
          </cell>
          <cell r="E54">
            <v>-4.5100000000000001E-2</v>
          </cell>
          <cell r="F54">
            <v>4.2808999999999999</v>
          </cell>
        </row>
        <row r="55">
          <cell r="A55" t="str">
            <v>95-010 XX</v>
          </cell>
          <cell r="B55">
            <v>36373</v>
          </cell>
          <cell r="C55">
            <v>2.2801</v>
          </cell>
          <cell r="D55">
            <v>0.17680000000000001</v>
          </cell>
          <cell r="E55">
            <v>-5.2900000000000003E-2</v>
          </cell>
          <cell r="F55">
            <v>4.2808999999999999</v>
          </cell>
        </row>
        <row r="56">
          <cell r="A56" t="str">
            <v>95-010 YY</v>
          </cell>
          <cell r="B56">
            <v>36404</v>
          </cell>
          <cell r="C56">
            <v>2.2353000000000001</v>
          </cell>
          <cell r="D56">
            <v>0.17680000000000001</v>
          </cell>
          <cell r="E56">
            <v>0.51049999999999995</v>
          </cell>
          <cell r="F56">
            <v>4.2808999999999999</v>
          </cell>
        </row>
        <row r="57">
          <cell r="A57" t="str">
            <v>99-070</v>
          </cell>
          <cell r="B57">
            <v>36434</v>
          </cell>
          <cell r="C57">
            <v>2.9076</v>
          </cell>
          <cell r="D57">
            <v>0.17680000000000001</v>
          </cell>
          <cell r="E57">
            <v>0.67230000000000001</v>
          </cell>
          <cell r="F57">
            <v>4.2808999999999999</v>
          </cell>
        </row>
        <row r="58">
          <cell r="A58" t="str">
            <v>99-070 A</v>
          </cell>
          <cell r="B58">
            <v>36465</v>
          </cell>
          <cell r="C58">
            <v>2.6151</v>
          </cell>
          <cell r="D58">
            <v>0.16310000000000002</v>
          </cell>
          <cell r="E58">
            <v>-9.98E-2</v>
          </cell>
          <cell r="F58">
            <v>4.3211000000000004</v>
          </cell>
        </row>
        <row r="59">
          <cell r="A59" t="str">
            <v>1999-070 B</v>
          </cell>
          <cell r="B59">
            <v>36526</v>
          </cell>
          <cell r="C59">
            <v>2.6151</v>
          </cell>
          <cell r="D59">
            <v>0.16189999999999999</v>
          </cell>
          <cell r="E59">
            <v>-9.98E-2</v>
          </cell>
          <cell r="F59">
            <v>4.2945000000000002</v>
          </cell>
        </row>
        <row r="60">
          <cell r="A60" t="str">
            <v>1999-070 C</v>
          </cell>
          <cell r="B60">
            <v>36557</v>
          </cell>
          <cell r="C60">
            <v>3.1292</v>
          </cell>
          <cell r="D60">
            <v>0.1628</v>
          </cell>
          <cell r="E60">
            <v>0.46689999999999998</v>
          </cell>
          <cell r="F60">
            <v>4.3144999999999998</v>
          </cell>
        </row>
        <row r="61">
          <cell r="A61" t="str">
            <v>1999-070 D</v>
          </cell>
          <cell r="B61">
            <v>36617</v>
          </cell>
          <cell r="C61">
            <v>2.8828</v>
          </cell>
          <cell r="D61">
            <v>0.20400000000000001</v>
          </cell>
          <cell r="E61">
            <v>9.0700000000000003E-2</v>
          </cell>
          <cell r="F61">
            <v>4.3144999999999998</v>
          </cell>
        </row>
        <row r="62">
          <cell r="A62" t="str">
            <v>1999-070 E</v>
          </cell>
          <cell r="B62">
            <v>36647</v>
          </cell>
          <cell r="C62">
            <v>3.1551999999999998</v>
          </cell>
          <cell r="D62">
            <v>0.20400000000000001</v>
          </cell>
          <cell r="E62">
            <v>0.27239999999999998</v>
          </cell>
          <cell r="F62">
            <v>4.3144999999999998</v>
          </cell>
        </row>
        <row r="63">
          <cell r="A63" t="str">
            <v>1999-070 F</v>
          </cell>
          <cell r="B63">
            <v>36708</v>
          </cell>
          <cell r="C63">
            <v>4.6307999999999998</v>
          </cell>
          <cell r="D63">
            <v>0.20400000000000001</v>
          </cell>
          <cell r="E63">
            <v>1.1285000000000001</v>
          </cell>
          <cell r="F63">
            <v>4.3144999999999998</v>
          </cell>
        </row>
        <row r="64">
          <cell r="A64" t="str">
            <v>1999-070 G</v>
          </cell>
          <cell r="B64">
            <v>36739</v>
          </cell>
          <cell r="C64">
            <v>4.4837999999999996</v>
          </cell>
          <cell r="D64">
            <v>0.20400000000000001</v>
          </cell>
          <cell r="E64">
            <v>-0.14700000000000024</v>
          </cell>
          <cell r="F64">
            <v>4.3144999999999998</v>
          </cell>
        </row>
        <row r="65">
          <cell r="A65" t="str">
            <v>1999-070 H</v>
          </cell>
          <cell r="B65">
            <v>36831</v>
          </cell>
          <cell r="C65">
            <v>5.4024000000000001</v>
          </cell>
          <cell r="D65">
            <v>0.18820000000000001</v>
          </cell>
          <cell r="E65">
            <v>0.30630000000000002</v>
          </cell>
          <cell r="F65">
            <v>4.5294999999999996</v>
          </cell>
        </row>
        <row r="66">
          <cell r="A66" t="str">
            <v>1999-070 I</v>
          </cell>
          <cell r="B66">
            <v>36861</v>
          </cell>
          <cell r="C66">
            <v>5.2557999999999998</v>
          </cell>
          <cell r="D66">
            <v>0.18820000000000001</v>
          </cell>
          <cell r="E66">
            <v>-0.14660000000000001</v>
          </cell>
          <cell r="F66">
            <v>4.5294999999999996</v>
          </cell>
        </row>
        <row r="67">
          <cell r="A67" t="str">
            <v>1999-070 J</v>
          </cell>
          <cell r="B67">
            <v>36892</v>
          </cell>
          <cell r="C67">
            <v>8.2843999999999998</v>
          </cell>
          <cell r="D67">
            <v>0.18820000000000001</v>
          </cell>
          <cell r="E67">
            <v>3.0286</v>
          </cell>
          <cell r="F67">
            <v>4.5294999999999996</v>
          </cell>
        </row>
        <row r="68">
          <cell r="A68" t="str">
            <v>1999-070 K</v>
          </cell>
          <cell r="B68">
            <v>36923</v>
          </cell>
          <cell r="C68">
            <v>9.5794999999999995</v>
          </cell>
          <cell r="D68">
            <v>0.24249999999999999</v>
          </cell>
          <cell r="E68">
            <v>1.2950999999999999</v>
          </cell>
          <cell r="F68">
            <v>5.8369999999999997</v>
          </cell>
        </row>
        <row r="69">
          <cell r="A69" t="str">
            <v>1999-070 L</v>
          </cell>
          <cell r="B69">
            <v>36951</v>
          </cell>
          <cell r="C69">
            <v>6.1877000000000004</v>
          </cell>
          <cell r="D69">
            <v>0.24249999999999999</v>
          </cell>
          <cell r="E69">
            <v>-3.3917999999999999</v>
          </cell>
          <cell r="F69">
            <v>5.8369999999999997</v>
          </cell>
        </row>
        <row r="70">
          <cell r="A70" t="str">
            <v>1999-070 M</v>
          </cell>
          <cell r="B70">
            <v>36982</v>
          </cell>
          <cell r="C70">
            <v>5.2763</v>
          </cell>
          <cell r="D70">
            <v>0.24249999999999999</v>
          </cell>
          <cell r="E70">
            <v>-0.91139999999999999</v>
          </cell>
          <cell r="F70">
            <v>5.8369999999999997</v>
          </cell>
        </row>
        <row r="71">
          <cell r="A71" t="str">
            <v>1999-070 N</v>
          </cell>
          <cell r="B71">
            <v>37012</v>
          </cell>
          <cell r="C71">
            <v>5.4908999999999999</v>
          </cell>
          <cell r="D71">
            <v>0.21010000000000001</v>
          </cell>
          <cell r="E71">
            <v>0.21460000000000001</v>
          </cell>
          <cell r="F71">
            <v>5.0563000000000002</v>
          </cell>
        </row>
        <row r="72">
          <cell r="A72" t="str">
            <v>1999-070 O</v>
          </cell>
          <cell r="B72">
            <v>37104</v>
          </cell>
          <cell r="C72">
            <v>3.2307999999999999</v>
          </cell>
          <cell r="D72">
            <v>0.21010000000000001</v>
          </cell>
          <cell r="E72">
            <v>-0.63959999999999995</v>
          </cell>
          <cell r="F72">
            <v>5.0563000000000002</v>
          </cell>
        </row>
        <row r="73">
          <cell r="A73" t="str">
            <v>1999-070 P</v>
          </cell>
          <cell r="B73">
            <v>37196</v>
          </cell>
          <cell r="C73">
            <v>1.9111</v>
          </cell>
          <cell r="D73">
            <v>0.21010000000000001</v>
          </cell>
          <cell r="E73">
            <v>3.15E-2</v>
          </cell>
          <cell r="F73">
            <v>5.0563000000000002</v>
          </cell>
        </row>
        <row r="74">
          <cell r="A74" t="str">
            <v>2002-00113</v>
          </cell>
          <cell r="B74">
            <v>37377</v>
          </cell>
          <cell r="C74">
            <v>1.9111</v>
          </cell>
          <cell r="D74">
            <v>0.21010000000000001</v>
          </cell>
          <cell r="E74">
            <v>3.15E-2</v>
          </cell>
          <cell r="F74">
            <v>5.0563000000000002</v>
          </cell>
        </row>
        <row r="75">
          <cell r="A75" t="str">
            <v>2002-00251</v>
          </cell>
          <cell r="B75">
            <v>37469</v>
          </cell>
          <cell r="C75">
            <v>1.9111</v>
          </cell>
          <cell r="D75">
            <v>0.21010000000000001</v>
          </cell>
          <cell r="E75">
            <v>3.15E-2</v>
          </cell>
          <cell r="F75">
            <v>5.0563000000000002</v>
          </cell>
        </row>
        <row r="76">
          <cell r="A76" t="str">
            <v>2002-00359</v>
          </cell>
          <cell r="B76">
            <v>37469</v>
          </cell>
          <cell r="C76">
            <v>1.9111</v>
          </cell>
          <cell r="D76">
            <v>0.20069999999999999</v>
          </cell>
          <cell r="E76">
            <v>3.15E-2</v>
          </cell>
          <cell r="F76">
            <v>4.5831999999999997</v>
          </cell>
        </row>
        <row r="77">
          <cell r="A77" t="str">
            <v>200 -</v>
          </cell>
          <cell r="B77">
            <v>37561</v>
          </cell>
          <cell r="C77">
            <v>1.9111</v>
          </cell>
          <cell r="D77">
            <v>0</v>
          </cell>
          <cell r="E77">
            <v>3.15E-2</v>
          </cell>
          <cell r="F77">
            <v>4.7106000000000003</v>
          </cell>
        </row>
        <row r="78">
          <cell r="A78" t="str">
            <v>2003-000</v>
          </cell>
          <cell r="B78">
            <v>37622</v>
          </cell>
          <cell r="C78">
            <v>1.9111</v>
          </cell>
          <cell r="D78">
            <v>3.3400000000000013E-2</v>
          </cell>
          <cell r="E78">
            <v>3.15E-2</v>
          </cell>
          <cell r="F78">
            <v>4.7106000000000003</v>
          </cell>
        </row>
        <row r="79">
          <cell r="A79" t="str">
            <v>2003-00002</v>
          </cell>
          <cell r="B79">
            <v>37653</v>
          </cell>
          <cell r="C79">
            <v>1.9111</v>
          </cell>
          <cell r="D79">
            <v>3.3400000000000013E-2</v>
          </cell>
          <cell r="E79">
            <v>3.15E-2</v>
          </cell>
          <cell r="F79">
            <v>4.7106000000000003</v>
          </cell>
        </row>
        <row r="80">
          <cell r="A80" t="str">
            <v>2003-00083</v>
          </cell>
          <cell r="B80">
            <v>37712</v>
          </cell>
          <cell r="C80">
            <v>1.9111</v>
          </cell>
          <cell r="D80">
            <v>3.3400000000000013E-2</v>
          </cell>
          <cell r="E80">
            <v>3.15E-2</v>
          </cell>
          <cell r="F80">
            <v>4.7106000000000003</v>
          </cell>
        </row>
        <row r="81">
          <cell r="A81" t="str">
            <v>2003-00126</v>
          </cell>
          <cell r="B81">
            <v>37742</v>
          </cell>
          <cell r="C81">
            <v>1.9111</v>
          </cell>
          <cell r="D81">
            <v>3.3400000000000013E-2</v>
          </cell>
          <cell r="E81">
            <v>3.15E-2</v>
          </cell>
          <cell r="F81">
            <v>4.6295999999999999</v>
          </cell>
        </row>
        <row r="82">
          <cell r="A82" t="str">
            <v>2003-00258</v>
          </cell>
          <cell r="B82">
            <v>37834</v>
          </cell>
          <cell r="C82">
            <v>1.9111</v>
          </cell>
          <cell r="D82">
            <v>3.3400000000000013E-2</v>
          </cell>
          <cell r="E82">
            <v>3.15E-2</v>
          </cell>
          <cell r="F82">
            <v>4.6295999999999999</v>
          </cell>
        </row>
        <row r="83">
          <cell r="A83" t="str">
            <v>2003-00377</v>
          </cell>
          <cell r="B83">
            <v>37926</v>
          </cell>
          <cell r="C83">
            <v>1.9111</v>
          </cell>
          <cell r="D83">
            <v>3.949999999999998E-2</v>
          </cell>
          <cell r="E83">
            <v>3.15E-2</v>
          </cell>
          <cell r="F83">
            <v>4.6387</v>
          </cell>
        </row>
        <row r="84">
          <cell r="A84" t="str">
            <v>2003-00504</v>
          </cell>
          <cell r="B84">
            <v>38018</v>
          </cell>
          <cell r="C84">
            <v>1.9111</v>
          </cell>
          <cell r="D84">
            <v>3.949999999999998E-2</v>
          </cell>
          <cell r="E84">
            <v>3.15E-2</v>
          </cell>
          <cell r="F84">
            <v>4.6387</v>
          </cell>
        </row>
        <row r="85">
          <cell r="A85" t="str">
            <v>2004-00122</v>
          </cell>
          <cell r="B85">
            <v>38108</v>
          </cell>
          <cell r="C85">
            <v>1.9111</v>
          </cell>
          <cell r="D85">
            <v>0.18709999999999999</v>
          </cell>
          <cell r="E85">
            <v>3.15E-2</v>
          </cell>
          <cell r="F85">
            <v>4.6387</v>
          </cell>
        </row>
        <row r="86">
          <cell r="A86" t="str">
            <v>2004-00269</v>
          </cell>
          <cell r="B86">
            <v>38200</v>
          </cell>
          <cell r="C86">
            <v>1.9111</v>
          </cell>
          <cell r="D86">
            <v>0.18709999999999999</v>
          </cell>
          <cell r="E86">
            <v>3.15E-2</v>
          </cell>
          <cell r="F86">
            <v>4.6387</v>
          </cell>
        </row>
      </sheetData>
      <sheetData sheetId="40">
        <row r="7">
          <cell r="A7" t="str">
            <v>Case No.</v>
          </cell>
          <cell r="B7" t="str">
            <v>Effective</v>
          </cell>
          <cell r="C7" t="str">
            <v>Commodity</v>
          </cell>
          <cell r="D7" t="str">
            <v>Demand</v>
          </cell>
          <cell r="E7" t="str">
            <v>TOP</v>
          </cell>
          <cell r="F7" t="str">
            <v>Transition</v>
          </cell>
          <cell r="G7" t="str">
            <v>BCOG</v>
          </cell>
          <cell r="H7" t="str">
            <v>CF</v>
          </cell>
          <cell r="I7" t="str">
            <v>RF</v>
          </cell>
          <cell r="J7" t="str">
            <v>PBRRF</v>
          </cell>
          <cell r="K7" t="str">
            <v>GCA</v>
          </cell>
        </row>
        <row r="8">
          <cell r="A8" t="str">
            <v>95-010</v>
          </cell>
          <cell r="B8">
            <v>34943</v>
          </cell>
          <cell r="C8">
            <v>1.6283000000000001</v>
          </cell>
          <cell r="D8">
            <v>0.28760000000000002</v>
          </cell>
          <cell r="E8">
            <v>8.2000000000000007E-3</v>
          </cell>
          <cell r="F8">
            <v>0.13819999999999999</v>
          </cell>
          <cell r="G8">
            <v>2.6513</v>
          </cell>
          <cell r="H8">
            <v>2.86E-2</v>
          </cell>
          <cell r="I8">
            <v>-0.12620000000000001</v>
          </cell>
          <cell r="K8">
            <v>-0.68659999999999999</v>
          </cell>
          <cell r="L8">
            <v>2.0623</v>
          </cell>
          <cell r="M8" t="str">
            <v>I</v>
          </cell>
          <cell r="N8" t="str">
            <v>I</v>
          </cell>
          <cell r="O8" t="str">
            <v>R</v>
          </cell>
          <cell r="P8" t="str">
            <v>N</v>
          </cell>
          <cell r="Q8" t="str">
            <v>R</v>
          </cell>
        </row>
        <row r="9">
          <cell r="A9" t="str">
            <v>95-010 A</v>
          </cell>
          <cell r="B9">
            <v>34999</v>
          </cell>
          <cell r="C9">
            <v>1.9764999999999999</v>
          </cell>
          <cell r="D9">
            <v>0.28760000000000002</v>
          </cell>
          <cell r="E9">
            <v>8.2000000000000007E-3</v>
          </cell>
          <cell r="F9">
            <v>0.1231</v>
          </cell>
          <cell r="G9">
            <v>3.1770999999999998</v>
          </cell>
          <cell r="H9">
            <v>-0.16750000000000001</v>
          </cell>
          <cell r="I9">
            <v>-0.12620000000000001</v>
          </cell>
          <cell r="K9">
            <v>-1.0753999999999999</v>
          </cell>
          <cell r="L9">
            <v>2.3954</v>
          </cell>
          <cell r="M9" t="str">
            <v>I</v>
          </cell>
          <cell r="N9" t="str">
            <v>R</v>
          </cell>
          <cell r="O9" t="str">
            <v>N</v>
          </cell>
          <cell r="P9" t="str">
            <v>N</v>
          </cell>
          <cell r="Q9" t="str">
            <v>R</v>
          </cell>
        </row>
        <row r="10">
          <cell r="A10" t="str">
            <v>95-010 B</v>
          </cell>
          <cell r="B10">
            <v>35004</v>
          </cell>
          <cell r="C10">
            <v>1.9550000000000001</v>
          </cell>
          <cell r="D10">
            <v>0.28760000000000002</v>
          </cell>
          <cell r="E10">
            <v>8.2000000000000007E-3</v>
          </cell>
          <cell r="F10">
            <v>7.7499999999999999E-2</v>
          </cell>
          <cell r="G10">
            <v>2.6513</v>
          </cell>
          <cell r="H10">
            <v>-0.16750000000000001</v>
          </cell>
          <cell r="I10">
            <v>-0.21329999999999999</v>
          </cell>
          <cell r="K10">
            <v>-0.70379999999999998</v>
          </cell>
          <cell r="L10">
            <v>2.3283</v>
          </cell>
          <cell r="M10" t="str">
            <v>R</v>
          </cell>
          <cell r="N10" t="str">
            <v>N</v>
          </cell>
          <cell r="O10" t="str">
            <v>R</v>
          </cell>
          <cell r="P10" t="str">
            <v>N</v>
          </cell>
          <cell r="Q10" t="str">
            <v>I</v>
          </cell>
        </row>
        <row r="11">
          <cell r="A11" t="str">
            <v>95-010 C</v>
          </cell>
          <cell r="B11">
            <v>35034</v>
          </cell>
          <cell r="C11">
            <v>2.0304000000000002</v>
          </cell>
          <cell r="D11">
            <v>0.28760000000000002</v>
          </cell>
          <cell r="E11">
            <v>8.2000000000000007E-3</v>
          </cell>
          <cell r="F11">
            <v>7.46E-2</v>
          </cell>
          <cell r="G11">
            <v>2.6513</v>
          </cell>
          <cell r="H11">
            <v>-0.16750000000000001</v>
          </cell>
          <cell r="I11">
            <v>-0.11310000000000001</v>
          </cell>
          <cell r="K11">
            <v>-0.53109999999999968</v>
          </cell>
          <cell r="L11">
            <v>2.4008000000000003</v>
          </cell>
          <cell r="M11" t="str">
            <v>I</v>
          </cell>
          <cell r="N11" t="str">
            <v>N</v>
          </cell>
          <cell r="O11" t="str">
            <v>I</v>
          </cell>
          <cell r="P11" t="str">
            <v>N</v>
          </cell>
          <cell r="Q11" t="str">
            <v>I</v>
          </cell>
        </row>
        <row r="12">
          <cell r="A12" t="str">
            <v>95-010 D</v>
          </cell>
          <cell r="B12">
            <v>35065</v>
          </cell>
          <cell r="C12">
            <v>2.1781000000000001</v>
          </cell>
          <cell r="D12">
            <v>0.28410000000000002</v>
          </cell>
          <cell r="E12">
            <v>8.2000000000000007E-3</v>
          </cell>
          <cell r="F12">
            <v>7.46E-2</v>
          </cell>
          <cell r="G12">
            <v>2.6513</v>
          </cell>
          <cell r="H12">
            <v>-0.16750000000000001</v>
          </cell>
          <cell r="I12">
            <v>-0.11310000000000001</v>
          </cell>
          <cell r="K12">
            <v>-0.38690000000000008</v>
          </cell>
          <cell r="L12">
            <v>2.5449999999999999</v>
          </cell>
          <cell r="M12" t="str">
            <v>I</v>
          </cell>
          <cell r="N12" t="str">
            <v>N</v>
          </cell>
          <cell r="O12" t="str">
            <v>N</v>
          </cell>
          <cell r="P12" t="str">
            <v>N</v>
          </cell>
          <cell r="Q12" t="str">
            <v>I</v>
          </cell>
        </row>
        <row r="13">
          <cell r="A13" t="str">
            <v>95-010 E</v>
          </cell>
          <cell r="B13">
            <v>35096</v>
          </cell>
          <cell r="C13">
            <v>2.5087000000000002</v>
          </cell>
          <cell r="D13">
            <v>0.28820000000000001</v>
          </cell>
          <cell r="E13">
            <v>0</v>
          </cell>
          <cell r="F13">
            <v>6.3200000000000006E-2</v>
          </cell>
          <cell r="G13">
            <v>2.6513</v>
          </cell>
          <cell r="H13">
            <v>-0.16750000000000001</v>
          </cell>
          <cell r="I13">
            <v>-7.6800000000000007E-2</v>
          </cell>
          <cell r="K13">
            <v>-3.5499999999999921E-2</v>
          </cell>
          <cell r="L13">
            <v>2.8601000000000001</v>
          </cell>
          <cell r="M13" t="str">
            <v>I</v>
          </cell>
          <cell r="N13" t="str">
            <v>N</v>
          </cell>
          <cell r="O13" t="str">
            <v>I</v>
          </cell>
          <cell r="P13" t="str">
            <v>N</v>
          </cell>
          <cell r="Q13" t="str">
            <v>I</v>
          </cell>
        </row>
        <row r="14">
          <cell r="A14" t="str">
            <v>95-010 F</v>
          </cell>
          <cell r="B14">
            <v>35125</v>
          </cell>
          <cell r="C14">
            <v>2.2099000000000002</v>
          </cell>
          <cell r="D14">
            <v>0.28870000000000001</v>
          </cell>
          <cell r="E14">
            <v>0</v>
          </cell>
          <cell r="F14">
            <v>6.3200000000000006E-2</v>
          </cell>
          <cell r="G14">
            <v>2.6513</v>
          </cell>
          <cell r="H14">
            <v>-0.16750000000000001</v>
          </cell>
          <cell r="I14">
            <v>-7.6800000000000007E-2</v>
          </cell>
          <cell r="K14">
            <v>-0.33379999999999971</v>
          </cell>
          <cell r="L14">
            <v>2.5618000000000003</v>
          </cell>
          <cell r="M14" t="str">
            <v>R</v>
          </cell>
          <cell r="N14" t="str">
            <v>N</v>
          </cell>
          <cell r="O14" t="str">
            <v>N</v>
          </cell>
          <cell r="P14" t="str">
            <v>N</v>
          </cell>
          <cell r="Q14" t="str">
            <v>R</v>
          </cell>
        </row>
        <row r="15">
          <cell r="A15" t="str">
            <v>95-010 G</v>
          </cell>
          <cell r="B15">
            <v>35156</v>
          </cell>
          <cell r="C15">
            <v>2.9235000000000002</v>
          </cell>
          <cell r="D15">
            <v>0.27360000000000001</v>
          </cell>
          <cell r="E15">
            <v>0</v>
          </cell>
          <cell r="F15">
            <v>6.6400000000000001E-2</v>
          </cell>
          <cell r="G15">
            <v>2.6513</v>
          </cell>
          <cell r="H15">
            <v>-0.121</v>
          </cell>
          <cell r="I15">
            <v>-6.6900000000000001E-2</v>
          </cell>
          <cell r="K15">
            <v>0.42430000000000007</v>
          </cell>
          <cell r="L15">
            <v>3.2635000000000001</v>
          </cell>
          <cell r="M15" t="str">
            <v>I</v>
          </cell>
          <cell r="N15" t="str">
            <v>I</v>
          </cell>
          <cell r="O15" t="str">
            <v>I</v>
          </cell>
          <cell r="P15" t="str">
            <v>N</v>
          </cell>
          <cell r="Q15" t="str">
            <v>I</v>
          </cell>
        </row>
        <row r="16">
          <cell r="A16" t="str">
            <v>95-010 H</v>
          </cell>
          <cell r="B16">
            <v>35186</v>
          </cell>
          <cell r="C16">
            <v>3.2216</v>
          </cell>
          <cell r="D16">
            <v>0.2432</v>
          </cell>
          <cell r="E16">
            <v>0</v>
          </cell>
          <cell r="F16">
            <v>6.6400000000000001E-2</v>
          </cell>
          <cell r="G16">
            <v>2.6513</v>
          </cell>
          <cell r="H16">
            <v>-0.121</v>
          </cell>
          <cell r="I16">
            <v>-6.6900000000000001E-2</v>
          </cell>
          <cell r="K16">
            <v>0.69199999999999973</v>
          </cell>
          <cell r="L16">
            <v>3.5311999999999997</v>
          </cell>
          <cell r="M16" t="str">
            <v>I</v>
          </cell>
          <cell r="N16" t="str">
            <v>N</v>
          </cell>
          <cell r="O16" t="str">
            <v>N</v>
          </cell>
          <cell r="P16" t="str">
            <v>N</v>
          </cell>
          <cell r="Q16" t="str">
            <v>I</v>
          </cell>
        </row>
        <row r="17">
          <cell r="A17" t="str">
            <v>95-010 I</v>
          </cell>
          <cell r="B17">
            <v>35217</v>
          </cell>
          <cell r="C17">
            <v>2.7440000000000002</v>
          </cell>
          <cell r="D17">
            <v>0.22789999999999999</v>
          </cell>
          <cell r="E17">
            <v>0</v>
          </cell>
          <cell r="F17">
            <v>4.2099999999999999E-2</v>
          </cell>
          <cell r="G17">
            <v>2.6513</v>
          </cell>
          <cell r="H17">
            <v>-0.121</v>
          </cell>
          <cell r="I17">
            <v>-9.8000000000000004E-2</v>
          </cell>
          <cell r="K17">
            <v>0.14370000000000024</v>
          </cell>
          <cell r="L17">
            <v>3.0140000000000002</v>
          </cell>
          <cell r="M17" t="str">
            <v>R</v>
          </cell>
          <cell r="N17" t="str">
            <v>N</v>
          </cell>
          <cell r="O17" t="str">
            <v>R</v>
          </cell>
          <cell r="P17" t="str">
            <v>N</v>
          </cell>
          <cell r="Q17" t="str">
            <v>R</v>
          </cell>
        </row>
        <row r="18">
          <cell r="A18" t="str">
            <v>95-010 J</v>
          </cell>
          <cell r="B18">
            <v>35247</v>
          </cell>
          <cell r="C18">
            <v>2.6507999999999998</v>
          </cell>
          <cell r="D18">
            <v>0.2266</v>
          </cell>
          <cell r="E18">
            <v>0</v>
          </cell>
          <cell r="F18">
            <v>4.3499999999999997E-2</v>
          </cell>
          <cell r="G18">
            <v>2.6513</v>
          </cell>
          <cell r="H18">
            <v>-0.121</v>
          </cell>
          <cell r="I18">
            <v>-4.4599999999999994E-2</v>
          </cell>
          <cell r="K18">
            <v>0.10399999999999962</v>
          </cell>
          <cell r="L18">
            <v>2.9208999999999996</v>
          </cell>
          <cell r="M18" t="str">
            <v>R</v>
          </cell>
          <cell r="N18" t="str">
            <v>N</v>
          </cell>
          <cell r="O18" t="str">
            <v>I</v>
          </cell>
          <cell r="P18" t="str">
            <v>N</v>
          </cell>
          <cell r="Q18" t="str">
            <v>R</v>
          </cell>
        </row>
        <row r="19">
          <cell r="A19" t="str">
            <v>95-010 K</v>
          </cell>
          <cell r="B19">
            <v>35278</v>
          </cell>
          <cell r="C19">
            <v>2.8601999999999999</v>
          </cell>
          <cell r="D19">
            <v>0.22600000000000001</v>
          </cell>
          <cell r="E19">
            <v>0</v>
          </cell>
          <cell r="F19">
            <v>4.3499999999999997E-2</v>
          </cell>
          <cell r="G19">
            <v>2.6513</v>
          </cell>
          <cell r="H19">
            <v>-0.121</v>
          </cell>
          <cell r="I19">
            <v>-4.4599999999999994E-2</v>
          </cell>
          <cell r="K19">
            <v>0.31280000000000002</v>
          </cell>
          <cell r="L19">
            <v>3.1296999999999997</v>
          </cell>
          <cell r="M19" t="str">
            <v>I</v>
          </cell>
          <cell r="N19" t="str">
            <v>N</v>
          </cell>
          <cell r="O19" t="str">
            <v>N</v>
          </cell>
          <cell r="P19" t="str">
            <v>N</v>
          </cell>
          <cell r="Q19" t="str">
            <v>I</v>
          </cell>
        </row>
        <row r="20">
          <cell r="A20" t="str">
            <v>95-010 L</v>
          </cell>
          <cell r="B20">
            <v>35309</v>
          </cell>
          <cell r="C20">
            <v>2.4763999999999999</v>
          </cell>
          <cell r="D20">
            <v>0.23350000000000001</v>
          </cell>
          <cell r="E20">
            <v>0</v>
          </cell>
          <cell r="F20">
            <v>4.7500000000000001E-2</v>
          </cell>
          <cell r="G20">
            <v>2.6513</v>
          </cell>
          <cell r="H20">
            <v>-0.121</v>
          </cell>
          <cell r="I20">
            <v>-3.5399999999999994E-2</v>
          </cell>
          <cell r="K20">
            <v>-5.0299999999999997E-2</v>
          </cell>
          <cell r="L20">
            <v>2.7573999999999996</v>
          </cell>
          <cell r="M20" t="str">
            <v>R</v>
          </cell>
          <cell r="N20" t="str">
            <v>N</v>
          </cell>
          <cell r="O20" t="str">
            <v>I</v>
          </cell>
          <cell r="P20" t="str">
            <v>N</v>
          </cell>
          <cell r="Q20" t="str">
            <v>R</v>
          </cell>
        </row>
        <row r="21">
          <cell r="A21" t="str">
            <v>95-010 M</v>
          </cell>
          <cell r="B21">
            <v>35339</v>
          </cell>
          <cell r="C21">
            <v>2.3786999999999998</v>
          </cell>
          <cell r="D21">
            <v>0.2336</v>
          </cell>
          <cell r="E21">
            <v>0</v>
          </cell>
          <cell r="F21">
            <v>4.99E-2</v>
          </cell>
          <cell r="G21">
            <v>2.6513</v>
          </cell>
          <cell r="H21">
            <v>-3.3999999999999998E-3</v>
          </cell>
          <cell r="I21">
            <v>-3.5400000000000001E-2</v>
          </cell>
          <cell r="K21">
            <v>-2.7900000000000001E-2</v>
          </cell>
          <cell r="L21">
            <v>2.6621999999999999</v>
          </cell>
          <cell r="M21" t="str">
            <v>R</v>
          </cell>
          <cell r="N21" t="str">
            <v>I</v>
          </cell>
          <cell r="O21" t="str">
            <v>N</v>
          </cell>
          <cell r="P21" t="str">
            <v>N</v>
          </cell>
          <cell r="Q21" t="str">
            <v>I</v>
          </cell>
        </row>
        <row r="22">
          <cell r="A22" t="str">
            <v>95-010 N</v>
          </cell>
          <cell r="B22">
            <v>35370</v>
          </cell>
          <cell r="C22">
            <v>2.4285999999999999</v>
          </cell>
          <cell r="D22">
            <v>0.22359999999999999</v>
          </cell>
          <cell r="E22">
            <v>0</v>
          </cell>
          <cell r="F22">
            <v>4.9799999999999997E-2</v>
          </cell>
          <cell r="G22">
            <v>2.6513</v>
          </cell>
          <cell r="H22">
            <v>-3.3999999999999998E-3</v>
          </cell>
          <cell r="I22">
            <v>-2.8799999999999999E-2</v>
          </cell>
          <cell r="K22">
            <v>1.8499999999999999E-2</v>
          </cell>
          <cell r="L22">
            <v>2.7019999999999995</v>
          </cell>
          <cell r="M22" t="str">
            <v>I</v>
          </cell>
          <cell r="N22" t="str">
            <v>N</v>
          </cell>
          <cell r="O22" t="str">
            <v>I</v>
          </cell>
          <cell r="P22" t="str">
            <v>N</v>
          </cell>
          <cell r="Q22" t="str">
            <v>I</v>
          </cell>
        </row>
        <row r="23">
          <cell r="A23" t="str">
            <v>95-010 O</v>
          </cell>
          <cell r="B23">
            <v>35400</v>
          </cell>
          <cell r="C23">
            <v>2.8285</v>
          </cell>
          <cell r="D23">
            <v>0.21629999999999999</v>
          </cell>
          <cell r="E23">
            <v>0</v>
          </cell>
          <cell r="F23">
            <v>4.9799999999999997E-2</v>
          </cell>
          <cell r="G23">
            <v>2.6513</v>
          </cell>
          <cell r="H23">
            <v>-3.3999999999999998E-3</v>
          </cell>
          <cell r="I23">
            <v>-2.6599999999999999E-2</v>
          </cell>
          <cell r="K23">
            <v>0.41329999999999978</v>
          </cell>
          <cell r="L23">
            <v>3.0945999999999998</v>
          </cell>
          <cell r="M23" t="str">
            <v>I</v>
          </cell>
          <cell r="N23" t="str">
            <v>N</v>
          </cell>
          <cell r="O23" t="str">
            <v>I</v>
          </cell>
          <cell r="P23" t="str">
            <v>N</v>
          </cell>
          <cell r="Q23" t="str">
            <v>I</v>
          </cell>
        </row>
        <row r="24">
          <cell r="A24" t="str">
            <v>95-010 P</v>
          </cell>
          <cell r="B24">
            <v>35431</v>
          </cell>
          <cell r="C24">
            <v>3.1322999999999999</v>
          </cell>
          <cell r="D24">
            <v>0.21629999999999999</v>
          </cell>
          <cell r="E24">
            <v>0</v>
          </cell>
          <cell r="F24">
            <v>6.1899999999999997E-2</v>
          </cell>
          <cell r="G24">
            <v>2.6513</v>
          </cell>
          <cell r="H24">
            <v>-3.3999999999999998E-3</v>
          </cell>
          <cell r="I24">
            <v>-2.6599999999999999E-2</v>
          </cell>
          <cell r="K24">
            <v>0.72919999999999985</v>
          </cell>
          <cell r="L24">
            <v>3.4104999999999999</v>
          </cell>
          <cell r="M24" t="str">
            <v>I</v>
          </cell>
          <cell r="N24" t="str">
            <v>N</v>
          </cell>
          <cell r="O24" t="str">
            <v>N</v>
          </cell>
          <cell r="P24" t="str">
            <v>N</v>
          </cell>
          <cell r="Q24" t="str">
            <v>I</v>
          </cell>
        </row>
        <row r="25">
          <cell r="A25" t="str">
            <v>95-010 Q</v>
          </cell>
          <cell r="B25">
            <v>35462</v>
          </cell>
          <cell r="C25">
            <v>3.1871999999999998</v>
          </cell>
          <cell r="D25">
            <v>0.21629999999999999</v>
          </cell>
          <cell r="E25">
            <v>0</v>
          </cell>
          <cell r="F25">
            <v>6.1800000000000001E-2</v>
          </cell>
          <cell r="G25">
            <v>2.6513</v>
          </cell>
          <cell r="H25">
            <v>-3.3999999999999998E-3</v>
          </cell>
          <cell r="I25">
            <v>-2.6599999999999999E-2</v>
          </cell>
          <cell r="K25">
            <v>0.78399999999999959</v>
          </cell>
          <cell r="L25">
            <v>3.4652999999999996</v>
          </cell>
          <cell r="M25" t="str">
            <v>I</v>
          </cell>
          <cell r="N25" t="str">
            <v>N</v>
          </cell>
          <cell r="O25" t="str">
            <v>N</v>
          </cell>
          <cell r="P25" t="str">
            <v>N</v>
          </cell>
          <cell r="Q25" t="str">
            <v>I</v>
          </cell>
        </row>
        <row r="26">
          <cell r="A26" t="str">
            <v>95-010 R</v>
          </cell>
          <cell r="B26">
            <v>35490</v>
          </cell>
          <cell r="C26">
            <v>2.7440000000000002</v>
          </cell>
          <cell r="D26">
            <v>0.21640000000000001</v>
          </cell>
          <cell r="E26">
            <v>0</v>
          </cell>
          <cell r="F26">
            <v>6.1800000000000001E-2</v>
          </cell>
          <cell r="G26">
            <v>2.6513</v>
          </cell>
          <cell r="H26">
            <v>-3.3999999999999998E-3</v>
          </cell>
          <cell r="I26">
            <v>-2.6599999999999999E-2</v>
          </cell>
          <cell r="K26">
            <v>0.3409000000000002</v>
          </cell>
          <cell r="L26">
            <v>3.0222000000000002</v>
          </cell>
          <cell r="M26" t="str">
            <v>R</v>
          </cell>
          <cell r="N26" t="str">
            <v>N</v>
          </cell>
          <cell r="O26" t="str">
            <v>N</v>
          </cell>
          <cell r="P26" t="str">
            <v>N</v>
          </cell>
          <cell r="Q26" t="str">
            <v>R</v>
          </cell>
        </row>
        <row r="27">
          <cell r="A27" t="str">
            <v>95-010 S</v>
          </cell>
          <cell r="B27">
            <v>35521</v>
          </cell>
          <cell r="C27">
            <v>2.1516000000000002</v>
          </cell>
          <cell r="D27">
            <v>0.2122</v>
          </cell>
          <cell r="E27">
            <v>0</v>
          </cell>
          <cell r="F27">
            <v>6.1800000000000001E-2</v>
          </cell>
          <cell r="G27">
            <v>2.6513</v>
          </cell>
          <cell r="H27">
            <v>9.3799999999999994E-2</v>
          </cell>
          <cell r="I27">
            <v>-2.6599999999999999E-2</v>
          </cell>
          <cell r="K27">
            <v>-0.15849999999999981</v>
          </cell>
          <cell r="L27">
            <v>2.4256000000000002</v>
          </cell>
          <cell r="M27" t="str">
            <v>R</v>
          </cell>
          <cell r="N27" t="str">
            <v>I</v>
          </cell>
          <cell r="O27" t="str">
            <v>N</v>
          </cell>
          <cell r="P27" t="str">
            <v>N</v>
          </cell>
          <cell r="Q27" t="str">
            <v>R</v>
          </cell>
        </row>
        <row r="28">
          <cell r="A28" t="str">
            <v>95-010 T</v>
          </cell>
          <cell r="B28">
            <v>35551</v>
          </cell>
          <cell r="C28">
            <v>1.9819</v>
          </cell>
          <cell r="D28">
            <v>0.2122</v>
          </cell>
          <cell r="E28">
            <v>0</v>
          </cell>
          <cell r="F28">
            <v>6.1800000000000001E-2</v>
          </cell>
          <cell r="G28">
            <v>2.6513</v>
          </cell>
          <cell r="H28">
            <v>9.3799999999999994E-2</v>
          </cell>
          <cell r="I28">
            <v>-2.6599999999999999E-2</v>
          </cell>
          <cell r="K28">
            <v>-0.32819999999999999</v>
          </cell>
          <cell r="L28">
            <v>2.2559</v>
          </cell>
          <cell r="M28" t="str">
            <v>R</v>
          </cell>
          <cell r="N28" t="str">
            <v>N</v>
          </cell>
          <cell r="O28" t="str">
            <v>N</v>
          </cell>
          <cell r="P28" t="str">
            <v>N</v>
          </cell>
          <cell r="Q28" t="str">
            <v>R</v>
          </cell>
        </row>
        <row r="29">
          <cell r="A29" t="str">
            <v>95-010 U</v>
          </cell>
          <cell r="B29">
            <v>35582</v>
          </cell>
          <cell r="C29">
            <v>2.2673999999999999</v>
          </cell>
          <cell r="D29">
            <v>0.22550000000000001</v>
          </cell>
          <cell r="E29">
            <v>0</v>
          </cell>
          <cell r="F29">
            <v>5.2900000000000003E-2</v>
          </cell>
          <cell r="G29">
            <v>2.6513</v>
          </cell>
          <cell r="H29">
            <v>9.3799999999999994E-2</v>
          </cell>
          <cell r="I29">
            <v>-1.1799999999999998E-2</v>
          </cell>
          <cell r="K29">
            <v>-2.350000000000016E-2</v>
          </cell>
          <cell r="L29">
            <v>2.5457999999999998</v>
          </cell>
          <cell r="M29" t="str">
            <v>I</v>
          </cell>
          <cell r="N29" t="str">
            <v>N</v>
          </cell>
          <cell r="O29" t="str">
            <v>I</v>
          </cell>
          <cell r="P29" t="str">
            <v>N</v>
          </cell>
          <cell r="Q29" t="str">
            <v>I</v>
          </cell>
        </row>
        <row r="30">
          <cell r="A30" t="str">
            <v>95-010 V</v>
          </cell>
          <cell r="B30">
            <v>35612</v>
          </cell>
          <cell r="C30">
            <v>2.4232</v>
          </cell>
          <cell r="D30">
            <v>0.22550000000000001</v>
          </cell>
          <cell r="E30">
            <v>0</v>
          </cell>
          <cell r="F30">
            <v>5.2900000000000003E-2</v>
          </cell>
          <cell r="G30">
            <v>2.6513</v>
          </cell>
          <cell r="H30">
            <v>9.3799999999999994E-2</v>
          </cell>
          <cell r="I30">
            <v>-0.01</v>
          </cell>
          <cell r="K30">
            <v>0.1341</v>
          </cell>
          <cell r="L30">
            <v>2.7016</v>
          </cell>
          <cell r="M30" t="str">
            <v>I</v>
          </cell>
          <cell r="N30" t="str">
            <v>N</v>
          </cell>
          <cell r="O30" t="str">
            <v>I</v>
          </cell>
          <cell r="P30" t="str">
            <v>N</v>
          </cell>
          <cell r="Q30" t="str">
            <v>I</v>
          </cell>
        </row>
        <row r="31">
          <cell r="A31" t="str">
            <v>95-010 W</v>
          </cell>
          <cell r="B31">
            <v>35643</v>
          </cell>
          <cell r="C31">
            <v>2.6347999999999998</v>
          </cell>
          <cell r="D31">
            <v>0.2631</v>
          </cell>
          <cell r="E31">
            <v>0</v>
          </cell>
          <cell r="F31">
            <v>5.1999999999999998E-2</v>
          </cell>
          <cell r="G31">
            <v>2.6513</v>
          </cell>
          <cell r="H31">
            <v>9.3799999999999994E-2</v>
          </cell>
          <cell r="I31">
            <v>-0.01</v>
          </cell>
          <cell r="K31">
            <v>0.38239999999999996</v>
          </cell>
          <cell r="L31">
            <v>2.9499</v>
          </cell>
          <cell r="M31" t="str">
            <v>I</v>
          </cell>
          <cell r="N31" t="str">
            <v>N</v>
          </cell>
          <cell r="O31" t="str">
            <v>N</v>
          </cell>
          <cell r="P31" t="str">
            <v>N</v>
          </cell>
          <cell r="Q31" t="str">
            <v>I</v>
          </cell>
        </row>
        <row r="32">
          <cell r="A32" t="str">
            <v>95-010 X</v>
          </cell>
          <cell r="B32">
            <v>35674</v>
          </cell>
          <cell r="C32">
            <v>2.6177999999999999</v>
          </cell>
          <cell r="D32">
            <v>0.2225</v>
          </cell>
          <cell r="E32">
            <v>0</v>
          </cell>
          <cell r="F32">
            <v>5.1999999999999998E-2</v>
          </cell>
          <cell r="G32">
            <v>2.6513</v>
          </cell>
          <cell r="H32">
            <v>9.3799999999999994E-2</v>
          </cell>
          <cell r="I32">
            <v>-0.01</v>
          </cell>
          <cell r="K32">
            <v>0.32480000000000009</v>
          </cell>
          <cell r="L32">
            <v>2.8923000000000001</v>
          </cell>
          <cell r="M32" t="str">
            <v>R</v>
          </cell>
          <cell r="N32" t="str">
            <v>N</v>
          </cell>
          <cell r="O32" t="str">
            <v>N</v>
          </cell>
          <cell r="P32" t="str">
            <v>N</v>
          </cell>
          <cell r="Q32" t="str">
            <v>R</v>
          </cell>
        </row>
        <row r="33">
          <cell r="A33" t="str">
            <v>95-010 Y</v>
          </cell>
          <cell r="B33">
            <v>35704</v>
          </cell>
          <cell r="C33">
            <v>2.8130000000000002</v>
          </cell>
          <cell r="D33">
            <v>0.2225</v>
          </cell>
          <cell r="E33">
            <v>0</v>
          </cell>
          <cell r="F33">
            <v>5.9200000000000003E-2</v>
          </cell>
          <cell r="G33">
            <v>2.6513</v>
          </cell>
          <cell r="H33">
            <v>0.1211</v>
          </cell>
          <cell r="I33">
            <v>-0.01</v>
          </cell>
          <cell r="K33">
            <v>0.55450000000000044</v>
          </cell>
          <cell r="L33">
            <v>3.0947000000000005</v>
          </cell>
          <cell r="M33" t="str">
            <v>I</v>
          </cell>
          <cell r="N33" t="str">
            <v>I</v>
          </cell>
          <cell r="O33" t="str">
            <v>N</v>
          </cell>
          <cell r="P33" t="str">
            <v>N</v>
          </cell>
          <cell r="Q33" t="str">
            <v>I</v>
          </cell>
        </row>
        <row r="34">
          <cell r="A34" t="str">
            <v>95-010 Z</v>
          </cell>
          <cell r="B34">
            <v>35735</v>
          </cell>
          <cell r="C34">
            <v>3.9502000000000002</v>
          </cell>
          <cell r="D34">
            <v>0.2225</v>
          </cell>
          <cell r="E34">
            <v>0</v>
          </cell>
          <cell r="F34">
            <v>5.9200000000000003E-2</v>
          </cell>
          <cell r="G34">
            <v>2.6513</v>
          </cell>
          <cell r="H34">
            <v>0.1211</v>
          </cell>
          <cell r="I34">
            <v>-1.66E-2</v>
          </cell>
          <cell r="K34">
            <v>1.6850999999999996</v>
          </cell>
          <cell r="L34">
            <v>4.2318999999999996</v>
          </cell>
          <cell r="M34" t="str">
            <v>I</v>
          </cell>
          <cell r="N34" t="str">
            <v>N</v>
          </cell>
          <cell r="O34" t="str">
            <v>R</v>
          </cell>
          <cell r="P34" t="str">
            <v>N</v>
          </cell>
          <cell r="Q34" t="str">
            <v>I</v>
          </cell>
        </row>
        <row r="35">
          <cell r="A35" t="str">
            <v>95-010 AA</v>
          </cell>
          <cell r="B35">
            <v>35765</v>
          </cell>
          <cell r="C35">
            <v>3.9398</v>
          </cell>
          <cell r="D35">
            <v>0.2631</v>
          </cell>
          <cell r="E35">
            <v>0</v>
          </cell>
          <cell r="F35">
            <v>5.9200000000000003E-2</v>
          </cell>
          <cell r="G35">
            <v>2.6513</v>
          </cell>
          <cell r="H35">
            <v>0.1211</v>
          </cell>
          <cell r="I35">
            <v>-1.66E-2</v>
          </cell>
          <cell r="K35">
            <v>1.7152999999999994</v>
          </cell>
          <cell r="L35">
            <v>4.2620999999999993</v>
          </cell>
          <cell r="M35" t="str">
            <v>I</v>
          </cell>
          <cell r="N35" t="str">
            <v>N</v>
          </cell>
          <cell r="O35" t="str">
            <v>N</v>
          </cell>
          <cell r="P35" t="str">
            <v>N</v>
          </cell>
          <cell r="Q35" t="str">
            <v>I</v>
          </cell>
        </row>
        <row r="36">
          <cell r="A36" t="str">
            <v>95-010 BB</v>
          </cell>
          <cell r="B36">
            <v>35796</v>
          </cell>
          <cell r="C36">
            <v>3.0838000000000001</v>
          </cell>
          <cell r="D36">
            <v>0.2631</v>
          </cell>
          <cell r="E36">
            <v>0</v>
          </cell>
          <cell r="F36">
            <v>5.9200000000000003E-2</v>
          </cell>
          <cell r="G36">
            <v>2.6513</v>
          </cell>
          <cell r="H36">
            <v>0.1211</v>
          </cell>
          <cell r="I36">
            <v>-1.66E-2</v>
          </cell>
          <cell r="K36">
            <v>0.8593000000000004</v>
          </cell>
          <cell r="L36">
            <v>3.4061000000000003</v>
          </cell>
          <cell r="M36" t="str">
            <v>R</v>
          </cell>
          <cell r="N36" t="str">
            <v>N</v>
          </cell>
          <cell r="O36" t="str">
            <v>N</v>
          </cell>
          <cell r="P36" t="str">
            <v>N</v>
          </cell>
          <cell r="Q36" t="str">
            <v>R</v>
          </cell>
        </row>
        <row r="37">
          <cell r="A37" t="str">
            <v>95-010 CC</v>
          </cell>
          <cell r="B37">
            <v>35827</v>
          </cell>
          <cell r="C37">
            <v>2.6434000000000002</v>
          </cell>
          <cell r="D37">
            <v>0.2631</v>
          </cell>
          <cell r="E37">
            <v>0</v>
          </cell>
          <cell r="F37">
            <v>5.9200000000000003E-2</v>
          </cell>
          <cell r="G37">
            <v>2.6513</v>
          </cell>
          <cell r="H37">
            <v>0.1211</v>
          </cell>
          <cell r="I37">
            <v>-1.8200000000000001E-2</v>
          </cell>
          <cell r="K37">
            <v>0.41730000000000045</v>
          </cell>
          <cell r="L37">
            <v>2.9657000000000004</v>
          </cell>
          <cell r="M37" t="str">
            <v>R</v>
          </cell>
          <cell r="N37" t="str">
            <v>N</v>
          </cell>
          <cell r="O37" t="str">
            <v>R</v>
          </cell>
          <cell r="P37" t="str">
            <v>N</v>
          </cell>
          <cell r="Q37" t="str">
            <v>R</v>
          </cell>
        </row>
        <row r="38">
          <cell r="A38" t="str">
            <v>95-010 DD</v>
          </cell>
          <cell r="B38">
            <v>35855</v>
          </cell>
          <cell r="C38">
            <v>2.4820000000000002</v>
          </cell>
          <cell r="D38">
            <v>0.23119999999999999</v>
          </cell>
          <cell r="E38">
            <v>0</v>
          </cell>
          <cell r="F38">
            <v>3.09E-2</v>
          </cell>
          <cell r="G38">
            <v>2.6513</v>
          </cell>
          <cell r="H38">
            <v>0.1211</v>
          </cell>
          <cell r="I38">
            <v>-1.8200000000000001E-2</v>
          </cell>
          <cell r="K38">
            <v>0.19569999999999999</v>
          </cell>
          <cell r="L38">
            <v>2.7441</v>
          </cell>
          <cell r="M38" t="str">
            <v>R</v>
          </cell>
          <cell r="N38" t="str">
            <v>N</v>
          </cell>
          <cell r="O38" t="str">
            <v>N</v>
          </cell>
          <cell r="P38" t="str">
            <v>N</v>
          </cell>
          <cell r="Q38" t="str">
            <v>R</v>
          </cell>
        </row>
        <row r="39">
          <cell r="A39" t="str">
            <v>95-010 EE</v>
          </cell>
          <cell r="B39">
            <v>35886</v>
          </cell>
          <cell r="C39">
            <v>2.5598000000000001</v>
          </cell>
          <cell r="D39">
            <v>0.21690000000000001</v>
          </cell>
          <cell r="E39">
            <v>0</v>
          </cell>
          <cell r="F39">
            <v>1.8599999999999998E-2</v>
          </cell>
          <cell r="G39">
            <v>2.6513</v>
          </cell>
          <cell r="H39">
            <v>-0.1147</v>
          </cell>
          <cell r="I39">
            <v>-1.8200000000000001E-2</v>
          </cell>
          <cell r="K39">
            <v>1.1100000000000138E-2</v>
          </cell>
          <cell r="L39">
            <v>2.7953000000000001</v>
          </cell>
          <cell r="M39" t="str">
            <v>I</v>
          </cell>
          <cell r="N39" t="str">
            <v>R</v>
          </cell>
          <cell r="O39" t="str">
            <v>N</v>
          </cell>
          <cell r="P39" t="str">
            <v>N</v>
          </cell>
          <cell r="Q39" t="str">
            <v>R</v>
          </cell>
        </row>
        <row r="40">
          <cell r="A40" t="str">
            <v>95-010 FF</v>
          </cell>
          <cell r="B40">
            <v>35916</v>
          </cell>
          <cell r="C40">
            <v>2.7326000000000001</v>
          </cell>
          <cell r="D40">
            <v>0.21690000000000001</v>
          </cell>
          <cell r="E40">
            <v>0</v>
          </cell>
          <cell r="F40">
            <v>1.8599999999999998E-2</v>
          </cell>
          <cell r="G40">
            <v>2.6513</v>
          </cell>
          <cell r="H40">
            <v>-0.1147</v>
          </cell>
          <cell r="I40">
            <v>-1.8200000000000001E-2</v>
          </cell>
          <cell r="K40">
            <v>0.1839000000000002</v>
          </cell>
          <cell r="L40">
            <v>2.9681000000000002</v>
          </cell>
          <cell r="M40" t="str">
            <v>I</v>
          </cell>
          <cell r="N40" t="str">
            <v>N</v>
          </cell>
          <cell r="O40" t="str">
            <v>N</v>
          </cell>
          <cell r="P40" t="str">
            <v>N</v>
          </cell>
          <cell r="Q40" t="str">
            <v>I</v>
          </cell>
        </row>
        <row r="41">
          <cell r="A41" t="str">
            <v>95-010 GG</v>
          </cell>
          <cell r="B41">
            <v>35947</v>
          </cell>
          <cell r="C41">
            <v>2.8946999999999998</v>
          </cell>
          <cell r="D41">
            <v>0.21690000000000001</v>
          </cell>
          <cell r="E41">
            <v>0</v>
          </cell>
          <cell r="F41">
            <v>1.8599999999999998E-2</v>
          </cell>
          <cell r="G41">
            <v>2.6513</v>
          </cell>
          <cell r="H41">
            <v>-0.1147</v>
          </cell>
          <cell r="I41">
            <v>-1.9E-3</v>
          </cell>
          <cell r="K41">
            <v>0.3622999999999999</v>
          </cell>
          <cell r="L41">
            <v>3.1301999999999999</v>
          </cell>
          <cell r="M41" t="str">
            <v>I</v>
          </cell>
          <cell r="N41" t="str">
            <v>N</v>
          </cell>
          <cell r="O41" t="str">
            <v>I</v>
          </cell>
          <cell r="P41" t="str">
            <v>N</v>
          </cell>
          <cell r="Q41" t="str">
            <v>I</v>
          </cell>
        </row>
        <row r="42">
          <cell r="A42" t="str">
            <v>95-010 HH</v>
          </cell>
          <cell r="B42">
            <v>35977</v>
          </cell>
          <cell r="C42">
            <v>2.6385999999999998</v>
          </cell>
          <cell r="D42">
            <v>0.21690000000000001</v>
          </cell>
          <cell r="E42">
            <v>0</v>
          </cell>
          <cell r="F42">
            <v>1.8599999999999998E-2</v>
          </cell>
          <cell r="G42">
            <v>2.6513</v>
          </cell>
          <cell r="H42">
            <v>-0.1147</v>
          </cell>
          <cell r="I42">
            <v>-8.8999999999999999E-3</v>
          </cell>
          <cell r="K42">
            <v>9.9199999999999885E-2</v>
          </cell>
          <cell r="L42">
            <v>2.8740999999999999</v>
          </cell>
          <cell r="M42" t="str">
            <v>R</v>
          </cell>
          <cell r="N42" t="str">
            <v>N</v>
          </cell>
          <cell r="O42" t="str">
            <v>R</v>
          </cell>
          <cell r="P42" t="str">
            <v>N</v>
          </cell>
          <cell r="Q42" t="str">
            <v>R</v>
          </cell>
        </row>
        <row r="43">
          <cell r="A43" t="str">
            <v>95-010 II</v>
          </cell>
          <cell r="B43">
            <v>36008</v>
          </cell>
          <cell r="C43">
            <v>2.7168000000000001</v>
          </cell>
          <cell r="D43">
            <v>0.21690000000000001</v>
          </cell>
          <cell r="E43">
            <v>0</v>
          </cell>
          <cell r="F43">
            <v>1.8599999999999998E-2</v>
          </cell>
          <cell r="G43">
            <v>2.6513</v>
          </cell>
          <cell r="H43">
            <v>-0.1147</v>
          </cell>
          <cell r="I43">
            <v>-8.8999999999999999E-3</v>
          </cell>
          <cell r="K43">
            <v>0.17740000000000017</v>
          </cell>
          <cell r="L43">
            <v>2.9523000000000001</v>
          </cell>
          <cell r="M43" t="str">
            <v>I</v>
          </cell>
          <cell r="N43" t="str">
            <v>N</v>
          </cell>
          <cell r="O43" t="str">
            <v>N</v>
          </cell>
          <cell r="P43" t="str">
            <v>N</v>
          </cell>
          <cell r="Q43" t="str">
            <v>I</v>
          </cell>
        </row>
        <row r="44">
          <cell r="A44" t="str">
            <v>95-010 JJ</v>
          </cell>
          <cell r="B44">
            <v>36039</v>
          </cell>
          <cell r="C44">
            <v>2.4003000000000001</v>
          </cell>
          <cell r="D44">
            <v>0.21690000000000001</v>
          </cell>
          <cell r="E44">
            <v>0</v>
          </cell>
          <cell r="F44">
            <v>1.8599999999999998E-2</v>
          </cell>
          <cell r="G44">
            <v>2.6513</v>
          </cell>
          <cell r="H44">
            <v>-0.1147</v>
          </cell>
          <cell r="I44">
            <v>-8.8999999999999999E-3</v>
          </cell>
          <cell r="K44">
            <v>-0.1391</v>
          </cell>
          <cell r="L44">
            <v>2.6358000000000001</v>
          </cell>
          <cell r="M44" t="str">
            <v>R</v>
          </cell>
          <cell r="N44" t="str">
            <v>N</v>
          </cell>
          <cell r="O44" t="str">
            <v>N</v>
          </cell>
          <cell r="P44" t="str">
            <v>N</v>
          </cell>
          <cell r="Q44" t="str">
            <v>R</v>
          </cell>
        </row>
        <row r="45">
          <cell r="A45" t="str">
            <v>95-010 KK</v>
          </cell>
          <cell r="B45">
            <v>36069</v>
          </cell>
          <cell r="C45">
            <v>2.3995000000000002</v>
          </cell>
          <cell r="D45">
            <v>0.21690000000000001</v>
          </cell>
          <cell r="E45">
            <v>0</v>
          </cell>
          <cell r="F45">
            <v>1.8599999999999998E-2</v>
          </cell>
          <cell r="G45">
            <v>2.6513</v>
          </cell>
          <cell r="H45">
            <v>-0.311</v>
          </cell>
          <cell r="I45">
            <v>-2.1899999999999999E-2</v>
          </cell>
          <cell r="K45">
            <v>-0.34919999999999973</v>
          </cell>
          <cell r="L45">
            <v>2.6350000000000002</v>
          </cell>
          <cell r="M45" t="str">
            <v>R</v>
          </cell>
          <cell r="N45" t="str">
            <v>R</v>
          </cell>
          <cell r="O45" t="str">
            <v>R</v>
          </cell>
          <cell r="P45" t="str">
            <v>N</v>
          </cell>
          <cell r="Q45" t="str">
            <v>R</v>
          </cell>
        </row>
        <row r="46">
          <cell r="A46" t="str">
            <v>95-010 LL</v>
          </cell>
          <cell r="B46">
            <v>36100</v>
          </cell>
          <cell r="C46">
            <v>2.7469000000000001</v>
          </cell>
          <cell r="D46">
            <v>0.19939999999999999</v>
          </cell>
          <cell r="E46">
            <v>0</v>
          </cell>
          <cell r="F46">
            <v>1.8599999999999998E-2</v>
          </cell>
          <cell r="G46">
            <v>2.6513</v>
          </cell>
          <cell r="H46">
            <v>-0.311</v>
          </cell>
          <cell r="I46">
            <v>-2.1899999999999999E-2</v>
          </cell>
          <cell r="K46">
            <v>-1.9299999999999873E-2</v>
          </cell>
          <cell r="L46">
            <v>2.9649000000000001</v>
          </cell>
          <cell r="M46" t="str">
            <v>I</v>
          </cell>
          <cell r="N46" t="str">
            <v>N</v>
          </cell>
          <cell r="O46" t="str">
            <v>N</v>
          </cell>
          <cell r="P46" t="str">
            <v>N</v>
          </cell>
          <cell r="Q46" t="str">
            <v>I</v>
          </cell>
        </row>
        <row r="47">
          <cell r="A47" t="str">
            <v>95-010 MM</v>
          </cell>
          <cell r="B47">
            <v>36130</v>
          </cell>
          <cell r="C47">
            <v>2.5857000000000001</v>
          </cell>
          <cell r="D47">
            <v>0.19939999999999999</v>
          </cell>
          <cell r="E47">
            <v>0</v>
          </cell>
          <cell r="F47">
            <v>1.8599999999999998E-2</v>
          </cell>
          <cell r="G47">
            <v>2.6513</v>
          </cell>
          <cell r="H47">
            <v>-0.311</v>
          </cell>
          <cell r="I47">
            <v>-2.1899999999999999E-2</v>
          </cell>
          <cell r="K47">
            <v>-0.18049999999999988</v>
          </cell>
          <cell r="L47">
            <v>2.8037000000000001</v>
          </cell>
          <cell r="M47" t="str">
            <v>R</v>
          </cell>
          <cell r="N47" t="str">
            <v>N</v>
          </cell>
          <cell r="O47" t="str">
            <v>N</v>
          </cell>
          <cell r="P47" t="str">
            <v>N</v>
          </cell>
          <cell r="Q47" t="str">
            <v>R</v>
          </cell>
        </row>
        <row r="48">
          <cell r="A48" t="str">
            <v>95-010 NN</v>
          </cell>
          <cell r="B48">
            <v>36161</v>
          </cell>
          <cell r="C48">
            <v>2.4861</v>
          </cell>
          <cell r="D48">
            <v>0.19939999999999999</v>
          </cell>
          <cell r="E48">
            <v>0</v>
          </cell>
          <cell r="F48">
            <v>1.8599999999999998E-2</v>
          </cell>
          <cell r="G48">
            <v>2.6513</v>
          </cell>
          <cell r="H48">
            <v>-0.311</v>
          </cell>
          <cell r="I48">
            <v>-2.1899999999999999E-2</v>
          </cell>
          <cell r="K48">
            <v>-0.28010000000000002</v>
          </cell>
          <cell r="L48">
            <v>2.7040999999999999</v>
          </cell>
          <cell r="M48" t="str">
            <v>R</v>
          </cell>
          <cell r="N48" t="str">
            <v>N</v>
          </cell>
          <cell r="O48" t="str">
            <v>N</v>
          </cell>
          <cell r="P48" t="str">
            <v>N</v>
          </cell>
          <cell r="Q48" t="str">
            <v>R</v>
          </cell>
        </row>
        <row r="49">
          <cell r="A49" t="str">
            <v>95-010 OO</v>
          </cell>
          <cell r="B49">
            <v>36192</v>
          </cell>
          <cell r="C49">
            <v>2.0943000000000001</v>
          </cell>
          <cell r="D49">
            <v>0.19939999999999999</v>
          </cell>
          <cell r="E49">
            <v>0</v>
          </cell>
          <cell r="F49">
            <v>1.8599999999999998E-2</v>
          </cell>
          <cell r="G49">
            <v>2.6513</v>
          </cell>
          <cell r="H49">
            <v>-0.311</v>
          </cell>
          <cell r="I49">
            <v>-2.0299999999999999E-2</v>
          </cell>
          <cell r="J49">
            <v>2.47E-2</v>
          </cell>
          <cell r="K49">
            <v>-0.64559999999999995</v>
          </cell>
          <cell r="L49">
            <v>2.3123</v>
          </cell>
          <cell r="M49" t="str">
            <v>R</v>
          </cell>
          <cell r="N49" t="str">
            <v>N</v>
          </cell>
          <cell r="O49" t="str">
            <v>I</v>
          </cell>
          <cell r="P49" t="str">
            <v>I</v>
          </cell>
          <cell r="Q49" t="str">
            <v>R</v>
          </cell>
        </row>
        <row r="50">
          <cell r="A50" t="str">
            <v>95-010 PP</v>
          </cell>
          <cell r="B50">
            <v>36220</v>
          </cell>
          <cell r="C50">
            <v>2.0348000000000002</v>
          </cell>
          <cell r="D50">
            <v>0.19939999999999999</v>
          </cell>
          <cell r="E50">
            <v>0</v>
          </cell>
          <cell r="F50">
            <v>1.8599999999999998E-2</v>
          </cell>
          <cell r="G50">
            <v>2.6513</v>
          </cell>
          <cell r="H50">
            <v>-0.311</v>
          </cell>
          <cell r="I50">
            <v>-2.0299999999999999E-2</v>
          </cell>
          <cell r="J50">
            <v>2.47E-2</v>
          </cell>
          <cell r="K50">
            <v>-0.70509999999999984</v>
          </cell>
          <cell r="L50">
            <v>2.2528000000000001</v>
          </cell>
          <cell r="M50" t="str">
            <v>R</v>
          </cell>
          <cell r="N50" t="str">
            <v>N</v>
          </cell>
          <cell r="O50" t="str">
            <v>N</v>
          </cell>
          <cell r="P50" t="str">
            <v>N</v>
          </cell>
          <cell r="Q50" t="str">
            <v>R</v>
          </cell>
        </row>
        <row r="51">
          <cell r="A51" t="str">
            <v>95-010 QQ</v>
          </cell>
          <cell r="B51">
            <v>36251</v>
          </cell>
          <cell r="C51">
            <v>1.9604999999999999</v>
          </cell>
          <cell r="D51">
            <v>0.19939999999999999</v>
          </cell>
          <cell r="E51">
            <v>0</v>
          </cell>
          <cell r="F51">
            <v>1.8599999999999998E-2</v>
          </cell>
          <cell r="G51">
            <v>2.6513</v>
          </cell>
          <cell r="H51">
            <v>-0.18820000000000001</v>
          </cell>
          <cell r="I51">
            <v>-3.3000000000000002E-2</v>
          </cell>
          <cell r="J51">
            <v>2.47E-2</v>
          </cell>
          <cell r="K51">
            <v>-0.6692999999999999</v>
          </cell>
          <cell r="L51">
            <v>2.1785000000000001</v>
          </cell>
          <cell r="M51" t="str">
            <v>R</v>
          </cell>
          <cell r="N51" t="str">
            <v>I</v>
          </cell>
          <cell r="O51" t="str">
            <v>R</v>
          </cell>
          <cell r="P51" t="str">
            <v>N</v>
          </cell>
          <cell r="Q51" t="str">
            <v>I</v>
          </cell>
        </row>
        <row r="52">
          <cell r="A52" t="str">
            <v>95-010 RR</v>
          </cell>
          <cell r="B52">
            <v>36281</v>
          </cell>
          <cell r="C52">
            <v>1.8638999999999999</v>
          </cell>
          <cell r="D52">
            <v>0.19939999999999999</v>
          </cell>
          <cell r="E52">
            <v>0</v>
          </cell>
          <cell r="F52">
            <v>1.8599999999999998E-2</v>
          </cell>
          <cell r="G52">
            <v>2.6513</v>
          </cell>
          <cell r="H52">
            <v>-0.18820000000000001</v>
          </cell>
          <cell r="I52">
            <v>-3.3000000000000002E-2</v>
          </cell>
          <cell r="J52">
            <v>2.47E-2</v>
          </cell>
          <cell r="K52">
            <v>-0.76589999999999991</v>
          </cell>
          <cell r="L52">
            <v>2.0819000000000001</v>
          </cell>
          <cell r="M52" t="str">
            <v>R</v>
          </cell>
          <cell r="N52" t="str">
            <v>N</v>
          </cell>
          <cell r="O52" t="str">
            <v>N</v>
          </cell>
          <cell r="P52" t="str">
            <v>N</v>
          </cell>
          <cell r="Q52" t="str">
            <v>R</v>
          </cell>
        </row>
        <row r="53">
          <cell r="A53" t="str">
            <v>95-010 SS</v>
          </cell>
          <cell r="B53">
            <v>36312</v>
          </cell>
          <cell r="C53">
            <v>2.2873999999999999</v>
          </cell>
          <cell r="D53">
            <v>0.19939999999999999</v>
          </cell>
          <cell r="E53">
            <v>0</v>
          </cell>
          <cell r="F53">
            <v>1.8599999999999998E-2</v>
          </cell>
          <cell r="G53">
            <v>2.6513</v>
          </cell>
          <cell r="H53">
            <v>-0.18820000000000001</v>
          </cell>
          <cell r="I53">
            <v>-3.3000000000000002E-2</v>
          </cell>
          <cell r="J53">
            <v>2.47E-2</v>
          </cell>
          <cell r="K53">
            <v>-0.34240000000000015</v>
          </cell>
          <cell r="L53">
            <v>2.5053999999999998</v>
          </cell>
          <cell r="M53" t="str">
            <v>I</v>
          </cell>
          <cell r="N53" t="str">
            <v>N</v>
          </cell>
          <cell r="O53" t="str">
            <v>N</v>
          </cell>
          <cell r="P53" t="str">
            <v>N</v>
          </cell>
          <cell r="Q53" t="str">
            <v>I</v>
          </cell>
        </row>
        <row r="54">
          <cell r="A54" t="str">
            <v>95-010 TT</v>
          </cell>
          <cell r="B54">
            <v>36342</v>
          </cell>
          <cell r="C54">
            <v>2.6103999999999998</v>
          </cell>
          <cell r="D54">
            <v>0.19939999999999999</v>
          </cell>
          <cell r="E54">
            <v>0</v>
          </cell>
          <cell r="F54">
            <v>1.8599999999999998E-2</v>
          </cell>
          <cell r="G54">
            <v>2.6513</v>
          </cell>
          <cell r="H54">
            <v>-0.18820000000000001</v>
          </cell>
          <cell r="I54">
            <v>-2.5700000000000001E-2</v>
          </cell>
          <cell r="J54">
            <v>2.47E-2</v>
          </cell>
          <cell r="K54">
            <v>-1.2100000000000194E-2</v>
          </cell>
          <cell r="L54">
            <v>2.8283999999999998</v>
          </cell>
          <cell r="M54" t="str">
            <v>I</v>
          </cell>
          <cell r="N54" t="str">
            <v>N</v>
          </cell>
          <cell r="O54" t="str">
            <v>I</v>
          </cell>
          <cell r="P54" t="str">
            <v>N</v>
          </cell>
          <cell r="Q54" t="str">
            <v>I</v>
          </cell>
        </row>
        <row r="55">
          <cell r="A55" t="str">
            <v>95-010 UU</v>
          </cell>
          <cell r="B55">
            <v>36373</v>
          </cell>
          <cell r="C55">
            <v>2.3969</v>
          </cell>
          <cell r="D55">
            <v>0.19939999999999999</v>
          </cell>
          <cell r="E55">
            <v>0</v>
          </cell>
          <cell r="F55">
            <v>1.8599999999999998E-2</v>
          </cell>
          <cell r="G55">
            <v>2.6513</v>
          </cell>
          <cell r="H55">
            <v>-0.18820000000000001</v>
          </cell>
          <cell r="I55">
            <v>-2.5700000000000001E-2</v>
          </cell>
          <cell r="J55">
            <v>2.47E-2</v>
          </cell>
          <cell r="K55">
            <v>-0.22559999999999999</v>
          </cell>
          <cell r="L55">
            <v>2.6149</v>
          </cell>
          <cell r="M55" t="str">
            <v>R</v>
          </cell>
          <cell r="N55" t="str">
            <v>N</v>
          </cell>
          <cell r="O55" t="str">
            <v>N</v>
          </cell>
          <cell r="P55" t="str">
            <v>N</v>
          </cell>
          <cell r="Q55" t="str">
            <v>R</v>
          </cell>
        </row>
        <row r="56">
          <cell r="A56" t="str">
            <v>95-010 VV</v>
          </cell>
          <cell r="B56">
            <v>36404</v>
          </cell>
          <cell r="C56">
            <v>2.3862000000000001</v>
          </cell>
          <cell r="D56">
            <v>0.19939999999999999</v>
          </cell>
          <cell r="E56">
            <v>0</v>
          </cell>
          <cell r="F56">
            <v>1.8599999999999998E-2</v>
          </cell>
          <cell r="G56">
            <v>2.6513</v>
          </cell>
          <cell r="H56">
            <v>-0.18820000000000001</v>
          </cell>
          <cell r="I56">
            <v>-2.5700000000000001E-2</v>
          </cell>
          <cell r="J56">
            <v>2.47E-2</v>
          </cell>
          <cell r="K56">
            <v>-0.23629999999999993</v>
          </cell>
          <cell r="L56">
            <v>2.6042000000000001</v>
          </cell>
          <cell r="M56" t="str">
            <v>R</v>
          </cell>
          <cell r="N56" t="str">
            <v>N</v>
          </cell>
          <cell r="O56" t="str">
            <v>N</v>
          </cell>
          <cell r="P56" t="str">
            <v>N</v>
          </cell>
          <cell r="Q56" t="str">
            <v>R</v>
          </cell>
        </row>
        <row r="57">
          <cell r="A57" t="str">
            <v>95-010 WW</v>
          </cell>
          <cell r="B57">
            <v>36434</v>
          </cell>
          <cell r="C57">
            <v>2.6629</v>
          </cell>
          <cell r="D57">
            <v>0.19939999999999999</v>
          </cell>
          <cell r="E57">
            <v>0</v>
          </cell>
          <cell r="F57">
            <v>1.8599999999999998E-2</v>
          </cell>
          <cell r="G57">
            <v>2.6513</v>
          </cell>
          <cell r="H57">
            <v>-0.22389999999999999</v>
          </cell>
          <cell r="I57">
            <v>-1.4999999999999999E-2</v>
          </cell>
          <cell r="J57">
            <v>2.47E-2</v>
          </cell>
          <cell r="K57">
            <v>1.5400000000000025E-2</v>
          </cell>
          <cell r="L57">
            <v>2.8809</v>
          </cell>
          <cell r="M57" t="str">
            <v>I</v>
          </cell>
          <cell r="N57" t="str">
            <v>R</v>
          </cell>
          <cell r="O57" t="str">
            <v>I</v>
          </cell>
          <cell r="P57" t="str">
            <v>N</v>
          </cell>
          <cell r="Q57" t="str">
            <v>I</v>
          </cell>
        </row>
        <row r="58">
          <cell r="A58" t="str">
            <v>95-010 XX</v>
          </cell>
          <cell r="B58">
            <v>36465</v>
          </cell>
          <cell r="C58">
            <v>2.9028</v>
          </cell>
          <cell r="D58">
            <v>0.20130000000000001</v>
          </cell>
          <cell r="E58">
            <v>0</v>
          </cell>
          <cell r="F58">
            <v>3.0000000000000001E-3</v>
          </cell>
          <cell r="G58">
            <v>2.6513</v>
          </cell>
          <cell r="H58">
            <v>-0.22389999999999999</v>
          </cell>
          <cell r="I58">
            <v>-1.4999999999999999E-2</v>
          </cell>
          <cell r="J58">
            <v>2.47E-2</v>
          </cell>
          <cell r="K58">
            <v>0.24159999999999998</v>
          </cell>
          <cell r="L58">
            <v>3.1071</v>
          </cell>
          <cell r="M58" t="str">
            <v>I</v>
          </cell>
          <cell r="N58" t="str">
            <v>N</v>
          </cell>
          <cell r="O58" t="str">
            <v>N</v>
          </cell>
          <cell r="P58" t="str">
            <v>N</v>
          </cell>
          <cell r="Q58" t="str">
            <v>I</v>
          </cell>
        </row>
        <row r="59">
          <cell r="A59" t="str">
            <v>95-010 YY</v>
          </cell>
          <cell r="B59">
            <v>36495</v>
          </cell>
          <cell r="C59">
            <v>2.9401000000000002</v>
          </cell>
          <cell r="D59">
            <v>0.2001</v>
          </cell>
          <cell r="E59">
            <v>0</v>
          </cell>
          <cell r="F59">
            <v>3.0000000000000001E-3</v>
          </cell>
          <cell r="G59">
            <v>2.6513</v>
          </cell>
          <cell r="H59">
            <v>-0.22389999999999999</v>
          </cell>
          <cell r="I59">
            <v>-1.4999999999999999E-2</v>
          </cell>
          <cell r="J59">
            <v>2.47E-2</v>
          </cell>
          <cell r="K59">
            <v>0.27770000000000022</v>
          </cell>
          <cell r="L59">
            <v>3.1432000000000002</v>
          </cell>
          <cell r="M59" t="str">
            <v>I</v>
          </cell>
          <cell r="N59" t="str">
            <v>N</v>
          </cell>
          <cell r="O59" t="str">
            <v>N</v>
          </cell>
          <cell r="P59" t="str">
            <v>N</v>
          </cell>
          <cell r="Q59" t="str">
            <v>I</v>
          </cell>
        </row>
        <row r="60">
          <cell r="A60" t="str">
            <v>99-070</v>
          </cell>
          <cell r="B60">
            <v>36526</v>
          </cell>
          <cell r="C60">
            <v>2.4571999999999998</v>
          </cell>
          <cell r="D60">
            <v>0.2001</v>
          </cell>
          <cell r="E60">
            <v>0</v>
          </cell>
          <cell r="F60">
            <v>3.0000000000000001E-3</v>
          </cell>
          <cell r="G60">
            <v>0</v>
          </cell>
          <cell r="H60">
            <v>-0.22389999999999999</v>
          </cell>
          <cell r="I60">
            <v>-1.78E-2</v>
          </cell>
          <cell r="J60">
            <v>2.47E-2</v>
          </cell>
          <cell r="K60">
            <v>2.4432999999999998</v>
          </cell>
          <cell r="L60">
            <v>2.6602999999999999</v>
          </cell>
          <cell r="M60" t="str">
            <v>R</v>
          </cell>
          <cell r="N60" t="str">
            <v>N</v>
          </cell>
          <cell r="O60" t="str">
            <v>R</v>
          </cell>
          <cell r="P60" t="str">
            <v>N</v>
          </cell>
          <cell r="Q60" t="str">
            <v>I</v>
          </cell>
        </row>
        <row r="61">
          <cell r="A61" t="str">
            <v>99-070 A</v>
          </cell>
          <cell r="B61">
            <v>36557</v>
          </cell>
          <cell r="C61">
            <v>2.5337000000000001</v>
          </cell>
          <cell r="D61">
            <v>0.20100000000000001</v>
          </cell>
          <cell r="E61">
            <v>0</v>
          </cell>
          <cell r="F61">
            <v>3.0000000000000001E-3</v>
          </cell>
          <cell r="G61">
            <v>0</v>
          </cell>
          <cell r="H61">
            <v>-0.22389999999999999</v>
          </cell>
          <cell r="I61">
            <v>-1.78E-2</v>
          </cell>
          <cell r="J61">
            <v>9.3399999999999997E-2</v>
          </cell>
          <cell r="K61">
            <v>2.5894000000000004</v>
          </cell>
          <cell r="L61">
            <v>2.7377000000000002</v>
          </cell>
          <cell r="M61" t="str">
            <v>I</v>
          </cell>
          <cell r="N61" t="str">
            <v>N</v>
          </cell>
          <cell r="O61" t="str">
            <v>N</v>
          </cell>
          <cell r="P61" t="str">
            <v>I</v>
          </cell>
          <cell r="Q61" t="str">
            <v>I</v>
          </cell>
        </row>
        <row r="62">
          <cell r="A62" t="str">
            <v>1999-070 B</v>
          </cell>
          <cell r="B62">
            <v>36617</v>
          </cell>
          <cell r="C62">
            <v>2.5337000000000001</v>
          </cell>
          <cell r="D62">
            <v>0.20100000000000001</v>
          </cell>
          <cell r="E62">
            <v>0</v>
          </cell>
          <cell r="F62">
            <v>3.0000000000000001E-3</v>
          </cell>
          <cell r="G62">
            <v>0</v>
          </cell>
          <cell r="H62">
            <v>0</v>
          </cell>
          <cell r="I62">
            <v>-5.1000000000000004E-3</v>
          </cell>
          <cell r="J62">
            <v>9.3399999999999997E-2</v>
          </cell>
          <cell r="K62">
            <v>2.8260000000000001</v>
          </cell>
          <cell r="L62">
            <v>2.7377000000000002</v>
          </cell>
          <cell r="M62" t="str">
            <v>N</v>
          </cell>
          <cell r="N62" t="str">
            <v>I</v>
          </cell>
          <cell r="O62" t="str">
            <v>I</v>
          </cell>
          <cell r="P62" t="str">
            <v>N</v>
          </cell>
          <cell r="Q62" t="str">
            <v>I</v>
          </cell>
        </row>
        <row r="63">
          <cell r="A63" t="str">
            <v>1999-070 C</v>
          </cell>
          <cell r="B63">
            <v>36647</v>
          </cell>
          <cell r="C63">
            <v>2.5749</v>
          </cell>
          <cell r="D63">
            <v>0.20100000000000001</v>
          </cell>
          <cell r="E63">
            <v>0</v>
          </cell>
          <cell r="F63">
            <v>3.0000000000000001E-3</v>
          </cell>
          <cell r="G63">
            <v>0</v>
          </cell>
          <cell r="H63">
            <v>0.25019999999999998</v>
          </cell>
          <cell r="I63">
            <v>-5.1000000000000004E-3</v>
          </cell>
          <cell r="J63">
            <v>9.3399999999999997E-2</v>
          </cell>
          <cell r="K63">
            <v>3.1173999999999999</v>
          </cell>
          <cell r="L63">
            <v>2.7789000000000001</v>
          </cell>
          <cell r="M63" t="str">
            <v>I</v>
          </cell>
          <cell r="N63" t="str">
            <v>I</v>
          </cell>
          <cell r="O63" t="str">
            <v>N</v>
          </cell>
          <cell r="P63" t="str">
            <v>N</v>
          </cell>
          <cell r="Q63" t="str">
            <v>I</v>
          </cell>
        </row>
        <row r="64">
          <cell r="A64" t="str">
            <v>1999-070 D</v>
          </cell>
          <cell r="B64">
            <v>36708</v>
          </cell>
          <cell r="C64">
            <v>3.1747999999999998</v>
          </cell>
          <cell r="D64">
            <v>0.20100000000000001</v>
          </cell>
          <cell r="E64">
            <v>0</v>
          </cell>
          <cell r="F64">
            <v>3.0000000000000001E-3</v>
          </cell>
          <cell r="G64">
            <v>0</v>
          </cell>
          <cell r="H64">
            <v>0.25019999999999998</v>
          </cell>
          <cell r="I64">
            <v>-5.1000000000000004E-3</v>
          </cell>
          <cell r="J64">
            <v>9.3399999999999997E-2</v>
          </cell>
          <cell r="K64">
            <v>3.7172999999999998</v>
          </cell>
          <cell r="L64">
            <v>3.3788</v>
          </cell>
          <cell r="M64" t="str">
            <v>I</v>
          </cell>
          <cell r="N64" t="str">
            <v>N</v>
          </cell>
          <cell r="O64" t="str">
            <v>N</v>
          </cell>
          <cell r="P64" t="str">
            <v>N</v>
          </cell>
          <cell r="Q64" t="str">
            <v>I</v>
          </cell>
        </row>
        <row r="65">
          <cell r="A65" t="str">
            <v>1999-070 E</v>
          </cell>
          <cell r="B65">
            <v>36739</v>
          </cell>
          <cell r="C65">
            <v>4.6079999999999997</v>
          </cell>
          <cell r="D65">
            <v>0.20100000000000001</v>
          </cell>
          <cell r="E65">
            <v>0</v>
          </cell>
          <cell r="F65">
            <v>3.0000000000000001E-3</v>
          </cell>
          <cell r="G65">
            <v>0</v>
          </cell>
          <cell r="H65">
            <v>0.25019999999999998</v>
          </cell>
          <cell r="I65">
            <v>-1.6800000000000002E-2</v>
          </cell>
          <cell r="J65">
            <v>9.3399999999999997E-2</v>
          </cell>
          <cell r="K65">
            <v>5.1387999999999998</v>
          </cell>
          <cell r="L65">
            <v>4.8119999999999994</v>
          </cell>
          <cell r="M65" t="str">
            <v>I</v>
          </cell>
          <cell r="N65" t="str">
            <v>N</v>
          </cell>
          <cell r="O65" t="str">
            <v>R</v>
          </cell>
          <cell r="P65" t="str">
            <v>N</v>
          </cell>
          <cell r="Q65" t="str">
            <v>I</v>
          </cell>
        </row>
        <row r="66">
          <cell r="A66" t="str">
            <v>1999-070 F</v>
          </cell>
          <cell r="B66">
            <v>36800</v>
          </cell>
          <cell r="C66">
            <v>5.2323000000000004</v>
          </cell>
          <cell r="D66">
            <v>0.20100000000000001</v>
          </cell>
          <cell r="E66">
            <v>0</v>
          </cell>
          <cell r="F66">
            <v>3.0000000000000001E-3</v>
          </cell>
          <cell r="G66">
            <v>0</v>
          </cell>
          <cell r="H66">
            <v>0.25019999999999998</v>
          </cell>
          <cell r="I66">
            <v>-1.4500000000000001E-2</v>
          </cell>
          <cell r="J66">
            <v>9.3399999999999997E-2</v>
          </cell>
          <cell r="K66">
            <v>5.7653999999999996</v>
          </cell>
          <cell r="L66">
            <v>5.4363000000000001</v>
          </cell>
          <cell r="M66" t="str">
            <v>I</v>
          </cell>
          <cell r="N66" t="str">
            <v>N</v>
          </cell>
          <cell r="O66" t="str">
            <v>I</v>
          </cell>
          <cell r="P66" t="str">
            <v>N</v>
          </cell>
          <cell r="Q66" t="str">
            <v>I</v>
          </cell>
        </row>
        <row r="67">
          <cell r="A67" t="str">
            <v>1999-070 G</v>
          </cell>
          <cell r="B67">
            <v>36831</v>
          </cell>
          <cell r="C67">
            <v>5.5765000000000002</v>
          </cell>
          <cell r="D67">
            <v>0.18820000000000001</v>
          </cell>
          <cell r="E67">
            <v>0</v>
          </cell>
          <cell r="F67">
            <v>0</v>
          </cell>
          <cell r="G67">
            <v>0</v>
          </cell>
          <cell r="H67">
            <v>1.1344000000000001</v>
          </cell>
          <cell r="I67">
            <v>-1.4500000000000001E-2</v>
          </cell>
          <cell r="J67">
            <v>9.3399999999999997E-2</v>
          </cell>
          <cell r="K67">
            <v>6.9780000000000006</v>
          </cell>
          <cell r="L67">
            <v>5.7647000000000004</v>
          </cell>
          <cell r="M67" t="str">
            <v>I</v>
          </cell>
          <cell r="N67" t="str">
            <v>I</v>
          </cell>
          <cell r="O67" t="str">
            <v>N</v>
          </cell>
          <cell r="P67" t="str">
            <v>N</v>
          </cell>
          <cell r="Q67" t="str">
            <v>I</v>
          </cell>
        </row>
        <row r="68">
          <cell r="A68" t="str">
            <v>1999-070 H</v>
          </cell>
          <cell r="B68">
            <v>36923</v>
          </cell>
          <cell r="C68">
            <v>6.9600999999999997</v>
          </cell>
          <cell r="D68">
            <v>0.24249999999999999</v>
          </cell>
          <cell r="E68">
            <v>0</v>
          </cell>
          <cell r="F68">
            <v>0</v>
          </cell>
          <cell r="G68">
            <v>0</v>
          </cell>
          <cell r="H68">
            <v>1.1344000000000001</v>
          </cell>
          <cell r="I68">
            <v>-1.17E-2</v>
          </cell>
          <cell r="J68">
            <v>6.0199999999999997E-2</v>
          </cell>
          <cell r="K68">
            <v>8.3855000000000004</v>
          </cell>
          <cell r="L68">
            <v>7.2025999999999994</v>
          </cell>
          <cell r="M68" t="str">
            <v>I</v>
          </cell>
          <cell r="N68" t="str">
            <v>N</v>
          </cell>
          <cell r="O68" t="str">
            <v>I</v>
          </cell>
          <cell r="P68" t="str">
            <v>R</v>
          </cell>
          <cell r="Q68" t="str">
            <v>I</v>
          </cell>
        </row>
        <row r="69">
          <cell r="A69" t="str">
            <v>1999-070 I</v>
          </cell>
          <cell r="B69">
            <v>36951</v>
          </cell>
          <cell r="C69">
            <v>6.0629999999999997</v>
          </cell>
          <cell r="D69">
            <v>0.24249999999999999</v>
          </cell>
          <cell r="E69">
            <v>0</v>
          </cell>
          <cell r="F69">
            <v>0</v>
          </cell>
          <cell r="G69">
            <v>0</v>
          </cell>
          <cell r="H69">
            <v>1.1344000000000001</v>
          </cell>
          <cell r="I69">
            <v>-1.17E-2</v>
          </cell>
          <cell r="J69">
            <v>6.0199999999999997E-2</v>
          </cell>
          <cell r="K69">
            <v>7.4883999999999995</v>
          </cell>
          <cell r="L69">
            <v>6.3054999999999994</v>
          </cell>
          <cell r="M69" t="str">
            <v>R</v>
          </cell>
          <cell r="N69" t="str">
            <v>N</v>
          </cell>
          <cell r="O69" t="str">
            <v>N</v>
          </cell>
          <cell r="P69" t="str">
            <v>N</v>
          </cell>
          <cell r="Q69" t="str">
            <v>R</v>
          </cell>
        </row>
        <row r="70">
          <cell r="A70" t="str">
            <v>1999-070 J</v>
          </cell>
          <cell r="B70">
            <v>36982</v>
          </cell>
          <cell r="C70">
            <v>6.0091999999999999</v>
          </cell>
          <cell r="D70">
            <v>0.24249999999999999</v>
          </cell>
          <cell r="E70">
            <v>0</v>
          </cell>
          <cell r="F70">
            <v>0</v>
          </cell>
          <cell r="G70">
            <v>0</v>
          </cell>
          <cell r="H70">
            <v>1.1344000000000001</v>
          </cell>
          <cell r="I70">
            <v>-1.17E-2</v>
          </cell>
          <cell r="J70">
            <v>6.0199999999999997E-2</v>
          </cell>
          <cell r="K70">
            <v>7.4345999999999997</v>
          </cell>
          <cell r="L70">
            <v>6.2516999999999996</v>
          </cell>
          <cell r="M70" t="str">
            <v>R</v>
          </cell>
          <cell r="N70" t="str">
            <v>N</v>
          </cell>
          <cell r="O70" t="str">
            <v>N</v>
          </cell>
          <cell r="P70" t="str">
            <v>N</v>
          </cell>
          <cell r="Q70" t="str">
            <v>R</v>
          </cell>
        </row>
        <row r="71">
          <cell r="A71" t="str">
            <v>1999-070 K</v>
          </cell>
          <cell r="B71">
            <v>37012</v>
          </cell>
          <cell r="C71">
            <v>5.8128000000000002</v>
          </cell>
          <cell r="D71">
            <v>0.21010000000000001</v>
          </cell>
          <cell r="E71">
            <v>0</v>
          </cell>
          <cell r="F71">
            <v>0</v>
          </cell>
          <cell r="G71">
            <v>0</v>
          </cell>
          <cell r="H71">
            <v>1.4216</v>
          </cell>
          <cell r="I71">
            <v>-1.2200000000000001E-2</v>
          </cell>
          <cell r="J71">
            <v>6.0199999999999997E-2</v>
          </cell>
          <cell r="K71">
            <v>7.4924999999999997</v>
          </cell>
          <cell r="L71">
            <v>6.0228999999999999</v>
          </cell>
          <cell r="M71" t="str">
            <v>R</v>
          </cell>
          <cell r="N71" t="str">
            <v>I</v>
          </cell>
          <cell r="O71" t="str">
            <v>R</v>
          </cell>
          <cell r="P71" t="str">
            <v>N</v>
          </cell>
          <cell r="Q71" t="str">
            <v>I</v>
          </cell>
        </row>
        <row r="72">
          <cell r="A72" t="str">
            <v>1999-070 L</v>
          </cell>
          <cell r="B72">
            <v>37043</v>
          </cell>
          <cell r="C72">
            <v>5.6711</v>
          </cell>
          <cell r="D72">
            <v>0.21010000000000001</v>
          </cell>
          <cell r="E72">
            <v>0</v>
          </cell>
          <cell r="F72">
            <v>0</v>
          </cell>
          <cell r="G72">
            <v>0</v>
          </cell>
          <cell r="H72">
            <v>1.4216</v>
          </cell>
          <cell r="I72">
            <v>-1.2200000000000001E-2</v>
          </cell>
          <cell r="J72">
            <v>6.0199999999999997E-2</v>
          </cell>
          <cell r="K72">
            <v>7.3507999999999996</v>
          </cell>
          <cell r="L72">
            <v>5.8811999999999998</v>
          </cell>
          <cell r="M72" t="str">
            <v>R</v>
          </cell>
          <cell r="N72" t="str">
            <v>N</v>
          </cell>
          <cell r="O72" t="str">
            <v>N</v>
          </cell>
          <cell r="P72" t="str">
            <v>N</v>
          </cell>
          <cell r="Q72" t="str">
            <v>R</v>
          </cell>
        </row>
        <row r="73">
          <cell r="A73" t="str">
            <v>1999-070 M</v>
          </cell>
          <cell r="B73">
            <v>37073</v>
          </cell>
          <cell r="C73">
            <v>4.9177</v>
          </cell>
          <cell r="D73">
            <v>0.21010000000000001</v>
          </cell>
          <cell r="E73">
            <v>0</v>
          </cell>
          <cell r="F73">
            <v>0</v>
          </cell>
          <cell r="G73">
            <v>0</v>
          </cell>
          <cell r="H73">
            <v>1.4216</v>
          </cell>
          <cell r="I73">
            <v>-1.2200000000000001E-2</v>
          </cell>
          <cell r="J73">
            <v>6.0199999999999997E-2</v>
          </cell>
          <cell r="K73">
            <v>6.5973999999999995</v>
          </cell>
          <cell r="L73">
            <v>5.1277999999999997</v>
          </cell>
          <cell r="M73" t="str">
            <v>R</v>
          </cell>
          <cell r="N73" t="str">
            <v>N</v>
          </cell>
          <cell r="O73" t="str">
            <v>N</v>
          </cell>
          <cell r="P73" t="str">
            <v>N</v>
          </cell>
          <cell r="Q73" t="str">
            <v>R</v>
          </cell>
        </row>
        <row r="74">
          <cell r="A74" t="str">
            <v>1999-070 N</v>
          </cell>
          <cell r="B74">
            <v>37104</v>
          </cell>
          <cell r="C74">
            <v>4.3213999999999997</v>
          </cell>
          <cell r="D74">
            <v>0.21010000000000001</v>
          </cell>
          <cell r="E74">
            <v>0</v>
          </cell>
          <cell r="F74">
            <v>0</v>
          </cell>
          <cell r="G74">
            <v>0</v>
          </cell>
          <cell r="H74">
            <v>1.4216</v>
          </cell>
          <cell r="I74">
            <v>-5.0000000000000001E-4</v>
          </cell>
          <cell r="J74">
            <v>6.0199999999999997E-2</v>
          </cell>
          <cell r="K74">
            <v>6.0127999999999995</v>
          </cell>
          <cell r="L74">
            <v>4.5314999999999994</v>
          </cell>
          <cell r="M74" t="str">
            <v>R</v>
          </cell>
          <cell r="N74" t="str">
            <v>N</v>
          </cell>
          <cell r="O74" t="str">
            <v>I</v>
          </cell>
          <cell r="P74" t="str">
            <v>N</v>
          </cell>
          <cell r="Q74" t="str">
            <v>R</v>
          </cell>
        </row>
        <row r="75">
          <cell r="A75" t="str">
            <v>1999-070 O</v>
          </cell>
          <cell r="B75">
            <v>37196</v>
          </cell>
          <cell r="C75">
            <v>3.6354000000000002</v>
          </cell>
          <cell r="D75">
            <v>0.21010000000000001</v>
          </cell>
          <cell r="E75">
            <v>0</v>
          </cell>
          <cell r="F75">
            <v>0</v>
          </cell>
          <cell r="G75">
            <v>0</v>
          </cell>
          <cell r="H75">
            <v>0.1522</v>
          </cell>
          <cell r="I75">
            <v>-2.4000000000000002E-3</v>
          </cell>
          <cell r="J75">
            <v>6.0199999999999997E-2</v>
          </cell>
          <cell r="K75">
            <v>4.0555000000000003</v>
          </cell>
        </row>
        <row r="76">
          <cell r="A76" t="str">
            <v>1999-070 P</v>
          </cell>
          <cell r="B76">
            <v>37288</v>
          </cell>
          <cell r="C76">
            <v>3.34</v>
          </cell>
          <cell r="D76">
            <v>0.21010000000000001</v>
          </cell>
          <cell r="E76">
            <v>0</v>
          </cell>
          <cell r="F76">
            <v>0</v>
          </cell>
          <cell r="G76">
            <v>0</v>
          </cell>
          <cell r="H76">
            <v>3.8899999999999997E-2</v>
          </cell>
          <cell r="I76">
            <v>-2.4000000000000002E-3</v>
          </cell>
          <cell r="J76">
            <v>2.3699999999999999E-2</v>
          </cell>
          <cell r="K76">
            <v>3.6103000000000001</v>
          </cell>
        </row>
        <row r="77">
          <cell r="A77" t="str">
            <v>2002-00113</v>
          </cell>
          <cell r="B77">
            <v>37377</v>
          </cell>
          <cell r="C77">
            <v>3.5903999999999998</v>
          </cell>
          <cell r="D77">
            <v>0.21010000000000001</v>
          </cell>
          <cell r="E77">
            <v>0</v>
          </cell>
          <cell r="F77">
            <v>0</v>
          </cell>
          <cell r="G77">
            <v>0</v>
          </cell>
          <cell r="H77">
            <v>-0.2407</v>
          </cell>
          <cell r="I77">
            <v>-1.9E-3</v>
          </cell>
          <cell r="J77">
            <v>2.3699999999999999E-2</v>
          </cell>
          <cell r="K77">
            <v>3.5815999999999999</v>
          </cell>
        </row>
        <row r="78">
          <cell r="A78" t="str">
            <v>2002-00251</v>
          </cell>
          <cell r="B78">
            <v>37469</v>
          </cell>
          <cell r="C78">
            <v>3.5659999999999998</v>
          </cell>
          <cell r="D78">
            <v>0.21010000000000001</v>
          </cell>
          <cell r="E78">
            <v>0</v>
          </cell>
          <cell r="F78">
            <v>0</v>
          </cell>
          <cell r="G78">
            <v>0</v>
          </cell>
          <cell r="H78">
            <v>-0.2248</v>
          </cell>
          <cell r="I78">
            <v>-3.8E-3</v>
          </cell>
          <cell r="J78">
            <v>2.3699999999999999E-2</v>
          </cell>
          <cell r="K78">
            <v>3.5712000000000002</v>
          </cell>
        </row>
        <row r="79">
          <cell r="A79" t="str">
            <v>2002-00359</v>
          </cell>
          <cell r="B79">
            <v>37561</v>
          </cell>
          <cell r="C79">
            <v>4.0022000000000002</v>
          </cell>
          <cell r="D79">
            <v>0.19040000000000001</v>
          </cell>
          <cell r="E79">
            <v>0</v>
          </cell>
          <cell r="F79">
            <v>0</v>
          </cell>
          <cell r="G79">
            <v>0</v>
          </cell>
          <cell r="H79">
            <v>5.1999999999999998E-3</v>
          </cell>
          <cell r="I79">
            <v>-4.0999999999999995E-2</v>
          </cell>
          <cell r="J79">
            <v>2.3699999999999999E-2</v>
          </cell>
          <cell r="K79">
            <v>4.1805000000000003</v>
          </cell>
        </row>
        <row r="80">
          <cell r="A80" t="str">
            <v>2003-00002</v>
          </cell>
          <cell r="B80">
            <v>37653</v>
          </cell>
          <cell r="C80">
            <v>4.4122000000000003</v>
          </cell>
          <cell r="D80">
            <v>0.19040000000000001</v>
          </cell>
          <cell r="E80">
            <v>0</v>
          </cell>
          <cell r="F80">
            <v>0</v>
          </cell>
          <cell r="G80">
            <v>0</v>
          </cell>
          <cell r="H80">
            <v>0.1686</v>
          </cell>
          <cell r="I80">
            <v>-4.0999999999999995E-2</v>
          </cell>
          <cell r="J80">
            <v>7.4700000000000003E-2</v>
          </cell>
          <cell r="K80">
            <v>4.5057</v>
          </cell>
        </row>
        <row r="81">
          <cell r="A81" t="str">
            <v>2003-00083</v>
          </cell>
          <cell r="B81">
            <v>37713</v>
          </cell>
          <cell r="C81">
            <v>6.6096000000000004</v>
          </cell>
          <cell r="D81">
            <v>0.19040000000000001</v>
          </cell>
          <cell r="E81">
            <v>0</v>
          </cell>
          <cell r="F81">
            <v>0</v>
          </cell>
          <cell r="G81">
            <v>0</v>
          </cell>
          <cell r="H81">
            <v>0.1686</v>
          </cell>
          <cell r="I81">
            <v>-4.0999999999999995E-2</v>
          </cell>
          <cell r="J81">
            <v>7.4700000000000003E-2</v>
          </cell>
          <cell r="K81">
            <v>7.0023000000000009</v>
          </cell>
        </row>
        <row r="82">
          <cell r="A82" t="str">
            <v>2003-00126</v>
          </cell>
          <cell r="B82" t="str">
            <v>05/01/03</v>
          </cell>
          <cell r="C82">
            <v>5.5705</v>
          </cell>
          <cell r="D82">
            <v>0.19040000000000001</v>
          </cell>
          <cell r="E82">
            <v>0</v>
          </cell>
          <cell r="F82">
            <v>0</v>
          </cell>
          <cell r="G82">
            <v>0</v>
          </cell>
          <cell r="H82">
            <v>0.21640000000000001</v>
          </cell>
          <cell r="I82">
            <v>-4.0999999999999995E-2</v>
          </cell>
          <cell r="J82">
            <v>7.4700000000000003E-2</v>
          </cell>
          <cell r="K82">
            <v>6.0110000000000001</v>
          </cell>
        </row>
        <row r="83">
          <cell r="A83" t="str">
            <v>2003-00258</v>
          </cell>
          <cell r="B83">
            <v>37834</v>
          </cell>
          <cell r="C83">
            <v>6.3529999999999998</v>
          </cell>
          <cell r="D83">
            <v>0.18709999999999999</v>
          </cell>
          <cell r="E83">
            <v>0</v>
          </cell>
          <cell r="F83">
            <v>0</v>
          </cell>
          <cell r="G83">
            <v>0</v>
          </cell>
          <cell r="H83">
            <v>0.45200000000000001</v>
          </cell>
          <cell r="I83">
            <v>-3.9099999999999996E-2</v>
          </cell>
          <cell r="J83">
            <v>7.4700000000000003E-2</v>
          </cell>
          <cell r="K83">
            <v>7.0276999999999994</v>
          </cell>
        </row>
        <row r="84">
          <cell r="A84" t="str">
            <v>2003-00377</v>
          </cell>
          <cell r="B84">
            <v>37926</v>
          </cell>
          <cell r="C84">
            <v>5.6509999999999998</v>
          </cell>
          <cell r="D84">
            <v>0.18709999999999999</v>
          </cell>
          <cell r="E84">
            <v>0</v>
          </cell>
          <cell r="F84">
            <v>0</v>
          </cell>
          <cell r="G84">
            <v>0</v>
          </cell>
          <cell r="H84">
            <v>0.54669999999999996</v>
          </cell>
          <cell r="I84">
            <v>-5.9999999999999995E-4</v>
          </cell>
          <cell r="J84">
            <v>7.4700000000000003E-2</v>
          </cell>
          <cell r="K84">
            <v>6.4588999999999999</v>
          </cell>
        </row>
        <row r="85">
          <cell r="A85" t="str">
            <v>2003-00504</v>
          </cell>
          <cell r="B85">
            <v>38018</v>
          </cell>
          <cell r="C85">
            <v>5.9219999999999997</v>
          </cell>
          <cell r="D85">
            <v>0.18709999999999999</v>
          </cell>
          <cell r="E85">
            <v>0</v>
          </cell>
          <cell r="F85">
            <v>0</v>
          </cell>
          <cell r="G85">
            <v>0</v>
          </cell>
          <cell r="H85">
            <v>0.5554</v>
          </cell>
          <cell r="I85">
            <v>-5.9999999999999995E-4</v>
          </cell>
          <cell r="J85">
            <v>6.1199999999999997E-2</v>
          </cell>
          <cell r="K85">
            <v>6.7250999999999994</v>
          </cell>
        </row>
        <row r="86">
          <cell r="A86" t="str">
            <v>2004-00122</v>
          </cell>
          <cell r="B86">
            <v>38108</v>
          </cell>
          <cell r="C86">
            <v>6.0660999999999996</v>
          </cell>
          <cell r="D86">
            <v>0.18709999999999999</v>
          </cell>
          <cell r="E86">
            <v>0</v>
          </cell>
          <cell r="F86">
            <v>0</v>
          </cell>
          <cell r="G86">
            <v>0</v>
          </cell>
          <cell r="H86">
            <v>0.14910000000000001</v>
          </cell>
          <cell r="I86">
            <v>-5.9999999999999995E-4</v>
          </cell>
          <cell r="J86">
            <v>6.1199999999999997E-2</v>
          </cell>
          <cell r="K86">
            <v>6.4629000000000003</v>
          </cell>
        </row>
        <row r="87">
          <cell r="A87" t="str">
            <v>2004-00269</v>
          </cell>
          <cell r="B87">
            <v>38200</v>
          </cell>
          <cell r="C87">
            <v>7.0430999999999999</v>
          </cell>
          <cell r="D87">
            <v>0.18709999999999999</v>
          </cell>
          <cell r="E87">
            <v>0</v>
          </cell>
          <cell r="F87">
            <v>0</v>
          </cell>
          <cell r="G87">
            <v>0</v>
          </cell>
          <cell r="H87">
            <v>0.1148</v>
          </cell>
          <cell r="I87">
            <v>-5.3999999999999994E-3</v>
          </cell>
          <cell r="J87">
            <v>6.1199999999999997E-2</v>
          </cell>
          <cell r="K87">
            <v>7.4008000000000003</v>
          </cell>
        </row>
        <row r="88">
          <cell r="A88" t="str">
            <v>2004-00398</v>
          </cell>
          <cell r="B88">
            <v>38292</v>
          </cell>
          <cell r="C88">
            <v>6.8804999999999996</v>
          </cell>
          <cell r="D88">
            <v>0.18640000000000001</v>
          </cell>
          <cell r="E88">
            <v>0</v>
          </cell>
          <cell r="F88">
            <v>0</v>
          </cell>
          <cell r="G88">
            <v>0</v>
          </cell>
          <cell r="H88">
            <v>0.2064</v>
          </cell>
          <cell r="I88">
            <v>-4.7999999999999996E-3</v>
          </cell>
          <cell r="J88">
            <v>6.1199999999999997E-2</v>
          </cell>
          <cell r="K88">
            <v>7.3296999999999999</v>
          </cell>
        </row>
        <row r="89">
          <cell r="A89" t="str">
            <v>2005-00013</v>
          </cell>
          <cell r="B89">
            <v>38384</v>
          </cell>
          <cell r="C89">
            <v>6.7214999999999998</v>
          </cell>
          <cell r="D89">
            <v>0.18640000000000001</v>
          </cell>
          <cell r="E89">
            <v>0</v>
          </cell>
          <cell r="F89">
            <v>0</v>
          </cell>
          <cell r="G89">
            <v>0</v>
          </cell>
          <cell r="H89">
            <v>0.3876</v>
          </cell>
          <cell r="I89">
            <v>-4.7999999999999996E-3</v>
          </cell>
          <cell r="J89">
            <v>4.48E-2</v>
          </cell>
          <cell r="K89">
            <v>7.3354999999999997</v>
          </cell>
        </row>
        <row r="90">
          <cell r="A90" t="str">
            <v>2005-00139</v>
          </cell>
          <cell r="B90">
            <v>38473</v>
          </cell>
          <cell r="C90">
            <v>8.0664999999999996</v>
          </cell>
          <cell r="D90">
            <v>0.18640000000000001</v>
          </cell>
          <cell r="E90">
            <v>0</v>
          </cell>
          <cell r="F90">
            <v>0</v>
          </cell>
          <cell r="G90">
            <v>0</v>
          </cell>
          <cell r="H90">
            <v>0.34960000000000002</v>
          </cell>
          <cell r="I90">
            <v>-4.7999999999999996E-3</v>
          </cell>
          <cell r="J90">
            <v>4.48E-2</v>
          </cell>
          <cell r="K90">
            <v>8.6425000000000001</v>
          </cell>
        </row>
        <row r="91">
          <cell r="A91" t="str">
            <v>2005-00271</v>
          </cell>
          <cell r="B91">
            <v>38565</v>
          </cell>
          <cell r="C91">
            <v>8.327</v>
          </cell>
          <cell r="D91">
            <v>0.18640000000000001</v>
          </cell>
          <cell r="E91">
            <v>0</v>
          </cell>
          <cell r="F91">
            <v>0</v>
          </cell>
          <cell r="G91">
            <v>0</v>
          </cell>
          <cell r="H91">
            <v>5.7599999999999998E-2</v>
          </cell>
          <cell r="I91">
            <v>-4.7999999999999996E-3</v>
          </cell>
          <cell r="J91">
            <v>4.48E-2</v>
          </cell>
          <cell r="K91">
            <v>8.6110000000000007</v>
          </cell>
        </row>
        <row r="92">
          <cell r="A92" t="str">
            <v>2005-00354</v>
          </cell>
          <cell r="B92">
            <v>38626</v>
          </cell>
          <cell r="C92">
            <v>10.2639</v>
          </cell>
          <cell r="D92">
            <v>0.18640000000000001</v>
          </cell>
          <cell r="E92">
            <v>0</v>
          </cell>
          <cell r="F92">
            <v>0</v>
          </cell>
          <cell r="G92">
            <v>0</v>
          </cell>
          <cell r="H92">
            <v>5.7599999999999998E-2</v>
          </cell>
          <cell r="I92">
            <v>-4.7999999999999996E-3</v>
          </cell>
          <cell r="J92">
            <v>4.48E-2</v>
          </cell>
          <cell r="K92">
            <v>10.547900000000002</v>
          </cell>
        </row>
        <row r="93">
          <cell r="A93" t="str">
            <v>2005-00399</v>
          </cell>
          <cell r="B93">
            <v>38657</v>
          </cell>
          <cell r="C93">
            <v>9.9666999999999994</v>
          </cell>
          <cell r="D93">
            <v>0.18640000000000001</v>
          </cell>
          <cell r="E93">
            <v>0</v>
          </cell>
          <cell r="F93">
            <v>0</v>
          </cell>
          <cell r="G93">
            <v>0</v>
          </cell>
          <cell r="H93">
            <v>0.40460000000000002</v>
          </cell>
          <cell r="I93">
            <v>-1.6999999999999999E-3</v>
          </cell>
          <cell r="J93">
            <v>4.48E-2</v>
          </cell>
          <cell r="K93">
            <v>10.6008</v>
          </cell>
        </row>
        <row r="94">
          <cell r="A94" t="str">
            <v>2005-00552</v>
          </cell>
          <cell r="B94">
            <v>38749</v>
          </cell>
          <cell r="C94">
            <v>10.3019</v>
          </cell>
          <cell r="D94">
            <v>0.2195</v>
          </cell>
          <cell r="E94">
            <v>0</v>
          </cell>
          <cell r="F94">
            <v>0</v>
          </cell>
          <cell r="G94">
            <v>0</v>
          </cell>
          <cell r="H94">
            <v>0.77170000000000005</v>
          </cell>
          <cell r="I94">
            <v>-1.6999999999999999E-3</v>
          </cell>
          <cell r="J94">
            <v>3.9899999999999998E-2</v>
          </cell>
          <cell r="K94">
            <v>11.331300000000001</v>
          </cell>
        </row>
        <row r="95">
          <cell r="A95" t="str">
            <v>2006-00135</v>
          </cell>
          <cell r="B95">
            <v>38838</v>
          </cell>
          <cell r="C95">
            <v>7.9545000000000003</v>
          </cell>
          <cell r="D95">
            <v>0.18390000000000001</v>
          </cell>
          <cell r="E95">
            <v>0</v>
          </cell>
          <cell r="F95">
            <v>0</v>
          </cell>
          <cell r="G95">
            <v>0</v>
          </cell>
          <cell r="H95">
            <v>0.29880000000000001</v>
          </cell>
          <cell r="I95">
            <v>-1.6999999999999999E-3</v>
          </cell>
          <cell r="J95">
            <v>3.9899999999999998E-2</v>
          </cell>
          <cell r="K95">
            <v>8.4754000000000005</v>
          </cell>
        </row>
        <row r="96">
          <cell r="A96" t="str">
            <v>2006-00324</v>
          </cell>
          <cell r="B96">
            <v>38930</v>
          </cell>
          <cell r="C96">
            <v>7.7975000000000003</v>
          </cell>
          <cell r="D96">
            <v>0.18390000000000001</v>
          </cell>
          <cell r="E96">
            <v>0</v>
          </cell>
          <cell r="F96">
            <v>0</v>
          </cell>
          <cell r="G96">
            <v>0</v>
          </cell>
          <cell r="H96">
            <v>-0.1749</v>
          </cell>
          <cell r="I96">
            <v>-1.6999999999999999E-3</v>
          </cell>
          <cell r="J96">
            <v>3.9899999999999998E-2</v>
          </cell>
          <cell r="K96">
            <v>7.8447000000000005</v>
          </cell>
        </row>
        <row r="97">
          <cell r="A97" t="str">
            <v>2006-00428</v>
          </cell>
          <cell r="B97">
            <v>39022</v>
          </cell>
          <cell r="C97">
            <v>8.0540000000000003</v>
          </cell>
          <cell r="D97">
            <v>0.18390000000000001</v>
          </cell>
          <cell r="E97">
            <v>0</v>
          </cell>
          <cell r="F97">
            <v>0</v>
          </cell>
          <cell r="G97">
            <v>0</v>
          </cell>
          <cell r="H97">
            <v>-0.30880000000000002</v>
          </cell>
          <cell r="I97">
            <v>-5.5399999999999998E-2</v>
          </cell>
          <cell r="J97">
            <v>3.9899999999999998E-2</v>
          </cell>
          <cell r="K97">
            <v>7.9135999999999997</v>
          </cell>
        </row>
      </sheetData>
      <sheetData sheetId="41">
        <row r="8">
          <cell r="A8" t="str">
            <v>95-010 C</v>
          </cell>
          <cell r="B8">
            <v>34943</v>
          </cell>
          <cell r="C8">
            <v>1.6788000000000001</v>
          </cell>
          <cell r="D8">
            <v>0.37959999999999999</v>
          </cell>
          <cell r="E8">
            <v>-1.9E-3</v>
          </cell>
        </row>
        <row r="9">
          <cell r="A9" t="str">
            <v>95-010 D</v>
          </cell>
          <cell r="B9">
            <v>34973</v>
          </cell>
          <cell r="C9">
            <v>1.7593000000000001</v>
          </cell>
          <cell r="D9">
            <v>0.36449999999999999</v>
          </cell>
          <cell r="E9">
            <v>3.5000000000000001E-3</v>
          </cell>
        </row>
        <row r="10">
          <cell r="A10" t="str">
            <v>95-010 E</v>
          </cell>
          <cell r="B10">
            <v>35004</v>
          </cell>
          <cell r="C10">
            <v>1.8481000000000001</v>
          </cell>
          <cell r="D10">
            <v>0.3342</v>
          </cell>
          <cell r="E10">
            <v>3.2500000000000001E-2</v>
          </cell>
        </row>
        <row r="11">
          <cell r="A11" t="str">
            <v>95-010 F</v>
          </cell>
          <cell r="B11">
            <v>35034</v>
          </cell>
          <cell r="C11">
            <v>2.5830000000000002</v>
          </cell>
          <cell r="D11">
            <v>0.22819999999999999</v>
          </cell>
          <cell r="E11">
            <v>0.19769999999999999</v>
          </cell>
        </row>
        <row r="12">
          <cell r="A12" t="str">
            <v>95-010 G</v>
          </cell>
          <cell r="B12">
            <v>35065</v>
          </cell>
          <cell r="C12">
            <v>3.6097000000000001</v>
          </cell>
          <cell r="D12">
            <v>0.3276</v>
          </cell>
          <cell r="E12">
            <v>1.29E-2</v>
          </cell>
        </row>
        <row r="13">
          <cell r="A13" t="str">
            <v>95-010 H</v>
          </cell>
          <cell r="B13">
            <v>35096</v>
          </cell>
          <cell r="C13">
            <v>3.1621000000000001</v>
          </cell>
          <cell r="D13">
            <v>0.31209999999999999</v>
          </cell>
          <cell r="E13">
            <v>3.8999999999999998E-3</v>
          </cell>
        </row>
        <row r="14">
          <cell r="A14" t="str">
            <v>95-010 I</v>
          </cell>
          <cell r="B14">
            <v>35125</v>
          </cell>
          <cell r="C14">
            <v>3.0878000000000001</v>
          </cell>
          <cell r="D14">
            <v>0.33699999999999997</v>
          </cell>
          <cell r="E14">
            <v>7.6999999999998181E-3</v>
          </cell>
        </row>
        <row r="15">
          <cell r="A15" t="str">
            <v>95-010 J</v>
          </cell>
          <cell r="B15">
            <v>35156</v>
          </cell>
          <cell r="C15">
            <v>2.9451999999999998</v>
          </cell>
          <cell r="D15">
            <v>0.33270000000000005</v>
          </cell>
          <cell r="E15">
            <v>5.0399999999999778E-2</v>
          </cell>
        </row>
        <row r="16">
          <cell r="A16" t="str">
            <v>95-010 K</v>
          </cell>
          <cell r="B16">
            <v>35186</v>
          </cell>
          <cell r="C16">
            <v>2.3868999999999998</v>
          </cell>
          <cell r="D16">
            <v>0.30230000000000001</v>
          </cell>
          <cell r="E16">
            <v>2.12E-2</v>
          </cell>
        </row>
        <row r="17">
          <cell r="A17" t="str">
            <v>95-010 L</v>
          </cell>
          <cell r="B17">
            <v>35217</v>
          </cell>
          <cell r="C17">
            <v>2.5070000000000001</v>
          </cell>
          <cell r="D17">
            <v>0.245</v>
          </cell>
          <cell r="E17">
            <v>-3.0199999999999783E-2</v>
          </cell>
        </row>
        <row r="18">
          <cell r="A18" t="str">
            <v>95-010 M</v>
          </cell>
          <cell r="B18">
            <v>35247</v>
          </cell>
          <cell r="C18">
            <v>2.8332000000000002</v>
          </cell>
          <cell r="D18">
            <v>0.2445</v>
          </cell>
          <cell r="E18">
            <v>-1.8000000000002458E-3</v>
          </cell>
        </row>
        <row r="19">
          <cell r="A19" t="str">
            <v>95-010 N</v>
          </cell>
          <cell r="B19">
            <v>35278</v>
          </cell>
          <cell r="C19">
            <v>2.4481999999999999</v>
          </cell>
          <cell r="D19">
            <v>0.24390000000000001</v>
          </cell>
          <cell r="E19">
            <v>0</v>
          </cell>
        </row>
        <row r="20">
          <cell r="A20" t="str">
            <v>95-010 O</v>
          </cell>
          <cell r="B20">
            <v>35309</v>
          </cell>
          <cell r="C20">
            <v>2.3172999999999999</v>
          </cell>
          <cell r="D20">
            <v>0.26250000000000001</v>
          </cell>
          <cell r="E20">
            <v>3.4000000000000252E-2</v>
          </cell>
        </row>
        <row r="21">
          <cell r="A21" t="str">
            <v>95-010 P</v>
          </cell>
          <cell r="B21">
            <v>35339</v>
          </cell>
          <cell r="C21">
            <v>2.0539000000000001</v>
          </cell>
          <cell r="D21">
            <v>0.26500000000000001</v>
          </cell>
          <cell r="E21">
            <v>-0.23839999999999995</v>
          </cell>
        </row>
        <row r="22">
          <cell r="A22" t="str">
            <v>95-010 Q</v>
          </cell>
          <cell r="B22">
            <v>35370</v>
          </cell>
          <cell r="C22">
            <v>3.1606000000000001</v>
          </cell>
          <cell r="D22">
            <v>0.25490000000000002</v>
          </cell>
          <cell r="E22">
            <v>3.7000000000000002E-3</v>
          </cell>
        </row>
        <row r="23">
          <cell r="A23" t="str">
            <v>95-010 R</v>
          </cell>
          <cell r="B23">
            <v>35400</v>
          </cell>
          <cell r="C23">
            <v>4.3159000000000001</v>
          </cell>
          <cell r="D23">
            <v>0.24779999999999999</v>
          </cell>
          <cell r="E23">
            <v>-1.6000000000000014E-2</v>
          </cell>
        </row>
        <row r="24">
          <cell r="A24" t="str">
            <v>95-010 S</v>
          </cell>
          <cell r="B24">
            <v>35431</v>
          </cell>
          <cell r="C24">
            <v>4.2289000000000003</v>
          </cell>
          <cell r="D24">
            <v>0.25990000000000002</v>
          </cell>
          <cell r="E24">
            <v>1.000000000000334E-3</v>
          </cell>
        </row>
        <row r="25">
          <cell r="A25" t="str">
            <v>95-010 T</v>
          </cell>
          <cell r="B25">
            <v>35462</v>
          </cell>
          <cell r="C25">
            <v>3.1</v>
          </cell>
          <cell r="D25">
            <v>0.25979999999999998</v>
          </cell>
          <cell r="E25">
            <v>9.9000000000000199E-3</v>
          </cell>
        </row>
        <row r="26">
          <cell r="A26" t="str">
            <v>95-010 U</v>
          </cell>
          <cell r="B26">
            <v>35490</v>
          </cell>
          <cell r="C26">
            <v>1.9297</v>
          </cell>
          <cell r="D26">
            <v>0.25990000000000002</v>
          </cell>
          <cell r="E26">
            <v>-5.3900000000000059E-2</v>
          </cell>
        </row>
        <row r="27">
          <cell r="A27" t="str">
            <v>95-010 V</v>
          </cell>
          <cell r="B27">
            <v>35521</v>
          </cell>
          <cell r="C27">
            <v>2.1265000000000001</v>
          </cell>
          <cell r="D27">
            <v>0.25570000000000004</v>
          </cell>
          <cell r="E27">
            <v>-1.4100000000000001E-2</v>
          </cell>
        </row>
        <row r="28">
          <cell r="A28" t="str">
            <v>95-010 W</v>
          </cell>
          <cell r="B28">
            <v>35551</v>
          </cell>
          <cell r="C28">
            <v>2.3639999999999999</v>
          </cell>
          <cell r="D28">
            <v>0.25570000000000004</v>
          </cell>
          <cell r="E28">
            <v>-0.12110000000000021</v>
          </cell>
        </row>
        <row r="29">
          <cell r="A29" t="str">
            <v>95-010 X</v>
          </cell>
          <cell r="B29">
            <v>35582</v>
          </cell>
          <cell r="C29">
            <v>2.4377</v>
          </cell>
          <cell r="D29">
            <v>0.27779999999999999</v>
          </cell>
          <cell r="E29">
            <v>0</v>
          </cell>
        </row>
        <row r="30">
          <cell r="A30" t="str">
            <v>95-010 Y</v>
          </cell>
          <cell r="B30">
            <v>35612</v>
          </cell>
          <cell r="C30">
            <v>2.5013000000000001</v>
          </cell>
          <cell r="D30">
            <v>0.26489999999999997</v>
          </cell>
          <cell r="E30">
            <v>8.1000000000002181E-3</v>
          </cell>
        </row>
        <row r="31">
          <cell r="A31" t="str">
            <v>95-010 Z</v>
          </cell>
          <cell r="B31">
            <v>35643</v>
          </cell>
          <cell r="C31">
            <v>2.3273999999999999</v>
          </cell>
          <cell r="D31">
            <v>0.30159999999999998</v>
          </cell>
          <cell r="E31">
            <v>-9.800000000000253E-3</v>
          </cell>
        </row>
        <row r="32">
          <cell r="A32" t="str">
            <v>95-010 AA</v>
          </cell>
          <cell r="B32">
            <v>35674</v>
          </cell>
          <cell r="C32">
            <v>2.4371999999999998</v>
          </cell>
          <cell r="D32">
            <v>0.26100000000000001</v>
          </cell>
          <cell r="E32">
            <v>2.2499999999999999E-2</v>
          </cell>
        </row>
        <row r="33">
          <cell r="A33" t="str">
            <v>95-010 BB</v>
          </cell>
          <cell r="B33">
            <v>35704</v>
          </cell>
          <cell r="C33">
            <v>3.1143000000000001</v>
          </cell>
          <cell r="D33">
            <v>0.26819999999999999</v>
          </cell>
          <cell r="E33">
            <v>5.4000000000002935E-3</v>
          </cell>
        </row>
        <row r="34">
          <cell r="A34" t="str">
            <v>95-010 CC</v>
          </cell>
          <cell r="B34">
            <v>35735</v>
          </cell>
          <cell r="C34">
            <v>3.4891999999999999</v>
          </cell>
          <cell r="D34">
            <v>0.26819999999999999</v>
          </cell>
          <cell r="E34">
            <v>-0.10470000000000024</v>
          </cell>
        </row>
        <row r="35">
          <cell r="A35" t="str">
            <v>95-010 DD</v>
          </cell>
          <cell r="B35">
            <v>35765</v>
          </cell>
          <cell r="C35">
            <v>2.6930999999999998</v>
          </cell>
          <cell r="D35">
            <v>0.30880000000000002</v>
          </cell>
          <cell r="E35">
            <v>0.115</v>
          </cell>
        </row>
        <row r="36">
          <cell r="A36" t="str">
            <v>95-010 EE</v>
          </cell>
          <cell r="B36">
            <v>35796</v>
          </cell>
          <cell r="C36">
            <v>2.4893999999999998</v>
          </cell>
          <cell r="D36">
            <v>0.30880000000000002</v>
          </cell>
          <cell r="E36">
            <v>-4.469999999999974E-2</v>
          </cell>
        </row>
        <row r="37">
          <cell r="A37" t="str">
            <v>95-010 FF</v>
          </cell>
          <cell r="B37">
            <v>35827</v>
          </cell>
          <cell r="C37">
            <v>2.3378000000000001</v>
          </cell>
          <cell r="D37">
            <v>0.30880000000000002</v>
          </cell>
          <cell r="E37">
            <v>-6.7799999999999638E-2</v>
          </cell>
        </row>
        <row r="38">
          <cell r="A38" t="str">
            <v>95-010 GG</v>
          </cell>
          <cell r="B38">
            <v>35855</v>
          </cell>
          <cell r="C38">
            <v>2.3269000000000002</v>
          </cell>
          <cell r="D38">
            <v>0.24859999999999999</v>
          </cell>
          <cell r="E38">
            <v>-0.15920000000000023</v>
          </cell>
        </row>
        <row r="39">
          <cell r="A39" t="str">
            <v>95-010 HH</v>
          </cell>
          <cell r="B39">
            <v>35886</v>
          </cell>
          <cell r="C39">
            <v>2.4558</v>
          </cell>
          <cell r="D39">
            <v>0.222</v>
          </cell>
          <cell r="E39">
            <v>0.10379999999999967</v>
          </cell>
        </row>
        <row r="40">
          <cell r="A40" t="str">
            <v>95-010 II</v>
          </cell>
          <cell r="B40">
            <v>35916</v>
          </cell>
          <cell r="C40">
            <v>2.2869000000000002</v>
          </cell>
          <cell r="D40">
            <v>0.222</v>
          </cell>
          <cell r="E40">
            <v>5.259999999999998E-2</v>
          </cell>
        </row>
        <row r="41">
          <cell r="A41" t="str">
            <v>95-010 JJ</v>
          </cell>
          <cell r="B41">
            <v>35947</v>
          </cell>
          <cell r="C41">
            <v>2.3929999999999998</v>
          </cell>
          <cell r="D41">
            <v>0.23550000000000001</v>
          </cell>
          <cell r="E41">
            <v>-1.3700000000000045E-2</v>
          </cell>
        </row>
        <row r="42">
          <cell r="A42" t="str">
            <v>95-010 KK</v>
          </cell>
          <cell r="B42">
            <v>35977</v>
          </cell>
          <cell r="C42">
            <v>2.4350999999999998</v>
          </cell>
          <cell r="D42">
            <v>0.23470000000000002</v>
          </cell>
          <cell r="E42">
            <v>1.4300000000000423E-2</v>
          </cell>
        </row>
        <row r="43">
          <cell r="A43" t="str">
            <v>95-010 LL</v>
          </cell>
          <cell r="B43">
            <v>36008</v>
          </cell>
          <cell r="C43">
            <v>1.9495</v>
          </cell>
          <cell r="D43">
            <v>0.23470000000000002</v>
          </cell>
          <cell r="E43">
            <v>-3.0899999999999928E-2</v>
          </cell>
        </row>
        <row r="44">
          <cell r="A44" t="str">
            <v>95-010 MM</v>
          </cell>
          <cell r="B44">
            <v>36039</v>
          </cell>
          <cell r="C44">
            <v>1.9322999999999999</v>
          </cell>
          <cell r="D44">
            <v>0.23470000000000002</v>
          </cell>
          <cell r="E44">
            <v>0.70840000000000014</v>
          </cell>
        </row>
        <row r="45">
          <cell r="A45" t="str">
            <v>95-010 NN</v>
          </cell>
          <cell r="B45">
            <v>36069</v>
          </cell>
          <cell r="C45">
            <v>1.8403</v>
          </cell>
          <cell r="D45">
            <v>0.23470000000000002</v>
          </cell>
          <cell r="E45">
            <v>-9.199999999999986E-2</v>
          </cell>
        </row>
        <row r="46">
          <cell r="A46" t="str">
            <v>95-010 OO</v>
          </cell>
          <cell r="B46">
            <v>36100</v>
          </cell>
          <cell r="C46">
            <v>2.0097</v>
          </cell>
          <cell r="D46">
            <v>0.2172</v>
          </cell>
          <cell r="E46">
            <v>0.1694</v>
          </cell>
        </row>
        <row r="47">
          <cell r="A47" t="str">
            <v>95-010 PP</v>
          </cell>
          <cell r="B47">
            <v>36130</v>
          </cell>
          <cell r="C47">
            <v>2.1608000000000001</v>
          </cell>
          <cell r="D47">
            <v>0.2172</v>
          </cell>
          <cell r="E47">
            <v>0.15110000000000001</v>
          </cell>
        </row>
        <row r="48">
          <cell r="A48" t="str">
            <v>95-010 QQ</v>
          </cell>
          <cell r="B48">
            <v>36161</v>
          </cell>
          <cell r="C48">
            <v>1.9796</v>
          </cell>
          <cell r="D48">
            <v>0.2172</v>
          </cell>
          <cell r="E48">
            <v>-0.18730000000000002</v>
          </cell>
        </row>
        <row r="49">
          <cell r="A49" t="str">
            <v>95-010 RR</v>
          </cell>
          <cell r="B49">
            <v>36192</v>
          </cell>
          <cell r="C49">
            <v>1.8795999999999999</v>
          </cell>
          <cell r="D49">
            <v>0.2172</v>
          </cell>
          <cell r="E49">
            <v>-0.1</v>
          </cell>
        </row>
        <row r="50">
          <cell r="A50" t="str">
            <v>95-010 SS</v>
          </cell>
          <cell r="B50">
            <v>36220</v>
          </cell>
          <cell r="C50">
            <v>1.9111</v>
          </cell>
          <cell r="D50">
            <v>0.2172</v>
          </cell>
          <cell r="E50">
            <v>3.15E-2</v>
          </cell>
        </row>
        <row r="51">
          <cell r="A51" t="str">
            <v>95-010 TT</v>
          </cell>
          <cell r="B51">
            <v>36251</v>
          </cell>
          <cell r="C51">
            <v>1.7602</v>
          </cell>
          <cell r="D51">
            <v>0.2172</v>
          </cell>
          <cell r="E51">
            <v>-0.1608</v>
          </cell>
        </row>
        <row r="52">
          <cell r="A52" t="str">
            <v>95-010 UU</v>
          </cell>
          <cell r="B52">
            <v>36281</v>
          </cell>
          <cell r="C52">
            <v>2.0323000000000002</v>
          </cell>
          <cell r="D52">
            <v>0.20619999999999999</v>
          </cell>
          <cell r="E52">
            <v>0.27210000000000001</v>
          </cell>
        </row>
        <row r="53">
          <cell r="A53" t="str">
            <v>95-010 VV</v>
          </cell>
          <cell r="B53">
            <v>36312</v>
          </cell>
          <cell r="C53">
            <v>2.3763000000000001</v>
          </cell>
          <cell r="D53">
            <v>0.20619999999999999</v>
          </cell>
          <cell r="E53">
            <v>0.34399999999999997</v>
          </cell>
        </row>
        <row r="54">
          <cell r="A54" t="str">
            <v>95-010 WW</v>
          </cell>
          <cell r="B54">
            <v>36342</v>
          </cell>
          <cell r="C54">
            <v>2.3330000000000002</v>
          </cell>
          <cell r="D54">
            <v>0.20699999999999999</v>
          </cell>
          <cell r="E54">
            <v>-4.5100000000000001E-2</v>
          </cell>
        </row>
        <row r="55">
          <cell r="A55" t="str">
            <v>95-010 XX</v>
          </cell>
          <cell r="B55">
            <v>36373</v>
          </cell>
          <cell r="C55">
            <v>2.2801</v>
          </cell>
          <cell r="D55">
            <v>0.20699999999999999</v>
          </cell>
          <cell r="E55">
            <v>-5.2900000000000003E-2</v>
          </cell>
        </row>
        <row r="56">
          <cell r="A56" t="str">
            <v>95-010 YY</v>
          </cell>
          <cell r="B56">
            <v>36404</v>
          </cell>
          <cell r="C56">
            <v>2.2353000000000001</v>
          </cell>
          <cell r="D56">
            <v>0.20699999999999999</v>
          </cell>
          <cell r="E56">
            <v>0.51049999999999995</v>
          </cell>
        </row>
        <row r="57">
          <cell r="A57" t="str">
            <v>99-070</v>
          </cell>
          <cell r="B57">
            <v>36434</v>
          </cell>
          <cell r="C57">
            <v>2.9076</v>
          </cell>
          <cell r="D57">
            <v>0.20699999999999999</v>
          </cell>
          <cell r="E57">
            <v>0.67230000000000001</v>
          </cell>
        </row>
        <row r="58">
          <cell r="A58" t="str">
            <v>99-070 A</v>
          </cell>
          <cell r="B58">
            <v>36465</v>
          </cell>
          <cell r="C58">
            <v>2.6151</v>
          </cell>
          <cell r="D58">
            <v>0.1933</v>
          </cell>
          <cell r="E58">
            <v>-9.98E-2</v>
          </cell>
        </row>
        <row r="59">
          <cell r="A59" t="str">
            <v>1999-070 B</v>
          </cell>
          <cell r="B59">
            <v>36526</v>
          </cell>
          <cell r="C59">
            <v>2.6151</v>
          </cell>
          <cell r="D59">
            <v>0.19209999999999999</v>
          </cell>
          <cell r="E59">
            <v>-9.98E-2</v>
          </cell>
        </row>
        <row r="60">
          <cell r="A60" t="str">
            <v>1999-070 C</v>
          </cell>
          <cell r="B60">
            <v>36557</v>
          </cell>
          <cell r="C60">
            <v>3.1292</v>
          </cell>
          <cell r="D60">
            <v>0.193</v>
          </cell>
          <cell r="E60">
            <v>0.46689999999999998</v>
          </cell>
        </row>
        <row r="61">
          <cell r="A61" t="str">
            <v>1999-070 D</v>
          </cell>
          <cell r="B61">
            <v>36617</v>
          </cell>
          <cell r="C61">
            <v>2.8828</v>
          </cell>
          <cell r="D61">
            <v>0.20400000000000001</v>
          </cell>
          <cell r="E61">
            <v>9.0700000000000003E-2</v>
          </cell>
        </row>
        <row r="62">
          <cell r="A62" t="str">
            <v>1999-070 E</v>
          </cell>
          <cell r="B62">
            <v>36647</v>
          </cell>
          <cell r="C62">
            <v>3.1551999999999998</v>
          </cell>
          <cell r="D62">
            <v>0.20400000000000001</v>
          </cell>
          <cell r="E62">
            <v>0.27239999999999998</v>
          </cell>
        </row>
        <row r="63">
          <cell r="A63" t="str">
            <v>1999-070 F</v>
          </cell>
          <cell r="B63">
            <v>36708</v>
          </cell>
          <cell r="C63">
            <v>4.6307999999999998</v>
          </cell>
          <cell r="D63">
            <v>0.20400000000000001</v>
          </cell>
          <cell r="E63">
            <v>1.1285000000000001</v>
          </cell>
        </row>
        <row r="64">
          <cell r="A64" t="str">
            <v>1999-070 G</v>
          </cell>
          <cell r="B64">
            <v>36739</v>
          </cell>
          <cell r="C64">
            <v>4.4837999999999996</v>
          </cell>
          <cell r="D64">
            <v>0.20400000000000001</v>
          </cell>
          <cell r="E64">
            <v>-0.14700000000000024</v>
          </cell>
        </row>
        <row r="65">
          <cell r="A65" t="str">
            <v>1999-070 H</v>
          </cell>
          <cell r="B65">
            <v>36831</v>
          </cell>
          <cell r="C65">
            <v>5.4024000000000001</v>
          </cell>
          <cell r="D65">
            <v>0.18820000000000001</v>
          </cell>
          <cell r="E65">
            <v>0.30630000000000002</v>
          </cell>
        </row>
        <row r="66">
          <cell r="A66" t="str">
            <v>1999-070 I</v>
          </cell>
          <cell r="B66">
            <v>36861</v>
          </cell>
          <cell r="C66">
            <v>5.2557999999999998</v>
          </cell>
          <cell r="D66">
            <v>0.18820000000000001</v>
          </cell>
          <cell r="E66">
            <v>-0.14660000000000001</v>
          </cell>
        </row>
        <row r="67">
          <cell r="A67" t="str">
            <v>1999-070 J</v>
          </cell>
          <cell r="B67">
            <v>36892</v>
          </cell>
          <cell r="C67">
            <v>8.2843999999999998</v>
          </cell>
          <cell r="D67">
            <v>0.18820000000000001</v>
          </cell>
          <cell r="E67">
            <v>3.0286</v>
          </cell>
        </row>
        <row r="68">
          <cell r="A68" t="str">
            <v>1999-070 K</v>
          </cell>
          <cell r="B68">
            <v>36923</v>
          </cell>
          <cell r="C68">
            <v>9.5794999999999995</v>
          </cell>
          <cell r="D68">
            <v>0.24249999999999999</v>
          </cell>
          <cell r="E68">
            <v>1.2950999999999999</v>
          </cell>
        </row>
        <row r="69">
          <cell r="A69" t="str">
            <v>1999-070 L</v>
          </cell>
          <cell r="B69">
            <v>36951</v>
          </cell>
          <cell r="C69">
            <v>6.1877000000000004</v>
          </cell>
          <cell r="D69">
            <v>0.24249999999999999</v>
          </cell>
          <cell r="E69">
            <v>-3.3917999999999999</v>
          </cell>
        </row>
        <row r="70">
          <cell r="A70" t="str">
            <v>1999-070 M</v>
          </cell>
          <cell r="B70">
            <v>36982</v>
          </cell>
          <cell r="C70">
            <v>5.2763</v>
          </cell>
          <cell r="D70">
            <v>0.24249999999999999</v>
          </cell>
          <cell r="E70">
            <v>-0.91139999999999999</v>
          </cell>
        </row>
        <row r="71">
          <cell r="A71" t="str">
            <v>1999-070 N</v>
          </cell>
          <cell r="B71">
            <v>37012</v>
          </cell>
          <cell r="C71">
            <v>5.4908999999999999</v>
          </cell>
          <cell r="D71">
            <v>0.21010000000000001</v>
          </cell>
          <cell r="E71">
            <v>0.21460000000000001</v>
          </cell>
        </row>
        <row r="72">
          <cell r="A72" t="str">
            <v>1999-070 O</v>
          </cell>
          <cell r="B72">
            <v>37104</v>
          </cell>
          <cell r="C72">
            <v>3.2080000000000002</v>
          </cell>
          <cell r="D72">
            <v>0.21010000000000001</v>
          </cell>
          <cell r="E72">
            <v>-0.63959999999999995</v>
          </cell>
        </row>
        <row r="73">
          <cell r="A73" t="str">
            <v>1999-070 P</v>
          </cell>
          <cell r="B73">
            <v>37196</v>
          </cell>
          <cell r="C73">
            <v>1.9111</v>
          </cell>
          <cell r="D73">
            <v>0.21010000000000001</v>
          </cell>
          <cell r="E73">
            <v>3.15E-2</v>
          </cell>
        </row>
        <row r="74">
          <cell r="A74" t="str">
            <v>2002-00113</v>
          </cell>
          <cell r="B74">
            <v>37288</v>
          </cell>
          <cell r="C74">
            <v>1.9111</v>
          </cell>
          <cell r="D74">
            <v>0.21010000000000001</v>
          </cell>
          <cell r="E74">
            <v>3.15E-2</v>
          </cell>
        </row>
        <row r="75">
          <cell r="A75" t="str">
            <v>2002-00251</v>
          </cell>
          <cell r="B75">
            <v>37377</v>
          </cell>
          <cell r="C75">
            <v>1.9111</v>
          </cell>
          <cell r="D75">
            <v>0.21010000000000001</v>
          </cell>
          <cell r="E75">
            <v>3.15E-2</v>
          </cell>
        </row>
        <row r="76">
          <cell r="A76" t="str">
            <v>2002-00359</v>
          </cell>
          <cell r="B76">
            <v>37469</v>
          </cell>
          <cell r="C76">
            <v>1.9111</v>
          </cell>
          <cell r="D76">
            <v>0.20830000000000001</v>
          </cell>
          <cell r="E76">
            <v>3.15E-2</v>
          </cell>
        </row>
        <row r="77">
          <cell r="A77" t="str">
            <v>200 -</v>
          </cell>
          <cell r="B77">
            <v>37561</v>
          </cell>
          <cell r="C77">
            <v>1.9111</v>
          </cell>
          <cell r="D77">
            <v>0</v>
          </cell>
          <cell r="E77">
            <v>3.15E-2</v>
          </cell>
        </row>
        <row r="78">
          <cell r="A78" t="str">
            <v>2003-000</v>
          </cell>
          <cell r="B78">
            <v>37622</v>
          </cell>
          <cell r="C78">
            <v>1.9111</v>
          </cell>
          <cell r="D78">
            <v>0.15930000000000002</v>
          </cell>
          <cell r="E78">
            <v>3.15E-2</v>
          </cell>
        </row>
        <row r="79">
          <cell r="A79" t="str">
            <v>2003-00002</v>
          </cell>
          <cell r="B79">
            <v>37653</v>
          </cell>
          <cell r="C79">
            <v>1.9111</v>
          </cell>
          <cell r="D79">
            <v>0.15930000000000002</v>
          </cell>
          <cell r="E79">
            <v>3.15E-2</v>
          </cell>
        </row>
        <row r="80">
          <cell r="A80" t="str">
            <v>2003-00083</v>
          </cell>
          <cell r="B80">
            <v>37712</v>
          </cell>
          <cell r="C80">
            <v>1.9111</v>
          </cell>
          <cell r="D80">
            <v>0.15930000000000002</v>
          </cell>
          <cell r="E80">
            <v>3.15E-2</v>
          </cell>
        </row>
        <row r="81">
          <cell r="A81" t="str">
            <v>2003-00126</v>
          </cell>
          <cell r="B81">
            <v>37742</v>
          </cell>
          <cell r="C81">
            <v>1.9111</v>
          </cell>
          <cell r="D81">
            <v>0.15930000000000002</v>
          </cell>
          <cell r="E81">
            <v>3.15E-2</v>
          </cell>
        </row>
        <row r="82">
          <cell r="A82" t="str">
            <v>2003-00258</v>
          </cell>
          <cell r="B82">
            <v>37834</v>
          </cell>
          <cell r="C82">
            <v>1.9111</v>
          </cell>
          <cell r="D82">
            <v>0.15930000000000002</v>
          </cell>
          <cell r="E82">
            <v>3.15E-2</v>
          </cell>
        </row>
        <row r="83">
          <cell r="A83" t="str">
            <v>2003-00377</v>
          </cell>
          <cell r="B83">
            <v>37926</v>
          </cell>
          <cell r="C83">
            <v>1.9111</v>
          </cell>
          <cell r="D83">
            <v>0.1578</v>
          </cell>
          <cell r="E83">
            <v>3.15E-2</v>
          </cell>
        </row>
        <row r="84">
          <cell r="A84" t="str">
            <v>2003-00504</v>
          </cell>
          <cell r="B84">
            <v>38018</v>
          </cell>
          <cell r="C84">
            <v>1.9111</v>
          </cell>
          <cell r="D84">
            <v>0.1578</v>
          </cell>
          <cell r="E84">
            <v>3.15E-2</v>
          </cell>
        </row>
        <row r="85">
          <cell r="A85" t="str">
            <v>2004-00122</v>
          </cell>
          <cell r="B85">
            <v>38108</v>
          </cell>
          <cell r="C85">
            <v>1.9111</v>
          </cell>
          <cell r="D85">
            <v>0.18709999999999999</v>
          </cell>
          <cell r="E85">
            <v>3.15E-2</v>
          </cell>
        </row>
        <row r="86">
          <cell r="A86" t="str">
            <v>2004-00269</v>
          </cell>
          <cell r="B86">
            <v>38200</v>
          </cell>
          <cell r="C86">
            <v>1.9111</v>
          </cell>
          <cell r="D86">
            <v>0.18709999999999999</v>
          </cell>
          <cell r="E86">
            <v>3.15E-2</v>
          </cell>
        </row>
      </sheetData>
      <sheetData sheetId="42">
        <row r="7">
          <cell r="A7" t="str">
            <v>Case No.</v>
          </cell>
          <cell r="B7" t="str">
            <v>Effective</v>
          </cell>
          <cell r="C7" t="str">
            <v>Demand</v>
          </cell>
          <cell r="D7" t="str">
            <v>TOP</v>
          </cell>
          <cell r="E7" t="str">
            <v>Transition</v>
          </cell>
          <cell r="F7" t="str">
            <v>RF</v>
          </cell>
          <cell r="G7" t="str">
            <v>Non-Commodity</v>
          </cell>
        </row>
        <row r="8">
          <cell r="A8" t="str">
            <v>95-010</v>
          </cell>
          <cell r="B8">
            <v>34943</v>
          </cell>
          <cell r="C8">
            <v>1.0213000000000001</v>
          </cell>
          <cell r="D8">
            <v>8.2000000000000007E-3</v>
          </cell>
          <cell r="E8">
            <v>0.13819999999999999</v>
          </cell>
          <cell r="F8">
            <v>-0.191</v>
          </cell>
          <cell r="G8">
            <v>0.9766999999999999</v>
          </cell>
        </row>
        <row r="9">
          <cell r="A9" t="str">
            <v>95-010 A</v>
          </cell>
          <cell r="B9">
            <v>34999</v>
          </cell>
          <cell r="C9">
            <v>1.0213000000000001</v>
          </cell>
          <cell r="D9">
            <v>8.2000000000000007E-3</v>
          </cell>
          <cell r="E9">
            <v>0.1231</v>
          </cell>
          <cell r="F9">
            <v>-0.191</v>
          </cell>
          <cell r="G9">
            <v>0.96160000000000001</v>
          </cell>
        </row>
        <row r="10">
          <cell r="A10" t="str">
            <v>95-010 B</v>
          </cell>
          <cell r="B10">
            <v>35004</v>
          </cell>
          <cell r="C10">
            <v>1.0213000000000001</v>
          </cell>
          <cell r="D10">
            <v>8.2000000000000007E-3</v>
          </cell>
          <cell r="E10">
            <v>7.7499999999999999E-2</v>
          </cell>
          <cell r="F10">
            <v>-0.14150000000000001</v>
          </cell>
          <cell r="G10">
            <v>0.96550000000000002</v>
          </cell>
        </row>
        <row r="11">
          <cell r="A11" t="str">
            <v>95-010 C</v>
          </cell>
          <cell r="B11">
            <v>35034</v>
          </cell>
          <cell r="C11">
            <v>1.0213000000000001</v>
          </cell>
          <cell r="D11">
            <v>8.2000000000000007E-3</v>
          </cell>
          <cell r="E11">
            <v>7.46E-2</v>
          </cell>
          <cell r="F11">
            <v>-0.14219999999999999</v>
          </cell>
          <cell r="G11">
            <v>0.96190000000000009</v>
          </cell>
        </row>
        <row r="12">
          <cell r="A12" t="str">
            <v>95-010 D</v>
          </cell>
          <cell r="B12">
            <v>35065</v>
          </cell>
          <cell r="C12">
            <v>1.0088999999999999</v>
          </cell>
          <cell r="D12">
            <v>8.2000000000000007E-3</v>
          </cell>
          <cell r="E12">
            <v>7.46E-2</v>
          </cell>
          <cell r="F12">
            <v>-0.14219999999999999</v>
          </cell>
          <cell r="G12">
            <v>0.9494999999999999</v>
          </cell>
        </row>
        <row r="13">
          <cell r="A13" t="str">
            <v>95-010 E</v>
          </cell>
          <cell r="B13">
            <v>35096</v>
          </cell>
          <cell r="C13">
            <v>1.0424</v>
          </cell>
          <cell r="D13">
            <v>0</v>
          </cell>
          <cell r="E13">
            <v>6.3200000000000006E-2</v>
          </cell>
          <cell r="F13">
            <v>-0.14219999999999999</v>
          </cell>
          <cell r="G13">
            <v>0.96339999999999992</v>
          </cell>
        </row>
        <row r="14">
          <cell r="A14" t="str">
            <v>95-010 F</v>
          </cell>
          <cell r="B14">
            <v>35125</v>
          </cell>
          <cell r="C14">
            <v>1.0442</v>
          </cell>
          <cell r="D14">
            <v>0</v>
          </cell>
          <cell r="E14">
            <v>6.3200000000000006E-2</v>
          </cell>
          <cell r="F14">
            <v>-6.3E-2</v>
          </cell>
          <cell r="G14">
            <v>1.0444</v>
          </cell>
        </row>
        <row r="15">
          <cell r="A15" t="str">
            <v>95-010 G</v>
          </cell>
          <cell r="B15">
            <v>35156</v>
          </cell>
          <cell r="C15">
            <v>1.0227999999999999</v>
          </cell>
          <cell r="D15">
            <v>0</v>
          </cell>
          <cell r="E15">
            <v>6.6400000000000001E-2</v>
          </cell>
          <cell r="F15">
            <v>-3.09E-2</v>
          </cell>
          <cell r="G15">
            <v>1.0583</v>
          </cell>
        </row>
        <row r="16">
          <cell r="A16" t="str">
            <v>95-010 H</v>
          </cell>
          <cell r="B16">
            <v>35186</v>
          </cell>
          <cell r="C16">
            <v>0.9073</v>
          </cell>
          <cell r="D16">
            <v>0</v>
          </cell>
          <cell r="E16">
            <v>6.6400000000000001E-2</v>
          </cell>
          <cell r="F16">
            <v>-3.09E-2</v>
          </cell>
          <cell r="G16">
            <v>0.94279999999999997</v>
          </cell>
        </row>
        <row r="17">
          <cell r="A17" t="str">
            <v>95-010 I</v>
          </cell>
          <cell r="B17">
            <v>35217</v>
          </cell>
          <cell r="C17">
            <v>0.86250000000000004</v>
          </cell>
          <cell r="D17">
            <v>0</v>
          </cell>
          <cell r="E17">
            <v>4.2099999999999999E-2</v>
          </cell>
          <cell r="F17">
            <v>-9.5899999999999999E-2</v>
          </cell>
          <cell r="G17">
            <v>0.80870000000000009</v>
          </cell>
        </row>
        <row r="18">
          <cell r="A18" t="str">
            <v>95-010 J</v>
          </cell>
          <cell r="B18">
            <v>35247</v>
          </cell>
          <cell r="C18">
            <v>0.85740000000000005</v>
          </cell>
          <cell r="D18">
            <v>0</v>
          </cell>
          <cell r="E18">
            <v>4.3499999999999997E-2</v>
          </cell>
          <cell r="F18">
            <v>-9.8199999999999996E-2</v>
          </cell>
          <cell r="G18">
            <v>0.80270000000000008</v>
          </cell>
        </row>
        <row r="19">
          <cell r="A19" t="str">
            <v>95-010 K</v>
          </cell>
          <cell r="B19">
            <v>35278</v>
          </cell>
          <cell r="C19">
            <v>0.85519999999999996</v>
          </cell>
          <cell r="D19">
            <v>0</v>
          </cell>
          <cell r="E19">
            <v>4.3499999999999997E-2</v>
          </cell>
          <cell r="F19">
            <v>-9.8199999999999996E-2</v>
          </cell>
          <cell r="G19">
            <v>0.80049999999999999</v>
          </cell>
        </row>
        <row r="20">
          <cell r="A20" t="str">
            <v>95-010 L</v>
          </cell>
          <cell r="B20">
            <v>35309</v>
          </cell>
          <cell r="C20">
            <v>0.88370000000000004</v>
          </cell>
          <cell r="D20">
            <v>0</v>
          </cell>
          <cell r="E20">
            <v>4.7500000000000001E-2</v>
          </cell>
          <cell r="F20">
            <v>-6.8000000000000005E-2</v>
          </cell>
          <cell r="G20">
            <v>0.86319999999999997</v>
          </cell>
        </row>
        <row r="21">
          <cell r="A21" t="str">
            <v>95-010 M</v>
          </cell>
          <cell r="B21">
            <v>35339</v>
          </cell>
          <cell r="C21">
            <v>0.87540000000000007</v>
          </cell>
          <cell r="D21">
            <v>0</v>
          </cell>
          <cell r="E21">
            <v>4.99E-2</v>
          </cell>
          <cell r="F21">
            <v>-6.8000000000000005E-2</v>
          </cell>
          <cell r="G21">
            <v>0.85729999999999995</v>
          </cell>
        </row>
        <row r="22">
          <cell r="A22" t="str">
            <v>95-010 N</v>
          </cell>
          <cell r="B22">
            <v>35370</v>
          </cell>
          <cell r="C22">
            <v>0.83779999999999999</v>
          </cell>
          <cell r="D22">
            <v>0</v>
          </cell>
          <cell r="E22">
            <v>4.9799999999999997E-2</v>
          </cell>
          <cell r="F22">
            <v>-6.8000000000000005E-2</v>
          </cell>
          <cell r="G22">
            <v>0.8196</v>
          </cell>
        </row>
        <row r="23">
          <cell r="A23" t="str">
            <v>95-010 O</v>
          </cell>
          <cell r="B23">
            <v>35400</v>
          </cell>
          <cell r="C23">
            <v>0.81059999999999999</v>
          </cell>
          <cell r="D23">
            <v>0</v>
          </cell>
          <cell r="E23">
            <v>4.9799999999999997E-2</v>
          </cell>
          <cell r="F23">
            <v>-6.7299999999999999E-2</v>
          </cell>
          <cell r="G23">
            <v>0.79309999999999992</v>
          </cell>
        </row>
        <row r="24">
          <cell r="A24" t="str">
            <v>95-010 P</v>
          </cell>
          <cell r="B24">
            <v>35431</v>
          </cell>
          <cell r="C24">
            <v>0.81059999999999999</v>
          </cell>
          <cell r="D24">
            <v>0</v>
          </cell>
          <cell r="E24">
            <v>6.1899999999999997E-2</v>
          </cell>
          <cell r="F24">
            <v>-6.7299999999999999E-2</v>
          </cell>
          <cell r="G24">
            <v>0.80519999999999992</v>
          </cell>
        </row>
        <row r="25">
          <cell r="A25" t="str">
            <v>95-010 Q</v>
          </cell>
          <cell r="B25">
            <v>35462</v>
          </cell>
          <cell r="C25">
            <v>0.81059999999999999</v>
          </cell>
          <cell r="D25">
            <v>0</v>
          </cell>
          <cell r="E25">
            <v>6.1800000000000001E-2</v>
          </cell>
          <cell r="F25">
            <v>-6.7299999999999999E-2</v>
          </cell>
          <cell r="G25">
            <v>0.80510000000000004</v>
          </cell>
        </row>
        <row r="26">
          <cell r="A26" t="str">
            <v>95-010 R</v>
          </cell>
          <cell r="B26">
            <v>35490</v>
          </cell>
          <cell r="C26">
            <v>0.81090000000000007</v>
          </cell>
          <cell r="D26">
            <v>0</v>
          </cell>
          <cell r="E26">
            <v>6.1800000000000001E-2</v>
          </cell>
          <cell r="F26">
            <v>-6.7299999999999999E-2</v>
          </cell>
          <cell r="G26">
            <v>0.8054</v>
          </cell>
        </row>
        <row r="27">
          <cell r="A27" t="str">
            <v>95-010 S</v>
          </cell>
          <cell r="B27">
            <v>35521</v>
          </cell>
          <cell r="C27">
            <v>0.79519999999999991</v>
          </cell>
          <cell r="D27">
            <v>0</v>
          </cell>
          <cell r="E27">
            <v>6.1800000000000001E-2</v>
          </cell>
          <cell r="F27">
            <v>-6.7299999999999999E-2</v>
          </cell>
          <cell r="G27">
            <v>0.78969999999999985</v>
          </cell>
        </row>
        <row r="28">
          <cell r="A28" t="str">
            <v>95-010 T</v>
          </cell>
          <cell r="B28">
            <v>35551</v>
          </cell>
          <cell r="C28">
            <v>0.79519999999999991</v>
          </cell>
          <cell r="D28">
            <v>0</v>
          </cell>
          <cell r="E28">
            <v>6.1800000000000001E-2</v>
          </cell>
          <cell r="F28">
            <v>-6.7299999999999999E-2</v>
          </cell>
          <cell r="G28">
            <v>0.78969999999999996</v>
          </cell>
        </row>
        <row r="29">
          <cell r="A29" t="str">
            <v>95-010 U</v>
          </cell>
          <cell r="B29">
            <v>35582</v>
          </cell>
          <cell r="C29">
            <v>0.84510000000000007</v>
          </cell>
          <cell r="D29">
            <v>0</v>
          </cell>
          <cell r="E29">
            <v>5.2900000000000003E-2</v>
          </cell>
          <cell r="F29">
            <v>-2.3E-3</v>
          </cell>
          <cell r="G29">
            <v>0.89570000000000016</v>
          </cell>
        </row>
        <row r="30">
          <cell r="A30" t="str">
            <v>95-010 V</v>
          </cell>
          <cell r="B30">
            <v>35612</v>
          </cell>
          <cell r="C30">
            <v>0.84510000000000007</v>
          </cell>
          <cell r="D30">
            <v>0</v>
          </cell>
          <cell r="E30">
            <v>5.2900000000000003E-2</v>
          </cell>
          <cell r="F30">
            <v>-4.8800000000000003E-2</v>
          </cell>
          <cell r="G30">
            <v>0.84920000000000018</v>
          </cell>
        </row>
        <row r="31">
          <cell r="A31" t="str">
            <v>95-010 W</v>
          </cell>
          <cell r="B31">
            <v>35643</v>
          </cell>
          <cell r="C31">
            <v>0.98599999999999999</v>
          </cell>
          <cell r="D31">
            <v>0</v>
          </cell>
          <cell r="E31">
            <v>5.1999999999999998E-2</v>
          </cell>
          <cell r="F31">
            <v>-4.8800000000000003E-2</v>
          </cell>
          <cell r="G31">
            <v>0.98920000000000008</v>
          </cell>
        </row>
        <row r="32">
          <cell r="A32" t="str">
            <v>95-010 X</v>
          </cell>
          <cell r="B32">
            <v>35674</v>
          </cell>
          <cell r="C32">
            <v>0.83379999999999999</v>
          </cell>
          <cell r="D32">
            <v>0</v>
          </cell>
          <cell r="E32">
            <v>5.1999999999999998E-2</v>
          </cell>
          <cell r="F32">
            <v>-4.8800000000000003E-2</v>
          </cell>
          <cell r="G32">
            <v>0.83700000000000008</v>
          </cell>
        </row>
        <row r="33">
          <cell r="A33" t="str">
            <v>95-010 Y</v>
          </cell>
          <cell r="B33">
            <v>35704</v>
          </cell>
          <cell r="C33">
            <v>0.84150000000000003</v>
          </cell>
          <cell r="D33">
            <v>0</v>
          </cell>
          <cell r="E33">
            <v>5.9200000000000003E-2</v>
          </cell>
          <cell r="F33">
            <v>-4.8800000000000003E-2</v>
          </cell>
          <cell r="G33">
            <v>0.8519000000000001</v>
          </cell>
        </row>
        <row r="34">
          <cell r="A34" t="str">
            <v>95-010 Z</v>
          </cell>
          <cell r="B34">
            <v>35735</v>
          </cell>
          <cell r="C34">
            <v>0.84150000000000003</v>
          </cell>
          <cell r="D34">
            <v>0</v>
          </cell>
          <cell r="E34">
            <v>5.9200000000000003E-2</v>
          </cell>
          <cell r="F34">
            <v>-4.8800000000000003E-2</v>
          </cell>
          <cell r="G34">
            <v>0.8519000000000001</v>
          </cell>
        </row>
        <row r="35">
          <cell r="A35" t="str">
            <v>95-010 AA</v>
          </cell>
          <cell r="B35">
            <v>35765</v>
          </cell>
          <cell r="C35">
            <v>0.99509999999999998</v>
          </cell>
          <cell r="D35">
            <v>0</v>
          </cell>
          <cell r="E35">
            <v>5.9200000000000003E-2</v>
          </cell>
          <cell r="F35">
            <v>-4.8800000000000003E-2</v>
          </cell>
          <cell r="G35">
            <v>1.0055000000000001</v>
          </cell>
        </row>
        <row r="36">
          <cell r="A36" t="str">
            <v>95-010 BB</v>
          </cell>
          <cell r="B36">
            <v>35796</v>
          </cell>
          <cell r="C36">
            <v>0.99509999999999998</v>
          </cell>
          <cell r="D36">
            <v>0</v>
          </cell>
          <cell r="E36">
            <v>5.9200000000000003E-2</v>
          </cell>
          <cell r="F36">
            <v>-4.8800000000000003E-2</v>
          </cell>
          <cell r="G36">
            <v>1.0055000000000001</v>
          </cell>
        </row>
        <row r="37">
          <cell r="A37" t="str">
            <v>95-010 CC</v>
          </cell>
          <cell r="B37">
            <v>35827</v>
          </cell>
          <cell r="C37">
            <v>0.99509999999999998</v>
          </cell>
          <cell r="D37">
            <v>0</v>
          </cell>
          <cell r="E37">
            <v>5.9200000000000003E-2</v>
          </cell>
          <cell r="F37">
            <v>-4.8800000000000003E-2</v>
          </cell>
          <cell r="G37">
            <v>1.0055000000000001</v>
          </cell>
        </row>
        <row r="38">
          <cell r="A38" t="str">
            <v>95-010 DD</v>
          </cell>
          <cell r="B38">
            <v>35855</v>
          </cell>
          <cell r="C38">
            <v>0.87449999999999994</v>
          </cell>
          <cell r="D38">
            <v>0</v>
          </cell>
          <cell r="E38">
            <v>3.09E-2</v>
          </cell>
          <cell r="F38">
            <v>-4.8800000000000003E-2</v>
          </cell>
          <cell r="G38">
            <v>0.85660000000000003</v>
          </cell>
        </row>
        <row r="39">
          <cell r="A39" t="str">
            <v>95-010 EE</v>
          </cell>
          <cell r="B39">
            <v>35886</v>
          </cell>
          <cell r="C39">
            <v>0.82040000000000002</v>
          </cell>
          <cell r="D39">
            <v>0</v>
          </cell>
          <cell r="E39">
            <v>1.8599999999999998E-2</v>
          </cell>
          <cell r="F39">
            <v>-4.8800000000000003E-2</v>
          </cell>
          <cell r="G39">
            <v>0.79020000000000001</v>
          </cell>
        </row>
        <row r="40">
          <cell r="A40" t="str">
            <v>95-010 FF</v>
          </cell>
          <cell r="B40">
            <v>35916</v>
          </cell>
          <cell r="C40">
            <v>0.82040000000000002</v>
          </cell>
          <cell r="D40">
            <v>0</v>
          </cell>
          <cell r="E40">
            <v>1.8599999999999998E-2</v>
          </cell>
          <cell r="F40">
            <v>-4.8800000000000003E-2</v>
          </cell>
          <cell r="G40">
            <v>0.79020000000000001</v>
          </cell>
        </row>
        <row r="41">
          <cell r="A41" t="str">
            <v>95-010 GG</v>
          </cell>
          <cell r="B41">
            <v>35947</v>
          </cell>
          <cell r="C41">
            <v>0.82040000000000002</v>
          </cell>
          <cell r="D41">
            <v>0</v>
          </cell>
          <cell r="E41">
            <v>1.8599999999999998E-2</v>
          </cell>
          <cell r="F41">
            <v>0</v>
          </cell>
          <cell r="G41">
            <v>0.83899999999999997</v>
          </cell>
        </row>
        <row r="42">
          <cell r="A42" t="str">
            <v>95-010 HH</v>
          </cell>
          <cell r="B42">
            <v>35977</v>
          </cell>
          <cell r="C42">
            <v>0.82040000000000002</v>
          </cell>
          <cell r="D42">
            <v>0</v>
          </cell>
          <cell r="E42">
            <v>1.8599999999999998E-2</v>
          </cell>
          <cell r="F42">
            <v>-2.9999999999999996E-3</v>
          </cell>
          <cell r="G42">
            <v>0.83599999999999997</v>
          </cell>
        </row>
        <row r="43">
          <cell r="A43" t="str">
            <v>95-010 II</v>
          </cell>
          <cell r="B43">
            <v>36008</v>
          </cell>
          <cell r="C43">
            <v>0.82040000000000002</v>
          </cell>
          <cell r="D43">
            <v>0</v>
          </cell>
          <cell r="E43">
            <v>1.8599999999999998E-2</v>
          </cell>
          <cell r="F43">
            <v>-2.9999999999999996E-3</v>
          </cell>
          <cell r="G43">
            <v>0.83599999999999997</v>
          </cell>
        </row>
        <row r="44">
          <cell r="A44" t="str">
            <v>95-010 JJ</v>
          </cell>
          <cell r="B44">
            <v>36039</v>
          </cell>
          <cell r="C44">
            <v>0.82040000000000002</v>
          </cell>
          <cell r="D44">
            <v>0</v>
          </cell>
          <cell r="E44">
            <v>1.8599999999999998E-2</v>
          </cell>
          <cell r="F44">
            <v>-2.9999999999999996E-3</v>
          </cell>
          <cell r="G44">
            <v>0.83599999999999997</v>
          </cell>
        </row>
        <row r="45">
          <cell r="A45" t="str">
            <v>95-010 KK</v>
          </cell>
          <cell r="B45">
            <v>36069</v>
          </cell>
          <cell r="C45">
            <v>0.82040000000000002</v>
          </cell>
          <cell r="D45">
            <v>0</v>
          </cell>
          <cell r="E45">
            <v>1.8599999999999998E-2</v>
          </cell>
          <cell r="F45">
            <v>-2.9999999999999996E-3</v>
          </cell>
          <cell r="G45">
            <v>0.83599999999999997</v>
          </cell>
        </row>
        <row r="46">
          <cell r="A46" t="str">
            <v>95-010 LL</v>
          </cell>
          <cell r="B46">
            <v>36100</v>
          </cell>
          <cell r="C46">
            <v>0.75429999999999997</v>
          </cell>
          <cell r="D46">
            <v>0</v>
          </cell>
          <cell r="E46">
            <v>1.8599999999999998E-2</v>
          </cell>
          <cell r="F46">
            <v>-2.9999999999999996E-3</v>
          </cell>
          <cell r="G46">
            <v>0.76989999999999992</v>
          </cell>
        </row>
        <row r="47">
          <cell r="A47" t="str">
            <v>95-010 MM</v>
          </cell>
          <cell r="B47">
            <v>36130</v>
          </cell>
          <cell r="C47">
            <v>0.75429999999999997</v>
          </cell>
          <cell r="D47">
            <v>0</v>
          </cell>
          <cell r="E47">
            <v>1.8599999999999998E-2</v>
          </cell>
          <cell r="F47">
            <v>-2.9999999999999996E-3</v>
          </cell>
          <cell r="G47">
            <v>0.76989999999999992</v>
          </cell>
        </row>
        <row r="48">
          <cell r="A48" t="str">
            <v>95-010 NN</v>
          </cell>
          <cell r="B48">
            <v>36161</v>
          </cell>
          <cell r="C48">
            <v>0.75429999999999997</v>
          </cell>
          <cell r="D48">
            <v>0</v>
          </cell>
          <cell r="E48">
            <v>1.8599999999999998E-2</v>
          </cell>
          <cell r="F48">
            <v>-2.9999999999999996E-3</v>
          </cell>
          <cell r="G48">
            <v>0.76989999999999992</v>
          </cell>
        </row>
        <row r="49">
          <cell r="A49" t="str">
            <v>95-010 OO</v>
          </cell>
          <cell r="B49">
            <v>36192</v>
          </cell>
          <cell r="C49">
            <v>0.75429999999999997</v>
          </cell>
          <cell r="D49">
            <v>0</v>
          </cell>
          <cell r="E49">
            <v>1.8599999999999998E-2</v>
          </cell>
          <cell r="F49">
            <v>-2.9999999999999996E-3</v>
          </cell>
          <cell r="G49">
            <v>0.76989999999999992</v>
          </cell>
        </row>
        <row r="50">
          <cell r="A50" t="str">
            <v>95-010 PP</v>
          </cell>
          <cell r="B50">
            <v>36220</v>
          </cell>
          <cell r="C50">
            <v>0.75429999999999997</v>
          </cell>
          <cell r="D50">
            <v>0</v>
          </cell>
          <cell r="E50">
            <v>1.8599999999999998E-2</v>
          </cell>
          <cell r="F50">
            <v>-2.9999999999999996E-3</v>
          </cell>
          <cell r="G50">
            <v>0.76989999999999992</v>
          </cell>
        </row>
        <row r="51">
          <cell r="A51" t="str">
            <v>95-010 QQ</v>
          </cell>
          <cell r="B51">
            <v>36251</v>
          </cell>
          <cell r="C51">
            <v>0.75429999999999997</v>
          </cell>
          <cell r="D51">
            <v>0</v>
          </cell>
          <cell r="E51">
            <v>1.8599999999999998E-2</v>
          </cell>
          <cell r="F51">
            <v>-4.4200000000000003E-2</v>
          </cell>
          <cell r="G51">
            <v>0.7286999999999999</v>
          </cell>
        </row>
        <row r="52">
          <cell r="A52" t="str">
            <v>95-010 RR</v>
          </cell>
          <cell r="B52">
            <v>36281</v>
          </cell>
          <cell r="C52">
            <v>0.75429999999999997</v>
          </cell>
          <cell r="D52">
            <v>0</v>
          </cell>
          <cell r="E52">
            <v>1.8599999999999998E-2</v>
          </cell>
          <cell r="F52">
            <v>-4.4200000000000003E-2</v>
          </cell>
          <cell r="G52">
            <v>0.7286999999999999</v>
          </cell>
        </row>
        <row r="53">
          <cell r="A53" t="str">
            <v>95-010 SS</v>
          </cell>
          <cell r="B53">
            <v>36312</v>
          </cell>
          <cell r="C53">
            <v>0.75429999999999997</v>
          </cell>
          <cell r="D53">
            <v>0</v>
          </cell>
          <cell r="E53">
            <v>1.8599999999999998E-2</v>
          </cell>
          <cell r="F53">
            <v>-4.4200000000000003E-2</v>
          </cell>
          <cell r="G53">
            <v>0.7286999999999999</v>
          </cell>
        </row>
        <row r="54">
          <cell r="A54" t="str">
            <v>95-010 TT</v>
          </cell>
          <cell r="B54">
            <v>36342</v>
          </cell>
          <cell r="C54">
            <v>0.75429999999999997</v>
          </cell>
          <cell r="D54">
            <v>0</v>
          </cell>
          <cell r="E54">
            <v>1.8599999999999998E-2</v>
          </cell>
          <cell r="F54">
            <v>-4.1200000000000001E-2</v>
          </cell>
          <cell r="G54">
            <v>0.73169999999999991</v>
          </cell>
        </row>
        <row r="55">
          <cell r="A55" t="str">
            <v>95-010 UU</v>
          </cell>
          <cell r="B55">
            <v>36373</v>
          </cell>
          <cell r="C55">
            <v>0.75429999999999997</v>
          </cell>
          <cell r="D55">
            <v>0</v>
          </cell>
          <cell r="E55">
            <v>1.8599999999999998E-2</v>
          </cell>
          <cell r="F55">
            <v>-4.1200000000000001E-2</v>
          </cell>
          <cell r="G55">
            <v>0.73169999999999991</v>
          </cell>
        </row>
        <row r="56">
          <cell r="A56" t="str">
            <v>95-010 VV</v>
          </cell>
          <cell r="B56">
            <v>36404</v>
          </cell>
          <cell r="C56">
            <v>0.75429999999999997</v>
          </cell>
          <cell r="D56">
            <v>0</v>
          </cell>
          <cell r="E56">
            <v>1.8599999999999998E-2</v>
          </cell>
          <cell r="F56">
            <v>-4.1200000000000001E-2</v>
          </cell>
          <cell r="G56">
            <v>0.73169999999999991</v>
          </cell>
        </row>
        <row r="57">
          <cell r="A57" t="str">
            <v>95-010 WW</v>
          </cell>
          <cell r="B57">
            <v>36434</v>
          </cell>
          <cell r="C57">
            <v>0.75429999999999997</v>
          </cell>
          <cell r="D57">
            <v>0</v>
          </cell>
          <cell r="E57">
            <v>1.8599999999999998E-2</v>
          </cell>
          <cell r="F57">
            <v>-4.1200000000000001E-2</v>
          </cell>
          <cell r="G57">
            <v>0.73169999999999991</v>
          </cell>
        </row>
        <row r="58">
          <cell r="A58" t="str">
            <v>95-010 XX</v>
          </cell>
          <cell r="B58">
            <v>36465</v>
          </cell>
          <cell r="C58">
            <v>0.76140000000000008</v>
          </cell>
          <cell r="D58">
            <v>0</v>
          </cell>
          <cell r="E58">
            <v>3.0000000000000001E-3</v>
          </cell>
          <cell r="F58">
            <v>-4.1200000000000001E-2</v>
          </cell>
          <cell r="G58">
            <v>0.72320000000000007</v>
          </cell>
        </row>
        <row r="59">
          <cell r="A59" t="str">
            <v>95-010 YY</v>
          </cell>
          <cell r="B59">
            <v>36495</v>
          </cell>
          <cell r="C59">
            <v>0.75679999999999992</v>
          </cell>
          <cell r="D59">
            <v>0</v>
          </cell>
          <cell r="E59">
            <v>3.0000000000000001E-3</v>
          </cell>
          <cell r="F59">
            <v>-4.1200000000000001E-2</v>
          </cell>
          <cell r="G59">
            <v>0.71859999999999991</v>
          </cell>
        </row>
        <row r="60">
          <cell r="A60" t="str">
            <v>99-070</v>
          </cell>
          <cell r="B60">
            <v>36526</v>
          </cell>
          <cell r="C60">
            <v>0.75679999999999992</v>
          </cell>
          <cell r="D60">
            <v>0</v>
          </cell>
          <cell r="E60">
            <v>3.0000000000000001E-3</v>
          </cell>
          <cell r="F60">
            <v>-4.1200000000000001E-2</v>
          </cell>
          <cell r="G60">
            <v>0.71859999999999991</v>
          </cell>
        </row>
        <row r="61">
          <cell r="A61" t="str">
            <v>99-070 A</v>
          </cell>
          <cell r="B61">
            <v>36557</v>
          </cell>
          <cell r="C61">
            <v>0.76029999999999998</v>
          </cell>
          <cell r="D61">
            <v>0</v>
          </cell>
          <cell r="E61">
            <v>3.0000000000000001E-3</v>
          </cell>
          <cell r="F61">
            <v>-4.1200000000000001E-2</v>
          </cell>
          <cell r="G61">
            <v>0.72209999999999996</v>
          </cell>
        </row>
        <row r="62">
          <cell r="A62" t="str">
            <v>1999-070 B</v>
          </cell>
          <cell r="B62">
            <v>36617</v>
          </cell>
          <cell r="C62">
            <v>0.76029999999999998</v>
          </cell>
          <cell r="D62">
            <v>0</v>
          </cell>
          <cell r="E62">
            <v>3.0000000000000001E-3</v>
          </cell>
          <cell r="F62">
            <v>0</v>
          </cell>
          <cell r="G62">
            <v>0.76329999999999998</v>
          </cell>
        </row>
        <row r="63">
          <cell r="A63" t="str">
            <v>1999-070 C</v>
          </cell>
          <cell r="B63">
            <v>36647</v>
          </cell>
          <cell r="C63">
            <v>0.76029999999999998</v>
          </cell>
          <cell r="D63">
            <v>0</v>
          </cell>
          <cell r="E63">
            <v>3.0000000000000001E-3</v>
          </cell>
          <cell r="F63">
            <v>0</v>
          </cell>
          <cell r="G63">
            <v>0.76329999999999998</v>
          </cell>
        </row>
        <row r="64">
          <cell r="A64" t="str">
            <v>1999-070 D</v>
          </cell>
          <cell r="B64">
            <v>36708</v>
          </cell>
          <cell r="C64">
            <v>0.76029999999999998</v>
          </cell>
          <cell r="D64">
            <v>0</v>
          </cell>
          <cell r="E64">
            <v>3.0000000000000001E-3</v>
          </cell>
          <cell r="F64">
            <v>0</v>
          </cell>
          <cell r="G64">
            <v>0.76329999999999998</v>
          </cell>
        </row>
        <row r="65">
          <cell r="A65" t="str">
            <v>1999-070 E</v>
          </cell>
          <cell r="B65">
            <v>36739</v>
          </cell>
          <cell r="C65">
            <v>0.76029999999999998</v>
          </cell>
          <cell r="D65">
            <v>0</v>
          </cell>
          <cell r="E65">
            <v>3.0000000000000001E-3</v>
          </cell>
          <cell r="F65">
            <v>0</v>
          </cell>
          <cell r="G65">
            <v>0.76329999999999998</v>
          </cell>
        </row>
        <row r="66">
          <cell r="A66" t="str">
            <v>1999-070 F</v>
          </cell>
          <cell r="B66">
            <v>36800</v>
          </cell>
          <cell r="C66">
            <v>0.76029999999999998</v>
          </cell>
          <cell r="D66">
            <v>0</v>
          </cell>
          <cell r="E66">
            <v>3.0000000000000001E-3</v>
          </cell>
          <cell r="F66">
            <v>0</v>
          </cell>
          <cell r="G66">
            <v>0.76329999999999998</v>
          </cell>
        </row>
        <row r="67">
          <cell r="A67" t="str">
            <v>1999-070 G</v>
          </cell>
          <cell r="B67">
            <v>36831</v>
          </cell>
          <cell r="C67">
            <v>0.9506</v>
          </cell>
          <cell r="D67">
            <v>0</v>
          </cell>
          <cell r="E67">
            <v>0</v>
          </cell>
          <cell r="F67">
            <v>0</v>
          </cell>
          <cell r="G67">
            <v>0.9506</v>
          </cell>
        </row>
        <row r="68">
          <cell r="A68" t="str">
            <v>1999-070 H</v>
          </cell>
          <cell r="B68">
            <v>36923</v>
          </cell>
          <cell r="C68">
            <v>1.2250000000000001</v>
          </cell>
          <cell r="D68">
            <v>0</v>
          </cell>
          <cell r="E68">
            <v>0</v>
          </cell>
          <cell r="F68">
            <v>0</v>
          </cell>
          <cell r="G68">
            <v>1.2250000000000001</v>
          </cell>
        </row>
        <row r="69">
          <cell r="A69" t="str">
            <v>1999-070 I</v>
          </cell>
          <cell r="B69">
            <v>36951</v>
          </cell>
          <cell r="C69">
            <v>1.2250000000000001</v>
          </cell>
          <cell r="D69">
            <v>0</v>
          </cell>
          <cell r="E69">
            <v>0</v>
          </cell>
          <cell r="F69">
            <v>0</v>
          </cell>
          <cell r="G69">
            <v>1.2250000000000001</v>
          </cell>
        </row>
        <row r="70">
          <cell r="A70" t="str">
            <v>1999-070 J</v>
          </cell>
          <cell r="B70">
            <v>36982</v>
          </cell>
          <cell r="C70">
            <v>1.2250000000000001</v>
          </cell>
          <cell r="D70">
            <v>0</v>
          </cell>
          <cell r="E70">
            <v>0</v>
          </cell>
          <cell r="F70">
            <v>0</v>
          </cell>
          <cell r="G70">
            <v>1.2250000000000001</v>
          </cell>
        </row>
        <row r="71">
          <cell r="A71" t="str">
            <v>1999-070 K</v>
          </cell>
          <cell r="B71">
            <v>37012</v>
          </cell>
          <cell r="C71">
            <v>1.0611999999999999</v>
          </cell>
          <cell r="D71">
            <v>0</v>
          </cell>
          <cell r="E71">
            <v>0</v>
          </cell>
          <cell r="F71">
            <v>0</v>
          </cell>
          <cell r="G71">
            <v>1.0611999999999999</v>
          </cell>
        </row>
        <row r="72">
          <cell r="A72" t="str">
            <v>1999-070 L</v>
          </cell>
          <cell r="B72">
            <v>37043</v>
          </cell>
          <cell r="C72">
            <v>1.0611999999999999</v>
          </cell>
          <cell r="D72">
            <v>0</v>
          </cell>
          <cell r="E72">
            <v>0</v>
          </cell>
          <cell r="F72">
            <v>0</v>
          </cell>
          <cell r="G72">
            <v>1.0611999999999999</v>
          </cell>
        </row>
        <row r="73">
          <cell r="A73" t="str">
            <v>1999-070 M</v>
          </cell>
          <cell r="B73">
            <v>37073</v>
          </cell>
          <cell r="C73">
            <v>1.0611999999999999</v>
          </cell>
          <cell r="D73">
            <v>0</v>
          </cell>
          <cell r="E73">
            <v>0</v>
          </cell>
          <cell r="F73">
            <v>0</v>
          </cell>
          <cell r="G73">
            <v>1.0611999999999999</v>
          </cell>
        </row>
        <row r="74">
          <cell r="A74" t="str">
            <v>1999-070 N</v>
          </cell>
          <cell r="B74">
            <v>37104</v>
          </cell>
          <cell r="C74">
            <v>1.0611999999999999</v>
          </cell>
          <cell r="D74">
            <v>0</v>
          </cell>
          <cell r="E74">
            <v>0</v>
          </cell>
          <cell r="F74">
            <v>0</v>
          </cell>
          <cell r="G74">
            <v>1.0611999999999999</v>
          </cell>
        </row>
        <row r="75">
          <cell r="A75" t="str">
            <v>1999-070 O</v>
          </cell>
          <cell r="B75">
            <v>37196</v>
          </cell>
          <cell r="C75">
            <v>1.0611999999999999</v>
          </cell>
          <cell r="D75">
            <v>0</v>
          </cell>
          <cell r="E75">
            <v>0</v>
          </cell>
          <cell r="F75">
            <v>0</v>
          </cell>
          <cell r="G75">
            <v>1.0611999999999999</v>
          </cell>
        </row>
        <row r="76">
          <cell r="A76" t="str">
            <v>1999-070 P</v>
          </cell>
          <cell r="B76">
            <v>37288</v>
          </cell>
          <cell r="C76">
            <v>1.0611999999999999</v>
          </cell>
          <cell r="D76">
            <v>0</v>
          </cell>
          <cell r="E76">
            <v>0</v>
          </cell>
          <cell r="F76">
            <v>0</v>
          </cell>
          <cell r="G76">
            <v>1.0611999999999999</v>
          </cell>
        </row>
        <row r="77">
          <cell r="A77" t="str">
            <v>2002-00113</v>
          </cell>
          <cell r="B77">
            <v>37377</v>
          </cell>
          <cell r="C77">
            <v>1.0611999999999999</v>
          </cell>
          <cell r="D77">
            <v>0</v>
          </cell>
          <cell r="E77">
            <v>0</v>
          </cell>
          <cell r="F77">
            <v>0</v>
          </cell>
          <cell r="G77">
            <v>1.0611999999999999</v>
          </cell>
        </row>
        <row r="78">
          <cell r="A78" t="str">
            <v>2002-00251</v>
          </cell>
          <cell r="B78">
            <v>37469</v>
          </cell>
          <cell r="C78">
            <v>1.0611999999999999</v>
          </cell>
          <cell r="D78">
            <v>0</v>
          </cell>
          <cell r="E78">
            <v>0</v>
          </cell>
          <cell r="F78">
            <v>-9.4000000000000004E-3</v>
          </cell>
          <cell r="G78">
            <v>1.0518000000000001</v>
          </cell>
        </row>
        <row r="79">
          <cell r="A79" t="str">
            <v>2002-00359</v>
          </cell>
          <cell r="B79">
            <v>37561</v>
          </cell>
          <cell r="C79">
            <v>0.96189999999999998</v>
          </cell>
          <cell r="D79">
            <v>0</v>
          </cell>
          <cell r="E79">
            <v>0</v>
          </cell>
          <cell r="F79">
            <v>-0.157</v>
          </cell>
          <cell r="G79">
            <v>0.80489999999999995</v>
          </cell>
        </row>
        <row r="80">
          <cell r="A80" t="str">
            <v>2003-00002</v>
          </cell>
          <cell r="B80">
            <v>37653</v>
          </cell>
          <cell r="C80">
            <v>1.0845</v>
          </cell>
          <cell r="D80">
            <v>0</v>
          </cell>
          <cell r="E80">
            <v>0</v>
          </cell>
          <cell r="F80">
            <v>-0.157</v>
          </cell>
          <cell r="G80">
            <v>0.92749999999999999</v>
          </cell>
        </row>
        <row r="81">
          <cell r="A81" t="str">
            <v>2003-00083</v>
          </cell>
          <cell r="B81">
            <v>37713</v>
          </cell>
          <cell r="C81">
            <v>1.0845</v>
          </cell>
          <cell r="D81">
            <v>0</v>
          </cell>
          <cell r="E81">
            <v>0</v>
          </cell>
          <cell r="F81">
            <v>-0.157</v>
          </cell>
          <cell r="G81">
            <v>0.92749999999999999</v>
          </cell>
        </row>
        <row r="82">
          <cell r="A82" t="str">
            <v>2003-00126</v>
          </cell>
          <cell r="B82">
            <v>37742</v>
          </cell>
          <cell r="C82">
            <v>1.0845</v>
          </cell>
          <cell r="D82">
            <v>0</v>
          </cell>
          <cell r="E82">
            <v>0</v>
          </cell>
          <cell r="F82">
            <v>-0.157</v>
          </cell>
          <cell r="G82">
            <v>0.92749999999999999</v>
          </cell>
        </row>
        <row r="83">
          <cell r="A83" t="str">
            <v>2003-00258</v>
          </cell>
          <cell r="B83">
            <v>37834</v>
          </cell>
          <cell r="C83">
            <v>1.0658000000000001</v>
          </cell>
          <cell r="D83">
            <v>0</v>
          </cell>
          <cell r="E83">
            <v>0</v>
          </cell>
          <cell r="F83">
            <v>-0.14760000000000001</v>
          </cell>
          <cell r="G83">
            <v>0.91820000000000013</v>
          </cell>
        </row>
        <row r="84">
          <cell r="A84" t="str">
            <v>2003-00377</v>
          </cell>
          <cell r="B84">
            <v>37926</v>
          </cell>
          <cell r="C84">
            <v>1.0759000000000001</v>
          </cell>
          <cell r="D84">
            <v>0</v>
          </cell>
          <cell r="E84">
            <v>0</v>
          </cell>
          <cell r="F84">
            <v>-0.14760000000000001</v>
          </cell>
          <cell r="G84">
            <v>0.92830000000000001</v>
          </cell>
        </row>
        <row r="85">
          <cell r="A85" t="str">
            <v>2003-00504</v>
          </cell>
          <cell r="B85">
            <v>38018</v>
          </cell>
          <cell r="C85">
            <v>1.0759000000000001</v>
          </cell>
          <cell r="D85">
            <v>0</v>
          </cell>
          <cell r="E85">
            <v>0</v>
          </cell>
          <cell r="F85">
            <v>0</v>
          </cell>
          <cell r="G85">
            <v>1.0759000000000001</v>
          </cell>
        </row>
        <row r="86">
          <cell r="A86" t="str">
            <v>2004-00122</v>
          </cell>
          <cell r="B86">
            <v>38108</v>
          </cell>
          <cell r="C86">
            <v>1.0759000000000001</v>
          </cell>
          <cell r="D86">
            <v>0</v>
          </cell>
          <cell r="E86">
            <v>0</v>
          </cell>
          <cell r="F86">
            <v>0</v>
          </cell>
          <cell r="G86">
            <v>1.0759000000000001</v>
          </cell>
        </row>
        <row r="87">
          <cell r="A87" t="str">
            <v>2004-00269</v>
          </cell>
          <cell r="B87">
            <v>38200</v>
          </cell>
          <cell r="C87">
            <v>1.0759000000000001</v>
          </cell>
          <cell r="D87">
            <v>0</v>
          </cell>
          <cell r="E87">
            <v>0</v>
          </cell>
          <cell r="F87">
            <v>0</v>
          </cell>
          <cell r="G87">
            <v>1.0759000000000001</v>
          </cell>
        </row>
        <row r="88">
          <cell r="A88" t="str">
            <v>2004-00398</v>
          </cell>
          <cell r="B88">
            <v>38292</v>
          </cell>
          <cell r="C88">
            <v>1.0718000000000001</v>
          </cell>
          <cell r="D88">
            <v>0</v>
          </cell>
          <cell r="E88">
            <v>0</v>
          </cell>
          <cell r="F88">
            <v>0</v>
          </cell>
          <cell r="G88">
            <v>1.0718000000000001</v>
          </cell>
        </row>
        <row r="89">
          <cell r="A89" t="str">
            <v>2005-00013</v>
          </cell>
          <cell r="B89">
            <v>38384</v>
          </cell>
          <cell r="C89">
            <v>1.0718000000000001</v>
          </cell>
          <cell r="D89">
            <v>0</v>
          </cell>
          <cell r="E89">
            <v>0</v>
          </cell>
          <cell r="F89">
            <v>0</v>
          </cell>
          <cell r="G89">
            <v>1.0718000000000001</v>
          </cell>
        </row>
        <row r="90">
          <cell r="A90" t="str">
            <v>2005-00139</v>
          </cell>
          <cell r="B90">
            <v>38473</v>
          </cell>
          <cell r="C90">
            <v>1.0718000000000001</v>
          </cell>
          <cell r="D90">
            <v>0</v>
          </cell>
          <cell r="E90">
            <v>0</v>
          </cell>
          <cell r="F90">
            <v>0</v>
          </cell>
          <cell r="G90">
            <v>1.0718000000000001</v>
          </cell>
        </row>
        <row r="91">
          <cell r="A91" t="str">
            <v>2005-00271</v>
          </cell>
          <cell r="B91">
            <v>38565</v>
          </cell>
          <cell r="C91">
            <v>1.0718000000000001</v>
          </cell>
          <cell r="D91">
            <v>0</v>
          </cell>
          <cell r="E91">
            <v>0</v>
          </cell>
          <cell r="F91">
            <v>0</v>
          </cell>
          <cell r="G91">
            <v>1.0718000000000001</v>
          </cell>
        </row>
        <row r="92">
          <cell r="A92" t="str">
            <v>2005-00354</v>
          </cell>
          <cell r="B92">
            <v>38626</v>
          </cell>
          <cell r="C92">
            <v>1.0718000000000001</v>
          </cell>
          <cell r="D92">
            <v>0</v>
          </cell>
          <cell r="E92">
            <v>0</v>
          </cell>
          <cell r="F92">
            <v>0</v>
          </cell>
          <cell r="G92">
            <v>1.0718000000000001</v>
          </cell>
        </row>
        <row r="93">
          <cell r="A93" t="str">
            <v>2005-00399</v>
          </cell>
          <cell r="B93">
            <v>38657</v>
          </cell>
          <cell r="C93">
            <v>1.0718000000000001</v>
          </cell>
          <cell r="D93">
            <v>0</v>
          </cell>
          <cell r="E93">
            <v>0</v>
          </cell>
          <cell r="F93">
            <v>0</v>
          </cell>
          <cell r="G93">
            <v>1.0718000000000001</v>
          </cell>
        </row>
        <row r="94">
          <cell r="A94" t="str">
            <v>2005-00552</v>
          </cell>
          <cell r="B94">
            <v>2224</v>
          </cell>
          <cell r="C94">
            <v>1.2622</v>
          </cell>
          <cell r="D94">
            <v>0</v>
          </cell>
          <cell r="E94">
            <v>0</v>
          </cell>
          <cell r="F94">
            <v>0</v>
          </cell>
          <cell r="G94">
            <v>1.2622</v>
          </cell>
        </row>
        <row r="95">
          <cell r="A95" t="str">
            <v>2006-00135</v>
          </cell>
          <cell r="B95">
            <v>2313</v>
          </cell>
          <cell r="C95">
            <v>1.0571999999999999</v>
          </cell>
          <cell r="D95">
            <v>0</v>
          </cell>
          <cell r="E95">
            <v>0</v>
          </cell>
          <cell r="F95">
            <v>0</v>
          </cell>
          <cell r="G95">
            <v>1.0571999999999999</v>
          </cell>
        </row>
        <row r="96">
          <cell r="A96" t="str">
            <v>2006-00324</v>
          </cell>
          <cell r="B96">
            <v>38930</v>
          </cell>
          <cell r="C96">
            <v>1.0571999999999999</v>
          </cell>
          <cell r="D96">
            <v>0</v>
          </cell>
          <cell r="E96">
            <v>0</v>
          </cell>
          <cell r="F96">
            <v>0</v>
          </cell>
          <cell r="G96">
            <v>1.0571999999999999</v>
          </cell>
        </row>
        <row r="97">
          <cell r="A97" t="str">
            <v>2006-00428</v>
          </cell>
          <cell r="B97">
            <v>39022</v>
          </cell>
          <cell r="C97">
            <v>1.0571999999999999</v>
          </cell>
          <cell r="D97">
            <v>0</v>
          </cell>
          <cell r="E97">
            <v>0</v>
          </cell>
          <cell r="F97">
            <v>0</v>
          </cell>
          <cell r="G97">
            <v>1.0571999999999999</v>
          </cell>
        </row>
      </sheetData>
      <sheetData sheetId="43">
        <row r="7">
          <cell r="A7" t="str">
            <v>Case No.</v>
          </cell>
          <cell r="B7" t="str">
            <v>Effective</v>
          </cell>
          <cell r="C7" t="str">
            <v>Demand</v>
          </cell>
          <cell r="D7" t="str">
            <v>TOP</v>
          </cell>
          <cell r="E7" t="str">
            <v>Transition</v>
          </cell>
          <cell r="F7" t="str">
            <v>RF</v>
          </cell>
          <cell r="G7" t="str">
            <v>Non-Com</v>
          </cell>
          <cell r="H7" t="str">
            <v>HLF</v>
          </cell>
        </row>
        <row r="8">
          <cell r="A8" t="str">
            <v>95-010</v>
          </cell>
          <cell r="B8">
            <v>34943</v>
          </cell>
          <cell r="C8">
            <v>0.28760000000000002</v>
          </cell>
          <cell r="D8">
            <v>8.2000000000000007E-3</v>
          </cell>
          <cell r="E8">
            <v>0.13819999999999999</v>
          </cell>
          <cell r="F8">
            <v>-0.191</v>
          </cell>
          <cell r="G8">
            <v>0.24299999999999999</v>
          </cell>
          <cell r="H8">
            <v>5.5145</v>
          </cell>
        </row>
        <row r="9">
          <cell r="A9" t="str">
            <v>95-010 A</v>
          </cell>
          <cell r="B9">
            <v>34999</v>
          </cell>
          <cell r="C9" t="str">
            <v>NA</v>
          </cell>
          <cell r="D9" t="str">
            <v>NA</v>
          </cell>
          <cell r="E9" t="str">
            <v>NA</v>
          </cell>
          <cell r="F9" t="str">
            <v>NA</v>
          </cell>
          <cell r="G9" t="str">
            <v>NA</v>
          </cell>
          <cell r="H9" t="str">
            <v>NA</v>
          </cell>
        </row>
        <row r="10">
          <cell r="A10" t="str">
            <v>95-010 B</v>
          </cell>
          <cell r="B10">
            <v>35004</v>
          </cell>
          <cell r="C10">
            <v>0.28760000000000002</v>
          </cell>
          <cell r="D10">
            <v>8.2000000000000007E-3</v>
          </cell>
          <cell r="E10">
            <v>7.7499999999999999E-2</v>
          </cell>
          <cell r="F10">
            <v>-0.14150000000000001</v>
          </cell>
          <cell r="G10">
            <v>0.23180000000000001</v>
          </cell>
          <cell r="H10">
            <v>5.6445999999999996</v>
          </cell>
        </row>
        <row r="11">
          <cell r="A11" t="str">
            <v>95-010 C</v>
          </cell>
          <cell r="B11">
            <v>35034</v>
          </cell>
          <cell r="C11">
            <v>0.28760000000000002</v>
          </cell>
          <cell r="D11">
            <v>8.2000000000000007E-3</v>
          </cell>
          <cell r="E11">
            <v>7.46E-2</v>
          </cell>
          <cell r="F11">
            <v>-0.14219999999999999</v>
          </cell>
          <cell r="G11">
            <v>0.22820000000000001</v>
          </cell>
          <cell r="H11">
            <v>5.6445999999999996</v>
          </cell>
        </row>
        <row r="12">
          <cell r="A12" t="str">
            <v>95-010 D</v>
          </cell>
          <cell r="B12">
            <v>35065</v>
          </cell>
          <cell r="C12">
            <v>0.28760000000000002</v>
          </cell>
          <cell r="D12">
            <v>8.2000000000000007E-3</v>
          </cell>
          <cell r="E12">
            <v>7.46E-2</v>
          </cell>
          <cell r="F12">
            <v>-0.14219999999999999</v>
          </cell>
          <cell r="G12">
            <v>0.22820000000000001</v>
          </cell>
          <cell r="H12">
            <v>5.6445999999999996</v>
          </cell>
        </row>
        <row r="13">
          <cell r="A13" t="str">
            <v>95-010 E</v>
          </cell>
          <cell r="B13">
            <v>35096</v>
          </cell>
          <cell r="C13">
            <v>0.28820000000000001</v>
          </cell>
          <cell r="D13">
            <v>0</v>
          </cell>
          <cell r="E13">
            <v>6.3200000000000006E-2</v>
          </cell>
          <cell r="F13">
            <v>-0.14219999999999999</v>
          </cell>
          <cell r="G13">
            <v>0.20920000000000005</v>
          </cell>
          <cell r="H13">
            <v>5.6570999999999998</v>
          </cell>
        </row>
        <row r="14">
          <cell r="A14" t="str">
            <v>95-010 F</v>
          </cell>
          <cell r="B14">
            <v>35125</v>
          </cell>
          <cell r="C14">
            <v>0.28870000000000001</v>
          </cell>
          <cell r="D14">
            <v>0</v>
          </cell>
          <cell r="E14">
            <v>6.3200000000000006E-2</v>
          </cell>
          <cell r="F14">
            <v>-6.3E-2</v>
          </cell>
          <cell r="G14">
            <v>0.28889999999999999</v>
          </cell>
          <cell r="H14">
            <v>5.6666999999999996</v>
          </cell>
        </row>
        <row r="15">
          <cell r="A15" t="str">
            <v>95-010 G</v>
          </cell>
          <cell r="B15">
            <v>35156</v>
          </cell>
          <cell r="C15">
            <v>0.27360000000000001</v>
          </cell>
          <cell r="D15">
            <v>0</v>
          </cell>
          <cell r="E15">
            <v>6.6400000000000001E-2</v>
          </cell>
          <cell r="F15">
            <v>-3.09E-2</v>
          </cell>
          <cell r="G15">
            <v>0.30910000000000004</v>
          </cell>
          <cell r="H15">
            <v>5.5183</v>
          </cell>
        </row>
        <row r="16">
          <cell r="A16" t="str">
            <v>95-010 H</v>
          </cell>
          <cell r="B16">
            <v>35186</v>
          </cell>
          <cell r="C16">
            <v>0.2432</v>
          </cell>
          <cell r="D16">
            <v>0</v>
          </cell>
          <cell r="E16">
            <v>6.6400000000000001E-2</v>
          </cell>
          <cell r="F16">
            <v>-3.09E-2</v>
          </cell>
          <cell r="G16">
            <v>0.2787</v>
          </cell>
          <cell r="H16">
            <v>4.9048999999999996</v>
          </cell>
        </row>
        <row r="17">
          <cell r="A17" t="str">
            <v>95-010 I</v>
          </cell>
          <cell r="B17">
            <v>35217</v>
          </cell>
          <cell r="C17">
            <v>0.22789999999999999</v>
          </cell>
          <cell r="D17">
            <v>0</v>
          </cell>
          <cell r="E17">
            <v>4.2099999999999999E-2</v>
          </cell>
          <cell r="F17">
            <v>-9.5899999999999999E-2</v>
          </cell>
          <cell r="G17">
            <v>0.17410000000000003</v>
          </cell>
          <cell r="H17">
            <v>4.5968999999999998</v>
          </cell>
        </row>
        <row r="18">
          <cell r="A18" t="str">
            <v>95-010 J</v>
          </cell>
          <cell r="B18">
            <v>35247</v>
          </cell>
          <cell r="C18">
            <v>0.2266</v>
          </cell>
          <cell r="D18">
            <v>0</v>
          </cell>
          <cell r="E18">
            <v>4.3499999999999997E-2</v>
          </cell>
          <cell r="F18">
            <v>-9.8199999999999996E-2</v>
          </cell>
          <cell r="G18">
            <v>0.1719</v>
          </cell>
          <cell r="H18">
            <v>4.5693999999999999</v>
          </cell>
        </row>
        <row r="19">
          <cell r="A19" t="str">
            <v>95-010 K</v>
          </cell>
          <cell r="B19">
            <v>35278</v>
          </cell>
          <cell r="C19">
            <v>0.22600000000000001</v>
          </cell>
          <cell r="D19">
            <v>0</v>
          </cell>
          <cell r="E19">
            <v>4.3499999999999997E-2</v>
          </cell>
          <cell r="F19">
            <v>-9.8199999999999996E-2</v>
          </cell>
          <cell r="G19">
            <v>0.17130000000000001</v>
          </cell>
          <cell r="H19">
            <v>4.5575000000000001</v>
          </cell>
        </row>
        <row r="20">
          <cell r="A20" t="str">
            <v>95-010 L</v>
          </cell>
          <cell r="B20">
            <v>35309</v>
          </cell>
          <cell r="C20">
            <v>0.23350000000000001</v>
          </cell>
          <cell r="D20">
            <v>0</v>
          </cell>
          <cell r="E20">
            <v>4.7500000000000001E-2</v>
          </cell>
          <cell r="F20">
            <v>-6.8000000000000005E-2</v>
          </cell>
          <cell r="G20">
            <v>0.21300000000000002</v>
          </cell>
          <cell r="H20">
            <v>4.7096</v>
          </cell>
        </row>
        <row r="21">
          <cell r="A21" t="str">
            <v>95-010 M</v>
          </cell>
          <cell r="B21">
            <v>35339</v>
          </cell>
          <cell r="C21">
            <v>0.2336</v>
          </cell>
          <cell r="D21">
            <v>0</v>
          </cell>
          <cell r="E21">
            <v>4.99E-2</v>
          </cell>
          <cell r="F21">
            <v>-6.8000000000000005E-2</v>
          </cell>
          <cell r="G21">
            <v>0.21549999999999997</v>
          </cell>
          <cell r="H21">
            <v>4.7243000000000004</v>
          </cell>
        </row>
        <row r="22">
          <cell r="A22" t="str">
            <v>95-010 N</v>
          </cell>
          <cell r="B22">
            <v>35370</v>
          </cell>
          <cell r="C22">
            <v>0.22359999999999999</v>
          </cell>
          <cell r="D22">
            <v>0</v>
          </cell>
          <cell r="E22">
            <v>4.9799999999999997E-2</v>
          </cell>
          <cell r="F22">
            <v>-6.8000000000000005E-2</v>
          </cell>
          <cell r="G22">
            <v>0.2054</v>
          </cell>
          <cell r="H22">
            <v>4.5213999999999999</v>
          </cell>
        </row>
        <row r="23">
          <cell r="A23" t="str">
            <v>95-010 O</v>
          </cell>
          <cell r="B23">
            <v>35400</v>
          </cell>
          <cell r="C23">
            <v>0.21629999999999999</v>
          </cell>
          <cell r="D23">
            <v>0</v>
          </cell>
          <cell r="E23">
            <v>4.9799999999999997E-2</v>
          </cell>
          <cell r="F23">
            <v>-6.7299999999999999E-2</v>
          </cell>
          <cell r="G23">
            <v>0.1988</v>
          </cell>
          <cell r="H23">
            <v>4.375</v>
          </cell>
        </row>
        <row r="24">
          <cell r="A24" t="str">
            <v>95-010 P</v>
          </cell>
          <cell r="B24">
            <v>35431</v>
          </cell>
          <cell r="C24">
            <v>0.21629999999999999</v>
          </cell>
          <cell r="D24">
            <v>0</v>
          </cell>
          <cell r="E24">
            <v>6.1899999999999997E-2</v>
          </cell>
          <cell r="F24">
            <v>-6.7299999999999999E-2</v>
          </cell>
          <cell r="G24">
            <v>0.2109</v>
          </cell>
          <cell r="H24">
            <v>4.375</v>
          </cell>
        </row>
        <row r="25">
          <cell r="A25" t="str">
            <v>95-010 Q</v>
          </cell>
          <cell r="B25">
            <v>35462</v>
          </cell>
          <cell r="C25">
            <v>0.21629999999999999</v>
          </cell>
          <cell r="D25">
            <v>0</v>
          </cell>
          <cell r="E25">
            <v>6.1800000000000001E-2</v>
          </cell>
          <cell r="F25">
            <v>-6.7299999999999999E-2</v>
          </cell>
          <cell r="G25">
            <v>0.21079999999999999</v>
          </cell>
          <cell r="H25">
            <v>4.375</v>
          </cell>
        </row>
        <row r="26">
          <cell r="A26" t="str">
            <v>95-010 R</v>
          </cell>
          <cell r="B26">
            <v>35490</v>
          </cell>
          <cell r="C26">
            <v>0.21640000000000001</v>
          </cell>
          <cell r="D26">
            <v>0</v>
          </cell>
          <cell r="E26">
            <v>6.1800000000000001E-2</v>
          </cell>
          <cell r="F26">
            <v>-6.7299999999999999E-2</v>
          </cell>
          <cell r="G26">
            <v>0.2109</v>
          </cell>
          <cell r="H26">
            <v>4.3760000000000003</v>
          </cell>
        </row>
        <row r="27">
          <cell r="A27" t="str">
            <v>95-010 S</v>
          </cell>
          <cell r="B27">
            <v>35521</v>
          </cell>
          <cell r="C27">
            <v>0.2122</v>
          </cell>
          <cell r="D27">
            <v>0</v>
          </cell>
          <cell r="E27">
            <v>6.1800000000000001E-2</v>
          </cell>
          <cell r="F27">
            <v>-6.7299999999999999E-2</v>
          </cell>
          <cell r="G27">
            <v>0.20670000000000002</v>
          </cell>
          <cell r="H27">
            <v>4.2912999999999997</v>
          </cell>
        </row>
        <row r="28">
          <cell r="A28" t="str">
            <v>95-010 T</v>
          </cell>
          <cell r="B28">
            <v>35551</v>
          </cell>
          <cell r="C28">
            <v>0.2122</v>
          </cell>
          <cell r="D28">
            <v>0</v>
          </cell>
          <cell r="E28">
            <v>6.1800000000000001E-2</v>
          </cell>
          <cell r="F28">
            <v>-6.7299999999999999E-2</v>
          </cell>
          <cell r="G28">
            <v>0.20669999999999999</v>
          </cell>
          <cell r="H28">
            <v>4.2912999999999997</v>
          </cell>
        </row>
        <row r="29">
          <cell r="A29" t="str">
            <v>95-010 U</v>
          </cell>
          <cell r="B29">
            <v>35582</v>
          </cell>
          <cell r="C29">
            <v>0.22550000000000001</v>
          </cell>
          <cell r="D29">
            <v>0</v>
          </cell>
          <cell r="E29">
            <v>5.2900000000000003E-2</v>
          </cell>
          <cell r="F29">
            <v>-2.3E-3</v>
          </cell>
          <cell r="G29">
            <v>0.27609999999999996</v>
          </cell>
          <cell r="H29">
            <v>4.5613000000000001</v>
          </cell>
        </row>
        <row r="30">
          <cell r="A30" t="str">
            <v>95-010 V</v>
          </cell>
          <cell r="B30">
            <v>35612</v>
          </cell>
          <cell r="C30">
            <v>0.22550000000000001</v>
          </cell>
          <cell r="D30">
            <v>0</v>
          </cell>
          <cell r="E30">
            <v>5.2900000000000003E-2</v>
          </cell>
          <cell r="F30">
            <v>-4.8800000000000003E-2</v>
          </cell>
          <cell r="G30">
            <v>0.22959999999999997</v>
          </cell>
          <cell r="H30">
            <v>4.5613000000000001</v>
          </cell>
        </row>
        <row r="31">
          <cell r="A31" t="str">
            <v>95-010 W</v>
          </cell>
          <cell r="B31">
            <v>35643</v>
          </cell>
          <cell r="C31">
            <v>0.2631</v>
          </cell>
          <cell r="D31">
            <v>0</v>
          </cell>
          <cell r="E31">
            <v>5.1999999999999998E-2</v>
          </cell>
          <cell r="F31">
            <v>-4.8800000000000003E-2</v>
          </cell>
          <cell r="G31">
            <v>0.26629999999999998</v>
          </cell>
          <cell r="H31">
            <v>5.3216000000000001</v>
          </cell>
        </row>
        <row r="32">
          <cell r="A32" t="str">
            <v>95-010 X</v>
          </cell>
          <cell r="B32">
            <v>35674</v>
          </cell>
          <cell r="C32">
            <v>0.2225</v>
          </cell>
          <cell r="D32">
            <v>0</v>
          </cell>
          <cell r="E32">
            <v>5.1999999999999998E-2</v>
          </cell>
          <cell r="F32">
            <v>-4.8800000000000003E-2</v>
          </cell>
          <cell r="G32">
            <v>0.22570000000000001</v>
          </cell>
          <cell r="H32">
            <v>4.5003000000000002</v>
          </cell>
        </row>
        <row r="33">
          <cell r="A33" t="str">
            <v>95-010 Y</v>
          </cell>
          <cell r="B33">
            <v>35704</v>
          </cell>
          <cell r="C33">
            <v>0.2225</v>
          </cell>
          <cell r="D33">
            <v>0</v>
          </cell>
          <cell r="E33">
            <v>5.9200000000000003E-2</v>
          </cell>
          <cell r="F33">
            <v>-4.8800000000000003E-2</v>
          </cell>
          <cell r="G33">
            <v>0.2329</v>
          </cell>
          <cell r="H33">
            <v>4.7756999999999996</v>
          </cell>
        </row>
        <row r="34">
          <cell r="A34" t="str">
            <v>95-010 Z</v>
          </cell>
          <cell r="B34">
            <v>35735</v>
          </cell>
          <cell r="C34">
            <v>0.2225</v>
          </cell>
          <cell r="D34">
            <v>0</v>
          </cell>
          <cell r="E34">
            <v>5.9200000000000003E-2</v>
          </cell>
          <cell r="F34">
            <v>-4.8800000000000003E-2</v>
          </cell>
          <cell r="G34">
            <v>0.2329</v>
          </cell>
          <cell r="H34">
            <v>4.7756999999999996</v>
          </cell>
        </row>
        <row r="35">
          <cell r="A35" t="str">
            <v>95-010 AA</v>
          </cell>
          <cell r="B35">
            <v>35765</v>
          </cell>
          <cell r="C35">
            <v>0.2631</v>
          </cell>
          <cell r="D35">
            <v>0</v>
          </cell>
          <cell r="E35">
            <v>5.9200000000000003E-2</v>
          </cell>
          <cell r="F35">
            <v>-4.8800000000000003E-2</v>
          </cell>
          <cell r="G35">
            <v>0.27350000000000002</v>
          </cell>
          <cell r="H35">
            <v>5.6473000000000004</v>
          </cell>
        </row>
        <row r="36">
          <cell r="A36" t="str">
            <v>95-010 BB</v>
          </cell>
          <cell r="B36">
            <v>35796</v>
          </cell>
          <cell r="C36">
            <v>0.2631</v>
          </cell>
          <cell r="D36">
            <v>0</v>
          </cell>
          <cell r="E36">
            <v>5.9200000000000003E-2</v>
          </cell>
          <cell r="F36">
            <v>-4.8800000000000003E-2</v>
          </cell>
          <cell r="G36">
            <v>0.27350000000000002</v>
          </cell>
          <cell r="H36">
            <v>5.6473000000000004</v>
          </cell>
        </row>
        <row r="37">
          <cell r="A37" t="str">
            <v>95-010 CC</v>
          </cell>
          <cell r="B37">
            <v>35827</v>
          </cell>
          <cell r="C37">
            <v>0.2631</v>
          </cell>
          <cell r="D37">
            <v>0</v>
          </cell>
          <cell r="E37">
            <v>5.9200000000000003E-2</v>
          </cell>
          <cell r="F37">
            <v>-4.8800000000000003E-2</v>
          </cell>
          <cell r="G37">
            <v>0.27350000000000002</v>
          </cell>
          <cell r="H37">
            <v>5.6473000000000004</v>
          </cell>
        </row>
        <row r="38">
          <cell r="A38" t="str">
            <v>95-010 DD</v>
          </cell>
          <cell r="B38">
            <v>35855</v>
          </cell>
          <cell r="C38">
            <v>0.23119999999999999</v>
          </cell>
          <cell r="D38">
            <v>0</v>
          </cell>
          <cell r="E38">
            <v>3.09E-2</v>
          </cell>
          <cell r="F38">
            <v>-4.8800000000000003E-2</v>
          </cell>
          <cell r="G38">
            <v>0.21329999999999999</v>
          </cell>
          <cell r="H38">
            <v>4.9629000000000003</v>
          </cell>
        </row>
        <row r="39">
          <cell r="A39" t="str">
            <v>95-010 EE</v>
          </cell>
          <cell r="B39">
            <v>35886</v>
          </cell>
          <cell r="C39">
            <v>0.21690000000000001</v>
          </cell>
          <cell r="D39">
            <v>0</v>
          </cell>
          <cell r="E39">
            <v>1.8599999999999998E-2</v>
          </cell>
          <cell r="F39">
            <v>-4.8800000000000003E-2</v>
          </cell>
          <cell r="G39">
            <v>0.1867</v>
          </cell>
          <cell r="H39">
            <v>4.6555999999999997</v>
          </cell>
        </row>
        <row r="40">
          <cell r="A40" t="str">
            <v>95-010 FF</v>
          </cell>
          <cell r="B40">
            <v>35916</v>
          </cell>
          <cell r="C40">
            <v>0.21690000000000001</v>
          </cell>
          <cell r="D40">
            <v>0</v>
          </cell>
          <cell r="E40">
            <v>1.8599999999999998E-2</v>
          </cell>
          <cell r="F40">
            <v>-4.8800000000000003E-2</v>
          </cell>
          <cell r="G40">
            <v>0.1867</v>
          </cell>
          <cell r="H40">
            <v>4.6555999999999997</v>
          </cell>
        </row>
        <row r="41">
          <cell r="A41" t="str">
            <v>95-010 GG</v>
          </cell>
          <cell r="B41">
            <v>35947</v>
          </cell>
          <cell r="C41">
            <v>0.21690000000000001</v>
          </cell>
          <cell r="D41">
            <v>0</v>
          </cell>
          <cell r="E41">
            <v>1.8599999999999998E-2</v>
          </cell>
          <cell r="F41">
            <v>0</v>
          </cell>
          <cell r="G41">
            <v>0.23550000000000001</v>
          </cell>
          <cell r="H41">
            <v>4.6555999999999997</v>
          </cell>
        </row>
        <row r="42">
          <cell r="A42" t="str">
            <v>95-010 HH</v>
          </cell>
          <cell r="B42">
            <v>35977</v>
          </cell>
          <cell r="C42">
            <v>0.21690000000000001</v>
          </cell>
          <cell r="D42">
            <v>0</v>
          </cell>
          <cell r="E42">
            <v>1.8599999999999998E-2</v>
          </cell>
          <cell r="F42">
            <v>-2.9999999999999996E-3</v>
          </cell>
          <cell r="G42">
            <v>0.23250000000000001</v>
          </cell>
          <cell r="H42">
            <v>4.6555999999999997</v>
          </cell>
        </row>
        <row r="43">
          <cell r="A43" t="str">
            <v>95-010 II</v>
          </cell>
          <cell r="B43">
            <v>36008</v>
          </cell>
          <cell r="C43">
            <v>0.21690000000000001</v>
          </cell>
          <cell r="D43">
            <v>0</v>
          </cell>
          <cell r="E43">
            <v>1.8599999999999998E-2</v>
          </cell>
          <cell r="F43">
            <v>-2.9999999999999996E-3</v>
          </cell>
          <cell r="G43">
            <v>0.23250000000000001</v>
          </cell>
          <cell r="H43">
            <v>4.6555999999999997</v>
          </cell>
        </row>
        <row r="44">
          <cell r="A44" t="str">
            <v>95-010 JJ</v>
          </cell>
          <cell r="B44">
            <v>36039</v>
          </cell>
          <cell r="C44">
            <v>0.21690000000000001</v>
          </cell>
          <cell r="D44">
            <v>0</v>
          </cell>
          <cell r="E44">
            <v>1.8599999999999998E-2</v>
          </cell>
          <cell r="F44">
            <v>-2.9999999999999996E-3</v>
          </cell>
          <cell r="G44">
            <v>0.23250000000000001</v>
          </cell>
          <cell r="H44">
            <v>4.6555999999999997</v>
          </cell>
        </row>
        <row r="45">
          <cell r="A45" t="str">
            <v>95-010 KK</v>
          </cell>
          <cell r="B45">
            <v>36069</v>
          </cell>
          <cell r="C45">
            <v>0.21690000000000001</v>
          </cell>
          <cell r="D45">
            <v>0</v>
          </cell>
          <cell r="E45">
            <v>1.8599999999999998E-2</v>
          </cell>
          <cell r="F45">
            <v>-2.9999999999999996E-3</v>
          </cell>
          <cell r="G45">
            <v>0.23250000000000001</v>
          </cell>
          <cell r="H45">
            <v>4.6555999999999997</v>
          </cell>
        </row>
        <row r="46">
          <cell r="A46" t="str">
            <v>95-010 LL</v>
          </cell>
          <cell r="B46">
            <v>36100</v>
          </cell>
          <cell r="C46">
            <v>0.19939999999999999</v>
          </cell>
          <cell r="D46">
            <v>0</v>
          </cell>
          <cell r="E46">
            <v>1.8599999999999998E-2</v>
          </cell>
          <cell r="F46">
            <v>-2.9999999999999996E-3</v>
          </cell>
          <cell r="G46">
            <v>0.215</v>
          </cell>
          <cell r="H46">
            <v>4.2808999999999999</v>
          </cell>
        </row>
        <row r="47">
          <cell r="A47" t="str">
            <v>95-010 MM</v>
          </cell>
          <cell r="B47">
            <v>36130</v>
          </cell>
          <cell r="C47">
            <v>0.19939999999999999</v>
          </cell>
          <cell r="D47">
            <v>0</v>
          </cell>
          <cell r="E47">
            <v>1.8599999999999998E-2</v>
          </cell>
          <cell r="F47">
            <v>-2.9999999999999996E-3</v>
          </cell>
          <cell r="G47">
            <v>0.215</v>
          </cell>
          <cell r="H47">
            <v>4.2808999999999999</v>
          </cell>
        </row>
        <row r="48">
          <cell r="A48" t="str">
            <v>95-010 NN</v>
          </cell>
          <cell r="B48">
            <v>36161</v>
          </cell>
          <cell r="C48">
            <v>0.19939999999999999</v>
          </cell>
          <cell r="D48">
            <v>0</v>
          </cell>
          <cell r="E48">
            <v>1.8599999999999998E-2</v>
          </cell>
          <cell r="F48">
            <v>-2.9999999999999996E-3</v>
          </cell>
          <cell r="G48">
            <v>0.215</v>
          </cell>
          <cell r="H48">
            <v>4.2808999999999999</v>
          </cell>
        </row>
        <row r="49">
          <cell r="A49" t="str">
            <v>95-010 OO</v>
          </cell>
          <cell r="B49">
            <v>36192</v>
          </cell>
          <cell r="C49">
            <v>0.19939999999999999</v>
          </cell>
          <cell r="D49">
            <v>0</v>
          </cell>
          <cell r="E49">
            <v>1.8599999999999998E-2</v>
          </cell>
          <cell r="F49">
            <v>-2.9999999999999996E-3</v>
          </cell>
          <cell r="G49">
            <v>0.215</v>
          </cell>
          <cell r="H49">
            <v>4.2808999999999999</v>
          </cell>
        </row>
        <row r="50">
          <cell r="A50" t="str">
            <v>95-010 PP</v>
          </cell>
          <cell r="B50">
            <v>36220</v>
          </cell>
          <cell r="C50">
            <v>0.19939999999999999</v>
          </cell>
          <cell r="D50">
            <v>0</v>
          </cell>
          <cell r="E50">
            <v>1.8599999999999998E-2</v>
          </cell>
          <cell r="F50">
            <v>-2.9999999999999996E-3</v>
          </cell>
          <cell r="G50">
            <v>0.215</v>
          </cell>
          <cell r="H50">
            <v>4.2808999999999999</v>
          </cell>
        </row>
        <row r="51">
          <cell r="A51" t="str">
            <v>95-010 QQ</v>
          </cell>
          <cell r="B51">
            <v>36251</v>
          </cell>
          <cell r="C51">
            <v>0.19939999999999999</v>
          </cell>
          <cell r="D51">
            <v>0</v>
          </cell>
          <cell r="E51">
            <v>1.8599999999999998E-2</v>
          </cell>
          <cell r="F51">
            <v>-4.4200000000000003E-2</v>
          </cell>
          <cell r="G51">
            <v>0.17380000000000001</v>
          </cell>
          <cell r="H51">
            <v>4.2808999999999999</v>
          </cell>
        </row>
        <row r="52">
          <cell r="A52" t="str">
            <v>95-010 RR</v>
          </cell>
          <cell r="B52">
            <v>36281</v>
          </cell>
          <cell r="C52">
            <v>0.19939999999999999</v>
          </cell>
          <cell r="D52">
            <v>0</v>
          </cell>
          <cell r="E52">
            <v>1.8599999999999998E-2</v>
          </cell>
          <cell r="F52">
            <v>-4.4200000000000003E-2</v>
          </cell>
          <cell r="G52">
            <v>0.17380000000000001</v>
          </cell>
          <cell r="H52">
            <v>4.2808999999999999</v>
          </cell>
        </row>
        <row r="53">
          <cell r="A53" t="str">
            <v>95-010 SS</v>
          </cell>
          <cell r="B53">
            <v>36312</v>
          </cell>
          <cell r="C53">
            <v>0.19939999999999999</v>
          </cell>
          <cell r="D53">
            <v>0</v>
          </cell>
          <cell r="E53">
            <v>1.8599999999999998E-2</v>
          </cell>
          <cell r="F53">
            <v>-4.4200000000000003E-2</v>
          </cell>
          <cell r="G53">
            <v>0.17380000000000001</v>
          </cell>
          <cell r="H53">
            <v>4.2808999999999999</v>
          </cell>
        </row>
        <row r="54">
          <cell r="A54" t="str">
            <v>95-010 TT</v>
          </cell>
          <cell r="B54">
            <v>36342</v>
          </cell>
          <cell r="C54">
            <v>0.19939999999999999</v>
          </cell>
          <cell r="D54">
            <v>0</v>
          </cell>
          <cell r="E54">
            <v>1.8599999999999998E-2</v>
          </cell>
          <cell r="F54">
            <v>-4.1200000000000001E-2</v>
          </cell>
          <cell r="G54">
            <v>0.17680000000000001</v>
          </cell>
          <cell r="H54">
            <v>4.2808999999999999</v>
          </cell>
        </row>
        <row r="55">
          <cell r="A55" t="str">
            <v>95-010 UU</v>
          </cell>
          <cell r="B55">
            <v>36373</v>
          </cell>
          <cell r="C55">
            <v>0.19939999999999999</v>
          </cell>
          <cell r="D55">
            <v>0</v>
          </cell>
          <cell r="E55">
            <v>1.8599999999999998E-2</v>
          </cell>
          <cell r="F55">
            <v>-4.1200000000000001E-2</v>
          </cell>
          <cell r="G55">
            <v>0.17680000000000001</v>
          </cell>
          <cell r="H55">
            <v>4.2808999999999999</v>
          </cell>
        </row>
        <row r="56">
          <cell r="A56" t="str">
            <v>95-010 VV</v>
          </cell>
          <cell r="B56">
            <v>36404</v>
          </cell>
          <cell r="C56">
            <v>0.19939999999999999</v>
          </cell>
          <cell r="D56">
            <v>0</v>
          </cell>
          <cell r="E56">
            <v>1.8599999999999998E-2</v>
          </cell>
          <cell r="F56">
            <v>-4.1200000000000001E-2</v>
          </cell>
          <cell r="G56">
            <v>0.17680000000000001</v>
          </cell>
          <cell r="H56">
            <v>4.2808999999999999</v>
          </cell>
        </row>
        <row r="57">
          <cell r="A57" t="str">
            <v>95-010 WW</v>
          </cell>
          <cell r="B57">
            <v>36434</v>
          </cell>
          <cell r="C57">
            <v>0.19939999999999999</v>
          </cell>
          <cell r="D57">
            <v>0</v>
          </cell>
          <cell r="E57">
            <v>1.8599999999999998E-2</v>
          </cell>
          <cell r="F57">
            <v>-4.1200000000000001E-2</v>
          </cell>
          <cell r="G57">
            <v>0.17680000000000001</v>
          </cell>
          <cell r="H57">
            <v>4.2808999999999999</v>
          </cell>
        </row>
        <row r="58">
          <cell r="A58" t="str">
            <v>95-010 XX</v>
          </cell>
          <cell r="B58">
            <v>36465</v>
          </cell>
          <cell r="C58">
            <v>0.20130000000000001</v>
          </cell>
          <cell r="D58">
            <v>0</v>
          </cell>
          <cell r="E58">
            <v>3.0000000000000001E-3</v>
          </cell>
          <cell r="F58">
            <v>-4.1200000000000001E-2</v>
          </cell>
          <cell r="G58">
            <v>0.16310000000000002</v>
          </cell>
          <cell r="H58">
            <v>4.3211000000000004</v>
          </cell>
        </row>
        <row r="59">
          <cell r="A59" t="str">
            <v>95-010 YY</v>
          </cell>
          <cell r="B59">
            <v>36495</v>
          </cell>
          <cell r="C59">
            <v>0.2001</v>
          </cell>
          <cell r="D59">
            <v>0</v>
          </cell>
          <cell r="E59">
            <v>3.0000000000000001E-3</v>
          </cell>
          <cell r="F59">
            <v>-4.1200000000000001E-2</v>
          </cell>
          <cell r="G59">
            <v>0.16189999999999999</v>
          </cell>
          <cell r="H59">
            <v>4.2945000000000002</v>
          </cell>
        </row>
        <row r="60">
          <cell r="A60" t="str">
            <v>99-070</v>
          </cell>
          <cell r="B60">
            <v>36526</v>
          </cell>
          <cell r="C60">
            <v>0.2001</v>
          </cell>
          <cell r="D60">
            <v>0</v>
          </cell>
          <cell r="E60">
            <v>3.0000000000000001E-3</v>
          </cell>
          <cell r="F60">
            <v>-4.1200000000000001E-2</v>
          </cell>
          <cell r="G60">
            <v>0.16189999999999999</v>
          </cell>
          <cell r="H60">
            <v>4.2945000000000002</v>
          </cell>
        </row>
        <row r="61">
          <cell r="A61" t="str">
            <v>99-070 A</v>
          </cell>
          <cell r="B61">
            <v>36557</v>
          </cell>
          <cell r="C61">
            <v>0.20100000000000001</v>
          </cell>
          <cell r="D61">
            <v>0</v>
          </cell>
          <cell r="E61">
            <v>3.0000000000000001E-3</v>
          </cell>
          <cell r="F61">
            <v>-4.1200000000000001E-2</v>
          </cell>
          <cell r="G61">
            <v>0.1628</v>
          </cell>
          <cell r="H61">
            <v>4.3144999999999998</v>
          </cell>
        </row>
        <row r="62">
          <cell r="A62" t="str">
            <v>1999-070 B</v>
          </cell>
          <cell r="B62">
            <v>36617</v>
          </cell>
          <cell r="C62">
            <v>0.20100000000000001</v>
          </cell>
          <cell r="D62">
            <v>0</v>
          </cell>
          <cell r="E62">
            <v>3.0000000000000001E-3</v>
          </cell>
          <cell r="F62">
            <v>0</v>
          </cell>
          <cell r="G62">
            <v>0.20400000000000001</v>
          </cell>
          <cell r="H62">
            <v>4.3144999999999998</v>
          </cell>
        </row>
        <row r="63">
          <cell r="A63" t="str">
            <v>1999-070 C</v>
          </cell>
          <cell r="B63">
            <v>36647</v>
          </cell>
          <cell r="C63">
            <v>0.20100000000000001</v>
          </cell>
          <cell r="D63">
            <v>0</v>
          </cell>
          <cell r="E63">
            <v>3.0000000000000001E-3</v>
          </cell>
          <cell r="F63">
            <v>0</v>
          </cell>
          <cell r="G63">
            <v>0.20400000000000001</v>
          </cell>
          <cell r="H63">
            <v>4.3144999999999998</v>
          </cell>
        </row>
        <row r="64">
          <cell r="A64" t="str">
            <v>1999-070 D</v>
          </cell>
          <cell r="B64">
            <v>36708</v>
          </cell>
          <cell r="C64">
            <v>0.20100000000000001</v>
          </cell>
          <cell r="D64">
            <v>0</v>
          </cell>
          <cell r="E64">
            <v>3.0000000000000001E-3</v>
          </cell>
          <cell r="F64">
            <v>0</v>
          </cell>
          <cell r="G64">
            <v>0.20400000000000001</v>
          </cell>
          <cell r="H64">
            <v>4.3144999999999998</v>
          </cell>
        </row>
        <row r="65">
          <cell r="A65" t="str">
            <v>1999-070 E</v>
          </cell>
          <cell r="B65">
            <v>36739</v>
          </cell>
          <cell r="C65">
            <v>0.20100000000000001</v>
          </cell>
          <cell r="D65">
            <v>0</v>
          </cell>
          <cell r="E65">
            <v>3.0000000000000001E-3</v>
          </cell>
          <cell r="F65">
            <v>0</v>
          </cell>
          <cell r="G65">
            <v>0.20400000000000001</v>
          </cell>
          <cell r="H65">
            <v>4.3144999999999998</v>
          </cell>
        </row>
        <row r="66">
          <cell r="A66" t="str">
            <v>1999-070 F</v>
          </cell>
          <cell r="B66">
            <v>36800</v>
          </cell>
          <cell r="C66">
            <v>0.20100000000000001</v>
          </cell>
          <cell r="D66">
            <v>0</v>
          </cell>
          <cell r="E66">
            <v>3.0000000000000001E-3</v>
          </cell>
          <cell r="F66">
            <v>0</v>
          </cell>
          <cell r="G66">
            <v>0.20400000000000001</v>
          </cell>
          <cell r="H66">
            <v>4.3144999999999998</v>
          </cell>
        </row>
        <row r="67">
          <cell r="A67" t="str">
            <v>1999-070 G</v>
          </cell>
          <cell r="B67">
            <v>36831</v>
          </cell>
          <cell r="C67">
            <v>0.18820000000000001</v>
          </cell>
          <cell r="D67">
            <v>0</v>
          </cell>
          <cell r="E67">
            <v>0</v>
          </cell>
          <cell r="F67">
            <v>0</v>
          </cell>
          <cell r="G67">
            <v>0.18820000000000001</v>
          </cell>
          <cell r="H67">
            <v>4.5294999999999996</v>
          </cell>
        </row>
        <row r="68">
          <cell r="A68" t="str">
            <v>1999-070 H</v>
          </cell>
          <cell r="B68">
            <v>36923</v>
          </cell>
          <cell r="C68">
            <v>0.24249999999999999</v>
          </cell>
          <cell r="D68">
            <v>0</v>
          </cell>
          <cell r="E68">
            <v>0</v>
          </cell>
          <cell r="F68">
            <v>0</v>
          </cell>
          <cell r="G68">
            <v>0.24249999999999999</v>
          </cell>
          <cell r="H68">
            <v>5.8369999999999997</v>
          </cell>
        </row>
        <row r="69">
          <cell r="A69" t="str">
            <v>1999-070 I</v>
          </cell>
          <cell r="B69">
            <v>36951</v>
          </cell>
          <cell r="C69">
            <v>0.24249999999999999</v>
          </cell>
          <cell r="D69">
            <v>0</v>
          </cell>
          <cell r="E69">
            <v>0</v>
          </cell>
          <cell r="F69">
            <v>0</v>
          </cell>
          <cell r="G69">
            <v>0.24249999999999999</v>
          </cell>
          <cell r="H69">
            <v>5.8369999999999997</v>
          </cell>
        </row>
        <row r="70">
          <cell r="A70" t="str">
            <v>1999-070 J</v>
          </cell>
          <cell r="B70">
            <v>36982</v>
          </cell>
          <cell r="C70">
            <v>0.24249999999999999</v>
          </cell>
          <cell r="D70">
            <v>0</v>
          </cell>
          <cell r="E70">
            <v>0</v>
          </cell>
          <cell r="F70">
            <v>0</v>
          </cell>
          <cell r="G70">
            <v>0.24249999999999999</v>
          </cell>
          <cell r="H70">
            <v>5.8369999999999997</v>
          </cell>
        </row>
        <row r="71">
          <cell r="A71" t="str">
            <v>1999-070 K</v>
          </cell>
          <cell r="B71">
            <v>37012</v>
          </cell>
          <cell r="C71">
            <v>0.21010000000000001</v>
          </cell>
          <cell r="D71">
            <v>0</v>
          </cell>
          <cell r="E71">
            <v>0</v>
          </cell>
          <cell r="F71">
            <v>0</v>
          </cell>
          <cell r="G71">
            <v>0.21010000000000001</v>
          </cell>
          <cell r="H71">
            <v>5.0563000000000002</v>
          </cell>
        </row>
        <row r="72">
          <cell r="A72" t="str">
            <v>1999-070 L</v>
          </cell>
          <cell r="B72">
            <v>37043</v>
          </cell>
          <cell r="C72">
            <v>0.21010000000000001</v>
          </cell>
          <cell r="D72">
            <v>0</v>
          </cell>
          <cell r="E72">
            <v>0</v>
          </cell>
          <cell r="F72">
            <v>0</v>
          </cell>
          <cell r="G72">
            <v>0.21010000000000001</v>
          </cell>
          <cell r="H72">
            <v>5.0563000000000002</v>
          </cell>
        </row>
        <row r="73">
          <cell r="A73" t="str">
            <v>1999-070 M</v>
          </cell>
          <cell r="B73">
            <v>37073</v>
          </cell>
          <cell r="C73">
            <v>0.21010000000000001</v>
          </cell>
          <cell r="D73">
            <v>0</v>
          </cell>
          <cell r="E73">
            <v>0</v>
          </cell>
          <cell r="F73">
            <v>0</v>
          </cell>
          <cell r="G73">
            <v>0.21010000000000001</v>
          </cell>
          <cell r="H73">
            <v>5.0563000000000002</v>
          </cell>
        </row>
        <row r="74">
          <cell r="A74" t="str">
            <v>1999-070 N</v>
          </cell>
          <cell r="B74">
            <v>37104</v>
          </cell>
          <cell r="C74">
            <v>0.21010000000000001</v>
          </cell>
          <cell r="D74">
            <v>0</v>
          </cell>
          <cell r="E74">
            <v>0</v>
          </cell>
          <cell r="F74">
            <v>0</v>
          </cell>
          <cell r="G74">
            <v>0.21010000000000001</v>
          </cell>
          <cell r="H74">
            <v>5.0563000000000002</v>
          </cell>
        </row>
        <row r="75">
          <cell r="A75" t="str">
            <v>1999-070 O</v>
          </cell>
          <cell r="B75">
            <v>37196</v>
          </cell>
          <cell r="C75">
            <v>0.21010000000000001</v>
          </cell>
          <cell r="D75">
            <v>0</v>
          </cell>
          <cell r="E75">
            <v>0</v>
          </cell>
          <cell r="F75">
            <v>0</v>
          </cell>
          <cell r="G75">
            <v>0.21010000000000001</v>
          </cell>
          <cell r="H75">
            <v>5.0563000000000002</v>
          </cell>
        </row>
        <row r="76">
          <cell r="A76" t="str">
            <v>1999-070 P</v>
          </cell>
          <cell r="B76">
            <v>37288</v>
          </cell>
          <cell r="C76">
            <v>0.21010000000000001</v>
          </cell>
          <cell r="D76">
            <v>0</v>
          </cell>
          <cell r="E76">
            <v>0</v>
          </cell>
          <cell r="F76">
            <v>0</v>
          </cell>
          <cell r="G76">
            <v>0.21010000000000001</v>
          </cell>
          <cell r="H76">
            <v>5.0563000000000002</v>
          </cell>
        </row>
        <row r="77">
          <cell r="A77" t="str">
            <v>2002-00113</v>
          </cell>
          <cell r="B77">
            <v>37377</v>
          </cell>
          <cell r="C77">
            <v>0.21010000000000001</v>
          </cell>
          <cell r="D77">
            <v>0</v>
          </cell>
          <cell r="E77">
            <v>0</v>
          </cell>
          <cell r="F77">
            <v>0</v>
          </cell>
          <cell r="G77">
            <v>0.21010000000000001</v>
          </cell>
          <cell r="H77">
            <v>5.0563000000000002</v>
          </cell>
        </row>
        <row r="78">
          <cell r="A78" t="str">
            <v>2002-00251</v>
          </cell>
          <cell r="B78">
            <v>37469</v>
          </cell>
          <cell r="C78">
            <v>0.21010000000000001</v>
          </cell>
          <cell r="D78">
            <v>0</v>
          </cell>
          <cell r="E78">
            <v>0</v>
          </cell>
          <cell r="F78">
            <v>-9.4000000000000004E-3</v>
          </cell>
          <cell r="G78">
            <v>0.20069999999999999</v>
          </cell>
          <cell r="H78">
            <v>5.0563000000000002</v>
          </cell>
        </row>
        <row r="79">
          <cell r="A79" t="str">
            <v>2002-00359</v>
          </cell>
          <cell r="B79">
            <v>37561</v>
          </cell>
          <cell r="C79">
            <v>0.19040000000000001</v>
          </cell>
          <cell r="D79">
            <v>0</v>
          </cell>
          <cell r="E79">
            <v>0</v>
          </cell>
          <cell r="F79">
            <v>-0.157</v>
          </cell>
          <cell r="G79">
            <v>3.3400000000000013E-2</v>
          </cell>
          <cell r="H79">
            <v>4.5831999999999997</v>
          </cell>
        </row>
        <row r="80">
          <cell r="A80" t="str">
            <v>2003-00002</v>
          </cell>
          <cell r="B80">
            <v>37653</v>
          </cell>
          <cell r="C80">
            <v>0.19040000000000001</v>
          </cell>
          <cell r="D80">
            <v>0</v>
          </cell>
          <cell r="E80">
            <v>0</v>
          </cell>
          <cell r="F80">
            <v>-0.157</v>
          </cell>
          <cell r="G80">
            <v>3.3400000000000013E-2</v>
          </cell>
          <cell r="H80">
            <v>4.7106000000000003</v>
          </cell>
        </row>
        <row r="81">
          <cell r="A81" t="str">
            <v>2003-00083</v>
          </cell>
          <cell r="B81">
            <v>37713</v>
          </cell>
          <cell r="C81">
            <v>0.19040000000000001</v>
          </cell>
          <cell r="D81">
            <v>0</v>
          </cell>
          <cell r="E81">
            <v>0</v>
          </cell>
          <cell r="F81">
            <v>-0.157</v>
          </cell>
          <cell r="G81">
            <v>3.3400000000000013E-2</v>
          </cell>
          <cell r="H81">
            <v>4.7106000000000003</v>
          </cell>
        </row>
        <row r="82">
          <cell r="A82" t="str">
            <v>2003-00126</v>
          </cell>
          <cell r="B82">
            <v>37742</v>
          </cell>
          <cell r="C82">
            <v>0.19040000000000001</v>
          </cell>
          <cell r="D82">
            <v>0</v>
          </cell>
          <cell r="E82">
            <v>0</v>
          </cell>
          <cell r="F82">
            <v>-0.157</v>
          </cell>
          <cell r="G82">
            <v>3.3400000000000013E-2</v>
          </cell>
          <cell r="H82">
            <v>4.7106000000000003</v>
          </cell>
        </row>
        <row r="83">
          <cell r="A83" t="str">
            <v>2003-00258</v>
          </cell>
          <cell r="B83">
            <v>37834</v>
          </cell>
          <cell r="C83">
            <v>0.18709999999999999</v>
          </cell>
          <cell r="D83">
            <v>0</v>
          </cell>
          <cell r="E83">
            <v>0</v>
          </cell>
          <cell r="F83">
            <v>-0.14760000000000001</v>
          </cell>
          <cell r="G83">
            <v>3.949999999999998E-2</v>
          </cell>
          <cell r="H83">
            <v>4.6295999999999999</v>
          </cell>
        </row>
        <row r="84">
          <cell r="A84" t="str">
            <v>2003-00377</v>
          </cell>
          <cell r="B84">
            <v>37926</v>
          </cell>
          <cell r="C84">
            <v>0.18709999999999999</v>
          </cell>
          <cell r="D84">
            <v>0</v>
          </cell>
          <cell r="E84">
            <v>0</v>
          </cell>
          <cell r="F84">
            <v>-0.14760000000000001</v>
          </cell>
          <cell r="G84">
            <v>3.949999999999998E-2</v>
          </cell>
          <cell r="H84">
            <v>4.6387</v>
          </cell>
        </row>
        <row r="85">
          <cell r="A85" t="str">
            <v>2003-00504</v>
          </cell>
          <cell r="B85">
            <v>38018</v>
          </cell>
          <cell r="C85">
            <v>0.18709999999999999</v>
          </cell>
          <cell r="D85">
            <v>0</v>
          </cell>
          <cell r="E85">
            <v>0</v>
          </cell>
          <cell r="F85">
            <v>0</v>
          </cell>
          <cell r="G85">
            <v>0.18709999999999999</v>
          </cell>
          <cell r="H85">
            <v>4.6387</v>
          </cell>
        </row>
        <row r="86">
          <cell r="A86" t="str">
            <v>2004-00122</v>
          </cell>
          <cell r="B86">
            <v>38108</v>
          </cell>
          <cell r="C86">
            <v>0.18709999999999999</v>
          </cell>
          <cell r="D86">
            <v>0</v>
          </cell>
          <cell r="E86">
            <v>0</v>
          </cell>
          <cell r="F86">
            <v>0</v>
          </cell>
          <cell r="G86">
            <v>0.18709999999999999</v>
          </cell>
          <cell r="H86">
            <v>4.6387</v>
          </cell>
        </row>
        <row r="87">
          <cell r="A87" t="str">
            <v>2004-00269</v>
          </cell>
          <cell r="B87">
            <v>38200</v>
          </cell>
          <cell r="C87">
            <v>0.18709999999999999</v>
          </cell>
          <cell r="D87">
            <v>0</v>
          </cell>
          <cell r="E87">
            <v>0</v>
          </cell>
          <cell r="F87">
            <v>0</v>
          </cell>
          <cell r="G87">
            <v>0.18709999999999999</v>
          </cell>
          <cell r="H87">
            <v>4.6387</v>
          </cell>
        </row>
        <row r="88">
          <cell r="A88" t="str">
            <v>2004-00398</v>
          </cell>
          <cell r="B88">
            <v>38292</v>
          </cell>
          <cell r="C88">
            <v>0.18640000000000001</v>
          </cell>
          <cell r="D88">
            <v>0</v>
          </cell>
          <cell r="E88">
            <v>0</v>
          </cell>
          <cell r="F88">
            <v>0</v>
          </cell>
          <cell r="G88">
            <v>0.18640000000000001</v>
          </cell>
          <cell r="H88">
            <v>4.6207000000000003</v>
          </cell>
        </row>
        <row r="89">
          <cell r="A89" t="str">
            <v>2005-00013</v>
          </cell>
          <cell r="B89">
            <v>38384</v>
          </cell>
          <cell r="C89">
            <v>0.18640000000000001</v>
          </cell>
          <cell r="D89">
            <v>0</v>
          </cell>
          <cell r="E89">
            <v>0</v>
          </cell>
          <cell r="F89">
            <v>0</v>
          </cell>
          <cell r="G89">
            <v>0.18640000000000001</v>
          </cell>
          <cell r="H89">
            <v>4.6207000000000003</v>
          </cell>
        </row>
        <row r="90">
          <cell r="A90" t="str">
            <v>2005-00139</v>
          </cell>
          <cell r="B90">
            <v>38473</v>
          </cell>
          <cell r="C90">
            <v>0.18640000000000001</v>
          </cell>
          <cell r="D90">
            <v>0</v>
          </cell>
          <cell r="E90">
            <v>0</v>
          </cell>
          <cell r="F90">
            <v>0</v>
          </cell>
          <cell r="G90">
            <v>0.18640000000000001</v>
          </cell>
          <cell r="H90">
            <v>4.6207000000000003</v>
          </cell>
        </row>
        <row r="91">
          <cell r="A91" t="str">
            <v>2005-00271</v>
          </cell>
          <cell r="B91">
            <v>38565</v>
          </cell>
          <cell r="C91">
            <v>0.18640000000000001</v>
          </cell>
          <cell r="D91">
            <v>0</v>
          </cell>
          <cell r="E91">
            <v>0</v>
          </cell>
          <cell r="F91">
            <v>0</v>
          </cell>
          <cell r="G91">
            <v>0.18640000000000001</v>
          </cell>
          <cell r="H91">
            <v>4.6207000000000003</v>
          </cell>
        </row>
        <row r="92">
          <cell r="A92" t="str">
            <v>2005-00354</v>
          </cell>
          <cell r="B92">
            <v>38626</v>
          </cell>
          <cell r="C92">
            <v>0.18640000000000001</v>
          </cell>
          <cell r="D92">
            <v>0</v>
          </cell>
          <cell r="E92">
            <v>0</v>
          </cell>
          <cell r="F92">
            <v>0</v>
          </cell>
          <cell r="G92">
            <v>0.18640000000000001</v>
          </cell>
          <cell r="H92">
            <v>4.6207000000000003</v>
          </cell>
        </row>
        <row r="93">
          <cell r="A93" t="str">
            <v>2005-00399</v>
          </cell>
          <cell r="B93">
            <v>38657</v>
          </cell>
          <cell r="C93">
            <v>0.18640000000000001</v>
          </cell>
          <cell r="D93">
            <v>0</v>
          </cell>
          <cell r="E93">
            <v>0</v>
          </cell>
          <cell r="F93">
            <v>0</v>
          </cell>
          <cell r="G93">
            <v>0.18640000000000001</v>
          </cell>
          <cell r="H93">
            <v>4.6207000000000003</v>
          </cell>
        </row>
        <row r="94">
          <cell r="A94" t="str">
            <v>2005-00552</v>
          </cell>
          <cell r="B94">
            <v>2224</v>
          </cell>
          <cell r="C94">
            <v>0.2195</v>
          </cell>
          <cell r="D94">
            <v>0</v>
          </cell>
          <cell r="E94">
            <v>0</v>
          </cell>
          <cell r="F94">
            <v>0</v>
          </cell>
          <cell r="G94">
            <v>0.2195</v>
          </cell>
          <cell r="H94">
            <v>4.6207000000000003</v>
          </cell>
        </row>
        <row r="95">
          <cell r="A95" t="str">
            <v>2006-00135</v>
          </cell>
          <cell r="B95">
            <v>2313</v>
          </cell>
          <cell r="C95">
            <v>0.18390000000000001</v>
          </cell>
          <cell r="D95">
            <v>0</v>
          </cell>
          <cell r="E95">
            <v>0</v>
          </cell>
          <cell r="F95">
            <v>0</v>
          </cell>
          <cell r="G95">
            <v>0.18390000000000001</v>
          </cell>
          <cell r="H95">
            <v>4.5575999999999999</v>
          </cell>
        </row>
        <row r="96">
          <cell r="A96" t="str">
            <v>2006-00324</v>
          </cell>
          <cell r="B96">
            <v>38930</v>
          </cell>
          <cell r="C96">
            <v>0.18390000000000001</v>
          </cell>
          <cell r="D96">
            <v>0</v>
          </cell>
          <cell r="E96">
            <v>0</v>
          </cell>
          <cell r="F96">
            <v>0</v>
          </cell>
          <cell r="G96">
            <v>0.18390000000000001</v>
          </cell>
          <cell r="H96">
            <v>4.5575999999999999</v>
          </cell>
        </row>
        <row r="97">
          <cell r="A97" t="str">
            <v>2006-00428</v>
          </cell>
          <cell r="B97">
            <v>39022</v>
          </cell>
          <cell r="C97">
            <v>0.18390000000000001</v>
          </cell>
          <cell r="D97">
            <v>0</v>
          </cell>
          <cell r="E97">
            <v>0</v>
          </cell>
          <cell r="F97">
            <v>0</v>
          </cell>
          <cell r="G97">
            <v>0.18390000000000001</v>
          </cell>
          <cell r="H97">
            <v>4.5575999999999999</v>
          </cell>
        </row>
      </sheetData>
      <sheetData sheetId="44">
        <row r="7">
          <cell r="A7" t="str">
            <v>Case No.</v>
          </cell>
          <cell r="B7" t="str">
            <v>Effective</v>
          </cell>
          <cell r="C7" t="str">
            <v>TOP</v>
          </cell>
          <cell r="D7" t="str">
            <v>RF</v>
          </cell>
          <cell r="E7" t="str">
            <v>Non-Com</v>
          </cell>
        </row>
        <row r="8">
          <cell r="A8" t="str">
            <v>95-010</v>
          </cell>
          <cell r="B8">
            <v>34943</v>
          </cell>
          <cell r="C8">
            <v>8.2000000000000007E-3</v>
          </cell>
          <cell r="D8">
            <v>-1.5300000000000001E-2</v>
          </cell>
          <cell r="E8">
            <v>-7.1000000000000004E-3</v>
          </cell>
        </row>
        <row r="9">
          <cell r="A9" t="str">
            <v>95-010 A</v>
          </cell>
          <cell r="B9">
            <v>34999</v>
          </cell>
          <cell r="C9" t="str">
            <v>NA</v>
          </cell>
          <cell r="D9" t="str">
            <v>NA</v>
          </cell>
          <cell r="E9" t="str">
            <v>NA</v>
          </cell>
        </row>
        <row r="10">
          <cell r="A10" t="str">
            <v>95-010 B</v>
          </cell>
          <cell r="B10">
            <v>35004</v>
          </cell>
          <cell r="C10">
            <v>8.2000000000000007E-3</v>
          </cell>
          <cell r="D10">
            <v>0</v>
          </cell>
          <cell r="E10">
            <v>8.2000000000000007E-3</v>
          </cell>
        </row>
        <row r="11">
          <cell r="A11" t="str">
            <v>95-010 C</v>
          </cell>
          <cell r="B11">
            <v>35034</v>
          </cell>
          <cell r="C11">
            <v>8.2000000000000007E-3</v>
          </cell>
          <cell r="D11">
            <v>0</v>
          </cell>
          <cell r="E11">
            <v>8.2000000000000007E-3</v>
          </cell>
        </row>
        <row r="12">
          <cell r="A12" t="str">
            <v>95-010 D</v>
          </cell>
          <cell r="B12">
            <v>35065</v>
          </cell>
          <cell r="C12">
            <v>0</v>
          </cell>
          <cell r="D12">
            <v>0</v>
          </cell>
          <cell r="E12">
            <v>0</v>
          </cell>
        </row>
        <row r="13">
          <cell r="A13" t="str">
            <v>95-010 E</v>
          </cell>
          <cell r="B13">
            <v>35096</v>
          </cell>
          <cell r="C13">
            <v>0</v>
          </cell>
          <cell r="D13">
            <v>0</v>
          </cell>
          <cell r="E13">
            <v>0</v>
          </cell>
        </row>
        <row r="14">
          <cell r="A14" t="str">
            <v>95-010 F</v>
          </cell>
          <cell r="B14">
            <v>35125</v>
          </cell>
          <cell r="C14">
            <v>0</v>
          </cell>
          <cell r="D14">
            <v>0</v>
          </cell>
          <cell r="E14">
            <v>0</v>
          </cell>
        </row>
        <row r="15">
          <cell r="A15" t="str">
            <v>95-010 G</v>
          </cell>
          <cell r="B15">
            <v>35156</v>
          </cell>
          <cell r="C15">
            <v>0</v>
          </cell>
          <cell r="D15">
            <v>0</v>
          </cell>
          <cell r="E15">
            <v>0</v>
          </cell>
        </row>
        <row r="16">
          <cell r="A16" t="str">
            <v>95-010 H</v>
          </cell>
          <cell r="B16">
            <v>35186</v>
          </cell>
          <cell r="C16">
            <v>0</v>
          </cell>
          <cell r="D16">
            <v>0</v>
          </cell>
          <cell r="E16">
            <v>0</v>
          </cell>
        </row>
        <row r="17">
          <cell r="A17" t="str">
            <v>95-010 I</v>
          </cell>
          <cell r="B17">
            <v>35217</v>
          </cell>
          <cell r="C17">
            <v>0</v>
          </cell>
          <cell r="D17">
            <v>0</v>
          </cell>
          <cell r="E17">
            <v>0</v>
          </cell>
        </row>
        <row r="18">
          <cell r="A18" t="str">
            <v>95-010 J</v>
          </cell>
          <cell r="B18">
            <v>35247</v>
          </cell>
          <cell r="C18">
            <v>0</v>
          </cell>
          <cell r="D18">
            <v>0</v>
          </cell>
          <cell r="E18">
            <v>0</v>
          </cell>
        </row>
        <row r="19">
          <cell r="A19" t="str">
            <v>95-010 K</v>
          </cell>
          <cell r="B19">
            <v>35278</v>
          </cell>
          <cell r="C19">
            <v>0</v>
          </cell>
          <cell r="D19">
            <v>0</v>
          </cell>
          <cell r="E19">
            <v>0</v>
          </cell>
        </row>
        <row r="20">
          <cell r="A20" t="str">
            <v>95-010 L</v>
          </cell>
          <cell r="B20">
            <v>35309</v>
          </cell>
          <cell r="C20">
            <v>0</v>
          </cell>
          <cell r="D20">
            <v>0</v>
          </cell>
          <cell r="E20">
            <v>0</v>
          </cell>
        </row>
        <row r="21">
          <cell r="A21" t="str">
            <v>95-010 M</v>
          </cell>
          <cell r="B21">
            <v>35339</v>
          </cell>
          <cell r="C21">
            <v>0</v>
          </cell>
          <cell r="D21">
            <v>0</v>
          </cell>
          <cell r="E21">
            <v>0</v>
          </cell>
        </row>
        <row r="22">
          <cell r="A22" t="str">
            <v>95-010 N</v>
          </cell>
          <cell r="B22">
            <v>35370</v>
          </cell>
          <cell r="C22">
            <v>0</v>
          </cell>
          <cell r="D22">
            <v>0</v>
          </cell>
          <cell r="E22">
            <v>0</v>
          </cell>
        </row>
        <row r="23">
          <cell r="A23" t="str">
            <v>95-010 O</v>
          </cell>
          <cell r="B23">
            <v>35400</v>
          </cell>
          <cell r="C23">
            <v>0</v>
          </cell>
          <cell r="D23">
            <v>0</v>
          </cell>
          <cell r="E23">
            <v>0</v>
          </cell>
        </row>
        <row r="24">
          <cell r="A24" t="str">
            <v>95-010 P</v>
          </cell>
          <cell r="B24">
            <v>35431</v>
          </cell>
          <cell r="C24">
            <v>0</v>
          </cell>
          <cell r="D24">
            <v>0</v>
          </cell>
          <cell r="E24">
            <v>0</v>
          </cell>
        </row>
        <row r="25">
          <cell r="A25" t="str">
            <v>95-010 Q</v>
          </cell>
          <cell r="B25">
            <v>35462</v>
          </cell>
          <cell r="C25">
            <v>0</v>
          </cell>
          <cell r="D25">
            <v>0</v>
          </cell>
          <cell r="E25">
            <v>0</v>
          </cell>
        </row>
        <row r="26">
          <cell r="A26" t="str">
            <v>95-010 R</v>
          </cell>
          <cell r="B26">
            <v>35490</v>
          </cell>
          <cell r="C26">
            <v>0</v>
          </cell>
          <cell r="D26">
            <v>0</v>
          </cell>
          <cell r="E26">
            <v>0</v>
          </cell>
        </row>
        <row r="27">
          <cell r="A27" t="str">
            <v>95-010 S</v>
          </cell>
          <cell r="B27">
            <v>35521</v>
          </cell>
          <cell r="C27">
            <v>0</v>
          </cell>
          <cell r="D27">
            <v>0</v>
          </cell>
          <cell r="E27">
            <v>0</v>
          </cell>
        </row>
        <row r="28">
          <cell r="A28" t="str">
            <v>95-010 T</v>
          </cell>
          <cell r="B28">
            <v>35551</v>
          </cell>
          <cell r="C28">
            <v>0</v>
          </cell>
          <cell r="D28">
            <v>0</v>
          </cell>
          <cell r="E28">
            <v>0</v>
          </cell>
        </row>
        <row r="29">
          <cell r="A29" t="str">
            <v>95-010 U</v>
          </cell>
          <cell r="B29">
            <v>35582</v>
          </cell>
          <cell r="C29">
            <v>0</v>
          </cell>
          <cell r="D29">
            <v>0</v>
          </cell>
          <cell r="E29">
            <v>0</v>
          </cell>
        </row>
        <row r="30">
          <cell r="A30" t="str">
            <v>95-010 V</v>
          </cell>
          <cell r="B30">
            <v>35612</v>
          </cell>
          <cell r="C30">
            <v>0</v>
          </cell>
          <cell r="D30">
            <v>0</v>
          </cell>
          <cell r="E30">
            <v>0</v>
          </cell>
        </row>
        <row r="31">
          <cell r="A31" t="str">
            <v>95-010 W</v>
          </cell>
          <cell r="B31">
            <v>35643</v>
          </cell>
          <cell r="C31">
            <v>0</v>
          </cell>
          <cell r="D31">
            <v>0</v>
          </cell>
          <cell r="E31">
            <v>0</v>
          </cell>
        </row>
        <row r="32">
          <cell r="A32" t="str">
            <v>95-010 X</v>
          </cell>
          <cell r="B32">
            <v>35674</v>
          </cell>
          <cell r="C32">
            <v>0</v>
          </cell>
          <cell r="D32">
            <v>0</v>
          </cell>
          <cell r="E32">
            <v>0</v>
          </cell>
        </row>
        <row r="33">
          <cell r="A33" t="str">
            <v>95-010 Y</v>
          </cell>
          <cell r="B33">
            <v>35704</v>
          </cell>
          <cell r="C33">
            <v>0</v>
          </cell>
          <cell r="D33">
            <v>0</v>
          </cell>
          <cell r="E33">
            <v>0</v>
          </cell>
        </row>
        <row r="34">
          <cell r="A34" t="str">
            <v>95-010 Z</v>
          </cell>
          <cell r="B34">
            <v>35735</v>
          </cell>
          <cell r="C34">
            <v>0</v>
          </cell>
          <cell r="D34">
            <v>0</v>
          </cell>
          <cell r="E34">
            <v>0</v>
          </cell>
        </row>
        <row r="35">
          <cell r="A35" t="str">
            <v>95-010 AA</v>
          </cell>
          <cell r="B35">
            <v>35765</v>
          </cell>
          <cell r="C35">
            <v>0</v>
          </cell>
          <cell r="D35">
            <v>0</v>
          </cell>
          <cell r="E35">
            <v>0</v>
          </cell>
        </row>
        <row r="36">
          <cell r="A36" t="str">
            <v>95-010 BB</v>
          </cell>
          <cell r="B36">
            <v>35796</v>
          </cell>
          <cell r="C36">
            <v>0</v>
          </cell>
          <cell r="D36">
            <v>0</v>
          </cell>
          <cell r="E36">
            <v>0</v>
          </cell>
        </row>
        <row r="37">
          <cell r="A37" t="str">
            <v>95-010 CC</v>
          </cell>
          <cell r="B37">
            <v>35827</v>
          </cell>
          <cell r="C37">
            <v>0</v>
          </cell>
          <cell r="D37">
            <v>0</v>
          </cell>
          <cell r="E37">
            <v>0</v>
          </cell>
        </row>
        <row r="38">
          <cell r="A38" t="str">
            <v>95-010 DD</v>
          </cell>
          <cell r="B38">
            <v>35855</v>
          </cell>
          <cell r="C38">
            <v>0</v>
          </cell>
          <cell r="D38">
            <v>0</v>
          </cell>
          <cell r="E38">
            <v>0</v>
          </cell>
        </row>
        <row r="39">
          <cell r="A39" t="str">
            <v>95-010 EE</v>
          </cell>
          <cell r="B39">
            <v>35886</v>
          </cell>
          <cell r="C39">
            <v>0</v>
          </cell>
          <cell r="D39">
            <v>0</v>
          </cell>
          <cell r="E39">
            <v>0</v>
          </cell>
        </row>
        <row r="40">
          <cell r="A40" t="str">
            <v>95-010 FF</v>
          </cell>
          <cell r="B40">
            <v>35916</v>
          </cell>
          <cell r="C40">
            <v>0</v>
          </cell>
          <cell r="D40">
            <v>0</v>
          </cell>
          <cell r="E40">
            <v>0</v>
          </cell>
        </row>
        <row r="41">
          <cell r="A41" t="str">
            <v>95-010 GG</v>
          </cell>
          <cell r="B41">
            <v>35947</v>
          </cell>
          <cell r="C41">
            <v>0</v>
          </cell>
          <cell r="D41">
            <v>0</v>
          </cell>
          <cell r="E41">
            <v>0</v>
          </cell>
        </row>
        <row r="42">
          <cell r="A42" t="str">
            <v>95-010 HH</v>
          </cell>
          <cell r="B42">
            <v>35977</v>
          </cell>
          <cell r="C42">
            <v>0</v>
          </cell>
          <cell r="D42">
            <v>0</v>
          </cell>
          <cell r="E42">
            <v>0</v>
          </cell>
        </row>
        <row r="43">
          <cell r="A43" t="str">
            <v>95-010 II</v>
          </cell>
          <cell r="B43">
            <v>36008</v>
          </cell>
          <cell r="C43">
            <v>0</v>
          </cell>
          <cell r="D43">
            <v>0</v>
          </cell>
          <cell r="E43">
            <v>0</v>
          </cell>
        </row>
        <row r="44">
          <cell r="A44" t="str">
            <v>95-010 JJ</v>
          </cell>
          <cell r="B44">
            <v>36039</v>
          </cell>
          <cell r="C44">
            <v>0</v>
          </cell>
          <cell r="D44">
            <v>0</v>
          </cell>
          <cell r="E44">
            <v>0</v>
          </cell>
        </row>
        <row r="45">
          <cell r="A45" t="str">
            <v>95-010 KK</v>
          </cell>
          <cell r="B45">
            <v>36069</v>
          </cell>
          <cell r="C45">
            <v>0</v>
          </cell>
          <cell r="D45">
            <v>0</v>
          </cell>
          <cell r="E45">
            <v>0</v>
          </cell>
        </row>
        <row r="46">
          <cell r="A46" t="str">
            <v>95-010 LL</v>
          </cell>
          <cell r="B46">
            <v>36100</v>
          </cell>
          <cell r="C46">
            <v>0</v>
          </cell>
          <cell r="D46">
            <v>0</v>
          </cell>
          <cell r="E46">
            <v>0</v>
          </cell>
        </row>
        <row r="47">
          <cell r="A47" t="str">
            <v>95-010 MM</v>
          </cell>
          <cell r="B47">
            <v>36130</v>
          </cell>
          <cell r="C47">
            <v>0</v>
          </cell>
          <cell r="D47">
            <v>0</v>
          </cell>
          <cell r="E47">
            <v>0</v>
          </cell>
        </row>
        <row r="48">
          <cell r="A48" t="str">
            <v>95-010 NN</v>
          </cell>
          <cell r="B48">
            <v>36161</v>
          </cell>
          <cell r="C48">
            <v>0</v>
          </cell>
          <cell r="D48">
            <v>0</v>
          </cell>
          <cell r="E48">
            <v>0</v>
          </cell>
        </row>
        <row r="49">
          <cell r="A49" t="str">
            <v>95-010 OO</v>
          </cell>
          <cell r="B49">
            <v>36192</v>
          </cell>
          <cell r="C49">
            <v>0</v>
          </cell>
          <cell r="D49">
            <v>0</v>
          </cell>
          <cell r="E49">
            <v>0</v>
          </cell>
        </row>
        <row r="50">
          <cell r="A50" t="str">
            <v>95-010 PP</v>
          </cell>
          <cell r="B50">
            <v>36220</v>
          </cell>
          <cell r="C50">
            <v>0</v>
          </cell>
          <cell r="D50">
            <v>0</v>
          </cell>
          <cell r="E50">
            <v>0</v>
          </cell>
        </row>
        <row r="51">
          <cell r="A51" t="str">
            <v>95-010 QQ</v>
          </cell>
          <cell r="B51">
            <v>36251</v>
          </cell>
          <cell r="C51">
            <v>0</v>
          </cell>
          <cell r="D51">
            <v>0</v>
          </cell>
          <cell r="E51">
            <v>0</v>
          </cell>
        </row>
        <row r="52">
          <cell r="A52" t="str">
            <v>95-010 RR</v>
          </cell>
          <cell r="B52">
            <v>36281</v>
          </cell>
          <cell r="C52">
            <v>0</v>
          </cell>
          <cell r="D52">
            <v>0</v>
          </cell>
          <cell r="E52">
            <v>0</v>
          </cell>
        </row>
        <row r="53">
          <cell r="A53" t="str">
            <v>95-010 SS</v>
          </cell>
          <cell r="B53">
            <v>36312</v>
          </cell>
          <cell r="C53">
            <v>0</v>
          </cell>
          <cell r="D53">
            <v>0</v>
          </cell>
          <cell r="E53">
            <v>0</v>
          </cell>
        </row>
        <row r="54">
          <cell r="A54" t="str">
            <v>95-010 TT</v>
          </cell>
          <cell r="B54">
            <v>36342</v>
          </cell>
          <cell r="C54">
            <v>0</v>
          </cell>
          <cell r="D54">
            <v>0</v>
          </cell>
          <cell r="E54">
            <v>0</v>
          </cell>
        </row>
        <row r="55">
          <cell r="A55" t="str">
            <v>95-010 UU</v>
          </cell>
          <cell r="B55">
            <v>36373</v>
          </cell>
          <cell r="C55">
            <v>0</v>
          </cell>
          <cell r="D55">
            <v>0</v>
          </cell>
          <cell r="E55">
            <v>0</v>
          </cell>
        </row>
        <row r="56">
          <cell r="A56" t="str">
            <v>95-010 VV</v>
          </cell>
          <cell r="B56">
            <v>36404</v>
          </cell>
          <cell r="C56">
            <v>0</v>
          </cell>
          <cell r="D56">
            <v>0</v>
          </cell>
          <cell r="E56">
            <v>0</v>
          </cell>
        </row>
        <row r="57">
          <cell r="A57" t="str">
            <v>95-010 WW</v>
          </cell>
          <cell r="B57">
            <v>36434</v>
          </cell>
          <cell r="C57">
            <v>0</v>
          </cell>
          <cell r="D57">
            <v>0</v>
          </cell>
          <cell r="E57">
            <v>0</v>
          </cell>
        </row>
        <row r="58">
          <cell r="A58" t="str">
            <v>95-010 XX</v>
          </cell>
          <cell r="B58">
            <v>36465</v>
          </cell>
          <cell r="C58">
            <v>0</v>
          </cell>
          <cell r="D58">
            <v>0</v>
          </cell>
          <cell r="E58">
            <v>0</v>
          </cell>
        </row>
        <row r="59">
          <cell r="A59" t="str">
            <v>95-010 YY</v>
          </cell>
          <cell r="B59">
            <v>36495</v>
          </cell>
          <cell r="C59">
            <v>0</v>
          </cell>
          <cell r="D59">
            <v>0</v>
          </cell>
          <cell r="E59">
            <v>0</v>
          </cell>
        </row>
        <row r="60">
          <cell r="A60" t="str">
            <v>99-070</v>
          </cell>
          <cell r="B60">
            <v>36526</v>
          </cell>
          <cell r="C60">
            <v>0</v>
          </cell>
          <cell r="D60">
            <v>0</v>
          </cell>
          <cell r="E60">
            <v>0</v>
          </cell>
        </row>
        <row r="61">
          <cell r="A61" t="str">
            <v>99-070 A</v>
          </cell>
          <cell r="B61">
            <v>36557</v>
          </cell>
          <cell r="C61">
            <v>0</v>
          </cell>
          <cell r="D61">
            <v>0</v>
          </cell>
          <cell r="E61">
            <v>0</v>
          </cell>
        </row>
        <row r="62">
          <cell r="A62" t="str">
            <v>1999-070 B</v>
          </cell>
          <cell r="B62">
            <v>36617</v>
          </cell>
          <cell r="C62">
            <v>0</v>
          </cell>
          <cell r="D62">
            <v>0</v>
          </cell>
          <cell r="E62">
            <v>0</v>
          </cell>
        </row>
        <row r="63">
          <cell r="A63" t="str">
            <v>1999-070 C</v>
          </cell>
          <cell r="B63">
            <v>36647</v>
          </cell>
          <cell r="C63">
            <v>0</v>
          </cell>
          <cell r="D63">
            <v>0</v>
          </cell>
          <cell r="E63">
            <v>0</v>
          </cell>
        </row>
        <row r="64">
          <cell r="A64" t="str">
            <v>1999-070 D</v>
          </cell>
          <cell r="B64">
            <v>36708</v>
          </cell>
          <cell r="C64">
            <v>0</v>
          </cell>
          <cell r="D64">
            <v>0</v>
          </cell>
          <cell r="E64">
            <v>0</v>
          </cell>
        </row>
        <row r="65">
          <cell r="A65" t="str">
            <v>1999-070 E</v>
          </cell>
          <cell r="B65">
            <v>36739</v>
          </cell>
          <cell r="C65">
            <v>0</v>
          </cell>
          <cell r="D65">
            <v>0</v>
          </cell>
          <cell r="E65">
            <v>0</v>
          </cell>
        </row>
        <row r="66">
          <cell r="A66" t="str">
            <v>1999-070 F</v>
          </cell>
          <cell r="B66">
            <v>36800</v>
          </cell>
          <cell r="C66">
            <v>0</v>
          </cell>
          <cell r="D66">
            <v>0</v>
          </cell>
          <cell r="E66">
            <v>0</v>
          </cell>
        </row>
        <row r="67">
          <cell r="A67" t="str">
            <v>1999-070 G</v>
          </cell>
          <cell r="B67">
            <v>36831</v>
          </cell>
          <cell r="C67">
            <v>0</v>
          </cell>
          <cell r="D67">
            <v>0</v>
          </cell>
          <cell r="E67">
            <v>0</v>
          </cell>
        </row>
        <row r="68">
          <cell r="A68" t="str">
            <v>1999-070 H</v>
          </cell>
          <cell r="B68">
            <v>36923</v>
          </cell>
          <cell r="C68">
            <v>0</v>
          </cell>
          <cell r="D68">
            <v>0</v>
          </cell>
          <cell r="E68">
            <v>0</v>
          </cell>
        </row>
        <row r="69">
          <cell r="A69" t="str">
            <v>1999-070 I</v>
          </cell>
          <cell r="B69">
            <v>36951</v>
          </cell>
          <cell r="C69">
            <v>0</v>
          </cell>
          <cell r="D69">
            <v>0</v>
          </cell>
          <cell r="E69">
            <v>0</v>
          </cell>
        </row>
        <row r="70">
          <cell r="A70" t="str">
            <v>1999-070 J</v>
          </cell>
          <cell r="B70">
            <v>36982</v>
          </cell>
          <cell r="C70">
            <v>0</v>
          </cell>
          <cell r="D70">
            <v>0</v>
          </cell>
          <cell r="E70">
            <v>0</v>
          </cell>
        </row>
        <row r="71">
          <cell r="A71" t="str">
            <v>1999-070 K</v>
          </cell>
          <cell r="B71">
            <v>37012</v>
          </cell>
          <cell r="C71">
            <v>0</v>
          </cell>
          <cell r="D71">
            <v>0</v>
          </cell>
          <cell r="E71">
            <v>0</v>
          </cell>
        </row>
        <row r="72">
          <cell r="A72" t="str">
            <v>1999-070 L</v>
          </cell>
          <cell r="B72">
            <v>37043</v>
          </cell>
          <cell r="C72">
            <v>0</v>
          </cell>
          <cell r="D72">
            <v>0</v>
          </cell>
          <cell r="E72">
            <v>0</v>
          </cell>
        </row>
        <row r="73">
          <cell r="A73" t="str">
            <v>1999-070 M</v>
          </cell>
          <cell r="B73">
            <v>37073</v>
          </cell>
          <cell r="C73">
            <v>0</v>
          </cell>
          <cell r="D73">
            <v>0</v>
          </cell>
          <cell r="E73">
            <v>0</v>
          </cell>
        </row>
        <row r="74">
          <cell r="A74" t="str">
            <v>1999-070 N</v>
          </cell>
          <cell r="B74">
            <v>37104</v>
          </cell>
          <cell r="C74">
            <v>0</v>
          </cell>
          <cell r="D74">
            <v>0</v>
          </cell>
          <cell r="E74">
            <v>0</v>
          </cell>
        </row>
        <row r="75">
          <cell r="A75" t="str">
            <v>1999-070 O</v>
          </cell>
          <cell r="B75">
            <v>37196</v>
          </cell>
          <cell r="C75">
            <v>0</v>
          </cell>
          <cell r="D75">
            <v>0</v>
          </cell>
          <cell r="E75">
            <v>0</v>
          </cell>
        </row>
        <row r="76">
          <cell r="A76" t="str">
            <v>1999-070 P</v>
          </cell>
          <cell r="B76">
            <v>37288</v>
          </cell>
          <cell r="C76">
            <v>0</v>
          </cell>
          <cell r="D76">
            <v>0</v>
          </cell>
          <cell r="E76">
            <v>0</v>
          </cell>
        </row>
        <row r="77">
          <cell r="A77" t="str">
            <v>2002-00113</v>
          </cell>
          <cell r="B77">
            <v>37377</v>
          </cell>
          <cell r="C77">
            <v>0</v>
          </cell>
          <cell r="D77">
            <v>0</v>
          </cell>
          <cell r="E77">
            <v>0</v>
          </cell>
        </row>
        <row r="78">
          <cell r="A78" t="str">
            <v>2002-00251</v>
          </cell>
          <cell r="B78">
            <v>37469</v>
          </cell>
          <cell r="C78">
            <v>0</v>
          </cell>
          <cell r="D78">
            <v>0</v>
          </cell>
          <cell r="E78">
            <v>0</v>
          </cell>
        </row>
        <row r="79">
          <cell r="A79" t="str">
            <v>2002-00359</v>
          </cell>
          <cell r="B79">
            <v>37561</v>
          </cell>
          <cell r="C79">
            <v>0</v>
          </cell>
          <cell r="D79">
            <v>0</v>
          </cell>
          <cell r="E79">
            <v>0</v>
          </cell>
        </row>
        <row r="80">
          <cell r="A80" t="str">
            <v>2003-00002</v>
          </cell>
          <cell r="B80">
            <v>37653</v>
          </cell>
          <cell r="C80">
            <v>0</v>
          </cell>
          <cell r="D80">
            <v>0</v>
          </cell>
          <cell r="E80">
            <v>0</v>
          </cell>
        </row>
        <row r="81">
          <cell r="A81" t="str">
            <v>2003-00083</v>
          </cell>
          <cell r="B81">
            <v>37713</v>
          </cell>
          <cell r="C81">
            <v>0</v>
          </cell>
          <cell r="D81">
            <v>0</v>
          </cell>
          <cell r="E81">
            <v>0</v>
          </cell>
        </row>
        <row r="82">
          <cell r="A82" t="str">
            <v>2003-00126</v>
          </cell>
          <cell r="B82" t="str">
            <v>05/01/03</v>
          </cell>
          <cell r="C82">
            <v>0</v>
          </cell>
          <cell r="D82">
            <v>0</v>
          </cell>
          <cell r="E82">
            <v>0</v>
          </cell>
        </row>
        <row r="83">
          <cell r="A83" t="str">
            <v>2003-00258</v>
          </cell>
          <cell r="B83">
            <v>37834</v>
          </cell>
          <cell r="C83">
            <v>0</v>
          </cell>
          <cell r="D83">
            <v>0</v>
          </cell>
          <cell r="E83">
            <v>0</v>
          </cell>
        </row>
        <row r="84">
          <cell r="A84" t="str">
            <v>2003-00377</v>
          </cell>
          <cell r="B84">
            <v>37926</v>
          </cell>
          <cell r="C84">
            <v>0</v>
          </cell>
          <cell r="D84">
            <v>0</v>
          </cell>
          <cell r="E84">
            <v>0</v>
          </cell>
        </row>
        <row r="85">
          <cell r="A85" t="str">
            <v>2003-00504</v>
          </cell>
          <cell r="B85">
            <v>38018</v>
          </cell>
          <cell r="C85">
            <v>0</v>
          </cell>
          <cell r="D85">
            <v>0</v>
          </cell>
          <cell r="E85">
            <v>0</v>
          </cell>
        </row>
        <row r="86">
          <cell r="A86" t="str">
            <v>2004-00122</v>
          </cell>
          <cell r="B86">
            <v>38108</v>
          </cell>
          <cell r="C86">
            <v>0</v>
          </cell>
          <cell r="D86">
            <v>0</v>
          </cell>
          <cell r="E86">
            <v>0</v>
          </cell>
        </row>
        <row r="87">
          <cell r="A87" t="str">
            <v>2004-00269</v>
          </cell>
          <cell r="B87">
            <v>38200</v>
          </cell>
          <cell r="C87">
            <v>0</v>
          </cell>
          <cell r="D87">
            <v>0</v>
          </cell>
          <cell r="E87">
            <v>0</v>
          </cell>
        </row>
        <row r="88">
          <cell r="A88" t="str">
            <v>2004-00398</v>
          </cell>
          <cell r="B88">
            <v>38384</v>
          </cell>
          <cell r="C88">
            <v>0</v>
          </cell>
          <cell r="D88">
            <v>0</v>
          </cell>
          <cell r="E88">
            <v>0</v>
          </cell>
        </row>
        <row r="89">
          <cell r="A89" t="str">
            <v>2005-00013</v>
          </cell>
          <cell r="B89">
            <v>38384</v>
          </cell>
          <cell r="C89">
            <v>0</v>
          </cell>
          <cell r="D89">
            <v>0</v>
          </cell>
          <cell r="E89">
            <v>0</v>
          </cell>
        </row>
        <row r="90">
          <cell r="A90" t="str">
            <v>2005-00139</v>
          </cell>
          <cell r="B90">
            <v>38473</v>
          </cell>
          <cell r="C90">
            <v>0</v>
          </cell>
          <cell r="D90">
            <v>0</v>
          </cell>
          <cell r="E90">
            <v>0</v>
          </cell>
        </row>
        <row r="91">
          <cell r="A91" t="str">
            <v>2005-00271</v>
          </cell>
          <cell r="B91">
            <v>38565</v>
          </cell>
          <cell r="C91">
            <v>0</v>
          </cell>
          <cell r="D91">
            <v>0</v>
          </cell>
          <cell r="E91">
            <v>0</v>
          </cell>
        </row>
        <row r="92">
          <cell r="A92" t="str">
            <v>2005-00354</v>
          </cell>
          <cell r="B92">
            <v>38626</v>
          </cell>
          <cell r="C92">
            <v>0</v>
          </cell>
          <cell r="D92">
            <v>0</v>
          </cell>
          <cell r="E92">
            <v>0</v>
          </cell>
        </row>
        <row r="93">
          <cell r="A93" t="str">
            <v>2005-00399</v>
          </cell>
          <cell r="B93">
            <v>2132</v>
          </cell>
          <cell r="C93">
            <v>0</v>
          </cell>
          <cell r="D93">
            <v>0</v>
          </cell>
          <cell r="E93">
            <v>0</v>
          </cell>
        </row>
        <row r="94">
          <cell r="A94" t="str">
            <v>2005-00552</v>
          </cell>
          <cell r="B94">
            <v>2224</v>
          </cell>
          <cell r="C94">
            <v>0</v>
          </cell>
          <cell r="D94">
            <v>0</v>
          </cell>
          <cell r="E94">
            <v>0</v>
          </cell>
        </row>
        <row r="95">
          <cell r="A95" t="str">
            <v>2006-00135</v>
          </cell>
          <cell r="B95">
            <v>2313</v>
          </cell>
          <cell r="C95">
            <v>0</v>
          </cell>
          <cell r="D95">
            <v>0</v>
          </cell>
          <cell r="E95">
            <v>0</v>
          </cell>
        </row>
        <row r="96">
          <cell r="A96" t="str">
            <v>2006-00324</v>
          </cell>
          <cell r="B96">
            <v>2313</v>
          </cell>
          <cell r="C96">
            <v>0</v>
          </cell>
          <cell r="D96">
            <v>0</v>
          </cell>
          <cell r="E96">
            <v>0</v>
          </cell>
        </row>
        <row r="97">
          <cell r="A97" t="str">
            <v>2006-00428</v>
          </cell>
          <cell r="B97">
            <v>2497</v>
          </cell>
          <cell r="C97">
            <v>0</v>
          </cell>
          <cell r="D97">
            <v>0</v>
          </cell>
          <cell r="E97">
            <v>0</v>
          </cell>
        </row>
      </sheetData>
      <sheetData sheetId="45">
        <row r="7">
          <cell r="A7" t="str">
            <v>Case No.</v>
          </cell>
          <cell r="B7" t="str">
            <v>Effective</v>
          </cell>
          <cell r="C7" t="str">
            <v>Demand</v>
          </cell>
          <cell r="D7" t="str">
            <v>TOP</v>
          </cell>
          <cell r="E7" t="str">
            <v>Transition</v>
          </cell>
          <cell r="F7" t="str">
            <v>RF</v>
          </cell>
          <cell r="G7" t="str">
            <v>Non-Com</v>
          </cell>
        </row>
        <row r="8">
          <cell r="A8" t="str">
            <v>95-010</v>
          </cell>
          <cell r="B8">
            <v>34943</v>
          </cell>
          <cell r="C8">
            <v>0.28760000000000002</v>
          </cell>
          <cell r="D8">
            <v>8.2000000000000007E-3</v>
          </cell>
          <cell r="E8">
            <v>0.13819999999999999</v>
          </cell>
          <cell r="F8">
            <v>-5.4400000000000004E-2</v>
          </cell>
          <cell r="G8">
            <v>0.37959999999999999</v>
          </cell>
        </row>
        <row r="9">
          <cell r="A9" t="str">
            <v>95-010 A</v>
          </cell>
          <cell r="B9">
            <v>34999</v>
          </cell>
          <cell r="C9">
            <v>0.28760000000000002</v>
          </cell>
          <cell r="D9">
            <v>8.2000000000000007E-3</v>
          </cell>
          <cell r="E9">
            <v>0.1231</v>
          </cell>
          <cell r="F9">
            <v>-5.4400000000000004E-2</v>
          </cell>
          <cell r="G9">
            <v>0.36449999999999999</v>
          </cell>
        </row>
        <row r="10">
          <cell r="A10" t="str">
            <v>95-010 B</v>
          </cell>
          <cell r="B10">
            <v>35004</v>
          </cell>
          <cell r="C10">
            <v>0.28760000000000002</v>
          </cell>
          <cell r="D10">
            <v>8.2000000000000007E-3</v>
          </cell>
          <cell r="E10">
            <v>7.7499999999999999E-2</v>
          </cell>
          <cell r="F10">
            <v>-3.9100000000000003E-2</v>
          </cell>
          <cell r="G10">
            <v>0.3342</v>
          </cell>
        </row>
        <row r="11">
          <cell r="A11" t="str">
            <v>95-010 C</v>
          </cell>
          <cell r="B11">
            <v>35034</v>
          </cell>
          <cell r="C11">
            <v>0.28760000000000002</v>
          </cell>
          <cell r="D11">
            <v>8.2000000000000007E-3</v>
          </cell>
          <cell r="E11">
            <v>7.46E-2</v>
          </cell>
          <cell r="F11">
            <v>-3.9300000000000002E-2</v>
          </cell>
          <cell r="G11">
            <v>0.33110000000000001</v>
          </cell>
        </row>
        <row r="12">
          <cell r="A12" t="str">
            <v>95-010 D</v>
          </cell>
          <cell r="B12">
            <v>35065</v>
          </cell>
          <cell r="C12">
            <v>0.28410000000000002</v>
          </cell>
          <cell r="D12">
            <v>8.2000000000000007E-3</v>
          </cell>
          <cell r="E12">
            <v>7.46E-2</v>
          </cell>
          <cell r="F12">
            <v>-3.9300000000000002E-2</v>
          </cell>
          <cell r="G12">
            <v>0.3276</v>
          </cell>
        </row>
        <row r="13">
          <cell r="A13" t="str">
            <v>95-010 E</v>
          </cell>
          <cell r="B13">
            <v>35096</v>
          </cell>
          <cell r="C13">
            <v>0.28820000000000001</v>
          </cell>
          <cell r="D13">
            <v>0</v>
          </cell>
          <cell r="E13">
            <v>6.3200000000000006E-2</v>
          </cell>
          <cell r="F13">
            <v>-3.9300000000000002E-2</v>
          </cell>
          <cell r="G13">
            <v>0.31210000000000004</v>
          </cell>
        </row>
        <row r="14">
          <cell r="A14" t="str">
            <v>95-010 F</v>
          </cell>
          <cell r="B14">
            <v>35125</v>
          </cell>
          <cell r="C14">
            <v>0.28870000000000001</v>
          </cell>
          <cell r="D14">
            <v>0</v>
          </cell>
          <cell r="E14">
            <v>6.3200000000000006E-2</v>
          </cell>
          <cell r="F14">
            <v>-1.49E-2</v>
          </cell>
          <cell r="G14">
            <v>0.33699999999999997</v>
          </cell>
        </row>
        <row r="15">
          <cell r="A15" t="str">
            <v>95-010 G</v>
          </cell>
          <cell r="B15">
            <v>35156</v>
          </cell>
          <cell r="C15">
            <v>0.27360000000000001</v>
          </cell>
          <cell r="D15">
            <v>0</v>
          </cell>
          <cell r="E15">
            <v>6.6400000000000001E-2</v>
          </cell>
          <cell r="F15">
            <v>-7.3000000000000001E-3</v>
          </cell>
          <cell r="G15">
            <v>0.33270000000000005</v>
          </cell>
        </row>
        <row r="16">
          <cell r="A16" t="str">
            <v>95-010 H</v>
          </cell>
          <cell r="B16">
            <v>35186</v>
          </cell>
          <cell r="C16">
            <v>0.2432</v>
          </cell>
          <cell r="D16">
            <v>0</v>
          </cell>
          <cell r="E16">
            <v>6.6400000000000001E-2</v>
          </cell>
          <cell r="F16">
            <v>-7.3000000000000001E-3</v>
          </cell>
          <cell r="G16">
            <v>0.30230000000000001</v>
          </cell>
        </row>
        <row r="17">
          <cell r="A17" t="str">
            <v>95-010 I</v>
          </cell>
          <cell r="B17">
            <v>35217</v>
          </cell>
          <cell r="C17">
            <v>0.22789999999999999</v>
          </cell>
          <cell r="D17">
            <v>0</v>
          </cell>
          <cell r="E17">
            <v>4.2099999999999999E-2</v>
          </cell>
          <cell r="F17">
            <v>-2.5000000000000001E-2</v>
          </cell>
          <cell r="G17">
            <v>0.245</v>
          </cell>
        </row>
        <row r="18">
          <cell r="A18" t="str">
            <v>95-010 J</v>
          </cell>
          <cell r="B18">
            <v>35247</v>
          </cell>
          <cell r="C18">
            <v>0.2266</v>
          </cell>
          <cell r="D18">
            <v>0</v>
          </cell>
          <cell r="E18">
            <v>4.3499999999999997E-2</v>
          </cell>
          <cell r="F18">
            <v>-2.5600000000000001E-2</v>
          </cell>
          <cell r="G18">
            <v>0.2445</v>
          </cell>
        </row>
        <row r="19">
          <cell r="A19" t="str">
            <v>95-010 K</v>
          </cell>
          <cell r="B19">
            <v>35278</v>
          </cell>
          <cell r="C19">
            <v>0.22600000000000001</v>
          </cell>
          <cell r="D19">
            <v>0</v>
          </cell>
          <cell r="E19">
            <v>4.3499999999999997E-2</v>
          </cell>
          <cell r="F19">
            <v>-2.5600000000000001E-2</v>
          </cell>
          <cell r="G19">
            <v>0.24390000000000001</v>
          </cell>
        </row>
        <row r="20">
          <cell r="A20" t="str">
            <v>95-010 L</v>
          </cell>
          <cell r="B20">
            <v>35309</v>
          </cell>
          <cell r="C20">
            <v>0.23350000000000001</v>
          </cell>
          <cell r="D20">
            <v>0</v>
          </cell>
          <cell r="E20">
            <v>4.7500000000000001E-2</v>
          </cell>
          <cell r="F20">
            <v>-1.8499999999999999E-2</v>
          </cell>
          <cell r="G20">
            <v>0.26250000000000001</v>
          </cell>
        </row>
        <row r="21">
          <cell r="A21" t="str">
            <v>95-010 M</v>
          </cell>
          <cell r="B21">
            <v>35339</v>
          </cell>
          <cell r="C21">
            <v>0.2336</v>
          </cell>
          <cell r="D21">
            <v>0</v>
          </cell>
          <cell r="E21">
            <v>4.99E-2</v>
          </cell>
          <cell r="F21">
            <v>-1.8499999999999999E-2</v>
          </cell>
          <cell r="G21">
            <v>0.26500000000000001</v>
          </cell>
        </row>
        <row r="22">
          <cell r="A22" t="str">
            <v>95-010 N</v>
          </cell>
          <cell r="B22">
            <v>35370</v>
          </cell>
          <cell r="C22">
            <v>0.22359999999999999</v>
          </cell>
          <cell r="D22">
            <v>0</v>
          </cell>
          <cell r="E22">
            <v>4.9799999999999997E-2</v>
          </cell>
          <cell r="F22">
            <v>-1.8499999999999999E-2</v>
          </cell>
          <cell r="G22">
            <v>0.25490000000000002</v>
          </cell>
        </row>
        <row r="23">
          <cell r="A23" t="str">
            <v>95-010 O</v>
          </cell>
          <cell r="B23">
            <v>35400</v>
          </cell>
          <cell r="C23">
            <v>0.21629999999999999</v>
          </cell>
          <cell r="D23">
            <v>0</v>
          </cell>
          <cell r="E23">
            <v>4.9799999999999997E-2</v>
          </cell>
          <cell r="F23">
            <v>-1.83E-2</v>
          </cell>
          <cell r="G23">
            <v>0.24779999999999999</v>
          </cell>
        </row>
        <row r="24">
          <cell r="A24" t="str">
            <v>95-010 P</v>
          </cell>
          <cell r="B24">
            <v>35431</v>
          </cell>
          <cell r="C24">
            <v>0.21629999999999999</v>
          </cell>
          <cell r="D24">
            <v>0</v>
          </cell>
          <cell r="E24">
            <v>6.1899999999999997E-2</v>
          </cell>
          <cell r="F24">
            <v>-1.83E-2</v>
          </cell>
          <cell r="G24">
            <v>0.25990000000000002</v>
          </cell>
        </row>
        <row r="25">
          <cell r="A25" t="str">
            <v>95-010 Q</v>
          </cell>
          <cell r="B25">
            <v>35462</v>
          </cell>
          <cell r="C25">
            <v>0.21629999999999999</v>
          </cell>
          <cell r="D25">
            <v>0</v>
          </cell>
          <cell r="E25">
            <v>6.1800000000000001E-2</v>
          </cell>
          <cell r="F25">
            <v>-1.83E-2</v>
          </cell>
          <cell r="G25">
            <v>0.25979999999999998</v>
          </cell>
        </row>
        <row r="26">
          <cell r="A26" t="str">
            <v>95-010 R</v>
          </cell>
          <cell r="B26">
            <v>35490</v>
          </cell>
          <cell r="C26">
            <v>0.21640000000000001</v>
          </cell>
          <cell r="D26">
            <v>0</v>
          </cell>
          <cell r="E26">
            <v>6.1800000000000001E-2</v>
          </cell>
          <cell r="F26">
            <v>-1.83E-2</v>
          </cell>
          <cell r="G26">
            <v>0.25990000000000002</v>
          </cell>
        </row>
        <row r="27">
          <cell r="A27" t="str">
            <v>95-010 S</v>
          </cell>
          <cell r="B27">
            <v>35521</v>
          </cell>
          <cell r="C27">
            <v>0.2122</v>
          </cell>
          <cell r="D27">
            <v>0</v>
          </cell>
          <cell r="E27">
            <v>6.1800000000000001E-2</v>
          </cell>
          <cell r="F27">
            <v>-1.83E-2</v>
          </cell>
          <cell r="G27">
            <v>0.25570000000000004</v>
          </cell>
        </row>
        <row r="28">
          <cell r="A28" t="str">
            <v>95-010 T</v>
          </cell>
          <cell r="B28">
            <v>35551</v>
          </cell>
          <cell r="C28">
            <v>0.2122</v>
          </cell>
          <cell r="D28">
            <v>0</v>
          </cell>
          <cell r="E28">
            <v>6.1800000000000001E-2</v>
          </cell>
          <cell r="F28">
            <v>-1.83E-2</v>
          </cell>
          <cell r="G28">
            <v>0.25570000000000004</v>
          </cell>
        </row>
        <row r="29">
          <cell r="A29" t="str">
            <v>95-010 U</v>
          </cell>
          <cell r="B29">
            <v>35582</v>
          </cell>
          <cell r="C29">
            <v>0.22550000000000001</v>
          </cell>
          <cell r="D29">
            <v>0</v>
          </cell>
          <cell r="E29">
            <v>5.2900000000000003E-2</v>
          </cell>
          <cell r="F29">
            <v>-5.9999999999999995E-4</v>
          </cell>
          <cell r="G29">
            <v>0.27779999999999999</v>
          </cell>
        </row>
        <row r="30">
          <cell r="A30" t="str">
            <v>95-010 V</v>
          </cell>
          <cell r="B30">
            <v>35612</v>
          </cell>
          <cell r="C30">
            <v>0.22550000000000001</v>
          </cell>
          <cell r="D30">
            <v>0</v>
          </cell>
          <cell r="E30">
            <v>5.2900000000000003E-2</v>
          </cell>
          <cell r="F30">
            <v>-1.35E-2</v>
          </cell>
          <cell r="G30">
            <v>0.26489999999999997</v>
          </cell>
        </row>
        <row r="31">
          <cell r="A31" t="str">
            <v>95-010 W</v>
          </cell>
          <cell r="B31">
            <v>35643</v>
          </cell>
          <cell r="C31">
            <v>0.2631</v>
          </cell>
          <cell r="D31">
            <v>0</v>
          </cell>
          <cell r="E31">
            <v>5.1999999999999998E-2</v>
          </cell>
          <cell r="F31">
            <v>-1.35E-2</v>
          </cell>
          <cell r="G31">
            <v>0.30159999999999998</v>
          </cell>
        </row>
        <row r="32">
          <cell r="A32" t="str">
            <v>95-010 X</v>
          </cell>
          <cell r="B32">
            <v>35674</v>
          </cell>
          <cell r="C32">
            <v>0.2225</v>
          </cell>
          <cell r="D32">
            <v>0</v>
          </cell>
          <cell r="E32">
            <v>5.1999999999999998E-2</v>
          </cell>
          <cell r="F32">
            <v>-1.35E-2</v>
          </cell>
          <cell r="G32">
            <v>0.26100000000000001</v>
          </cell>
        </row>
        <row r="33">
          <cell r="A33" t="str">
            <v>95-010 Y</v>
          </cell>
          <cell r="B33">
            <v>35704</v>
          </cell>
          <cell r="C33">
            <v>0.2225</v>
          </cell>
          <cell r="D33">
            <v>0</v>
          </cell>
          <cell r="E33">
            <v>5.9200000000000003E-2</v>
          </cell>
          <cell r="F33">
            <v>-1.35E-2</v>
          </cell>
          <cell r="G33">
            <v>0.26819999999999999</v>
          </cell>
        </row>
        <row r="34">
          <cell r="A34" t="str">
            <v>95-010 Z</v>
          </cell>
          <cell r="B34">
            <v>35735</v>
          </cell>
          <cell r="C34">
            <v>0.2225</v>
          </cell>
          <cell r="D34">
            <v>0</v>
          </cell>
          <cell r="E34">
            <v>5.9200000000000003E-2</v>
          </cell>
          <cell r="F34">
            <v>-1.35E-2</v>
          </cell>
          <cell r="G34">
            <v>0.26819999999999999</v>
          </cell>
        </row>
        <row r="35">
          <cell r="A35" t="str">
            <v>95-010 AA</v>
          </cell>
          <cell r="B35">
            <v>35765</v>
          </cell>
          <cell r="C35">
            <v>0.2631</v>
          </cell>
          <cell r="D35">
            <v>0</v>
          </cell>
          <cell r="E35">
            <v>5.9200000000000003E-2</v>
          </cell>
          <cell r="F35">
            <v>-1.35E-2</v>
          </cell>
          <cell r="G35">
            <v>0.30880000000000002</v>
          </cell>
        </row>
        <row r="36">
          <cell r="A36" t="str">
            <v>95-010 BB</v>
          </cell>
          <cell r="B36">
            <v>35796</v>
          </cell>
          <cell r="C36">
            <v>0.2631</v>
          </cell>
          <cell r="D36">
            <v>0</v>
          </cell>
          <cell r="E36">
            <v>5.9200000000000003E-2</v>
          </cell>
          <cell r="F36">
            <v>-1.35E-2</v>
          </cell>
          <cell r="G36">
            <v>0.30880000000000002</v>
          </cell>
        </row>
        <row r="37">
          <cell r="A37" t="str">
            <v>95-010 CC</v>
          </cell>
          <cell r="B37">
            <v>35827</v>
          </cell>
          <cell r="C37">
            <v>0.2631</v>
          </cell>
          <cell r="D37">
            <v>0</v>
          </cell>
          <cell r="E37">
            <v>5.9200000000000003E-2</v>
          </cell>
          <cell r="F37">
            <v>-1.35E-2</v>
          </cell>
          <cell r="G37">
            <v>0.30880000000000002</v>
          </cell>
        </row>
        <row r="38">
          <cell r="A38" t="str">
            <v>95-010 DD</v>
          </cell>
          <cell r="B38">
            <v>35855</v>
          </cell>
          <cell r="C38">
            <v>0.23119999999999999</v>
          </cell>
          <cell r="D38">
            <v>0</v>
          </cell>
          <cell r="E38">
            <v>3.09E-2</v>
          </cell>
          <cell r="F38">
            <v>-1.35E-2</v>
          </cell>
          <cell r="G38">
            <v>0.24859999999999999</v>
          </cell>
        </row>
        <row r="39">
          <cell r="A39" t="str">
            <v>95-010 EE</v>
          </cell>
          <cell r="B39">
            <v>35886</v>
          </cell>
          <cell r="C39">
            <v>0.21690000000000001</v>
          </cell>
          <cell r="D39">
            <v>0</v>
          </cell>
          <cell r="E39">
            <v>1.8599999999999998E-2</v>
          </cell>
          <cell r="F39">
            <v>-1.35E-2</v>
          </cell>
          <cell r="G39">
            <v>0.222</v>
          </cell>
        </row>
        <row r="40">
          <cell r="A40" t="str">
            <v>95-010 FF</v>
          </cell>
          <cell r="B40">
            <v>35916</v>
          </cell>
          <cell r="C40">
            <v>0.21690000000000001</v>
          </cell>
          <cell r="D40">
            <v>0</v>
          </cell>
          <cell r="E40">
            <v>1.8599999999999998E-2</v>
          </cell>
          <cell r="F40">
            <v>-1.35E-2</v>
          </cell>
          <cell r="G40">
            <v>0.222</v>
          </cell>
        </row>
        <row r="41">
          <cell r="A41" t="str">
            <v>95-010 GG</v>
          </cell>
          <cell r="B41">
            <v>35947</v>
          </cell>
          <cell r="C41">
            <v>0.21690000000000001</v>
          </cell>
          <cell r="D41">
            <v>0</v>
          </cell>
          <cell r="E41">
            <v>1.8599999999999998E-2</v>
          </cell>
          <cell r="F41">
            <v>0</v>
          </cell>
          <cell r="G41">
            <v>0.23550000000000001</v>
          </cell>
        </row>
        <row r="42">
          <cell r="A42" t="str">
            <v>95-010 HH</v>
          </cell>
          <cell r="B42">
            <v>35977</v>
          </cell>
          <cell r="C42">
            <v>0.21690000000000001</v>
          </cell>
          <cell r="D42">
            <v>0</v>
          </cell>
          <cell r="E42">
            <v>1.8599999999999998E-2</v>
          </cell>
          <cell r="F42">
            <v>-8.0000000000000004E-4</v>
          </cell>
          <cell r="G42">
            <v>0.23470000000000002</v>
          </cell>
        </row>
        <row r="43">
          <cell r="A43" t="str">
            <v>95-010 II</v>
          </cell>
          <cell r="B43">
            <v>36008</v>
          </cell>
          <cell r="C43">
            <v>0.21690000000000001</v>
          </cell>
          <cell r="D43">
            <v>0</v>
          </cell>
          <cell r="E43">
            <v>1.8599999999999998E-2</v>
          </cell>
          <cell r="F43">
            <v>-8.0000000000000004E-4</v>
          </cell>
          <cell r="G43">
            <v>0.23470000000000002</v>
          </cell>
        </row>
        <row r="44">
          <cell r="A44" t="str">
            <v>95-010 JJ</v>
          </cell>
          <cell r="B44">
            <v>36039</v>
          </cell>
          <cell r="C44">
            <v>0.21690000000000001</v>
          </cell>
          <cell r="D44">
            <v>0</v>
          </cell>
          <cell r="E44">
            <v>1.8599999999999998E-2</v>
          </cell>
          <cell r="F44">
            <v>-8.0000000000000004E-4</v>
          </cell>
          <cell r="G44">
            <v>0.23470000000000002</v>
          </cell>
        </row>
        <row r="45">
          <cell r="A45" t="str">
            <v>95-010 KK</v>
          </cell>
          <cell r="B45">
            <v>36069</v>
          </cell>
          <cell r="C45">
            <v>0.21690000000000001</v>
          </cell>
          <cell r="D45">
            <v>0</v>
          </cell>
          <cell r="E45">
            <v>1.8599999999999998E-2</v>
          </cell>
          <cell r="F45">
            <v>-8.0000000000000004E-4</v>
          </cell>
          <cell r="G45">
            <v>0.23470000000000002</v>
          </cell>
        </row>
        <row r="46">
          <cell r="A46" t="str">
            <v>95-010 LL</v>
          </cell>
          <cell r="B46">
            <v>36100</v>
          </cell>
          <cell r="C46">
            <v>0.19939999999999999</v>
          </cell>
          <cell r="D46">
            <v>0</v>
          </cell>
          <cell r="E46">
            <v>1.8599999999999998E-2</v>
          </cell>
          <cell r="F46">
            <v>-8.0000000000000004E-4</v>
          </cell>
          <cell r="G46">
            <v>0.2172</v>
          </cell>
        </row>
        <row r="47">
          <cell r="A47" t="str">
            <v>95-010 MM</v>
          </cell>
          <cell r="B47">
            <v>36130</v>
          </cell>
          <cell r="C47">
            <v>0.19939999999999999</v>
          </cell>
          <cell r="D47">
            <v>0</v>
          </cell>
          <cell r="E47">
            <v>1.8599999999999998E-2</v>
          </cell>
          <cell r="F47">
            <v>-8.0000000000000004E-4</v>
          </cell>
          <cell r="G47">
            <v>0.2172</v>
          </cell>
        </row>
        <row r="48">
          <cell r="A48" t="str">
            <v>95-010 NN</v>
          </cell>
          <cell r="B48">
            <v>36161</v>
          </cell>
          <cell r="C48">
            <v>0.19939999999999999</v>
          </cell>
          <cell r="D48">
            <v>0</v>
          </cell>
          <cell r="E48">
            <v>1.8599999999999998E-2</v>
          </cell>
          <cell r="F48">
            <v>-8.0000000000000004E-4</v>
          </cell>
          <cell r="G48">
            <v>0.2172</v>
          </cell>
        </row>
        <row r="49">
          <cell r="A49" t="str">
            <v>95-010 OO</v>
          </cell>
          <cell r="B49">
            <v>36192</v>
          </cell>
          <cell r="C49">
            <v>0.19939999999999999</v>
          </cell>
          <cell r="D49">
            <v>0</v>
          </cell>
          <cell r="E49">
            <v>1.8599999999999998E-2</v>
          </cell>
          <cell r="F49">
            <v>-8.0000000000000004E-4</v>
          </cell>
          <cell r="G49">
            <v>0.2172</v>
          </cell>
        </row>
        <row r="50">
          <cell r="A50" t="str">
            <v>95-010 PP</v>
          </cell>
          <cell r="B50">
            <v>36220</v>
          </cell>
          <cell r="C50">
            <v>0.19939999999999999</v>
          </cell>
          <cell r="D50">
            <v>0</v>
          </cell>
          <cell r="E50">
            <v>1.8599999999999998E-2</v>
          </cell>
          <cell r="F50">
            <v>-8.0000000000000004E-4</v>
          </cell>
          <cell r="G50">
            <v>0.2172</v>
          </cell>
        </row>
        <row r="51">
          <cell r="A51" t="str">
            <v>95-010 QQ</v>
          </cell>
          <cell r="B51">
            <v>36251</v>
          </cell>
          <cell r="C51">
            <v>0.19939999999999999</v>
          </cell>
          <cell r="D51">
            <v>0</v>
          </cell>
          <cell r="E51">
            <v>1.8599999999999998E-2</v>
          </cell>
          <cell r="F51">
            <v>-1.1800000000000001E-2</v>
          </cell>
          <cell r="G51">
            <v>0.20619999999999999</v>
          </cell>
        </row>
        <row r="52">
          <cell r="A52" t="str">
            <v>95-010 RR</v>
          </cell>
          <cell r="B52">
            <v>36281</v>
          </cell>
          <cell r="C52">
            <v>0.19939999999999999</v>
          </cell>
          <cell r="D52">
            <v>0</v>
          </cell>
          <cell r="E52">
            <v>1.8599999999999998E-2</v>
          </cell>
          <cell r="F52">
            <v>-1.1800000000000001E-2</v>
          </cell>
          <cell r="G52">
            <v>0.20619999999999999</v>
          </cell>
        </row>
        <row r="53">
          <cell r="A53" t="str">
            <v>95-010 SS</v>
          </cell>
          <cell r="B53">
            <v>36312</v>
          </cell>
          <cell r="C53">
            <v>0.19939999999999999</v>
          </cell>
          <cell r="D53">
            <v>0</v>
          </cell>
          <cell r="E53">
            <v>1.8599999999999998E-2</v>
          </cell>
          <cell r="F53">
            <v>-1.1800000000000001E-2</v>
          </cell>
          <cell r="G53">
            <v>0.20619999999999999</v>
          </cell>
        </row>
        <row r="54">
          <cell r="A54" t="str">
            <v>95-010 TT</v>
          </cell>
          <cell r="B54">
            <v>36342</v>
          </cell>
          <cell r="C54">
            <v>0.19939999999999999</v>
          </cell>
          <cell r="D54">
            <v>0</v>
          </cell>
          <cell r="E54">
            <v>1.8599999999999998E-2</v>
          </cell>
          <cell r="F54">
            <v>-1.1000000000000001E-2</v>
          </cell>
          <cell r="G54">
            <v>0.20699999999999999</v>
          </cell>
        </row>
        <row r="55">
          <cell r="A55" t="str">
            <v>95-010 UU</v>
          </cell>
          <cell r="B55">
            <v>36373</v>
          </cell>
          <cell r="C55">
            <v>0.19939999999999999</v>
          </cell>
          <cell r="D55">
            <v>0</v>
          </cell>
          <cell r="E55">
            <v>1.8599999999999998E-2</v>
          </cell>
          <cell r="F55">
            <v>-1.1000000000000001E-2</v>
          </cell>
          <cell r="G55">
            <v>0.20699999999999999</v>
          </cell>
        </row>
        <row r="56">
          <cell r="A56" t="str">
            <v>95-010 VV</v>
          </cell>
          <cell r="B56">
            <v>36404</v>
          </cell>
          <cell r="C56">
            <v>0.19939999999999999</v>
          </cell>
          <cell r="D56">
            <v>0</v>
          </cell>
          <cell r="E56">
            <v>1.8599999999999998E-2</v>
          </cell>
          <cell r="F56">
            <v>-1.1000000000000001E-2</v>
          </cell>
          <cell r="G56">
            <v>0.20699999999999999</v>
          </cell>
        </row>
        <row r="57">
          <cell r="A57" t="str">
            <v>95-010 WW</v>
          </cell>
          <cell r="B57">
            <v>36434</v>
          </cell>
          <cell r="C57">
            <v>0.19939999999999999</v>
          </cell>
          <cell r="D57">
            <v>0</v>
          </cell>
          <cell r="E57">
            <v>1.8599999999999998E-2</v>
          </cell>
          <cell r="F57">
            <v>-1.1000000000000001E-2</v>
          </cell>
          <cell r="G57">
            <v>0.20699999999999999</v>
          </cell>
        </row>
        <row r="58">
          <cell r="A58" t="str">
            <v>95-010 XX</v>
          </cell>
          <cell r="B58">
            <v>36465</v>
          </cell>
          <cell r="C58">
            <v>0.20130000000000001</v>
          </cell>
          <cell r="D58">
            <v>0</v>
          </cell>
          <cell r="E58">
            <v>3.0000000000000001E-3</v>
          </cell>
          <cell r="F58">
            <v>-1.1000000000000001E-2</v>
          </cell>
          <cell r="G58">
            <v>0.1933</v>
          </cell>
        </row>
        <row r="59">
          <cell r="A59" t="str">
            <v>95-010 YY</v>
          </cell>
          <cell r="B59">
            <v>36495</v>
          </cell>
          <cell r="C59">
            <v>0.2001</v>
          </cell>
          <cell r="D59">
            <v>0</v>
          </cell>
          <cell r="E59">
            <v>3.0000000000000001E-3</v>
          </cell>
          <cell r="F59">
            <v>-1.1000000000000001E-2</v>
          </cell>
          <cell r="G59">
            <v>0.19209999999999999</v>
          </cell>
        </row>
        <row r="60">
          <cell r="A60" t="str">
            <v>99-070</v>
          </cell>
          <cell r="B60">
            <v>36526</v>
          </cell>
          <cell r="C60">
            <v>0.2001</v>
          </cell>
          <cell r="D60">
            <v>0</v>
          </cell>
          <cell r="E60">
            <v>3.0000000000000001E-3</v>
          </cell>
          <cell r="F60">
            <v>-1.1000000000000001E-2</v>
          </cell>
          <cell r="G60">
            <v>0.19209999999999999</v>
          </cell>
        </row>
        <row r="61">
          <cell r="A61" t="str">
            <v>99-070 A</v>
          </cell>
          <cell r="B61">
            <v>36557</v>
          </cell>
          <cell r="C61">
            <v>0.20100000000000001</v>
          </cell>
          <cell r="D61">
            <v>0</v>
          </cell>
          <cell r="E61">
            <v>3.0000000000000001E-3</v>
          </cell>
          <cell r="F61">
            <v>-1.1000000000000001E-2</v>
          </cell>
          <cell r="G61">
            <v>0.193</v>
          </cell>
        </row>
        <row r="62">
          <cell r="A62" t="str">
            <v>1999-070 B</v>
          </cell>
          <cell r="B62">
            <v>36617</v>
          </cell>
          <cell r="C62">
            <v>0.20100000000000001</v>
          </cell>
          <cell r="D62">
            <v>0</v>
          </cell>
          <cell r="E62">
            <v>3.0000000000000001E-3</v>
          </cell>
          <cell r="F62">
            <v>0</v>
          </cell>
          <cell r="G62">
            <v>0.20400000000000001</v>
          </cell>
        </row>
        <row r="63">
          <cell r="A63" t="str">
            <v>1999-070 C</v>
          </cell>
          <cell r="B63">
            <v>36647</v>
          </cell>
          <cell r="C63">
            <v>0.20100000000000001</v>
          </cell>
          <cell r="D63">
            <v>0</v>
          </cell>
          <cell r="E63">
            <v>3.0000000000000001E-3</v>
          </cell>
          <cell r="F63">
            <v>0</v>
          </cell>
          <cell r="G63">
            <v>0.20400000000000001</v>
          </cell>
        </row>
        <row r="64">
          <cell r="A64" t="str">
            <v>1999-070 D</v>
          </cell>
          <cell r="B64">
            <v>36708</v>
          </cell>
          <cell r="C64">
            <v>0.20100000000000001</v>
          </cell>
          <cell r="D64">
            <v>0</v>
          </cell>
          <cell r="E64">
            <v>3.0000000000000001E-3</v>
          </cell>
          <cell r="F64">
            <v>0</v>
          </cell>
          <cell r="G64">
            <v>0.20400000000000001</v>
          </cell>
        </row>
        <row r="65">
          <cell r="A65" t="str">
            <v>1999-070 E</v>
          </cell>
          <cell r="B65">
            <v>36739</v>
          </cell>
          <cell r="C65">
            <v>0.20100000000000001</v>
          </cell>
          <cell r="D65">
            <v>0</v>
          </cell>
          <cell r="E65">
            <v>3.0000000000000001E-3</v>
          </cell>
          <cell r="F65">
            <v>0</v>
          </cell>
          <cell r="G65">
            <v>0.20400000000000001</v>
          </cell>
        </row>
        <row r="66">
          <cell r="A66" t="str">
            <v>1999-070 F</v>
          </cell>
          <cell r="B66">
            <v>36800</v>
          </cell>
          <cell r="C66">
            <v>0.20100000000000001</v>
          </cell>
          <cell r="D66">
            <v>0</v>
          </cell>
          <cell r="E66">
            <v>3.0000000000000001E-3</v>
          </cell>
          <cell r="F66">
            <v>0</v>
          </cell>
          <cell r="G66">
            <v>0.20400000000000001</v>
          </cell>
        </row>
        <row r="67">
          <cell r="A67" t="str">
            <v>1999-070 G</v>
          </cell>
          <cell r="B67">
            <v>36831</v>
          </cell>
          <cell r="C67">
            <v>0.18820000000000001</v>
          </cell>
          <cell r="D67">
            <v>0</v>
          </cell>
          <cell r="E67">
            <v>0</v>
          </cell>
          <cell r="F67">
            <v>0</v>
          </cell>
          <cell r="G67">
            <v>0.18820000000000001</v>
          </cell>
        </row>
        <row r="68">
          <cell r="A68" t="str">
            <v>1999-070 H</v>
          </cell>
          <cell r="B68">
            <v>36923</v>
          </cell>
          <cell r="C68">
            <v>0.24249999999999999</v>
          </cell>
          <cell r="D68">
            <v>0</v>
          </cell>
          <cell r="E68">
            <v>0</v>
          </cell>
          <cell r="F68">
            <v>0</v>
          </cell>
          <cell r="G68">
            <v>0.24249999999999999</v>
          </cell>
        </row>
        <row r="69">
          <cell r="A69" t="str">
            <v>1999-070 I</v>
          </cell>
          <cell r="B69">
            <v>36951</v>
          </cell>
          <cell r="C69">
            <v>0.24249999999999999</v>
          </cell>
          <cell r="D69">
            <v>0</v>
          </cell>
          <cell r="E69">
            <v>0</v>
          </cell>
          <cell r="F69">
            <v>0</v>
          </cell>
          <cell r="G69">
            <v>0.24249999999999999</v>
          </cell>
        </row>
        <row r="70">
          <cell r="A70" t="str">
            <v>1999-070 J</v>
          </cell>
          <cell r="B70">
            <v>36982</v>
          </cell>
          <cell r="C70">
            <v>0.24249999999999999</v>
          </cell>
          <cell r="D70">
            <v>0</v>
          </cell>
          <cell r="E70">
            <v>0</v>
          </cell>
          <cell r="F70">
            <v>0</v>
          </cell>
          <cell r="G70">
            <v>0.24249999999999999</v>
          </cell>
        </row>
        <row r="71">
          <cell r="A71" t="str">
            <v>1999-070 K</v>
          </cell>
          <cell r="B71">
            <v>37012</v>
          </cell>
          <cell r="C71">
            <v>0.21010000000000001</v>
          </cell>
          <cell r="D71">
            <v>0</v>
          </cell>
          <cell r="E71">
            <v>0</v>
          </cell>
          <cell r="F71">
            <v>0</v>
          </cell>
          <cell r="G71">
            <v>0.21010000000000001</v>
          </cell>
        </row>
        <row r="72">
          <cell r="A72" t="str">
            <v>1999-070 L</v>
          </cell>
          <cell r="B72">
            <v>37043</v>
          </cell>
          <cell r="C72">
            <v>0.21010000000000001</v>
          </cell>
          <cell r="D72">
            <v>0</v>
          </cell>
          <cell r="E72">
            <v>0</v>
          </cell>
          <cell r="F72">
            <v>0</v>
          </cell>
          <cell r="G72">
            <v>0.21010000000000001</v>
          </cell>
        </row>
        <row r="73">
          <cell r="A73" t="str">
            <v>1999-070 M</v>
          </cell>
          <cell r="B73">
            <v>37073</v>
          </cell>
          <cell r="C73">
            <v>0.21010000000000001</v>
          </cell>
          <cell r="D73">
            <v>0</v>
          </cell>
          <cell r="E73">
            <v>0</v>
          </cell>
          <cell r="F73">
            <v>0</v>
          </cell>
          <cell r="G73">
            <v>0.21010000000000001</v>
          </cell>
        </row>
        <row r="74">
          <cell r="A74" t="str">
            <v>1999-070 N</v>
          </cell>
          <cell r="B74">
            <v>37104</v>
          </cell>
          <cell r="C74">
            <v>0.21010000000000001</v>
          </cell>
          <cell r="D74">
            <v>0</v>
          </cell>
          <cell r="E74">
            <v>0</v>
          </cell>
          <cell r="F74">
            <v>0</v>
          </cell>
          <cell r="G74">
            <v>0.21010000000000001</v>
          </cell>
        </row>
        <row r="75">
          <cell r="A75" t="str">
            <v>1999-070 O</v>
          </cell>
          <cell r="B75">
            <v>37196</v>
          </cell>
          <cell r="C75">
            <v>0.21010000000000001</v>
          </cell>
          <cell r="D75">
            <v>0</v>
          </cell>
          <cell r="E75">
            <v>0</v>
          </cell>
          <cell r="F75">
            <v>0</v>
          </cell>
          <cell r="G75">
            <v>0.21010000000000001</v>
          </cell>
        </row>
        <row r="76">
          <cell r="A76" t="str">
            <v>1999-070 P</v>
          </cell>
          <cell r="B76">
            <v>37288</v>
          </cell>
          <cell r="C76">
            <v>0.21010000000000001</v>
          </cell>
          <cell r="D76">
            <v>0</v>
          </cell>
          <cell r="E76">
            <v>0</v>
          </cell>
          <cell r="F76">
            <v>0</v>
          </cell>
          <cell r="G76">
            <v>0.21010000000000001</v>
          </cell>
        </row>
        <row r="77">
          <cell r="A77" t="str">
            <v>2002-00113</v>
          </cell>
          <cell r="B77">
            <v>37377</v>
          </cell>
          <cell r="C77">
            <v>0.21010000000000001</v>
          </cell>
          <cell r="D77">
            <v>0</v>
          </cell>
          <cell r="E77">
            <v>0</v>
          </cell>
          <cell r="F77">
            <v>0</v>
          </cell>
          <cell r="G77">
            <v>0.21010000000000001</v>
          </cell>
        </row>
        <row r="78">
          <cell r="A78" t="str">
            <v>2002-00251</v>
          </cell>
          <cell r="B78">
            <v>37469</v>
          </cell>
          <cell r="C78">
            <v>0.21010000000000001</v>
          </cell>
          <cell r="D78">
            <v>0</v>
          </cell>
          <cell r="E78">
            <v>0</v>
          </cell>
          <cell r="F78">
            <v>-1.8E-3</v>
          </cell>
          <cell r="G78">
            <v>0.20830000000000001</v>
          </cell>
        </row>
        <row r="79">
          <cell r="A79" t="str">
            <v>2002-00359</v>
          </cell>
          <cell r="B79">
            <v>37561</v>
          </cell>
          <cell r="C79">
            <v>0.19040000000000001</v>
          </cell>
          <cell r="D79">
            <v>0</v>
          </cell>
          <cell r="E79">
            <v>0</v>
          </cell>
          <cell r="F79">
            <v>-3.1099999999999999E-2</v>
          </cell>
          <cell r="G79">
            <v>0.15930000000000002</v>
          </cell>
        </row>
        <row r="80">
          <cell r="A80" t="str">
            <v>2003-00002</v>
          </cell>
          <cell r="B80">
            <v>37653</v>
          </cell>
          <cell r="C80">
            <v>0.19040000000000001</v>
          </cell>
          <cell r="D80">
            <v>0</v>
          </cell>
          <cell r="E80">
            <v>0</v>
          </cell>
          <cell r="F80">
            <v>-3.1099999999999999E-2</v>
          </cell>
          <cell r="G80">
            <v>0.15930000000000002</v>
          </cell>
        </row>
        <row r="81">
          <cell r="A81" t="str">
            <v>2003-00083</v>
          </cell>
          <cell r="B81">
            <v>37713</v>
          </cell>
          <cell r="C81">
            <v>0.19040000000000001</v>
          </cell>
          <cell r="D81">
            <v>0</v>
          </cell>
          <cell r="E81">
            <v>0</v>
          </cell>
          <cell r="F81">
            <v>-3.1099999999999999E-2</v>
          </cell>
          <cell r="G81">
            <v>0.15930000000000002</v>
          </cell>
        </row>
        <row r="82">
          <cell r="A82" t="str">
            <v>2003-00126</v>
          </cell>
          <cell r="B82">
            <v>37742</v>
          </cell>
          <cell r="C82">
            <v>0.19040000000000001</v>
          </cell>
          <cell r="D82">
            <v>0</v>
          </cell>
          <cell r="E82">
            <v>0</v>
          </cell>
          <cell r="F82">
            <v>-3.1099999999999999E-2</v>
          </cell>
          <cell r="G82">
            <v>0.15930000000000002</v>
          </cell>
        </row>
        <row r="83">
          <cell r="A83" t="str">
            <v>2003-00258</v>
          </cell>
          <cell r="B83">
            <v>37834</v>
          </cell>
          <cell r="C83">
            <v>0.18709999999999999</v>
          </cell>
          <cell r="D83">
            <v>0</v>
          </cell>
          <cell r="E83">
            <v>0</v>
          </cell>
          <cell r="F83">
            <v>-2.93E-2</v>
          </cell>
          <cell r="G83">
            <v>0.1578</v>
          </cell>
        </row>
        <row r="84">
          <cell r="A84" t="str">
            <v>2003-00377</v>
          </cell>
          <cell r="B84">
            <v>37926</v>
          </cell>
          <cell r="C84">
            <v>0.18709999999999999</v>
          </cell>
          <cell r="D84">
            <v>0</v>
          </cell>
          <cell r="E84">
            <v>0</v>
          </cell>
          <cell r="F84">
            <v>-2.93E-2</v>
          </cell>
          <cell r="G84">
            <v>0.1578</v>
          </cell>
        </row>
        <row r="85">
          <cell r="A85" t="str">
            <v>2003-00504</v>
          </cell>
          <cell r="B85">
            <v>38018</v>
          </cell>
          <cell r="C85">
            <v>0.18709999999999999</v>
          </cell>
          <cell r="D85">
            <v>0</v>
          </cell>
          <cell r="E85">
            <v>0</v>
          </cell>
          <cell r="F85">
            <v>0</v>
          </cell>
          <cell r="G85">
            <v>0.18709999999999999</v>
          </cell>
        </row>
        <row r="86">
          <cell r="A86" t="str">
            <v>2004-00122</v>
          </cell>
          <cell r="B86">
            <v>38108</v>
          </cell>
          <cell r="C86">
            <v>0.18709999999999999</v>
          </cell>
          <cell r="D86">
            <v>0</v>
          </cell>
          <cell r="E86">
            <v>0</v>
          </cell>
          <cell r="F86">
            <v>0</v>
          </cell>
          <cell r="G86">
            <v>0.18709999999999999</v>
          </cell>
        </row>
        <row r="87">
          <cell r="A87" t="str">
            <v>2004-00269</v>
          </cell>
          <cell r="B87">
            <v>38200</v>
          </cell>
          <cell r="C87">
            <v>0.18709999999999999</v>
          </cell>
          <cell r="D87">
            <v>0</v>
          </cell>
          <cell r="E87">
            <v>0</v>
          </cell>
          <cell r="F87">
            <v>0</v>
          </cell>
          <cell r="G87">
            <v>0.18709999999999999</v>
          </cell>
        </row>
        <row r="88">
          <cell r="A88" t="str">
            <v>2004-00398</v>
          </cell>
          <cell r="B88">
            <v>38292</v>
          </cell>
          <cell r="C88">
            <v>0.18640000000000001</v>
          </cell>
          <cell r="D88">
            <v>0</v>
          </cell>
          <cell r="E88">
            <v>0</v>
          </cell>
          <cell r="F88">
            <v>0</v>
          </cell>
          <cell r="G88">
            <v>0.18640000000000001</v>
          </cell>
        </row>
        <row r="89">
          <cell r="A89" t="str">
            <v>2005-00013</v>
          </cell>
          <cell r="B89">
            <v>38384</v>
          </cell>
          <cell r="C89">
            <v>0.18640000000000001</v>
          </cell>
          <cell r="D89">
            <v>0</v>
          </cell>
          <cell r="E89">
            <v>0</v>
          </cell>
          <cell r="F89">
            <v>0</v>
          </cell>
          <cell r="G89">
            <v>0.18640000000000001</v>
          </cell>
        </row>
        <row r="90">
          <cell r="A90" t="str">
            <v>2005-00139</v>
          </cell>
          <cell r="B90">
            <v>38473</v>
          </cell>
          <cell r="C90">
            <v>0.18640000000000001</v>
          </cell>
          <cell r="D90">
            <v>0</v>
          </cell>
          <cell r="E90">
            <v>0</v>
          </cell>
          <cell r="F90">
            <v>0</v>
          </cell>
          <cell r="G90">
            <v>0.18640000000000001</v>
          </cell>
        </row>
        <row r="91">
          <cell r="A91" t="str">
            <v>2005-00271</v>
          </cell>
          <cell r="B91">
            <v>38565</v>
          </cell>
          <cell r="C91">
            <v>0.18640000000000001</v>
          </cell>
          <cell r="D91">
            <v>0</v>
          </cell>
          <cell r="E91">
            <v>0</v>
          </cell>
          <cell r="F91">
            <v>0</v>
          </cell>
          <cell r="G91">
            <v>0.18640000000000001</v>
          </cell>
        </row>
        <row r="92">
          <cell r="A92" t="str">
            <v>2005-00354</v>
          </cell>
          <cell r="B92">
            <v>38626</v>
          </cell>
          <cell r="C92">
            <v>0.18640000000000001</v>
          </cell>
          <cell r="D92">
            <v>0</v>
          </cell>
          <cell r="E92">
            <v>0</v>
          </cell>
          <cell r="F92">
            <v>0</v>
          </cell>
          <cell r="G92">
            <v>0.18640000000000001</v>
          </cell>
        </row>
        <row r="93">
          <cell r="A93" t="str">
            <v>2005-00399</v>
          </cell>
          <cell r="B93">
            <v>38657</v>
          </cell>
          <cell r="C93">
            <v>0.18640000000000001</v>
          </cell>
          <cell r="D93">
            <v>0</v>
          </cell>
          <cell r="E93">
            <v>0</v>
          </cell>
          <cell r="F93">
            <v>0</v>
          </cell>
          <cell r="G93">
            <v>0.18640000000000001</v>
          </cell>
        </row>
        <row r="94">
          <cell r="A94" t="str">
            <v>2005-00552</v>
          </cell>
          <cell r="B94">
            <v>38749</v>
          </cell>
          <cell r="C94">
            <v>0.2195</v>
          </cell>
          <cell r="D94">
            <v>0</v>
          </cell>
          <cell r="E94">
            <v>0</v>
          </cell>
          <cell r="F94">
            <v>0</v>
          </cell>
          <cell r="G94">
            <v>0.2195</v>
          </cell>
        </row>
        <row r="95">
          <cell r="A95" t="str">
            <v>2006-00135</v>
          </cell>
          <cell r="B95">
            <v>38838</v>
          </cell>
          <cell r="C95">
            <v>0.18390000000000001</v>
          </cell>
          <cell r="D95">
            <v>0</v>
          </cell>
          <cell r="E95">
            <v>0</v>
          </cell>
          <cell r="F95">
            <v>0</v>
          </cell>
          <cell r="G95">
            <v>0.18390000000000001</v>
          </cell>
        </row>
        <row r="96">
          <cell r="A96" t="str">
            <v>2006-00324</v>
          </cell>
          <cell r="B96">
            <v>38930</v>
          </cell>
          <cell r="C96">
            <v>0.18390000000000001</v>
          </cell>
          <cell r="D96">
            <v>0</v>
          </cell>
          <cell r="E96">
            <v>0</v>
          </cell>
          <cell r="F96">
            <v>0</v>
          </cell>
          <cell r="G96">
            <v>0.18390000000000001</v>
          </cell>
        </row>
        <row r="97">
          <cell r="A97" t="str">
            <v>2006-00428</v>
          </cell>
          <cell r="B97">
            <v>39022</v>
          </cell>
          <cell r="C97">
            <v>0.18390000000000001</v>
          </cell>
          <cell r="D97">
            <v>0</v>
          </cell>
          <cell r="E97">
            <v>0</v>
          </cell>
          <cell r="F97">
            <v>0</v>
          </cell>
          <cell r="G97">
            <v>0.18390000000000001</v>
          </cell>
        </row>
      </sheetData>
      <sheetData sheetId="46">
        <row r="7">
          <cell r="A7" t="str">
            <v>Case No.</v>
          </cell>
          <cell r="B7" t="str">
            <v>Effective</v>
          </cell>
          <cell r="C7" t="str">
            <v>TOP</v>
          </cell>
          <cell r="D7" t="str">
            <v>RF</v>
          </cell>
          <cell r="E7" t="str">
            <v>Non-Com</v>
          </cell>
        </row>
        <row r="8">
          <cell r="A8" t="str">
            <v>95-010</v>
          </cell>
          <cell r="B8">
            <v>34943</v>
          </cell>
          <cell r="C8">
            <v>8.2000000000000007E-3</v>
          </cell>
          <cell r="D8">
            <v>-1.5300000000000001E-2</v>
          </cell>
          <cell r="E8">
            <v>-7.1000000000000004E-3</v>
          </cell>
        </row>
        <row r="9">
          <cell r="A9" t="str">
            <v>95-010 A</v>
          </cell>
          <cell r="B9">
            <v>34999</v>
          </cell>
          <cell r="C9">
            <v>8.2000000000000007E-3</v>
          </cell>
          <cell r="D9">
            <v>-1.5300000000000001E-2</v>
          </cell>
          <cell r="E9">
            <v>-7.1000000000000004E-3</v>
          </cell>
        </row>
        <row r="10">
          <cell r="A10" t="str">
            <v>95-010 B</v>
          </cell>
          <cell r="B10">
            <v>35004</v>
          </cell>
          <cell r="C10">
            <v>8.2000000000000007E-3</v>
          </cell>
          <cell r="D10">
            <v>0</v>
          </cell>
          <cell r="E10">
            <v>8.2000000000000007E-3</v>
          </cell>
        </row>
        <row r="11">
          <cell r="A11" t="str">
            <v>95-010 C</v>
          </cell>
          <cell r="B11">
            <v>35034</v>
          </cell>
          <cell r="C11">
            <v>8.2000000000000007E-3</v>
          </cell>
          <cell r="D11">
            <v>0</v>
          </cell>
          <cell r="E11">
            <v>8.2000000000000007E-3</v>
          </cell>
        </row>
        <row r="12">
          <cell r="A12" t="str">
            <v>95-010 D</v>
          </cell>
          <cell r="B12">
            <v>35065</v>
          </cell>
          <cell r="C12">
            <v>8.2000000000000007E-3</v>
          </cell>
          <cell r="D12">
            <v>0</v>
          </cell>
          <cell r="E12">
            <v>8.2000000000000007E-3</v>
          </cell>
        </row>
        <row r="13">
          <cell r="A13" t="str">
            <v>95-010 E</v>
          </cell>
          <cell r="B13">
            <v>35096</v>
          </cell>
          <cell r="C13">
            <v>0</v>
          </cell>
          <cell r="D13">
            <v>0</v>
          </cell>
          <cell r="E13">
            <v>0</v>
          </cell>
        </row>
        <row r="14">
          <cell r="A14" t="str">
            <v>95-010 F</v>
          </cell>
          <cell r="B14">
            <v>35125</v>
          </cell>
          <cell r="C14">
            <v>0</v>
          </cell>
          <cell r="D14">
            <v>0</v>
          </cell>
          <cell r="E14">
            <v>0</v>
          </cell>
        </row>
        <row r="15">
          <cell r="A15" t="str">
            <v>95-010 G</v>
          </cell>
          <cell r="B15">
            <v>35156</v>
          </cell>
          <cell r="C15">
            <v>0</v>
          </cell>
          <cell r="D15">
            <v>0</v>
          </cell>
          <cell r="E15">
            <v>0</v>
          </cell>
        </row>
        <row r="16">
          <cell r="A16" t="str">
            <v>95-010 H</v>
          </cell>
          <cell r="B16">
            <v>35186</v>
          </cell>
          <cell r="C16">
            <v>0</v>
          </cell>
          <cell r="D16">
            <v>0</v>
          </cell>
          <cell r="E16">
            <v>0</v>
          </cell>
        </row>
        <row r="17">
          <cell r="A17" t="str">
            <v>95-010 I</v>
          </cell>
          <cell r="B17">
            <v>35217</v>
          </cell>
          <cell r="C17">
            <v>0</v>
          </cell>
          <cell r="D17">
            <v>0</v>
          </cell>
          <cell r="E17">
            <v>0</v>
          </cell>
        </row>
        <row r="18">
          <cell r="A18" t="str">
            <v>95-010 J</v>
          </cell>
          <cell r="B18">
            <v>35247</v>
          </cell>
          <cell r="C18">
            <v>0</v>
          </cell>
          <cell r="D18">
            <v>0</v>
          </cell>
          <cell r="E18">
            <v>0</v>
          </cell>
        </row>
        <row r="19">
          <cell r="A19" t="str">
            <v>95-010 K</v>
          </cell>
          <cell r="B19">
            <v>35278</v>
          </cell>
          <cell r="C19">
            <v>0</v>
          </cell>
          <cell r="D19">
            <v>0</v>
          </cell>
          <cell r="E19">
            <v>0</v>
          </cell>
        </row>
        <row r="20">
          <cell r="A20" t="str">
            <v>95-010 L</v>
          </cell>
          <cell r="B20">
            <v>35309</v>
          </cell>
          <cell r="C20">
            <v>0</v>
          </cell>
          <cell r="D20">
            <v>0</v>
          </cell>
          <cell r="E20">
            <v>0</v>
          </cell>
        </row>
        <row r="21">
          <cell r="A21" t="str">
            <v>95-010 M</v>
          </cell>
          <cell r="B21">
            <v>35339</v>
          </cell>
          <cell r="C21">
            <v>0</v>
          </cell>
          <cell r="D21">
            <v>0</v>
          </cell>
          <cell r="E21">
            <v>0</v>
          </cell>
        </row>
        <row r="22">
          <cell r="A22" t="str">
            <v>95-010 N</v>
          </cell>
          <cell r="B22">
            <v>35370</v>
          </cell>
          <cell r="C22">
            <v>0</v>
          </cell>
          <cell r="D22">
            <v>0</v>
          </cell>
          <cell r="E22">
            <v>0</v>
          </cell>
        </row>
        <row r="23">
          <cell r="A23" t="str">
            <v>95-010 O</v>
          </cell>
          <cell r="B23">
            <v>35400</v>
          </cell>
          <cell r="C23">
            <v>0</v>
          </cell>
          <cell r="D23">
            <v>0</v>
          </cell>
          <cell r="E23">
            <v>0</v>
          </cell>
        </row>
        <row r="24">
          <cell r="A24" t="str">
            <v>95-010 P</v>
          </cell>
          <cell r="B24">
            <v>35431</v>
          </cell>
          <cell r="C24">
            <v>0</v>
          </cell>
          <cell r="D24">
            <v>0</v>
          </cell>
          <cell r="E24">
            <v>0</v>
          </cell>
        </row>
        <row r="25">
          <cell r="A25" t="str">
            <v>95-010 Q</v>
          </cell>
          <cell r="B25">
            <v>35462</v>
          </cell>
          <cell r="C25">
            <v>0</v>
          </cell>
          <cell r="D25">
            <v>0</v>
          </cell>
          <cell r="E25">
            <v>0</v>
          </cell>
        </row>
        <row r="26">
          <cell r="A26" t="str">
            <v>95-010 R</v>
          </cell>
          <cell r="B26">
            <v>35490</v>
          </cell>
          <cell r="C26">
            <v>0</v>
          </cell>
          <cell r="D26">
            <v>0</v>
          </cell>
          <cell r="E26">
            <v>0</v>
          </cell>
        </row>
        <row r="27">
          <cell r="A27" t="str">
            <v>95-010 S</v>
          </cell>
          <cell r="B27">
            <v>35521</v>
          </cell>
          <cell r="C27">
            <v>0</v>
          </cell>
          <cell r="D27">
            <v>0</v>
          </cell>
          <cell r="E27">
            <v>0</v>
          </cell>
        </row>
        <row r="28">
          <cell r="A28" t="str">
            <v>95-010 T</v>
          </cell>
          <cell r="B28">
            <v>35551</v>
          </cell>
          <cell r="C28">
            <v>0</v>
          </cell>
          <cell r="D28">
            <v>0</v>
          </cell>
          <cell r="E28">
            <v>0</v>
          </cell>
        </row>
        <row r="29">
          <cell r="A29" t="str">
            <v>95-010 U</v>
          </cell>
          <cell r="B29">
            <v>35582</v>
          </cell>
          <cell r="C29">
            <v>0</v>
          </cell>
          <cell r="D29">
            <v>0</v>
          </cell>
          <cell r="E29">
            <v>0</v>
          </cell>
        </row>
        <row r="30">
          <cell r="A30" t="str">
            <v>95-010 V</v>
          </cell>
          <cell r="B30">
            <v>35612</v>
          </cell>
          <cell r="C30">
            <v>0</v>
          </cell>
          <cell r="D30">
            <v>0</v>
          </cell>
          <cell r="E30">
            <v>0</v>
          </cell>
        </row>
        <row r="31">
          <cell r="A31" t="str">
            <v>95-010 W</v>
          </cell>
          <cell r="B31">
            <v>35643</v>
          </cell>
          <cell r="C31">
            <v>0</v>
          </cell>
          <cell r="D31">
            <v>0</v>
          </cell>
          <cell r="E31">
            <v>0</v>
          </cell>
        </row>
        <row r="32">
          <cell r="A32" t="str">
            <v>95-010 X</v>
          </cell>
          <cell r="B32">
            <v>35674</v>
          </cell>
          <cell r="C32">
            <v>0</v>
          </cell>
          <cell r="D32">
            <v>0</v>
          </cell>
          <cell r="E32">
            <v>0</v>
          </cell>
        </row>
        <row r="33">
          <cell r="A33" t="str">
            <v>95-010 Y</v>
          </cell>
          <cell r="B33">
            <v>35704</v>
          </cell>
          <cell r="C33">
            <v>0</v>
          </cell>
          <cell r="D33">
            <v>0</v>
          </cell>
          <cell r="E33">
            <v>0</v>
          </cell>
        </row>
        <row r="34">
          <cell r="A34" t="str">
            <v>95-010 Z</v>
          </cell>
          <cell r="B34">
            <v>35735</v>
          </cell>
          <cell r="C34">
            <v>0</v>
          </cell>
          <cell r="D34">
            <v>0</v>
          </cell>
          <cell r="E34">
            <v>0</v>
          </cell>
        </row>
        <row r="35">
          <cell r="A35" t="str">
            <v>95-010 AA</v>
          </cell>
          <cell r="B35">
            <v>35765</v>
          </cell>
          <cell r="C35">
            <v>0</v>
          </cell>
          <cell r="D35">
            <v>0</v>
          </cell>
          <cell r="E35">
            <v>0</v>
          </cell>
        </row>
        <row r="36">
          <cell r="A36" t="str">
            <v>95-010 BB</v>
          </cell>
          <cell r="B36">
            <v>35796</v>
          </cell>
          <cell r="C36">
            <v>0</v>
          </cell>
          <cell r="D36">
            <v>0</v>
          </cell>
          <cell r="E36">
            <v>0</v>
          </cell>
        </row>
        <row r="37">
          <cell r="A37" t="str">
            <v>95-010 CC</v>
          </cell>
          <cell r="B37">
            <v>35827</v>
          </cell>
          <cell r="C37">
            <v>0</v>
          </cell>
          <cell r="D37">
            <v>0</v>
          </cell>
          <cell r="E37">
            <v>0</v>
          </cell>
        </row>
        <row r="38">
          <cell r="A38" t="str">
            <v>95-010 DD</v>
          </cell>
          <cell r="B38">
            <v>35855</v>
          </cell>
          <cell r="C38">
            <v>0</v>
          </cell>
          <cell r="D38">
            <v>0</v>
          </cell>
          <cell r="E38">
            <v>0</v>
          </cell>
        </row>
        <row r="39">
          <cell r="A39" t="str">
            <v>95-010 EE</v>
          </cell>
          <cell r="B39">
            <v>35886</v>
          </cell>
          <cell r="C39">
            <v>0</v>
          </cell>
          <cell r="D39">
            <v>0</v>
          </cell>
          <cell r="E39">
            <v>0</v>
          </cell>
        </row>
        <row r="40">
          <cell r="A40" t="str">
            <v>95-010 FF</v>
          </cell>
          <cell r="B40">
            <v>35916</v>
          </cell>
          <cell r="C40">
            <v>0</v>
          </cell>
          <cell r="D40">
            <v>0</v>
          </cell>
          <cell r="E40">
            <v>0</v>
          </cell>
        </row>
        <row r="41">
          <cell r="A41" t="str">
            <v>95-010 GG</v>
          </cell>
          <cell r="B41">
            <v>35947</v>
          </cell>
          <cell r="C41">
            <v>0</v>
          </cell>
          <cell r="D41">
            <v>0</v>
          </cell>
          <cell r="E41">
            <v>0</v>
          </cell>
        </row>
        <row r="42">
          <cell r="A42" t="str">
            <v>95-010 HH</v>
          </cell>
          <cell r="B42">
            <v>35977</v>
          </cell>
          <cell r="C42">
            <v>0</v>
          </cell>
          <cell r="D42">
            <v>0</v>
          </cell>
          <cell r="E42">
            <v>0</v>
          </cell>
        </row>
        <row r="43">
          <cell r="A43" t="str">
            <v>95-010 II</v>
          </cell>
          <cell r="B43">
            <v>36008</v>
          </cell>
          <cell r="C43">
            <v>0</v>
          </cell>
          <cell r="D43">
            <v>0</v>
          </cell>
          <cell r="E43">
            <v>0</v>
          </cell>
        </row>
        <row r="44">
          <cell r="A44" t="str">
            <v>95-010 JJ</v>
          </cell>
          <cell r="B44">
            <v>36039</v>
          </cell>
          <cell r="C44">
            <v>0</v>
          </cell>
          <cell r="D44">
            <v>0</v>
          </cell>
          <cell r="E44">
            <v>0</v>
          </cell>
        </row>
        <row r="45">
          <cell r="A45" t="str">
            <v>95-010 KK</v>
          </cell>
          <cell r="B45">
            <v>36069</v>
          </cell>
          <cell r="C45">
            <v>0</v>
          </cell>
          <cell r="D45">
            <v>0</v>
          </cell>
          <cell r="E45">
            <v>0</v>
          </cell>
        </row>
        <row r="46">
          <cell r="A46" t="str">
            <v>95-010 LL</v>
          </cell>
          <cell r="B46">
            <v>36100</v>
          </cell>
          <cell r="C46">
            <v>0</v>
          </cell>
          <cell r="D46">
            <v>0</v>
          </cell>
          <cell r="E46">
            <v>0</v>
          </cell>
        </row>
        <row r="47">
          <cell r="A47" t="str">
            <v>95-010 MM</v>
          </cell>
          <cell r="B47">
            <v>36130</v>
          </cell>
          <cell r="C47">
            <v>0</v>
          </cell>
          <cell r="D47">
            <v>0</v>
          </cell>
          <cell r="E47">
            <v>0</v>
          </cell>
        </row>
        <row r="48">
          <cell r="A48" t="str">
            <v>95-010 NN</v>
          </cell>
          <cell r="B48">
            <v>36161</v>
          </cell>
          <cell r="C48">
            <v>0</v>
          </cell>
          <cell r="D48">
            <v>0</v>
          </cell>
          <cell r="E48">
            <v>0</v>
          </cell>
        </row>
        <row r="49">
          <cell r="A49" t="str">
            <v>95-010 OO</v>
          </cell>
          <cell r="B49">
            <v>36192</v>
          </cell>
          <cell r="C49">
            <v>0</v>
          </cell>
          <cell r="D49">
            <v>0</v>
          </cell>
          <cell r="E49">
            <v>0</v>
          </cell>
        </row>
        <row r="50">
          <cell r="A50" t="str">
            <v>95-010 PP</v>
          </cell>
          <cell r="B50">
            <v>36220</v>
          </cell>
          <cell r="C50">
            <v>0</v>
          </cell>
          <cell r="D50">
            <v>0</v>
          </cell>
          <cell r="E50">
            <v>0</v>
          </cell>
        </row>
        <row r="51">
          <cell r="A51" t="str">
            <v>95-010 QQ</v>
          </cell>
          <cell r="B51">
            <v>36251</v>
          </cell>
          <cell r="C51">
            <v>0</v>
          </cell>
          <cell r="D51">
            <v>0</v>
          </cell>
          <cell r="E51">
            <v>0</v>
          </cell>
        </row>
        <row r="52">
          <cell r="A52" t="str">
            <v>95-010 RR</v>
          </cell>
          <cell r="B52">
            <v>36281</v>
          </cell>
          <cell r="C52">
            <v>0</v>
          </cell>
          <cell r="D52">
            <v>0</v>
          </cell>
          <cell r="E52">
            <v>0</v>
          </cell>
        </row>
        <row r="53">
          <cell r="A53" t="str">
            <v>95-010 SS</v>
          </cell>
          <cell r="B53">
            <v>36312</v>
          </cell>
          <cell r="C53">
            <v>0</v>
          </cell>
          <cell r="D53">
            <v>0</v>
          </cell>
          <cell r="E53">
            <v>0</v>
          </cell>
        </row>
        <row r="54">
          <cell r="A54" t="str">
            <v>95-010 TT</v>
          </cell>
          <cell r="B54">
            <v>36342</v>
          </cell>
          <cell r="C54">
            <v>0</v>
          </cell>
          <cell r="D54">
            <v>0</v>
          </cell>
          <cell r="E54">
            <v>0</v>
          </cell>
        </row>
        <row r="55">
          <cell r="A55" t="str">
            <v>95-010 UU</v>
          </cell>
          <cell r="B55">
            <v>36373</v>
          </cell>
          <cell r="C55">
            <v>0</v>
          </cell>
          <cell r="D55">
            <v>0</v>
          </cell>
          <cell r="E55">
            <v>0</v>
          </cell>
        </row>
        <row r="56">
          <cell r="A56" t="str">
            <v>95-010 VV</v>
          </cell>
          <cell r="B56">
            <v>36404</v>
          </cell>
          <cell r="C56">
            <v>0</v>
          </cell>
          <cell r="D56">
            <v>0</v>
          </cell>
          <cell r="E56">
            <v>0</v>
          </cell>
        </row>
        <row r="57">
          <cell r="A57" t="str">
            <v>95-010 WW</v>
          </cell>
          <cell r="B57">
            <v>36434</v>
          </cell>
          <cell r="C57">
            <v>0</v>
          </cell>
          <cell r="D57">
            <v>0</v>
          </cell>
          <cell r="E57">
            <v>0</v>
          </cell>
        </row>
        <row r="58">
          <cell r="A58" t="str">
            <v>95-010 XX</v>
          </cell>
          <cell r="B58">
            <v>36465</v>
          </cell>
          <cell r="C58">
            <v>0</v>
          </cell>
          <cell r="D58">
            <v>0</v>
          </cell>
          <cell r="E58">
            <v>0</v>
          </cell>
        </row>
        <row r="59">
          <cell r="A59" t="str">
            <v>95-010 YY</v>
          </cell>
          <cell r="B59">
            <v>36495</v>
          </cell>
          <cell r="C59">
            <v>0</v>
          </cell>
          <cell r="D59">
            <v>0</v>
          </cell>
          <cell r="E59">
            <v>0</v>
          </cell>
        </row>
        <row r="60">
          <cell r="A60" t="str">
            <v>99-070</v>
          </cell>
          <cell r="B60">
            <v>36526</v>
          </cell>
          <cell r="C60">
            <v>0</v>
          </cell>
          <cell r="D60">
            <v>0</v>
          </cell>
          <cell r="E60">
            <v>0</v>
          </cell>
        </row>
        <row r="61">
          <cell r="A61" t="str">
            <v>99-070 A</v>
          </cell>
          <cell r="B61">
            <v>36557</v>
          </cell>
          <cell r="C61">
            <v>0</v>
          </cell>
          <cell r="D61">
            <v>0</v>
          </cell>
          <cell r="E61">
            <v>0</v>
          </cell>
        </row>
        <row r="62">
          <cell r="A62" t="str">
            <v>1999-070 B</v>
          </cell>
          <cell r="B62">
            <v>36617</v>
          </cell>
          <cell r="C62">
            <v>0</v>
          </cell>
          <cell r="D62">
            <v>0</v>
          </cell>
          <cell r="E62">
            <v>0</v>
          </cell>
        </row>
        <row r="63">
          <cell r="A63" t="str">
            <v>1999-070 C</v>
          </cell>
          <cell r="B63">
            <v>36647</v>
          </cell>
          <cell r="C63">
            <v>0</v>
          </cell>
          <cell r="D63">
            <v>0</v>
          </cell>
          <cell r="E63">
            <v>0</v>
          </cell>
        </row>
        <row r="64">
          <cell r="A64" t="str">
            <v>1999-070 D</v>
          </cell>
          <cell r="B64">
            <v>36708</v>
          </cell>
          <cell r="C64">
            <v>0</v>
          </cell>
          <cell r="D64">
            <v>0</v>
          </cell>
          <cell r="E64">
            <v>0</v>
          </cell>
        </row>
        <row r="65">
          <cell r="A65" t="str">
            <v>1999-070 E</v>
          </cell>
          <cell r="B65">
            <v>36739</v>
          </cell>
          <cell r="C65">
            <v>0</v>
          </cell>
          <cell r="D65">
            <v>0</v>
          </cell>
          <cell r="E65">
            <v>0</v>
          </cell>
        </row>
        <row r="66">
          <cell r="A66" t="str">
            <v>1999-070 F</v>
          </cell>
          <cell r="B66">
            <v>36800</v>
          </cell>
          <cell r="C66">
            <v>0</v>
          </cell>
          <cell r="D66">
            <v>0</v>
          </cell>
          <cell r="E66">
            <v>0</v>
          </cell>
        </row>
        <row r="67">
          <cell r="A67" t="str">
            <v>1999-070 G</v>
          </cell>
          <cell r="B67">
            <v>36831</v>
          </cell>
          <cell r="C67">
            <v>0</v>
          </cell>
          <cell r="D67">
            <v>0</v>
          </cell>
          <cell r="E67">
            <v>0</v>
          </cell>
        </row>
        <row r="68">
          <cell r="A68" t="str">
            <v>1999-070 H</v>
          </cell>
          <cell r="B68">
            <v>36923</v>
          </cell>
          <cell r="C68">
            <v>0</v>
          </cell>
          <cell r="D68">
            <v>0</v>
          </cell>
          <cell r="E68">
            <v>0</v>
          </cell>
        </row>
        <row r="69">
          <cell r="A69" t="str">
            <v>1999-070 I</v>
          </cell>
          <cell r="B69">
            <v>36951</v>
          </cell>
          <cell r="C69">
            <v>0</v>
          </cell>
          <cell r="D69">
            <v>0</v>
          </cell>
          <cell r="E69">
            <v>0</v>
          </cell>
        </row>
        <row r="70">
          <cell r="A70" t="str">
            <v>1999-070 J</v>
          </cell>
          <cell r="B70">
            <v>36982</v>
          </cell>
          <cell r="C70">
            <v>0</v>
          </cell>
          <cell r="D70">
            <v>0</v>
          </cell>
          <cell r="E70">
            <v>0</v>
          </cell>
        </row>
        <row r="71">
          <cell r="A71" t="str">
            <v>1999-070 K</v>
          </cell>
          <cell r="B71">
            <v>37012</v>
          </cell>
          <cell r="C71">
            <v>0</v>
          </cell>
          <cell r="D71">
            <v>0</v>
          </cell>
          <cell r="E71">
            <v>0</v>
          </cell>
        </row>
        <row r="72">
          <cell r="A72" t="str">
            <v>1999-070 L</v>
          </cell>
          <cell r="B72">
            <v>37043</v>
          </cell>
          <cell r="C72">
            <v>0</v>
          </cell>
          <cell r="D72">
            <v>0</v>
          </cell>
          <cell r="E72">
            <v>0</v>
          </cell>
        </row>
        <row r="73">
          <cell r="A73" t="str">
            <v>1999-070 M</v>
          </cell>
          <cell r="B73">
            <v>37073</v>
          </cell>
          <cell r="C73">
            <v>0</v>
          </cell>
          <cell r="D73">
            <v>0</v>
          </cell>
          <cell r="E73">
            <v>0</v>
          </cell>
        </row>
        <row r="74">
          <cell r="A74" t="str">
            <v>1999-070 N</v>
          </cell>
          <cell r="B74">
            <v>37104</v>
          </cell>
          <cell r="C74">
            <v>0</v>
          </cell>
          <cell r="D74">
            <v>0</v>
          </cell>
          <cell r="E74">
            <v>0</v>
          </cell>
        </row>
        <row r="75">
          <cell r="A75" t="str">
            <v>1999-070 O</v>
          </cell>
          <cell r="B75">
            <v>37196</v>
          </cell>
          <cell r="C75">
            <v>0</v>
          </cell>
          <cell r="D75">
            <v>0</v>
          </cell>
          <cell r="E75">
            <v>0</v>
          </cell>
        </row>
        <row r="76">
          <cell r="A76" t="str">
            <v>1999-070 P</v>
          </cell>
          <cell r="B76">
            <v>37288</v>
          </cell>
          <cell r="C76">
            <v>0</v>
          </cell>
          <cell r="D76">
            <v>0</v>
          </cell>
          <cell r="E76">
            <v>0</v>
          </cell>
        </row>
        <row r="77">
          <cell r="A77" t="str">
            <v>2002-00113</v>
          </cell>
          <cell r="B77">
            <v>37377</v>
          </cell>
          <cell r="C77">
            <v>0</v>
          </cell>
          <cell r="D77">
            <v>0</v>
          </cell>
          <cell r="E77">
            <v>0</v>
          </cell>
        </row>
        <row r="78">
          <cell r="A78" t="str">
            <v>2002-00251</v>
          </cell>
          <cell r="B78">
            <v>37469</v>
          </cell>
          <cell r="C78">
            <v>0</v>
          </cell>
          <cell r="D78">
            <v>0</v>
          </cell>
          <cell r="E78">
            <v>0</v>
          </cell>
        </row>
        <row r="79">
          <cell r="A79" t="str">
            <v>2002-00359</v>
          </cell>
          <cell r="B79">
            <v>37561</v>
          </cell>
          <cell r="C79">
            <v>0</v>
          </cell>
          <cell r="D79">
            <v>0</v>
          </cell>
          <cell r="E79">
            <v>0</v>
          </cell>
        </row>
        <row r="80">
          <cell r="A80" t="str">
            <v>2003-00002</v>
          </cell>
          <cell r="B80">
            <v>37653</v>
          </cell>
          <cell r="C80">
            <v>0</v>
          </cell>
          <cell r="D80">
            <v>0</v>
          </cell>
          <cell r="E80">
            <v>0</v>
          </cell>
        </row>
        <row r="81">
          <cell r="A81" t="str">
            <v>2003-00083</v>
          </cell>
          <cell r="B81">
            <v>37713</v>
          </cell>
          <cell r="C81">
            <v>0</v>
          </cell>
          <cell r="D81">
            <v>0</v>
          </cell>
          <cell r="E81">
            <v>0</v>
          </cell>
        </row>
        <row r="82">
          <cell r="A82" t="str">
            <v>2003-00126</v>
          </cell>
          <cell r="B82" t="str">
            <v>05/01/03</v>
          </cell>
          <cell r="C82">
            <v>0</v>
          </cell>
          <cell r="D82">
            <v>0</v>
          </cell>
          <cell r="E82">
            <v>0</v>
          </cell>
        </row>
        <row r="83">
          <cell r="A83" t="str">
            <v>2003-00258</v>
          </cell>
          <cell r="B83">
            <v>37834</v>
          </cell>
          <cell r="C83">
            <v>0</v>
          </cell>
          <cell r="D83">
            <v>0</v>
          </cell>
          <cell r="E83">
            <v>0</v>
          </cell>
        </row>
        <row r="84">
          <cell r="A84" t="str">
            <v>2003-00377</v>
          </cell>
          <cell r="B84">
            <v>37926</v>
          </cell>
          <cell r="C84">
            <v>0</v>
          </cell>
          <cell r="D84">
            <v>0</v>
          </cell>
          <cell r="E84">
            <v>0</v>
          </cell>
        </row>
        <row r="85">
          <cell r="A85" t="str">
            <v>2003-00504</v>
          </cell>
          <cell r="B85">
            <v>38018</v>
          </cell>
          <cell r="C85">
            <v>0</v>
          </cell>
          <cell r="D85">
            <v>0</v>
          </cell>
          <cell r="E85">
            <v>0</v>
          </cell>
        </row>
        <row r="86">
          <cell r="A86" t="str">
            <v>2004-00122</v>
          </cell>
          <cell r="B86">
            <v>38108</v>
          </cell>
          <cell r="C86">
            <v>0</v>
          </cell>
          <cell r="D86">
            <v>0</v>
          </cell>
          <cell r="E86">
            <v>0</v>
          </cell>
        </row>
        <row r="87">
          <cell r="A87" t="str">
            <v>2004-00269</v>
          </cell>
          <cell r="B87">
            <v>38200</v>
          </cell>
          <cell r="C87">
            <v>0</v>
          </cell>
          <cell r="D87">
            <v>0</v>
          </cell>
          <cell r="E87">
            <v>0</v>
          </cell>
        </row>
        <row r="88">
          <cell r="A88" t="str">
            <v>2004-00398</v>
          </cell>
          <cell r="B88">
            <v>38384</v>
          </cell>
          <cell r="C88">
            <v>0</v>
          </cell>
          <cell r="D88">
            <v>0</v>
          </cell>
          <cell r="E88">
            <v>0</v>
          </cell>
        </row>
        <row r="89">
          <cell r="A89" t="str">
            <v>2005-00013</v>
          </cell>
          <cell r="B89">
            <v>38384</v>
          </cell>
          <cell r="C89">
            <v>0</v>
          </cell>
          <cell r="D89">
            <v>0</v>
          </cell>
          <cell r="E89">
            <v>0</v>
          </cell>
        </row>
        <row r="90">
          <cell r="A90" t="str">
            <v>2005-00139</v>
          </cell>
          <cell r="B90">
            <v>38473</v>
          </cell>
          <cell r="C90">
            <v>0</v>
          </cell>
          <cell r="D90">
            <v>0</v>
          </cell>
          <cell r="E90">
            <v>0</v>
          </cell>
        </row>
        <row r="91">
          <cell r="A91" t="str">
            <v>2005-00271</v>
          </cell>
          <cell r="B91">
            <v>38565</v>
          </cell>
          <cell r="C91">
            <v>0</v>
          </cell>
          <cell r="D91">
            <v>0</v>
          </cell>
          <cell r="E91">
            <v>0</v>
          </cell>
        </row>
        <row r="92">
          <cell r="A92" t="str">
            <v>2005-00354</v>
          </cell>
          <cell r="B92">
            <v>38626</v>
          </cell>
          <cell r="C92">
            <v>0</v>
          </cell>
          <cell r="D92">
            <v>0</v>
          </cell>
          <cell r="E92">
            <v>0</v>
          </cell>
        </row>
        <row r="93">
          <cell r="A93" t="str">
            <v>2005-00399</v>
          </cell>
          <cell r="B93">
            <v>38657</v>
          </cell>
          <cell r="C93">
            <v>0</v>
          </cell>
          <cell r="D93">
            <v>0</v>
          </cell>
          <cell r="E93">
            <v>0</v>
          </cell>
        </row>
        <row r="94">
          <cell r="A94" t="str">
            <v>2005-00552</v>
          </cell>
          <cell r="B94">
            <v>38749</v>
          </cell>
          <cell r="C94">
            <v>0</v>
          </cell>
          <cell r="D94">
            <v>0</v>
          </cell>
          <cell r="E94">
            <v>0</v>
          </cell>
        </row>
        <row r="95">
          <cell r="A95" t="str">
            <v>2006-00135</v>
          </cell>
          <cell r="B95">
            <v>38838</v>
          </cell>
          <cell r="C95">
            <v>0</v>
          </cell>
          <cell r="D95">
            <v>0</v>
          </cell>
          <cell r="E95">
            <v>0</v>
          </cell>
        </row>
        <row r="96">
          <cell r="A96" t="str">
            <v>2006-00324</v>
          </cell>
          <cell r="B96">
            <v>38838</v>
          </cell>
          <cell r="C96">
            <v>0</v>
          </cell>
          <cell r="D96">
            <v>0</v>
          </cell>
          <cell r="E96">
            <v>0</v>
          </cell>
        </row>
        <row r="97">
          <cell r="A97" t="str">
            <v>2006-00428</v>
          </cell>
          <cell r="B97">
            <v>39022</v>
          </cell>
          <cell r="C97">
            <v>0</v>
          </cell>
          <cell r="D97">
            <v>0</v>
          </cell>
          <cell r="E97">
            <v>0</v>
          </cell>
        </row>
      </sheetData>
      <sheetData sheetId="47"/>
      <sheetData sheetId="48">
        <row r="8">
          <cell r="A8" t="str">
            <v>92-558 J</v>
          </cell>
          <cell r="B8">
            <v>34639</v>
          </cell>
          <cell r="C8">
            <v>-4.9500000000000002E-2</v>
          </cell>
          <cell r="D8">
            <v>-4.9500000000000002E-2</v>
          </cell>
          <cell r="E8">
            <v>-1.5300000000000001E-2</v>
          </cell>
          <cell r="K8" t="str">
            <v>92-558 J</v>
          </cell>
        </row>
        <row r="9">
          <cell r="A9" t="str">
            <v>92-558 K</v>
          </cell>
          <cell r="B9">
            <v>34669</v>
          </cell>
          <cell r="C9">
            <v>0</v>
          </cell>
          <cell r="D9">
            <v>0</v>
          </cell>
          <cell r="E9">
            <v>0</v>
          </cell>
          <cell r="K9" t="str">
            <v>92-558 K</v>
          </cell>
        </row>
        <row r="10">
          <cell r="A10" t="str">
            <v>92-558 L</v>
          </cell>
          <cell r="B10">
            <v>34700</v>
          </cell>
          <cell r="C10">
            <v>0</v>
          </cell>
          <cell r="D10">
            <v>0</v>
          </cell>
          <cell r="E10">
            <v>0</v>
          </cell>
          <cell r="K10" t="str">
            <v>92-558 L</v>
          </cell>
        </row>
        <row r="11">
          <cell r="A11" t="str">
            <v>92-558 M</v>
          </cell>
          <cell r="B11">
            <v>34731</v>
          </cell>
          <cell r="C11">
            <v>-9.11E-2</v>
          </cell>
          <cell r="D11">
            <v>-9.11E-2</v>
          </cell>
          <cell r="E11">
            <v>-3.6299999999999999E-2</v>
          </cell>
          <cell r="K11" t="str">
            <v>92-558 M</v>
          </cell>
        </row>
        <row r="12">
          <cell r="A12" t="str">
            <v>92-558 N</v>
          </cell>
          <cell r="B12">
            <v>34759</v>
          </cell>
          <cell r="C12">
            <v>0</v>
          </cell>
          <cell r="D12">
            <v>0</v>
          </cell>
          <cell r="E12">
            <v>0</v>
          </cell>
          <cell r="K12" t="str">
            <v>92-558 N</v>
          </cell>
        </row>
        <row r="13">
          <cell r="A13" t="str">
            <v>92-558 O</v>
          </cell>
          <cell r="B13">
            <v>34790</v>
          </cell>
          <cell r="C13">
            <v>-3.44E-2</v>
          </cell>
          <cell r="D13">
            <v>-3.44E-2</v>
          </cell>
          <cell r="E13">
            <v>-9.9000000000000008E-3</v>
          </cell>
          <cell r="K13" t="str">
            <v>92-558 O</v>
          </cell>
        </row>
        <row r="14">
          <cell r="A14" t="str">
            <v>92-558 P</v>
          </cell>
          <cell r="B14">
            <v>34820</v>
          </cell>
          <cell r="C14">
            <v>0</v>
          </cell>
          <cell r="D14">
            <v>0</v>
          </cell>
          <cell r="E14">
            <v>0</v>
          </cell>
          <cell r="K14" t="str">
            <v>92-558 P</v>
          </cell>
        </row>
        <row r="15">
          <cell r="A15" t="str">
            <v>92-558 Q</v>
          </cell>
          <cell r="B15">
            <v>34851</v>
          </cell>
          <cell r="C15">
            <v>0</v>
          </cell>
          <cell r="D15">
            <v>0</v>
          </cell>
          <cell r="E15">
            <v>0</v>
          </cell>
          <cell r="K15" t="str">
            <v>92-558 Q</v>
          </cell>
        </row>
        <row r="16">
          <cell r="A16" t="str">
            <v>92-558 R</v>
          </cell>
          <cell r="B16">
            <v>34881</v>
          </cell>
          <cell r="C16">
            <v>-5.5500000000000001E-2</v>
          </cell>
          <cell r="D16">
            <v>-5.5500000000000001E-2</v>
          </cell>
          <cell r="E16">
            <v>-5.5500000000000001E-2</v>
          </cell>
          <cell r="K16" t="str">
            <v>92-558 R</v>
          </cell>
        </row>
        <row r="17">
          <cell r="A17" t="str">
            <v>92-558 S</v>
          </cell>
          <cell r="B17">
            <v>34912</v>
          </cell>
          <cell r="C17">
            <v>0</v>
          </cell>
          <cell r="D17">
            <v>0</v>
          </cell>
          <cell r="E17">
            <v>0</v>
          </cell>
          <cell r="K17" t="str">
            <v>92-558 S</v>
          </cell>
        </row>
        <row r="18">
          <cell r="A18" t="str">
            <v>95-010</v>
          </cell>
          <cell r="B18">
            <v>34943</v>
          </cell>
          <cell r="C18">
            <v>-3.2300000000000002E-2</v>
          </cell>
          <cell r="D18">
            <v>-3.2300000000000002E-2</v>
          </cell>
          <cell r="E18">
            <v>-9.1999999999999998E-3</v>
          </cell>
          <cell r="K18" t="str">
            <v>95-010</v>
          </cell>
        </row>
        <row r="19">
          <cell r="A19" t="str">
            <v>95-010 A</v>
          </cell>
          <cell r="B19">
            <v>34999</v>
          </cell>
          <cell r="C19">
            <v>0</v>
          </cell>
          <cell r="D19">
            <v>0</v>
          </cell>
          <cell r="E19">
            <v>0</v>
          </cell>
          <cell r="G19">
            <v>-0.26279999999999998</v>
          </cell>
          <cell r="H19">
            <v>-0.26279999999999998</v>
          </cell>
          <cell r="I19">
            <v>-0.12619999999999998</v>
          </cell>
          <cell r="K19" t="str">
            <v>95-010 A</v>
          </cell>
        </row>
        <row r="20">
          <cell r="A20" t="str">
            <v>95-010 B</v>
          </cell>
          <cell r="B20">
            <v>35004</v>
          </cell>
          <cell r="C20">
            <v>0</v>
          </cell>
          <cell r="D20">
            <v>0</v>
          </cell>
          <cell r="E20">
            <v>0</v>
          </cell>
          <cell r="G20">
            <v>-0.21329999999999999</v>
          </cell>
          <cell r="H20">
            <v>-0.21329999999999999</v>
          </cell>
          <cell r="I20">
            <v>-0.1109</v>
          </cell>
          <cell r="K20" t="str">
            <v>95-010 B</v>
          </cell>
        </row>
        <row r="21">
          <cell r="A21" t="str">
            <v>95-010 C</v>
          </cell>
          <cell r="B21">
            <v>35034</v>
          </cell>
          <cell r="C21">
            <v>-2.7000000000000001E-3</v>
          </cell>
          <cell r="D21">
            <v>-2.7000000000000001E-3</v>
          </cell>
          <cell r="E21">
            <v>-2.2000000000000001E-3</v>
          </cell>
          <cell r="G21">
            <v>-0.216</v>
          </cell>
          <cell r="H21">
            <v>-0.216</v>
          </cell>
          <cell r="I21">
            <v>-0.11309999999999999</v>
          </cell>
          <cell r="K21" t="str">
            <v>95-010 C</v>
          </cell>
        </row>
        <row r="22">
          <cell r="A22" t="str">
            <v>95-010 D</v>
          </cell>
          <cell r="B22">
            <v>35065</v>
          </cell>
          <cell r="C22">
            <v>0</v>
          </cell>
          <cell r="D22">
            <v>0</v>
          </cell>
          <cell r="E22">
            <v>0</v>
          </cell>
          <cell r="G22">
            <v>-0.216</v>
          </cell>
          <cell r="H22">
            <v>-0.216</v>
          </cell>
          <cell r="I22">
            <v>-0.11309999999999999</v>
          </cell>
          <cell r="K22" t="str">
            <v>95-010 D</v>
          </cell>
        </row>
        <row r="23">
          <cell r="A23" t="str">
            <v>95-010 E</v>
          </cell>
          <cell r="B23">
            <v>35096</v>
          </cell>
          <cell r="C23">
            <v>0</v>
          </cell>
          <cell r="D23">
            <v>0</v>
          </cell>
          <cell r="E23">
            <v>0</v>
          </cell>
          <cell r="G23">
            <v>-0.1249</v>
          </cell>
          <cell r="H23">
            <v>-0.1249</v>
          </cell>
          <cell r="I23">
            <v>-7.6799999999999993E-2</v>
          </cell>
          <cell r="K23" t="str">
            <v>95-010 E</v>
          </cell>
        </row>
        <row r="24">
          <cell r="A24" t="str">
            <v>95-010 F</v>
          </cell>
          <cell r="B24">
            <v>35125</v>
          </cell>
          <cell r="C24">
            <v>0</v>
          </cell>
          <cell r="D24">
            <v>0</v>
          </cell>
          <cell r="E24">
            <v>0</v>
          </cell>
          <cell r="G24">
            <v>-0.1249</v>
          </cell>
          <cell r="H24">
            <v>-0.1249</v>
          </cell>
          <cell r="I24">
            <v>-7.6799999999999993E-2</v>
          </cell>
          <cell r="K24" t="str">
            <v>95-010 F</v>
          </cell>
        </row>
        <row r="25">
          <cell r="A25" t="str">
            <v>95-010 G</v>
          </cell>
          <cell r="B25">
            <v>35156</v>
          </cell>
          <cell r="C25">
            <v>0</v>
          </cell>
          <cell r="D25">
            <v>0</v>
          </cell>
          <cell r="E25">
            <v>0</v>
          </cell>
          <cell r="G25">
            <v>-9.0499999999999997E-2</v>
          </cell>
          <cell r="H25">
            <v>-9.0499999999999997E-2</v>
          </cell>
          <cell r="I25">
            <v>-6.6900000000000001E-2</v>
          </cell>
          <cell r="K25" t="str">
            <v>95-010 G</v>
          </cell>
        </row>
        <row r="26">
          <cell r="A26" t="str">
            <v>95-010 H</v>
          </cell>
          <cell r="B26">
            <v>35186</v>
          </cell>
          <cell r="C26">
            <v>0</v>
          </cell>
          <cell r="D26">
            <v>0</v>
          </cell>
          <cell r="E26">
            <v>0</v>
          </cell>
          <cell r="G26">
            <v>-9.0499999999999997E-2</v>
          </cell>
          <cell r="H26">
            <v>-9.0499999999999997E-2</v>
          </cell>
          <cell r="I26">
            <v>-6.6900000000000001E-2</v>
          </cell>
          <cell r="K26" t="str">
            <v>95-010 H</v>
          </cell>
        </row>
        <row r="27">
          <cell r="A27" t="str">
            <v>95-010 I</v>
          </cell>
          <cell r="B27">
            <v>35217</v>
          </cell>
          <cell r="C27">
            <v>-7.8399999999999997E-2</v>
          </cell>
          <cell r="D27">
            <v>-7.8399999999999997E-2</v>
          </cell>
          <cell r="E27">
            <v>-3.1099999999999999E-2</v>
          </cell>
          <cell r="G27">
            <v>-0.16889999999999999</v>
          </cell>
          <cell r="H27">
            <v>-0.16889999999999999</v>
          </cell>
          <cell r="I27">
            <v>-9.8000000000000004E-2</v>
          </cell>
          <cell r="K27" t="str">
            <v>95-010 I</v>
          </cell>
        </row>
        <row r="28">
          <cell r="A28" t="str">
            <v>95-010 J</v>
          </cell>
          <cell r="B28">
            <v>35247</v>
          </cell>
          <cell r="C28">
            <v>-3.8E-3</v>
          </cell>
          <cell r="D28">
            <v>-3.8E-3</v>
          </cell>
          <cell r="E28">
            <v>-2.0999999999999999E-3</v>
          </cell>
          <cell r="G28">
            <v>-0.1172</v>
          </cell>
          <cell r="H28">
            <v>-0.1172</v>
          </cell>
          <cell r="I28">
            <v>-4.4599999999999994E-2</v>
          </cell>
          <cell r="K28" t="str">
            <v>95-010 J</v>
          </cell>
        </row>
        <row r="29">
          <cell r="A29" t="str">
            <v>95-010 K</v>
          </cell>
          <cell r="B29">
            <v>35278</v>
          </cell>
          <cell r="C29">
            <v>0</v>
          </cell>
          <cell r="D29">
            <v>0</v>
          </cell>
          <cell r="E29">
            <v>0</v>
          </cell>
          <cell r="G29">
            <v>-0.1172</v>
          </cell>
          <cell r="H29">
            <v>-0.1172</v>
          </cell>
          <cell r="I29">
            <v>-4.4599999999999994E-2</v>
          </cell>
          <cell r="K29" t="str">
            <v>95-010 K</v>
          </cell>
        </row>
        <row r="30">
          <cell r="A30" t="str">
            <v>95-010 L</v>
          </cell>
          <cell r="B30">
            <v>35309</v>
          </cell>
          <cell r="C30">
            <v>0</v>
          </cell>
          <cell r="D30">
            <v>0</v>
          </cell>
          <cell r="E30">
            <v>0</v>
          </cell>
          <cell r="G30">
            <v>-8.4899999999999989E-2</v>
          </cell>
          <cell r="H30">
            <v>-8.4899999999999989E-2</v>
          </cell>
          <cell r="I30">
            <v>-3.5399999999999994E-2</v>
          </cell>
          <cell r="K30" t="str">
            <v>95-010 L</v>
          </cell>
        </row>
        <row r="31">
          <cell r="A31" t="str">
            <v>95-010 M</v>
          </cell>
          <cell r="B31">
            <v>35339</v>
          </cell>
          <cell r="C31">
            <v>0</v>
          </cell>
          <cell r="D31">
            <v>0</v>
          </cell>
          <cell r="E31">
            <v>0</v>
          </cell>
          <cell r="G31">
            <v>-8.4899999999999989E-2</v>
          </cell>
          <cell r="H31">
            <v>-8.4899999999999989E-2</v>
          </cell>
          <cell r="I31">
            <v>-3.5399999999999994E-2</v>
          </cell>
          <cell r="K31" t="str">
            <v>95-010 M</v>
          </cell>
        </row>
        <row r="32">
          <cell r="A32" t="str">
            <v>95-010 N</v>
          </cell>
          <cell r="B32">
            <v>35370</v>
          </cell>
          <cell r="C32">
            <v>6.6E-3</v>
          </cell>
          <cell r="D32">
            <v>6.6E-3</v>
          </cell>
          <cell r="E32">
            <v>6.6E-3</v>
          </cell>
          <cell r="G32">
            <v>-7.8299999999999995E-2</v>
          </cell>
          <cell r="H32">
            <v>-7.8299999999999995E-2</v>
          </cell>
          <cell r="I32">
            <v>-2.8799999999999992E-2</v>
          </cell>
          <cell r="K32" t="str">
            <v>95-010 N</v>
          </cell>
        </row>
        <row r="33">
          <cell r="A33" t="str">
            <v>95-010 O</v>
          </cell>
          <cell r="B33">
            <v>35400</v>
          </cell>
          <cell r="C33">
            <v>0</v>
          </cell>
          <cell r="D33">
            <v>0</v>
          </cell>
          <cell r="E33">
            <v>0</v>
          </cell>
          <cell r="G33">
            <v>-7.5600000000000001E-2</v>
          </cell>
          <cell r="H33">
            <v>-7.5600000000000001E-2</v>
          </cell>
          <cell r="I33">
            <v>-2.6599999999999999E-2</v>
          </cell>
          <cell r="K33" t="str">
            <v>95-010 O</v>
          </cell>
        </row>
        <row r="34">
          <cell r="A34" t="str">
            <v>95-010 P</v>
          </cell>
          <cell r="B34">
            <v>35431</v>
          </cell>
          <cell r="C34">
            <v>0</v>
          </cell>
          <cell r="D34">
            <v>0</v>
          </cell>
          <cell r="E34">
            <v>0</v>
          </cell>
          <cell r="G34">
            <v>-7.5600000000000001E-2</v>
          </cell>
          <cell r="H34">
            <v>-7.5600000000000001E-2</v>
          </cell>
          <cell r="I34">
            <v>-2.6599999999999999E-2</v>
          </cell>
          <cell r="K34" t="str">
            <v>95-010 P</v>
          </cell>
        </row>
        <row r="35">
          <cell r="A35" t="str">
            <v>95-010 Q</v>
          </cell>
          <cell r="B35">
            <v>35462</v>
          </cell>
          <cell r="C35">
            <v>0</v>
          </cell>
          <cell r="D35">
            <v>0</v>
          </cell>
          <cell r="E35">
            <v>0</v>
          </cell>
          <cell r="G35">
            <v>-7.5600000000000001E-2</v>
          </cell>
          <cell r="H35">
            <v>-7.5600000000000001E-2</v>
          </cell>
          <cell r="I35">
            <v>-2.6599999999999999E-2</v>
          </cell>
          <cell r="K35" t="str">
            <v>95-010 Q</v>
          </cell>
        </row>
        <row r="36">
          <cell r="A36" t="str">
            <v>95-010 R</v>
          </cell>
          <cell r="B36">
            <v>35490</v>
          </cell>
          <cell r="C36">
            <v>0</v>
          </cell>
          <cell r="D36">
            <v>0</v>
          </cell>
          <cell r="E36">
            <v>0</v>
          </cell>
          <cell r="G36">
            <v>-7.5600000000000001E-2</v>
          </cell>
          <cell r="H36">
            <v>-7.5600000000000001E-2</v>
          </cell>
          <cell r="I36">
            <v>-2.6599999999999999E-2</v>
          </cell>
          <cell r="K36" t="str">
            <v>95-010 R</v>
          </cell>
        </row>
        <row r="37">
          <cell r="A37" t="str">
            <v>95-010 S</v>
          </cell>
          <cell r="B37">
            <v>35521</v>
          </cell>
          <cell r="C37">
            <v>0</v>
          </cell>
          <cell r="D37">
            <v>0</v>
          </cell>
          <cell r="E37">
            <v>0</v>
          </cell>
          <cell r="G37">
            <v>-7.5600000000000001E-2</v>
          </cell>
          <cell r="H37">
            <v>-7.5600000000000001E-2</v>
          </cell>
          <cell r="I37">
            <v>-2.6599999999999999E-2</v>
          </cell>
          <cell r="K37" t="str">
            <v>95-010 S</v>
          </cell>
        </row>
        <row r="38">
          <cell r="A38" t="str">
            <v>95-010 T</v>
          </cell>
          <cell r="B38">
            <v>35551</v>
          </cell>
          <cell r="C38">
            <v>0</v>
          </cell>
          <cell r="D38">
            <v>0</v>
          </cell>
          <cell r="E38">
            <v>0</v>
          </cell>
          <cell r="G38">
            <v>-7.5600000000000001E-2</v>
          </cell>
          <cell r="H38">
            <v>-7.5600000000000001E-2</v>
          </cell>
          <cell r="I38">
            <v>-2.6599999999999999E-2</v>
          </cell>
          <cell r="K38" t="str">
            <v>95-010 T</v>
          </cell>
        </row>
        <row r="39">
          <cell r="A39" t="str">
            <v>95-010 U</v>
          </cell>
          <cell r="B39">
            <v>35582</v>
          </cell>
          <cell r="C39">
            <v>-5.1599999999999993E-2</v>
          </cell>
          <cell r="D39">
            <v>-5.1599999999999993E-2</v>
          </cell>
          <cell r="E39">
            <v>-1.6299999999999999E-2</v>
          </cell>
          <cell r="G39">
            <v>-4.8799999999999996E-2</v>
          </cell>
          <cell r="H39">
            <v>-4.8799999999999996E-2</v>
          </cell>
          <cell r="I39">
            <v>-1.1799999999999998E-2</v>
          </cell>
          <cell r="K39" t="str">
            <v>95-010 U</v>
          </cell>
        </row>
        <row r="40">
          <cell r="A40" t="str">
            <v>95-010 V</v>
          </cell>
          <cell r="B40">
            <v>35612</v>
          </cell>
          <cell r="C40">
            <v>-2.9999999999999997E-4</v>
          </cell>
          <cell r="D40">
            <v>-2.9999999999999997E-4</v>
          </cell>
          <cell r="E40">
            <v>-2.9999999999999997E-4</v>
          </cell>
          <cell r="G40">
            <v>-4.5299999999999993E-2</v>
          </cell>
          <cell r="H40">
            <v>-4.5299999999999993E-2</v>
          </cell>
          <cell r="I40">
            <v>-9.9999999999999985E-3</v>
          </cell>
          <cell r="K40" t="str">
            <v>95-010 V</v>
          </cell>
        </row>
        <row r="41">
          <cell r="A41" t="str">
            <v>95-010 W</v>
          </cell>
          <cell r="B41">
            <v>35643</v>
          </cell>
          <cell r="C41">
            <v>0</v>
          </cell>
          <cell r="D41">
            <v>0</v>
          </cell>
          <cell r="E41">
            <v>0</v>
          </cell>
          <cell r="G41">
            <v>-4.5299999999999993E-2</v>
          </cell>
          <cell r="H41">
            <v>-4.5299999999999993E-2</v>
          </cell>
          <cell r="I41">
            <v>-9.9999999999999985E-3</v>
          </cell>
          <cell r="K41" t="str">
            <v>95-010 W</v>
          </cell>
        </row>
        <row r="42">
          <cell r="A42" t="str">
            <v>95-010 X</v>
          </cell>
          <cell r="B42">
            <v>35674</v>
          </cell>
          <cell r="C42">
            <v>0</v>
          </cell>
          <cell r="D42">
            <v>0</v>
          </cell>
          <cell r="E42">
            <v>0</v>
          </cell>
          <cell r="G42">
            <v>-4.5299999999999993E-2</v>
          </cell>
          <cell r="H42">
            <v>-4.5299999999999993E-2</v>
          </cell>
          <cell r="I42">
            <v>-9.9999999999999985E-3</v>
          </cell>
          <cell r="K42" t="str">
            <v>95-010 X</v>
          </cell>
        </row>
        <row r="43">
          <cell r="A43" t="str">
            <v>95-010 Y</v>
          </cell>
          <cell r="B43">
            <v>35704</v>
          </cell>
          <cell r="C43">
            <v>0</v>
          </cell>
          <cell r="D43">
            <v>0</v>
          </cell>
          <cell r="E43">
            <v>0</v>
          </cell>
          <cell r="G43">
            <v>-4.5299999999999993E-2</v>
          </cell>
          <cell r="H43">
            <v>-4.5299999999999993E-2</v>
          </cell>
          <cell r="I43">
            <v>-9.9999999999999985E-3</v>
          </cell>
          <cell r="K43" t="str">
            <v>95-010 Y</v>
          </cell>
        </row>
        <row r="44">
          <cell r="A44" t="str">
            <v>95-010 Z</v>
          </cell>
          <cell r="B44">
            <v>35735</v>
          </cell>
          <cell r="C44">
            <v>0</v>
          </cell>
          <cell r="D44">
            <v>0</v>
          </cell>
          <cell r="E44">
            <v>0</v>
          </cell>
          <cell r="G44">
            <v>-5.1899999999999995E-2</v>
          </cell>
          <cell r="H44">
            <v>-5.1899999999999995E-2</v>
          </cell>
          <cell r="I44">
            <v>-1.66E-2</v>
          </cell>
          <cell r="K44" t="str">
            <v>95-010 Z</v>
          </cell>
        </row>
        <row r="45">
          <cell r="A45" t="str">
            <v>95-010 AA</v>
          </cell>
          <cell r="B45">
            <v>35765</v>
          </cell>
          <cell r="C45">
            <v>0</v>
          </cell>
          <cell r="D45">
            <v>0</v>
          </cell>
          <cell r="E45">
            <v>0</v>
          </cell>
          <cell r="G45">
            <v>-5.1899999999999995E-2</v>
          </cell>
          <cell r="H45">
            <v>-5.1899999999999995E-2</v>
          </cell>
          <cell r="I45">
            <v>-1.66E-2</v>
          </cell>
          <cell r="K45" t="str">
            <v>95-010 AA</v>
          </cell>
        </row>
        <row r="46">
          <cell r="A46" t="str">
            <v>95-010 BB</v>
          </cell>
          <cell r="B46">
            <v>35796</v>
          </cell>
          <cell r="C46">
            <v>0</v>
          </cell>
          <cell r="D46">
            <v>0</v>
          </cell>
          <cell r="E46">
            <v>0</v>
          </cell>
          <cell r="G46">
            <v>-5.1899999999999995E-2</v>
          </cell>
          <cell r="H46">
            <v>-5.1899999999999995E-2</v>
          </cell>
          <cell r="I46">
            <v>-1.66E-2</v>
          </cell>
          <cell r="K46" t="str">
            <v>95-010 BB</v>
          </cell>
        </row>
        <row r="47">
          <cell r="A47" t="str">
            <v>95-010 CC</v>
          </cell>
          <cell r="B47">
            <v>35827</v>
          </cell>
          <cell r="C47">
            <v>-1.6000000000000001E-3</v>
          </cell>
          <cell r="D47">
            <v>-1.6000000000000001E-3</v>
          </cell>
          <cell r="E47">
            <v>-1.6000000000000001E-3</v>
          </cell>
          <cell r="G47">
            <v>-5.3499999999999992E-2</v>
          </cell>
          <cell r="H47">
            <v>-5.3499999999999992E-2</v>
          </cell>
          <cell r="I47">
            <v>-1.8200000000000001E-2</v>
          </cell>
          <cell r="K47" t="str">
            <v>95-010 CC</v>
          </cell>
        </row>
        <row r="48">
          <cell r="A48" t="str">
            <v>95-010 DD</v>
          </cell>
          <cell r="B48">
            <v>35855</v>
          </cell>
          <cell r="C48">
            <v>0</v>
          </cell>
          <cell r="D48">
            <v>0</v>
          </cell>
          <cell r="E48">
            <v>0</v>
          </cell>
          <cell r="G48">
            <v>-5.3499999999999992E-2</v>
          </cell>
          <cell r="H48">
            <v>-5.3499999999999992E-2</v>
          </cell>
          <cell r="I48">
            <v>-1.8200000000000001E-2</v>
          </cell>
          <cell r="K48" t="str">
            <v>95-010 DD</v>
          </cell>
        </row>
        <row r="49">
          <cell r="A49" t="str">
            <v>95-010 EE</v>
          </cell>
          <cell r="B49">
            <v>35886</v>
          </cell>
          <cell r="C49">
            <v>0</v>
          </cell>
          <cell r="D49">
            <v>0</v>
          </cell>
          <cell r="E49">
            <v>0</v>
          </cell>
          <cell r="G49">
            <v>-5.3499999999999992E-2</v>
          </cell>
          <cell r="H49">
            <v>-5.3499999999999992E-2</v>
          </cell>
          <cell r="I49">
            <v>-1.8200000000000001E-2</v>
          </cell>
          <cell r="K49" t="str">
            <v>95-010 EE</v>
          </cell>
        </row>
        <row r="50">
          <cell r="A50" t="str">
            <v>95-010 FF</v>
          </cell>
          <cell r="B50">
            <v>35916</v>
          </cell>
          <cell r="C50">
            <v>0</v>
          </cell>
          <cell r="D50">
            <v>0</v>
          </cell>
          <cell r="E50">
            <v>0</v>
          </cell>
          <cell r="G50">
            <v>-5.3499999999999992E-2</v>
          </cell>
          <cell r="H50">
            <v>-5.3499999999999992E-2</v>
          </cell>
          <cell r="I50">
            <v>-1.8200000000000001E-2</v>
          </cell>
          <cell r="K50" t="str">
            <v>95-010 FF</v>
          </cell>
        </row>
        <row r="51">
          <cell r="A51" t="str">
            <v>95-010 GG</v>
          </cell>
          <cell r="B51">
            <v>35947</v>
          </cell>
          <cell r="C51">
            <v>0</v>
          </cell>
          <cell r="D51">
            <v>0</v>
          </cell>
          <cell r="E51">
            <v>0</v>
          </cell>
          <cell r="G51">
            <v>-1.9E-3</v>
          </cell>
          <cell r="H51">
            <v>-1.9E-3</v>
          </cell>
          <cell r="I51">
            <v>-1.9E-3</v>
          </cell>
          <cell r="K51" t="str">
            <v>95-010 GG</v>
          </cell>
        </row>
        <row r="52">
          <cell r="A52" t="str">
            <v>95-010 HH</v>
          </cell>
          <cell r="B52">
            <v>35977</v>
          </cell>
          <cell r="C52">
            <v>-9.4999999999999998E-3</v>
          </cell>
          <cell r="D52">
            <v>-9.4999999999999998E-3</v>
          </cell>
          <cell r="E52">
            <v>-7.3000000000000001E-3</v>
          </cell>
          <cell r="G52">
            <v>-1.11E-2</v>
          </cell>
          <cell r="H52">
            <v>-1.11E-2</v>
          </cell>
          <cell r="I52">
            <v>-8.8999999999999999E-3</v>
          </cell>
          <cell r="K52" t="str">
            <v>95-010 HH</v>
          </cell>
        </row>
        <row r="53">
          <cell r="A53" t="str">
            <v>95-010 II</v>
          </cell>
          <cell r="B53">
            <v>36008</v>
          </cell>
          <cell r="C53">
            <v>0</v>
          </cell>
          <cell r="D53">
            <v>0</v>
          </cell>
          <cell r="E53">
            <v>0</v>
          </cell>
          <cell r="G53">
            <v>-1.11E-2</v>
          </cell>
          <cell r="H53">
            <v>-1.11E-2</v>
          </cell>
          <cell r="I53">
            <v>-8.8999999999999999E-3</v>
          </cell>
          <cell r="K53" t="str">
            <v>95-010 II</v>
          </cell>
        </row>
        <row r="54">
          <cell r="A54" t="str">
            <v>95-010 JJ</v>
          </cell>
          <cell r="B54">
            <v>36039</v>
          </cell>
          <cell r="C54">
            <v>0</v>
          </cell>
          <cell r="D54">
            <v>0</v>
          </cell>
          <cell r="E54">
            <v>0</v>
          </cell>
          <cell r="G54">
            <v>-1.11E-2</v>
          </cell>
          <cell r="H54">
            <v>-1.11E-2</v>
          </cell>
          <cell r="I54">
            <v>-8.8999999999999999E-3</v>
          </cell>
          <cell r="K54" t="str">
            <v>95-010 JJ</v>
          </cell>
        </row>
        <row r="55">
          <cell r="A55" t="str">
            <v>95-010 KK</v>
          </cell>
          <cell r="B55">
            <v>36069</v>
          </cell>
          <cell r="C55">
            <v>-1.2999999999999999E-2</v>
          </cell>
          <cell r="D55">
            <v>-1.2999999999999999E-2</v>
          </cell>
          <cell r="E55">
            <v>-1.2999999999999999E-2</v>
          </cell>
          <cell r="G55">
            <v>-2.41E-2</v>
          </cell>
          <cell r="H55">
            <v>-2.41E-2</v>
          </cell>
          <cell r="I55">
            <v>-2.1899999999999999E-2</v>
          </cell>
          <cell r="K55" t="str">
            <v>95-010 KK</v>
          </cell>
        </row>
        <row r="56">
          <cell r="A56" t="str">
            <v>95-010 LL</v>
          </cell>
          <cell r="B56">
            <v>36100</v>
          </cell>
          <cell r="C56">
            <v>0</v>
          </cell>
          <cell r="D56">
            <v>0</v>
          </cell>
          <cell r="E56">
            <v>0</v>
          </cell>
          <cell r="G56">
            <v>-2.41E-2</v>
          </cell>
          <cell r="H56">
            <v>-2.41E-2</v>
          </cell>
          <cell r="I56">
            <v>-2.1899999999999999E-2</v>
          </cell>
          <cell r="K56" t="str">
            <v>95-010 LL</v>
          </cell>
        </row>
        <row r="57">
          <cell r="A57" t="str">
            <v>95-010 MM</v>
          </cell>
          <cell r="B57">
            <v>36130</v>
          </cell>
          <cell r="C57">
            <v>0</v>
          </cell>
          <cell r="D57">
            <v>0</v>
          </cell>
          <cell r="E57">
            <v>0</v>
          </cell>
          <cell r="G57">
            <v>-2.41E-2</v>
          </cell>
          <cell r="H57">
            <v>-2.41E-2</v>
          </cell>
          <cell r="I57">
            <v>-2.1899999999999999E-2</v>
          </cell>
          <cell r="K57" t="str">
            <v>95-010 MM</v>
          </cell>
        </row>
        <row r="58">
          <cell r="A58" t="str">
            <v>95-010 NN</v>
          </cell>
          <cell r="B58">
            <v>36161</v>
          </cell>
          <cell r="C58">
            <v>0</v>
          </cell>
          <cell r="D58">
            <v>0</v>
          </cell>
          <cell r="E58">
            <v>0</v>
          </cell>
          <cell r="G58">
            <v>-2.41E-2</v>
          </cell>
          <cell r="H58">
            <v>-2.41E-2</v>
          </cell>
          <cell r="I58">
            <v>-2.1899999999999999E-2</v>
          </cell>
          <cell r="K58" t="str">
            <v>95-010 NN</v>
          </cell>
        </row>
        <row r="59">
          <cell r="A59" t="str">
            <v>95-010 OO</v>
          </cell>
          <cell r="B59">
            <v>36192</v>
          </cell>
          <cell r="C59">
            <v>0</v>
          </cell>
          <cell r="D59">
            <v>0</v>
          </cell>
          <cell r="E59">
            <v>0</v>
          </cell>
          <cell r="G59">
            <v>-2.2499999999999999E-2</v>
          </cell>
          <cell r="H59">
            <v>-2.2499999999999999E-2</v>
          </cell>
          <cell r="I59">
            <v>-2.0299999999999999E-2</v>
          </cell>
          <cell r="K59" t="str">
            <v>95-010 OO</v>
          </cell>
        </row>
        <row r="60">
          <cell r="A60" t="str">
            <v>95-010 PP</v>
          </cell>
          <cell r="B60">
            <v>36220</v>
          </cell>
          <cell r="C60">
            <v>0</v>
          </cell>
          <cell r="D60">
            <v>0</v>
          </cell>
          <cell r="E60">
            <v>0</v>
          </cell>
          <cell r="G60">
            <v>-2.2499999999999999E-2</v>
          </cell>
          <cell r="H60">
            <v>-2.2499999999999999E-2</v>
          </cell>
          <cell r="I60">
            <v>-2.0299999999999999E-2</v>
          </cell>
          <cell r="K60" t="str">
            <v>95-010 PP</v>
          </cell>
        </row>
        <row r="61">
          <cell r="A61" t="str">
            <v>95-010 QQ</v>
          </cell>
          <cell r="B61">
            <v>36251</v>
          </cell>
          <cell r="C61">
            <v>-4.2900000000000001E-2</v>
          </cell>
          <cell r="D61">
            <v>-4.2900000000000001E-2</v>
          </cell>
          <cell r="E61">
            <v>-1.2700000000000001E-2</v>
          </cell>
          <cell r="G61">
            <v>-6.54E-2</v>
          </cell>
          <cell r="H61">
            <v>-6.54E-2</v>
          </cell>
          <cell r="I61">
            <v>-3.3000000000000002E-2</v>
          </cell>
          <cell r="K61" t="str">
            <v>95-010 QQ</v>
          </cell>
        </row>
        <row r="62">
          <cell r="A62" t="str">
            <v>95-010 RR</v>
          </cell>
          <cell r="B62">
            <v>36281</v>
          </cell>
          <cell r="C62">
            <v>0</v>
          </cell>
          <cell r="D62">
            <v>0</v>
          </cell>
          <cell r="E62">
            <v>0</v>
          </cell>
          <cell r="G62">
            <v>-6.54E-2</v>
          </cell>
          <cell r="H62">
            <v>-6.54E-2</v>
          </cell>
          <cell r="I62">
            <v>-3.3000000000000002E-2</v>
          </cell>
          <cell r="K62" t="str">
            <v>95-010 RR</v>
          </cell>
        </row>
        <row r="63">
          <cell r="A63" t="str">
            <v>95-010 SS</v>
          </cell>
          <cell r="B63">
            <v>36312</v>
          </cell>
          <cell r="C63">
            <v>0</v>
          </cell>
          <cell r="D63">
            <v>0</v>
          </cell>
          <cell r="E63">
            <v>0</v>
          </cell>
          <cell r="G63">
            <v>-6.54E-2</v>
          </cell>
          <cell r="H63">
            <v>-6.54E-2</v>
          </cell>
          <cell r="I63">
            <v>-3.3000000000000002E-2</v>
          </cell>
          <cell r="K63" t="str">
            <v>95-010 SS</v>
          </cell>
        </row>
        <row r="64">
          <cell r="A64" t="str">
            <v>95-010 TT</v>
          </cell>
          <cell r="B64">
            <v>36342</v>
          </cell>
          <cell r="C64">
            <v>0</v>
          </cell>
          <cell r="D64">
            <v>0</v>
          </cell>
          <cell r="E64">
            <v>0</v>
          </cell>
          <cell r="G64">
            <v>-5.5899999999999998E-2</v>
          </cell>
          <cell r="H64">
            <v>-5.5899999999999998E-2</v>
          </cell>
          <cell r="I64">
            <v>-2.5700000000000001E-2</v>
          </cell>
          <cell r="K64" t="str">
            <v>95-010 TT</v>
          </cell>
        </row>
        <row r="65">
          <cell r="A65" t="str">
            <v>95-010 UU</v>
          </cell>
          <cell r="B65">
            <v>36373</v>
          </cell>
          <cell r="C65">
            <v>0</v>
          </cell>
          <cell r="D65">
            <v>0</v>
          </cell>
          <cell r="E65">
            <v>0</v>
          </cell>
          <cell r="G65">
            <v>-5.5899999999999998E-2</v>
          </cell>
          <cell r="H65">
            <v>-5.5899999999999998E-2</v>
          </cell>
          <cell r="I65">
            <v>-2.5700000000000001E-2</v>
          </cell>
          <cell r="K65" t="str">
            <v>95-010 UU</v>
          </cell>
        </row>
        <row r="66">
          <cell r="A66" t="str">
            <v>95-010 VV</v>
          </cell>
          <cell r="B66">
            <v>36404</v>
          </cell>
          <cell r="C66">
            <v>0</v>
          </cell>
          <cell r="D66">
            <v>0</v>
          </cell>
          <cell r="E66">
            <v>0</v>
          </cell>
          <cell r="G66">
            <v>-5.5899999999999998E-2</v>
          </cell>
          <cell r="H66">
            <v>-5.5899999999999998E-2</v>
          </cell>
          <cell r="I66">
            <v>-2.5700000000000001E-2</v>
          </cell>
          <cell r="K66" t="str">
            <v>95-010 VV</v>
          </cell>
        </row>
        <row r="67">
          <cell r="A67" t="str">
            <v>95-010 WW</v>
          </cell>
          <cell r="B67">
            <v>36434</v>
          </cell>
          <cell r="C67">
            <v>-2.3E-3</v>
          </cell>
          <cell r="D67">
            <v>-2.3E-3</v>
          </cell>
          <cell r="E67">
            <v>-2.3E-3</v>
          </cell>
          <cell r="G67">
            <v>-4.5200000000000004E-2</v>
          </cell>
          <cell r="H67">
            <v>-4.5200000000000004E-2</v>
          </cell>
          <cell r="I67">
            <v>-1.5000000000000001E-2</v>
          </cell>
          <cell r="K67" t="str">
            <v>95-010 WW</v>
          </cell>
        </row>
        <row r="68">
          <cell r="A68" t="str">
            <v>95-010 XX</v>
          </cell>
          <cell r="B68">
            <v>36465</v>
          </cell>
          <cell r="C68">
            <v>0</v>
          </cell>
          <cell r="D68">
            <v>0</v>
          </cell>
          <cell r="E68">
            <v>0</v>
          </cell>
          <cell r="G68">
            <v>-4.5200000000000004E-2</v>
          </cell>
          <cell r="H68">
            <v>-4.5200000000000004E-2</v>
          </cell>
          <cell r="I68">
            <v>-1.5000000000000001E-2</v>
          </cell>
          <cell r="K68" t="str">
            <v>95-010 XX</v>
          </cell>
        </row>
        <row r="69">
          <cell r="A69" t="str">
            <v>95-010 YY</v>
          </cell>
          <cell r="B69">
            <v>36495</v>
          </cell>
          <cell r="C69">
            <v>0</v>
          </cell>
          <cell r="D69">
            <v>0</v>
          </cell>
          <cell r="E69">
            <v>0</v>
          </cell>
          <cell r="G69">
            <v>-4.5200000000000004E-2</v>
          </cell>
          <cell r="H69">
            <v>-4.5200000000000004E-2</v>
          </cell>
          <cell r="I69">
            <v>-1.5000000000000001E-2</v>
          </cell>
          <cell r="K69" t="str">
            <v>95-010 YY</v>
          </cell>
        </row>
        <row r="70">
          <cell r="A70" t="str">
            <v>99-070</v>
          </cell>
          <cell r="B70">
            <v>36526</v>
          </cell>
          <cell r="C70">
            <v>-2.8E-3</v>
          </cell>
          <cell r="D70">
            <v>-2.8E-3</v>
          </cell>
          <cell r="E70">
            <v>-2.8E-3</v>
          </cell>
          <cell r="G70">
            <v>-4.8000000000000001E-2</v>
          </cell>
          <cell r="H70">
            <v>-4.8000000000000001E-2</v>
          </cell>
          <cell r="I70">
            <v>-1.78E-2</v>
          </cell>
          <cell r="K70" t="str">
            <v>99-070</v>
          </cell>
        </row>
        <row r="71">
          <cell r="A71" t="str">
            <v>99-070 A</v>
          </cell>
          <cell r="B71">
            <v>36557</v>
          </cell>
          <cell r="C71">
            <v>0</v>
          </cell>
          <cell r="D71">
            <v>0</v>
          </cell>
          <cell r="E71">
            <v>0</v>
          </cell>
          <cell r="G71">
            <v>-4.8000000000000001E-2</v>
          </cell>
          <cell r="H71">
            <v>-4.8000000000000001E-2</v>
          </cell>
          <cell r="I71">
            <v>-1.78E-2</v>
          </cell>
          <cell r="K71" t="str">
            <v>99-070 A</v>
          </cell>
        </row>
        <row r="72">
          <cell r="A72" t="str">
            <v>99-070 A</v>
          </cell>
          <cell r="B72">
            <v>36586</v>
          </cell>
          <cell r="C72">
            <v>0</v>
          </cell>
          <cell r="D72">
            <v>0</v>
          </cell>
          <cell r="E72">
            <v>0</v>
          </cell>
          <cell r="G72">
            <v>-4.8000000000000001E-2</v>
          </cell>
          <cell r="H72">
            <v>-4.8000000000000001E-2</v>
          </cell>
          <cell r="I72">
            <v>-1.78E-2</v>
          </cell>
          <cell r="K72" t="str">
            <v>99-070 A</v>
          </cell>
        </row>
        <row r="73">
          <cell r="A73" t="str">
            <v>1999-070 B</v>
          </cell>
          <cell r="B73">
            <v>36617</v>
          </cell>
          <cell r="C73">
            <v>0</v>
          </cell>
          <cell r="D73">
            <v>0</v>
          </cell>
          <cell r="E73">
            <v>0</v>
          </cell>
          <cell r="G73">
            <v>-5.1000000000000004E-3</v>
          </cell>
          <cell r="H73">
            <v>-5.1000000000000004E-3</v>
          </cell>
          <cell r="I73">
            <v>-5.1000000000000004E-3</v>
          </cell>
          <cell r="K73" t="str">
            <v>1999-070 B</v>
          </cell>
        </row>
        <row r="74">
          <cell r="A74" t="str">
            <v>1999-070 C</v>
          </cell>
          <cell r="B74">
            <v>36647</v>
          </cell>
          <cell r="C74">
            <v>0</v>
          </cell>
          <cell r="D74">
            <v>0</v>
          </cell>
          <cell r="E74">
            <v>0</v>
          </cell>
          <cell r="G74">
            <v>-5.1000000000000004E-3</v>
          </cell>
          <cell r="H74">
            <v>-5.1000000000000004E-3</v>
          </cell>
          <cell r="I74">
            <v>-5.1000000000000004E-3</v>
          </cell>
          <cell r="K74" t="str">
            <v>1999-070 C</v>
          </cell>
        </row>
        <row r="75">
          <cell r="A75" t="str">
            <v>1999-070 C</v>
          </cell>
          <cell r="B75">
            <v>36678</v>
          </cell>
          <cell r="C75">
            <v>0</v>
          </cell>
          <cell r="D75">
            <v>0</v>
          </cell>
          <cell r="E75">
            <v>0</v>
          </cell>
          <cell r="G75">
            <v>-5.1000000000000004E-3</v>
          </cell>
          <cell r="H75">
            <v>-5.1000000000000004E-3</v>
          </cell>
          <cell r="I75">
            <v>-5.1000000000000004E-3</v>
          </cell>
          <cell r="K75" t="str">
            <v>1999-070 C</v>
          </cell>
        </row>
        <row r="76">
          <cell r="A76" t="str">
            <v>1999-070 D</v>
          </cell>
          <cell r="B76">
            <v>36708</v>
          </cell>
          <cell r="C76">
            <v>0</v>
          </cell>
          <cell r="D76">
            <v>0</v>
          </cell>
          <cell r="E76">
            <v>0</v>
          </cell>
          <cell r="G76">
            <v>-5.1000000000000004E-3</v>
          </cell>
          <cell r="H76">
            <v>-5.1000000000000004E-3</v>
          </cell>
          <cell r="I76">
            <v>-5.1000000000000004E-3</v>
          </cell>
          <cell r="K76" t="str">
            <v>1999-070 D</v>
          </cell>
        </row>
        <row r="77">
          <cell r="A77" t="str">
            <v>1999-070 E</v>
          </cell>
          <cell r="B77">
            <v>36739</v>
          </cell>
          <cell r="C77">
            <v>-1.17E-2</v>
          </cell>
          <cell r="D77">
            <v>-1.17E-2</v>
          </cell>
          <cell r="E77">
            <v>-1.17E-2</v>
          </cell>
          <cell r="G77">
            <v>-1.6800000000000002E-2</v>
          </cell>
          <cell r="H77">
            <v>-1.6800000000000002E-2</v>
          </cell>
          <cell r="I77">
            <v>-1.6800000000000002E-2</v>
          </cell>
          <cell r="K77" t="str">
            <v>1999-070 E</v>
          </cell>
        </row>
        <row r="78">
          <cell r="A78" t="str">
            <v>1999-070 E*</v>
          </cell>
          <cell r="B78">
            <v>36770</v>
          </cell>
          <cell r="C78">
            <v>0</v>
          </cell>
          <cell r="D78">
            <v>0</v>
          </cell>
          <cell r="E78">
            <v>0</v>
          </cell>
          <cell r="G78">
            <v>-1.6800000000000002E-2</v>
          </cell>
          <cell r="H78">
            <v>-1.6800000000000002E-2</v>
          </cell>
          <cell r="I78">
            <v>-1.6800000000000002E-2</v>
          </cell>
          <cell r="K78" t="str">
            <v>1999-070 E*</v>
          </cell>
        </row>
        <row r="79">
          <cell r="A79" t="str">
            <v>1999-070 F</v>
          </cell>
          <cell r="B79">
            <v>36800</v>
          </cell>
          <cell r="C79">
            <v>0</v>
          </cell>
          <cell r="D79">
            <v>0</v>
          </cell>
          <cell r="E79">
            <v>0</v>
          </cell>
          <cell r="G79">
            <v>-1.4500000000000001E-2</v>
          </cell>
          <cell r="H79">
            <v>-1.4500000000000001E-2</v>
          </cell>
          <cell r="I79">
            <v>-1.4500000000000001E-2</v>
          </cell>
          <cell r="K79" t="str">
            <v>1999-070 F</v>
          </cell>
        </row>
        <row r="80">
          <cell r="A80" t="str">
            <v>1999-070 G</v>
          </cell>
          <cell r="B80">
            <v>36831</v>
          </cell>
          <cell r="C80">
            <v>0</v>
          </cell>
          <cell r="D80">
            <v>0</v>
          </cell>
          <cell r="E80">
            <v>0</v>
          </cell>
          <cell r="G80">
            <v>-1.4500000000000001E-2</v>
          </cell>
          <cell r="H80">
            <v>-1.4500000000000001E-2</v>
          </cell>
          <cell r="I80">
            <v>-1.4500000000000001E-2</v>
          </cell>
          <cell r="K80" t="str">
            <v>1999-070 G</v>
          </cell>
        </row>
        <row r="81">
          <cell r="A81" t="str">
            <v>1999-070 G*</v>
          </cell>
          <cell r="B81">
            <v>36861</v>
          </cell>
          <cell r="C81">
            <v>0</v>
          </cell>
          <cell r="D81">
            <v>0</v>
          </cell>
          <cell r="E81">
            <v>0</v>
          </cell>
          <cell r="G81">
            <v>-1.4500000000000001E-2</v>
          </cell>
          <cell r="H81">
            <v>-1.4500000000000001E-2</v>
          </cell>
          <cell r="I81">
            <v>-1.4500000000000001E-2</v>
          </cell>
          <cell r="K81" t="str">
            <v>1999-070 G*</v>
          </cell>
        </row>
        <row r="82">
          <cell r="A82" t="str">
            <v>1999-070 G*</v>
          </cell>
          <cell r="B82">
            <v>36892</v>
          </cell>
          <cell r="C82">
            <v>0</v>
          </cell>
          <cell r="D82">
            <v>0</v>
          </cell>
          <cell r="E82">
            <v>0</v>
          </cell>
          <cell r="G82">
            <v>-1.17E-2</v>
          </cell>
          <cell r="H82">
            <v>-1.17E-2</v>
          </cell>
          <cell r="I82">
            <v>-1.17E-2</v>
          </cell>
          <cell r="K82" t="str">
            <v>1999-070 G*</v>
          </cell>
        </row>
        <row r="83">
          <cell r="A83" t="str">
            <v>1999-070 H</v>
          </cell>
          <cell r="B83">
            <v>36923</v>
          </cell>
          <cell r="C83">
            <v>0</v>
          </cell>
          <cell r="D83">
            <v>0</v>
          </cell>
          <cell r="E83">
            <v>0</v>
          </cell>
          <cell r="G83">
            <v>-1.17E-2</v>
          </cell>
          <cell r="H83">
            <v>-1.17E-2</v>
          </cell>
          <cell r="I83">
            <v>-1.17E-2</v>
          </cell>
          <cell r="K83" t="str">
            <v>1999-070 H</v>
          </cell>
        </row>
        <row r="84">
          <cell r="A84" t="str">
            <v>1999-070 I</v>
          </cell>
          <cell r="B84">
            <v>36951</v>
          </cell>
          <cell r="C84">
            <v>0</v>
          </cell>
          <cell r="D84">
            <v>0</v>
          </cell>
          <cell r="E84">
            <v>0</v>
          </cell>
          <cell r="G84">
            <v>-1.17E-2</v>
          </cell>
          <cell r="H84">
            <v>-1.17E-2</v>
          </cell>
          <cell r="I84">
            <v>-1.17E-2</v>
          </cell>
          <cell r="K84" t="str">
            <v>1999-070 I</v>
          </cell>
        </row>
        <row r="85">
          <cell r="A85" t="str">
            <v>1999-070 J</v>
          </cell>
          <cell r="B85">
            <v>36982</v>
          </cell>
          <cell r="C85">
            <v>0</v>
          </cell>
          <cell r="D85">
            <v>0</v>
          </cell>
          <cell r="E85">
            <v>0</v>
          </cell>
          <cell r="G85">
            <v>-1.17E-2</v>
          </cell>
          <cell r="H85">
            <v>-1.17E-2</v>
          </cell>
          <cell r="I85">
            <v>-1.17E-2</v>
          </cell>
          <cell r="K85" t="str">
            <v>1999-070 J</v>
          </cell>
        </row>
        <row r="86">
          <cell r="A86" t="str">
            <v>1999-070 K</v>
          </cell>
          <cell r="B86">
            <v>37012</v>
          </cell>
          <cell r="C86">
            <v>-5.0000000000000001E-4</v>
          </cell>
          <cell r="D86">
            <v>-5.0000000000000001E-4</v>
          </cell>
          <cell r="E86">
            <v>-5.0000000000000001E-4</v>
          </cell>
          <cell r="G86">
            <v>-1.2200000000000001E-2</v>
          </cell>
          <cell r="H86">
            <v>-1.2200000000000001E-2</v>
          </cell>
          <cell r="I86">
            <v>-1.2200000000000001E-2</v>
          </cell>
          <cell r="K86" t="str">
            <v>1999-070 K</v>
          </cell>
        </row>
        <row r="87">
          <cell r="A87" t="str">
            <v>1999-070 L</v>
          </cell>
          <cell r="B87">
            <v>37043</v>
          </cell>
          <cell r="C87">
            <v>0</v>
          </cell>
          <cell r="D87">
            <v>0</v>
          </cell>
          <cell r="E87">
            <v>0</v>
          </cell>
          <cell r="G87">
            <v>-1.2200000000000001E-2</v>
          </cell>
          <cell r="H87">
            <v>-1.2200000000000001E-2</v>
          </cell>
          <cell r="I87">
            <v>-1.2200000000000001E-2</v>
          </cell>
          <cell r="K87" t="str">
            <v>1999-070 L</v>
          </cell>
        </row>
        <row r="88">
          <cell r="A88" t="str">
            <v>1999-070 M</v>
          </cell>
          <cell r="B88">
            <v>37073</v>
          </cell>
          <cell r="C88">
            <v>0</v>
          </cell>
          <cell r="D88">
            <v>0</v>
          </cell>
          <cell r="E88">
            <v>0</v>
          </cell>
          <cell r="G88">
            <v>-1.2200000000000001E-2</v>
          </cell>
          <cell r="H88">
            <v>-1.2200000000000001E-2</v>
          </cell>
          <cell r="I88">
            <v>-1.2200000000000001E-2</v>
          </cell>
          <cell r="K88" t="str">
            <v>1999-070 M</v>
          </cell>
        </row>
        <row r="89">
          <cell r="A89" t="str">
            <v>1999-070 N</v>
          </cell>
          <cell r="B89">
            <v>37104</v>
          </cell>
          <cell r="C89">
            <v>0</v>
          </cell>
          <cell r="D89">
            <v>0</v>
          </cell>
          <cell r="E89">
            <v>0</v>
          </cell>
          <cell r="G89">
            <v>-5.0000000000000001E-4</v>
          </cell>
          <cell r="H89">
            <v>-5.0000000000000001E-4</v>
          </cell>
          <cell r="I89">
            <v>-5.0000000000000001E-4</v>
          </cell>
          <cell r="K89" t="str">
            <v>1999-070 N</v>
          </cell>
        </row>
        <row r="90">
          <cell r="A90" t="str">
            <v>1999-070 N*</v>
          </cell>
          <cell r="B90">
            <v>37104</v>
          </cell>
          <cell r="C90">
            <v>0</v>
          </cell>
          <cell r="D90">
            <v>0</v>
          </cell>
          <cell r="E90">
            <v>0</v>
          </cell>
          <cell r="G90">
            <v>-5.0000000000000001E-4</v>
          </cell>
          <cell r="H90">
            <v>-5.0000000000000001E-4</v>
          </cell>
          <cell r="I90">
            <v>-5.0000000000000001E-4</v>
          </cell>
          <cell r="K90" t="str">
            <v>1999-070 N*</v>
          </cell>
        </row>
        <row r="91">
          <cell r="A91" t="str">
            <v>1999-070 N*</v>
          </cell>
          <cell r="B91">
            <v>37104</v>
          </cell>
          <cell r="C91">
            <v>0</v>
          </cell>
          <cell r="D91">
            <v>0</v>
          </cell>
          <cell r="E91">
            <v>0</v>
          </cell>
          <cell r="G91">
            <v>-5.0000000000000001E-4</v>
          </cell>
          <cell r="H91">
            <v>-5.0000000000000001E-4</v>
          </cell>
          <cell r="I91">
            <v>-5.0000000000000001E-4</v>
          </cell>
          <cell r="K91" t="str">
            <v>1999-070 N*</v>
          </cell>
        </row>
        <row r="92">
          <cell r="A92" t="str">
            <v>1999-070 O</v>
          </cell>
          <cell r="B92">
            <v>37196</v>
          </cell>
          <cell r="C92">
            <v>-1.9E-3</v>
          </cell>
          <cell r="D92">
            <v>-1.9E-3</v>
          </cell>
          <cell r="E92">
            <v>-1.9E-3</v>
          </cell>
          <cell r="G92">
            <v>-2.4000000000000002E-3</v>
          </cell>
          <cell r="H92">
            <v>-2.4000000000000002E-3</v>
          </cell>
          <cell r="I92">
            <v>-2.4000000000000002E-3</v>
          </cell>
          <cell r="K92" t="str">
            <v>1999-070 O</v>
          </cell>
        </row>
        <row r="93">
          <cell r="A93" t="str">
            <v>1999-070 P</v>
          </cell>
          <cell r="B93">
            <v>37288</v>
          </cell>
          <cell r="C93">
            <v>0</v>
          </cell>
          <cell r="D93">
            <v>0</v>
          </cell>
          <cell r="E93">
            <v>0</v>
          </cell>
          <cell r="G93">
            <v>-2.4000000000000002E-3</v>
          </cell>
          <cell r="H93">
            <v>-2.4000000000000002E-3</v>
          </cell>
          <cell r="I93">
            <v>-2.4000000000000002E-3</v>
          </cell>
          <cell r="K93" t="str">
            <v>1999-070 P</v>
          </cell>
        </row>
        <row r="94">
          <cell r="A94" t="str">
            <v>2002-00113</v>
          </cell>
          <cell r="B94">
            <v>37377</v>
          </cell>
          <cell r="C94">
            <v>0</v>
          </cell>
          <cell r="D94">
            <v>0</v>
          </cell>
          <cell r="E94">
            <v>0</v>
          </cell>
          <cell r="G94">
            <v>-1.9E-3</v>
          </cell>
          <cell r="H94">
            <v>-1.9E-3</v>
          </cell>
          <cell r="I94">
            <v>-1.9E-3</v>
          </cell>
          <cell r="K94" t="str">
            <v>2002-00113</v>
          </cell>
        </row>
        <row r="95">
          <cell r="A95" t="str">
            <v>2002-00251</v>
          </cell>
          <cell r="B95">
            <v>37469</v>
          </cell>
          <cell r="C95">
            <v>-9.4999999999999998E-3</v>
          </cell>
          <cell r="D95">
            <v>-9.4999999999999998E-3</v>
          </cell>
          <cell r="E95">
            <v>-1.9E-3</v>
          </cell>
          <cell r="G95">
            <v>-1.14E-2</v>
          </cell>
          <cell r="H95">
            <v>-1.14E-2</v>
          </cell>
          <cell r="I95">
            <v>-3.8E-3</v>
          </cell>
          <cell r="K95" t="str">
            <v>2002-00251</v>
          </cell>
        </row>
        <row r="96">
          <cell r="A96" t="str">
            <v>2002-00359</v>
          </cell>
          <cell r="B96">
            <v>37561</v>
          </cell>
          <cell r="C96">
            <v>-0.15740000000000001</v>
          </cell>
          <cell r="D96">
            <v>-0.15740000000000001</v>
          </cell>
          <cell r="E96">
            <v>-3.9099999999999996E-2</v>
          </cell>
          <cell r="G96">
            <v>-0.16690000000000002</v>
          </cell>
          <cell r="H96">
            <v>-0.16690000000000002</v>
          </cell>
          <cell r="I96">
            <v>-4.0999999999999995E-2</v>
          </cell>
          <cell r="K96" t="str">
            <v>2002-00359</v>
          </cell>
        </row>
        <row r="97">
          <cell r="A97" t="str">
            <v>2003-00002</v>
          </cell>
          <cell r="B97">
            <v>37653</v>
          </cell>
          <cell r="C97">
            <v>0</v>
          </cell>
          <cell r="D97">
            <v>0</v>
          </cell>
          <cell r="E97">
            <v>0</v>
          </cell>
          <cell r="G97">
            <v>-0.16690000000000002</v>
          </cell>
          <cell r="H97">
            <v>-0.16690000000000002</v>
          </cell>
          <cell r="I97">
            <v>-4.0999999999999995E-2</v>
          </cell>
          <cell r="K97" t="str">
            <v>2003-00002</v>
          </cell>
        </row>
        <row r="98">
          <cell r="A98" t="str">
            <v>2003-00083</v>
          </cell>
          <cell r="B98">
            <v>37713</v>
          </cell>
          <cell r="C98">
            <v>0</v>
          </cell>
          <cell r="D98">
            <v>0</v>
          </cell>
          <cell r="E98">
            <v>0</v>
          </cell>
          <cell r="G98">
            <v>-0.16690000000000002</v>
          </cell>
          <cell r="H98">
            <v>-0.16690000000000002</v>
          </cell>
          <cell r="I98">
            <v>-4.0999999999999995E-2</v>
          </cell>
          <cell r="K98" t="str">
            <v>2003-00083</v>
          </cell>
        </row>
        <row r="99">
          <cell r="A99" t="str">
            <v>2003-00126</v>
          </cell>
          <cell r="B99">
            <v>37742</v>
          </cell>
          <cell r="C99">
            <v>0</v>
          </cell>
          <cell r="D99">
            <v>0</v>
          </cell>
          <cell r="E99">
            <v>0</v>
          </cell>
          <cell r="G99">
            <v>-0.16690000000000002</v>
          </cell>
          <cell r="H99">
            <v>-0.16690000000000002</v>
          </cell>
          <cell r="I99">
            <v>-4.0999999999999995E-2</v>
          </cell>
          <cell r="K99" t="str">
            <v>2003-00126</v>
          </cell>
        </row>
        <row r="100">
          <cell r="A100" t="str">
            <v>2003-00258</v>
          </cell>
          <cell r="B100">
            <v>37834</v>
          </cell>
          <cell r="C100">
            <v>0</v>
          </cell>
          <cell r="D100">
            <v>0</v>
          </cell>
          <cell r="E100">
            <v>0</v>
          </cell>
          <cell r="G100">
            <v>-0.15740000000000001</v>
          </cell>
          <cell r="H100">
            <v>-0.15740000000000001</v>
          </cell>
          <cell r="I100">
            <v>-3.9099999999999996E-2</v>
          </cell>
          <cell r="K100" t="str">
            <v>2003-00258</v>
          </cell>
        </row>
        <row r="101">
          <cell r="A101" t="str">
            <v>2003-00377</v>
          </cell>
          <cell r="B101">
            <v>37926</v>
          </cell>
          <cell r="C101">
            <v>-5.9999999999999995E-4</v>
          </cell>
          <cell r="D101">
            <v>-5.9999999999999995E-4</v>
          </cell>
          <cell r="E101">
            <v>-5.9999999999999995E-4</v>
          </cell>
          <cell r="G101">
            <v>-5.9999999999999995E-4</v>
          </cell>
          <cell r="H101">
            <v>-5.9999999999999995E-4</v>
          </cell>
          <cell r="I101">
            <v>-5.9999999999999995E-4</v>
          </cell>
          <cell r="K101" t="str">
            <v>2003-00377</v>
          </cell>
        </row>
        <row r="102">
          <cell r="A102" t="str">
            <v>2003-00504</v>
          </cell>
          <cell r="B102">
            <v>38018</v>
          </cell>
          <cell r="C102">
            <v>-5.9999999999999995E-4</v>
          </cell>
          <cell r="D102">
            <v>-5.9999999999999995E-4</v>
          </cell>
          <cell r="E102">
            <v>-5.9999999999999995E-4</v>
          </cell>
          <cell r="G102">
            <v>-5.9999999999999995E-4</v>
          </cell>
          <cell r="H102">
            <v>-5.9999999999999995E-4</v>
          </cell>
          <cell r="I102">
            <v>-5.9999999999999995E-4</v>
          </cell>
          <cell r="K102" t="str">
            <v>2003-00504</v>
          </cell>
        </row>
        <row r="103">
          <cell r="A103" t="str">
            <v>2004-00122</v>
          </cell>
          <cell r="B103">
            <v>38108</v>
          </cell>
          <cell r="C103">
            <v>-5.9999999999999995E-4</v>
          </cell>
          <cell r="D103">
            <v>-5.9999999999999995E-4</v>
          </cell>
          <cell r="E103">
            <v>-5.9999999999999995E-4</v>
          </cell>
          <cell r="G103">
            <v>-5.9999999999999995E-4</v>
          </cell>
          <cell r="H103">
            <v>-5.9999999999999995E-4</v>
          </cell>
          <cell r="I103">
            <v>-5.9999999999999995E-4</v>
          </cell>
          <cell r="K103" t="str">
            <v>2004-00122</v>
          </cell>
        </row>
        <row r="104">
          <cell r="A104" t="str">
            <v>2004-00269</v>
          </cell>
          <cell r="B104">
            <v>38200</v>
          </cell>
          <cell r="C104">
            <v>-4.7999999999999996E-3</v>
          </cell>
          <cell r="D104">
            <v>-4.7999999999999996E-3</v>
          </cell>
          <cell r="E104">
            <v>-4.7999999999999996E-3</v>
          </cell>
          <cell r="G104">
            <v>-5.3999999999999994E-3</v>
          </cell>
          <cell r="H104">
            <v>-5.3999999999999994E-3</v>
          </cell>
          <cell r="I104">
            <v>-5.3999999999999994E-3</v>
          </cell>
          <cell r="K104" t="str">
            <v>2004-00269</v>
          </cell>
        </row>
        <row r="105">
          <cell r="A105" t="str">
            <v>2005-00271</v>
          </cell>
          <cell r="B105">
            <v>38565</v>
          </cell>
          <cell r="C105">
            <v>0</v>
          </cell>
          <cell r="D105">
            <v>0</v>
          </cell>
          <cell r="E105">
            <v>0</v>
          </cell>
          <cell r="G105">
            <v>-4.7999999999999996E-3</v>
          </cell>
          <cell r="H105">
            <v>-4.7999999999999996E-3</v>
          </cell>
          <cell r="I105">
            <v>-4.7999999999999996E-3</v>
          </cell>
          <cell r="K105" t="str">
            <v>2005-00271</v>
          </cell>
        </row>
        <row r="106">
          <cell r="A106" t="str">
            <v>2005-00399</v>
          </cell>
          <cell r="B106">
            <v>38657</v>
          </cell>
          <cell r="C106">
            <v>-1.6999999999999999E-3</v>
          </cell>
          <cell r="D106">
            <v>-1.6999999999999999E-3</v>
          </cell>
          <cell r="E106">
            <v>-1.6999999999999999E-3</v>
          </cell>
          <cell r="G106">
            <v>-1.6999999999999999E-3</v>
          </cell>
          <cell r="H106">
            <v>-1.6999999999999999E-3</v>
          </cell>
          <cell r="I106">
            <v>-1.6999999999999999E-3</v>
          </cell>
          <cell r="K106" t="str">
            <v>2005-00399</v>
          </cell>
        </row>
        <row r="107">
          <cell r="A107" t="str">
            <v>2006-00428</v>
          </cell>
          <cell r="B107">
            <v>39022</v>
          </cell>
          <cell r="C107">
            <v>-5.5399999999999998E-2</v>
          </cell>
          <cell r="D107">
            <v>-5.5399999999999998E-2</v>
          </cell>
          <cell r="E107">
            <v>-5.5399999999999998E-2</v>
          </cell>
          <cell r="G107">
            <v>-5.5399999999999998E-2</v>
          </cell>
          <cell r="H107">
            <v>-5.5399999999999998E-2</v>
          </cell>
          <cell r="I107">
            <v>-5.5399999999999998E-2</v>
          </cell>
          <cell r="K107" t="str">
            <v>2006-00428</v>
          </cell>
        </row>
        <row r="108">
          <cell r="B108">
            <v>54789</v>
          </cell>
        </row>
      </sheetData>
      <sheetData sheetId="49">
        <row r="8">
          <cell r="A8" t="str">
            <v>92-558 J</v>
          </cell>
          <cell r="B8">
            <v>34639</v>
          </cell>
          <cell r="C8">
            <v>-4.9500000000000002E-2</v>
          </cell>
          <cell r="D8">
            <v>-1.5300000000000001E-2</v>
          </cell>
          <cell r="E8">
            <v>-1.5300000000000001E-2</v>
          </cell>
          <cell r="F8">
            <v>-1.5300000000000001E-2</v>
          </cell>
        </row>
        <row r="9">
          <cell r="A9" t="str">
            <v>92-558 K</v>
          </cell>
          <cell r="B9">
            <v>34669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</row>
        <row r="10">
          <cell r="A10" t="str">
            <v>92-558 L</v>
          </cell>
          <cell r="B10">
            <v>34700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1">
          <cell r="A11" t="str">
            <v>92-558 M</v>
          </cell>
          <cell r="B11">
            <v>34731</v>
          </cell>
          <cell r="C11">
            <v>-7.9200000000000007E-2</v>
          </cell>
          <cell r="D11">
            <v>-2.4400000000000002E-2</v>
          </cell>
          <cell r="E11">
            <v>0</v>
          </cell>
          <cell r="F11">
            <v>0</v>
          </cell>
        </row>
        <row r="12">
          <cell r="A12" t="str">
            <v>92-558 N</v>
          </cell>
          <cell r="B12">
            <v>34759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A13" t="str">
            <v>92-558 O</v>
          </cell>
          <cell r="B13">
            <v>34790</v>
          </cell>
          <cell r="C13">
            <v>-3.2100000000000004E-2</v>
          </cell>
          <cell r="D13">
            <v>-7.6E-3</v>
          </cell>
          <cell r="E13">
            <v>0</v>
          </cell>
          <cell r="F13">
            <v>0</v>
          </cell>
        </row>
        <row r="14">
          <cell r="A14" t="str">
            <v>92-558 P</v>
          </cell>
          <cell r="B14">
            <v>34820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A15" t="str">
            <v>92-558 Q</v>
          </cell>
          <cell r="B15">
            <v>34851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A16" t="str">
            <v>92-558 R</v>
          </cell>
          <cell r="B16">
            <v>34881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A17" t="str">
            <v>92-558 S</v>
          </cell>
          <cell r="B17">
            <v>34912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A18" t="str">
            <v>95-010 A</v>
          </cell>
          <cell r="B18">
            <v>34943</v>
          </cell>
          <cell r="C18">
            <v>-3.0200000000000001E-2</v>
          </cell>
          <cell r="D18">
            <v>-7.1000000000000004E-3</v>
          </cell>
          <cell r="E18">
            <v>0</v>
          </cell>
          <cell r="F18">
            <v>0</v>
          </cell>
        </row>
        <row r="19">
          <cell r="A19" t="str">
            <v>95-010</v>
          </cell>
          <cell r="B19">
            <v>34999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H19">
            <v>-0.191</v>
          </cell>
          <cell r="I19">
            <v>-5.4400000000000004E-2</v>
          </cell>
          <cell r="J19">
            <v>-1.5300000000000001E-2</v>
          </cell>
          <cell r="K19">
            <v>-1.5300000000000001E-2</v>
          </cell>
        </row>
        <row r="20">
          <cell r="A20" t="str">
            <v>95-010 B</v>
          </cell>
          <cell r="B20">
            <v>35004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H20">
            <v>-0.14150000000000001</v>
          </cell>
          <cell r="I20">
            <v>-3.9100000000000003E-2</v>
          </cell>
          <cell r="J20">
            <v>0</v>
          </cell>
          <cell r="K20">
            <v>0</v>
          </cell>
        </row>
        <row r="21">
          <cell r="A21" t="str">
            <v>95-010 C</v>
          </cell>
          <cell r="B21">
            <v>35034</v>
          </cell>
          <cell r="C21">
            <v>-6.9999999999999999E-4</v>
          </cell>
          <cell r="D21">
            <v>-2.0000000000000001E-4</v>
          </cell>
          <cell r="E21">
            <v>0</v>
          </cell>
          <cell r="F21">
            <v>0</v>
          </cell>
          <cell r="H21">
            <v>-0.14220000000000002</v>
          </cell>
          <cell r="I21">
            <v>-3.9300000000000002E-2</v>
          </cell>
          <cell r="J21">
            <v>0</v>
          </cell>
          <cell r="K21">
            <v>0</v>
          </cell>
        </row>
        <row r="22">
          <cell r="A22" t="str">
            <v>95-010 D</v>
          </cell>
          <cell r="B22">
            <v>35065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H22">
            <v>-0.14220000000000002</v>
          </cell>
          <cell r="I22">
            <v>-3.9300000000000002E-2</v>
          </cell>
          <cell r="J22">
            <v>0</v>
          </cell>
          <cell r="K22">
            <v>0</v>
          </cell>
        </row>
        <row r="23">
          <cell r="A23" t="str">
            <v>95-010 E</v>
          </cell>
          <cell r="B23">
            <v>35096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H23">
            <v>-6.3000000000000014E-2</v>
          </cell>
          <cell r="I23">
            <v>-1.4900000000000002E-2</v>
          </cell>
          <cell r="J23">
            <v>0</v>
          </cell>
          <cell r="K23">
            <v>0</v>
          </cell>
        </row>
        <row r="24">
          <cell r="A24" t="str">
            <v>95-010 F</v>
          </cell>
          <cell r="B24">
            <v>35125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H24">
            <v>-6.3000000000000014E-2</v>
          </cell>
          <cell r="I24">
            <v>-1.4900000000000002E-2</v>
          </cell>
          <cell r="J24">
            <v>0</v>
          </cell>
          <cell r="K24">
            <v>0</v>
          </cell>
        </row>
        <row r="25">
          <cell r="A25" t="str">
            <v>95-010 G</v>
          </cell>
          <cell r="B25">
            <v>35156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H25">
            <v>-3.09E-2</v>
          </cell>
          <cell r="I25">
            <v>-7.3000000000000001E-3</v>
          </cell>
          <cell r="J25">
            <v>0</v>
          </cell>
          <cell r="K25">
            <v>0</v>
          </cell>
        </row>
        <row r="26">
          <cell r="A26" t="str">
            <v>95-010 H</v>
          </cell>
          <cell r="B26">
            <v>35186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H26">
            <v>-3.09E-2</v>
          </cell>
          <cell r="I26">
            <v>-7.3000000000000001E-3</v>
          </cell>
          <cell r="J26">
            <v>0</v>
          </cell>
          <cell r="K26">
            <v>0</v>
          </cell>
        </row>
        <row r="27">
          <cell r="A27" t="str">
            <v>95-010 I</v>
          </cell>
          <cell r="B27">
            <v>35217</v>
          </cell>
          <cell r="C27">
            <v>-6.5000000000000002E-2</v>
          </cell>
          <cell r="D27">
            <v>-1.77E-2</v>
          </cell>
          <cell r="E27">
            <v>0</v>
          </cell>
          <cell r="F27">
            <v>0</v>
          </cell>
          <cell r="H27">
            <v>-9.5899999999999999E-2</v>
          </cell>
          <cell r="I27">
            <v>-2.5000000000000001E-2</v>
          </cell>
          <cell r="J27">
            <v>0</v>
          </cell>
          <cell r="K27">
            <v>0</v>
          </cell>
        </row>
        <row r="28">
          <cell r="A28" t="str">
            <v>95-010 J</v>
          </cell>
          <cell r="B28">
            <v>35247</v>
          </cell>
          <cell r="C28">
            <v>-2.3E-3</v>
          </cell>
          <cell r="D28">
            <v>-5.9999999999999995E-4</v>
          </cell>
          <cell r="E28">
            <v>0</v>
          </cell>
          <cell r="F28">
            <v>0</v>
          </cell>
          <cell r="H28">
            <v>-9.8199999999999996E-2</v>
          </cell>
          <cell r="I28">
            <v>-2.5600000000000001E-2</v>
          </cell>
          <cell r="J28">
            <v>0</v>
          </cell>
          <cell r="K28">
            <v>0</v>
          </cell>
        </row>
        <row r="29">
          <cell r="A29" t="str">
            <v>95-010 K</v>
          </cell>
          <cell r="B29">
            <v>35278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H29">
            <v>-9.8199999999999996E-2</v>
          </cell>
          <cell r="I29">
            <v>-2.5600000000000001E-2</v>
          </cell>
          <cell r="J29">
            <v>0</v>
          </cell>
          <cell r="K29">
            <v>0</v>
          </cell>
        </row>
        <row r="30">
          <cell r="A30" t="str">
            <v>95-010 L</v>
          </cell>
          <cell r="B30">
            <v>35309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H30">
            <v>-6.8000000000000005E-2</v>
          </cell>
          <cell r="I30">
            <v>-1.8499999999999999E-2</v>
          </cell>
          <cell r="J30">
            <v>0</v>
          </cell>
          <cell r="K30">
            <v>0</v>
          </cell>
        </row>
        <row r="31">
          <cell r="A31" t="str">
            <v>95-010 M</v>
          </cell>
          <cell r="B31">
            <v>35339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H31">
            <v>-6.8000000000000005E-2</v>
          </cell>
          <cell r="I31">
            <v>-1.8499999999999999E-2</v>
          </cell>
          <cell r="J31">
            <v>0</v>
          </cell>
          <cell r="K31">
            <v>0</v>
          </cell>
        </row>
        <row r="32">
          <cell r="A32" t="str">
            <v>95-010 N</v>
          </cell>
          <cell r="B32">
            <v>35370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H32">
            <v>-6.8000000000000005E-2</v>
          </cell>
          <cell r="I32">
            <v>-1.8499999999999999E-2</v>
          </cell>
          <cell r="J32">
            <v>0</v>
          </cell>
          <cell r="K32">
            <v>0</v>
          </cell>
        </row>
        <row r="33">
          <cell r="A33" t="str">
            <v>95-010 O</v>
          </cell>
          <cell r="B33">
            <v>35400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H33">
            <v>-6.7299999999999999E-2</v>
          </cell>
          <cell r="I33">
            <v>-1.83E-2</v>
          </cell>
          <cell r="J33">
            <v>0</v>
          </cell>
          <cell r="K33">
            <v>0</v>
          </cell>
        </row>
        <row r="34">
          <cell r="A34" t="str">
            <v>95-010 P</v>
          </cell>
          <cell r="B34">
            <v>35431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H34">
            <v>-6.7299999999999999E-2</v>
          </cell>
          <cell r="I34">
            <v>-1.83E-2</v>
          </cell>
          <cell r="J34">
            <v>0</v>
          </cell>
          <cell r="K34">
            <v>0</v>
          </cell>
        </row>
        <row r="35">
          <cell r="A35" t="str">
            <v>95-010 Q</v>
          </cell>
          <cell r="B35">
            <v>35462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H35">
            <v>-6.7299999999999999E-2</v>
          </cell>
          <cell r="I35">
            <v>-1.83E-2</v>
          </cell>
          <cell r="J35">
            <v>0</v>
          </cell>
          <cell r="K35">
            <v>0</v>
          </cell>
        </row>
        <row r="36">
          <cell r="A36" t="str">
            <v>95-010 R</v>
          </cell>
          <cell r="B36">
            <v>35490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H36">
            <v>-6.7299999999999999E-2</v>
          </cell>
          <cell r="I36">
            <v>-1.83E-2</v>
          </cell>
          <cell r="J36">
            <v>0</v>
          </cell>
          <cell r="K36">
            <v>0</v>
          </cell>
        </row>
        <row r="37">
          <cell r="A37" t="str">
            <v>95-010 S</v>
          </cell>
          <cell r="B37">
            <v>35521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H37">
            <v>-6.7299999999999999E-2</v>
          </cell>
          <cell r="I37">
            <v>-1.83E-2</v>
          </cell>
          <cell r="J37">
            <v>0</v>
          </cell>
          <cell r="K37">
            <v>0</v>
          </cell>
        </row>
        <row r="38">
          <cell r="A38" t="str">
            <v>95-010 T</v>
          </cell>
          <cell r="B38">
            <v>35551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H38">
            <v>-6.7299999999999999E-2</v>
          </cell>
          <cell r="I38">
            <v>-1.83E-2</v>
          </cell>
          <cell r="J38">
            <v>0</v>
          </cell>
          <cell r="K38">
            <v>0</v>
          </cell>
        </row>
        <row r="39">
          <cell r="A39" t="str">
            <v>95-010 U</v>
          </cell>
          <cell r="B39">
            <v>35582</v>
          </cell>
          <cell r="C39">
            <v>-4.8800000000000003E-2</v>
          </cell>
          <cell r="D39">
            <v>-1.35E-2</v>
          </cell>
          <cell r="E39">
            <v>0</v>
          </cell>
          <cell r="F39">
            <v>0</v>
          </cell>
          <cell r="H39">
            <v>-5.1100000000000007E-2</v>
          </cell>
          <cell r="I39">
            <v>-1.41E-2</v>
          </cell>
          <cell r="J39">
            <v>0</v>
          </cell>
          <cell r="K39">
            <v>0</v>
          </cell>
        </row>
        <row r="40">
          <cell r="A40" t="str">
            <v>95-010 V</v>
          </cell>
          <cell r="B40">
            <v>35612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H40">
            <v>-4.8800000000000003E-2</v>
          </cell>
          <cell r="I40">
            <v>-1.35E-2</v>
          </cell>
          <cell r="J40">
            <v>0</v>
          </cell>
          <cell r="K40">
            <v>0</v>
          </cell>
        </row>
        <row r="41">
          <cell r="A41" t="str">
            <v>95-010 W</v>
          </cell>
          <cell r="B41">
            <v>35643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H41">
            <v>-4.8800000000000003E-2</v>
          </cell>
          <cell r="I41">
            <v>-1.35E-2</v>
          </cell>
          <cell r="J41">
            <v>0</v>
          </cell>
          <cell r="K41">
            <v>0</v>
          </cell>
        </row>
        <row r="42">
          <cell r="A42" t="str">
            <v>95-010 X</v>
          </cell>
          <cell r="B42">
            <v>35674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H42">
            <v>-4.8800000000000003E-2</v>
          </cell>
          <cell r="I42">
            <v>-1.35E-2</v>
          </cell>
          <cell r="J42">
            <v>0</v>
          </cell>
          <cell r="K42">
            <v>0</v>
          </cell>
        </row>
        <row r="43">
          <cell r="A43" t="str">
            <v>95-010 Y</v>
          </cell>
          <cell r="B43">
            <v>35704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H43">
            <v>-4.8800000000000003E-2</v>
          </cell>
          <cell r="I43">
            <v>-1.35E-2</v>
          </cell>
          <cell r="J43">
            <v>0</v>
          </cell>
          <cell r="K43">
            <v>0</v>
          </cell>
        </row>
        <row r="44">
          <cell r="A44" t="str">
            <v>95-010 Z</v>
          </cell>
          <cell r="B44">
            <v>35735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H44">
            <v>-4.8800000000000003E-2</v>
          </cell>
          <cell r="I44">
            <v>-1.35E-2</v>
          </cell>
          <cell r="J44">
            <v>0</v>
          </cell>
          <cell r="K44">
            <v>0</v>
          </cell>
        </row>
        <row r="45">
          <cell r="A45" t="str">
            <v>95-010 AA</v>
          </cell>
          <cell r="B45">
            <v>35765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H45">
            <v>-4.8800000000000003E-2</v>
          </cell>
          <cell r="I45">
            <v>-1.35E-2</v>
          </cell>
          <cell r="J45">
            <v>0</v>
          </cell>
          <cell r="K45">
            <v>0</v>
          </cell>
        </row>
        <row r="46">
          <cell r="A46" t="str">
            <v>95-010 BB</v>
          </cell>
          <cell r="B46">
            <v>35796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H46">
            <v>-4.8800000000000003E-2</v>
          </cell>
          <cell r="I46">
            <v>-1.35E-2</v>
          </cell>
          <cell r="J46">
            <v>0</v>
          </cell>
          <cell r="K46">
            <v>0</v>
          </cell>
        </row>
        <row r="47">
          <cell r="A47" t="str">
            <v>95-010 CC</v>
          </cell>
          <cell r="B47">
            <v>35827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H47">
            <v>-4.8800000000000003E-2</v>
          </cell>
          <cell r="I47">
            <v>-1.35E-2</v>
          </cell>
          <cell r="J47">
            <v>0</v>
          </cell>
          <cell r="K47">
            <v>0</v>
          </cell>
        </row>
        <row r="48">
          <cell r="A48" t="str">
            <v>95-010 DD</v>
          </cell>
          <cell r="B48">
            <v>35855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H48">
            <v>-4.8800000000000003E-2</v>
          </cell>
          <cell r="I48">
            <v>-1.35E-2</v>
          </cell>
          <cell r="J48">
            <v>0</v>
          </cell>
          <cell r="K48">
            <v>0</v>
          </cell>
        </row>
        <row r="49">
          <cell r="A49" t="str">
            <v>95-010 EE</v>
          </cell>
          <cell r="B49">
            <v>35886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H49">
            <v>-4.8800000000000003E-2</v>
          </cell>
          <cell r="I49">
            <v>-1.35E-2</v>
          </cell>
          <cell r="J49">
            <v>0</v>
          </cell>
          <cell r="K49">
            <v>0</v>
          </cell>
        </row>
        <row r="50">
          <cell r="A50" t="str">
            <v>95-010 FF</v>
          </cell>
          <cell r="B50">
            <v>35916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H50">
            <v>-4.8800000000000003E-2</v>
          </cell>
          <cell r="I50">
            <v>-1.35E-2</v>
          </cell>
          <cell r="J50">
            <v>0</v>
          </cell>
          <cell r="K50">
            <v>0</v>
          </cell>
        </row>
        <row r="51">
          <cell r="A51" t="str">
            <v>95-010 GG</v>
          </cell>
          <cell r="B51">
            <v>35947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</row>
        <row r="52">
          <cell r="A52" t="str">
            <v>95-010 HH</v>
          </cell>
          <cell r="B52">
            <v>35977</v>
          </cell>
          <cell r="C52">
            <v>-2.9999999999999996E-3</v>
          </cell>
          <cell r="D52">
            <v>-8.0000000000000004E-4</v>
          </cell>
          <cell r="E52">
            <v>0</v>
          </cell>
          <cell r="F52">
            <v>0</v>
          </cell>
          <cell r="H52">
            <v>-2.9999999999999996E-3</v>
          </cell>
          <cell r="I52">
            <v>-8.0000000000000004E-4</v>
          </cell>
          <cell r="J52">
            <v>0</v>
          </cell>
          <cell r="K52">
            <v>0</v>
          </cell>
        </row>
        <row r="53">
          <cell r="A53" t="str">
            <v>95-010 II</v>
          </cell>
          <cell r="B53">
            <v>36008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H53">
            <v>-2.9999999999999996E-3</v>
          </cell>
          <cell r="I53">
            <v>-8.0000000000000004E-4</v>
          </cell>
          <cell r="J53">
            <v>0</v>
          </cell>
          <cell r="K53">
            <v>0</v>
          </cell>
        </row>
        <row r="54">
          <cell r="A54" t="str">
            <v>95-010 JJ</v>
          </cell>
          <cell r="B54">
            <v>36039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H54">
            <v>-2.9999999999999996E-3</v>
          </cell>
          <cell r="I54">
            <v>-8.0000000000000004E-4</v>
          </cell>
          <cell r="J54">
            <v>0</v>
          </cell>
          <cell r="K54">
            <v>0</v>
          </cell>
        </row>
        <row r="55">
          <cell r="A55" t="str">
            <v>95-010 KK</v>
          </cell>
          <cell r="B55">
            <v>36069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H55">
            <v>-2.9999999999999996E-3</v>
          </cell>
          <cell r="I55">
            <v>-8.0000000000000004E-4</v>
          </cell>
          <cell r="J55">
            <v>0</v>
          </cell>
          <cell r="K55">
            <v>0</v>
          </cell>
        </row>
        <row r="56">
          <cell r="A56" t="str">
            <v>95-010 LL</v>
          </cell>
          <cell r="B56">
            <v>36100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H56">
            <v>-2.9999999999999996E-3</v>
          </cell>
          <cell r="I56">
            <v>-8.0000000000000004E-4</v>
          </cell>
          <cell r="J56">
            <v>0</v>
          </cell>
          <cell r="K56">
            <v>0</v>
          </cell>
        </row>
        <row r="57">
          <cell r="A57" t="str">
            <v>95-010 MM</v>
          </cell>
          <cell r="B57">
            <v>36130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H57">
            <v>-2.9999999999999996E-3</v>
          </cell>
          <cell r="I57">
            <v>-8.0000000000000004E-4</v>
          </cell>
          <cell r="J57">
            <v>0</v>
          </cell>
          <cell r="K57">
            <v>0</v>
          </cell>
        </row>
        <row r="58">
          <cell r="A58" t="str">
            <v>95-010 NN</v>
          </cell>
          <cell r="B58">
            <v>36161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H58">
            <v>-2.9999999999999996E-3</v>
          </cell>
          <cell r="I58">
            <v>-8.0000000000000004E-4</v>
          </cell>
          <cell r="J58">
            <v>0</v>
          </cell>
          <cell r="K58">
            <v>0</v>
          </cell>
        </row>
        <row r="59">
          <cell r="A59" t="str">
            <v>95-010 OO</v>
          </cell>
          <cell r="B59">
            <v>36192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H59">
            <v>-2.9999999999999996E-3</v>
          </cell>
          <cell r="I59">
            <v>-8.0000000000000004E-4</v>
          </cell>
          <cell r="J59">
            <v>0</v>
          </cell>
          <cell r="K59">
            <v>0</v>
          </cell>
        </row>
        <row r="60">
          <cell r="A60" t="str">
            <v>95-010 PP</v>
          </cell>
          <cell r="B60">
            <v>36220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H60">
            <v>-2.9999999999999996E-3</v>
          </cell>
          <cell r="I60">
            <v>-8.0000000000000004E-4</v>
          </cell>
          <cell r="J60">
            <v>0</v>
          </cell>
          <cell r="K60">
            <v>0</v>
          </cell>
        </row>
        <row r="61">
          <cell r="A61" t="str">
            <v>95-010 QQ</v>
          </cell>
          <cell r="B61">
            <v>36251</v>
          </cell>
          <cell r="C61">
            <v>-4.1200000000000001E-2</v>
          </cell>
          <cell r="D61">
            <v>-1.1000000000000001E-2</v>
          </cell>
          <cell r="E61">
            <v>0</v>
          </cell>
          <cell r="F61">
            <v>0</v>
          </cell>
          <cell r="H61">
            <v>-4.4200000000000003E-2</v>
          </cell>
          <cell r="I61">
            <v>-1.1800000000000001E-2</v>
          </cell>
          <cell r="J61">
            <v>0</v>
          </cell>
          <cell r="K61">
            <v>0</v>
          </cell>
        </row>
        <row r="62">
          <cell r="A62" t="str">
            <v>95-010 RR</v>
          </cell>
          <cell r="B62">
            <v>36281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H62">
            <v>-4.4200000000000003E-2</v>
          </cell>
          <cell r="I62">
            <v>-1.1800000000000001E-2</v>
          </cell>
          <cell r="J62">
            <v>0</v>
          </cell>
          <cell r="K62">
            <v>0</v>
          </cell>
        </row>
        <row r="63">
          <cell r="A63" t="str">
            <v>95-010 SS</v>
          </cell>
          <cell r="B63">
            <v>36312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H63">
            <v>-4.4200000000000003E-2</v>
          </cell>
          <cell r="I63">
            <v>-1.1800000000000001E-2</v>
          </cell>
          <cell r="J63">
            <v>0</v>
          </cell>
          <cell r="K63">
            <v>0</v>
          </cell>
        </row>
        <row r="64">
          <cell r="A64" t="str">
            <v>95-010 TT</v>
          </cell>
          <cell r="B64">
            <v>36342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H64">
            <v>-4.1200000000000001E-2</v>
          </cell>
          <cell r="I64">
            <v>-1.1000000000000001E-2</v>
          </cell>
          <cell r="J64">
            <v>0</v>
          </cell>
          <cell r="K64">
            <v>0</v>
          </cell>
        </row>
        <row r="65">
          <cell r="A65" t="str">
            <v>95-010 UU</v>
          </cell>
          <cell r="B65">
            <v>36373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H65">
            <v>-4.1200000000000001E-2</v>
          </cell>
          <cell r="I65">
            <v>-1.1000000000000001E-2</v>
          </cell>
          <cell r="J65">
            <v>0</v>
          </cell>
          <cell r="K65">
            <v>0</v>
          </cell>
        </row>
        <row r="66">
          <cell r="A66" t="str">
            <v>95-010 VV</v>
          </cell>
          <cell r="B66">
            <v>36404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H66">
            <v>-4.1200000000000001E-2</v>
          </cell>
          <cell r="I66">
            <v>-1.1000000000000001E-2</v>
          </cell>
          <cell r="J66">
            <v>0</v>
          </cell>
          <cell r="K66">
            <v>0</v>
          </cell>
        </row>
        <row r="67">
          <cell r="A67" t="str">
            <v>95-010 WW</v>
          </cell>
          <cell r="B67">
            <v>36434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H67">
            <v>-4.1200000000000001E-2</v>
          </cell>
          <cell r="I67">
            <v>-1.1000000000000001E-2</v>
          </cell>
          <cell r="J67">
            <v>0</v>
          </cell>
          <cell r="K67">
            <v>0</v>
          </cell>
        </row>
        <row r="68">
          <cell r="A68" t="str">
            <v>95-010 XX</v>
          </cell>
          <cell r="B68">
            <v>36465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H68">
            <v>-4.1200000000000001E-2</v>
          </cell>
          <cell r="I68">
            <v>-1.1000000000000001E-2</v>
          </cell>
          <cell r="J68">
            <v>0</v>
          </cell>
          <cell r="K68">
            <v>0</v>
          </cell>
        </row>
        <row r="69">
          <cell r="A69" t="str">
            <v>95-010 YY</v>
          </cell>
          <cell r="B69">
            <v>36495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H69">
            <v>-4.1200000000000001E-2</v>
          </cell>
          <cell r="I69">
            <v>-1.1000000000000001E-2</v>
          </cell>
          <cell r="J69">
            <v>0</v>
          </cell>
          <cell r="K69">
            <v>0</v>
          </cell>
        </row>
        <row r="70">
          <cell r="A70" t="str">
            <v>99-070</v>
          </cell>
          <cell r="B70">
            <v>36526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H70">
            <v>-4.1200000000000001E-2</v>
          </cell>
          <cell r="I70">
            <v>-1.1000000000000001E-2</v>
          </cell>
          <cell r="J70">
            <v>0</v>
          </cell>
          <cell r="K70">
            <v>0</v>
          </cell>
        </row>
        <row r="71">
          <cell r="A71" t="str">
            <v>99-070 A</v>
          </cell>
          <cell r="B71">
            <v>36557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H71">
            <v>-4.1200000000000001E-2</v>
          </cell>
          <cell r="I71">
            <v>-1.1000000000000001E-2</v>
          </cell>
          <cell r="J71">
            <v>0</v>
          </cell>
          <cell r="K71">
            <v>0</v>
          </cell>
        </row>
        <row r="72">
          <cell r="A72" t="str">
            <v>99-070 A</v>
          </cell>
          <cell r="B72">
            <v>36586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H72">
            <v>-4.1200000000000001E-2</v>
          </cell>
          <cell r="I72">
            <v>-1.1000000000000001E-2</v>
          </cell>
          <cell r="J72">
            <v>0</v>
          </cell>
          <cell r="K72">
            <v>0</v>
          </cell>
        </row>
        <row r="73">
          <cell r="A73" t="str">
            <v>1999-070 B</v>
          </cell>
          <cell r="B73">
            <v>36617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1999-070 C</v>
          </cell>
          <cell r="B74">
            <v>36647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1999-070 C</v>
          </cell>
          <cell r="B75">
            <v>36678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1999-070 D</v>
          </cell>
          <cell r="B76">
            <v>36708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A77" t="str">
            <v>1999-070 E</v>
          </cell>
          <cell r="B77">
            <v>36739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</row>
        <row r="78">
          <cell r="A78" t="str">
            <v>1999-070 E</v>
          </cell>
          <cell r="B78">
            <v>36770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1999-070 F</v>
          </cell>
          <cell r="B79">
            <v>36800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</row>
        <row r="80">
          <cell r="A80" t="str">
            <v>1999-070 G</v>
          </cell>
          <cell r="B80">
            <v>36831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</row>
        <row r="81">
          <cell r="A81" t="str">
            <v>1999-070 G*</v>
          </cell>
          <cell r="B81">
            <v>36861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A82" t="str">
            <v>1999-070 G*</v>
          </cell>
          <cell r="B82">
            <v>36892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A83" t="str">
            <v>1999-070 H</v>
          </cell>
          <cell r="B83">
            <v>36923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1999-070 I</v>
          </cell>
          <cell r="B84">
            <v>36951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</row>
        <row r="85">
          <cell r="A85" t="str">
            <v>1999-070 J</v>
          </cell>
          <cell r="B85">
            <v>36982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A86" t="str">
            <v>1999-070 K</v>
          </cell>
          <cell r="B86">
            <v>37012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</row>
        <row r="87">
          <cell r="A87" t="str">
            <v>1999-070 L</v>
          </cell>
          <cell r="B87">
            <v>37043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A88" t="str">
            <v>1999-070 M</v>
          </cell>
          <cell r="B88">
            <v>37073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A89" t="str">
            <v>1999-070 N</v>
          </cell>
          <cell r="B89">
            <v>37104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1999-070 N*</v>
          </cell>
          <cell r="B90">
            <v>37104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1999-070 N*</v>
          </cell>
          <cell r="B91">
            <v>37104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1999-070 O</v>
          </cell>
          <cell r="B92">
            <v>37196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1999-070 P</v>
          </cell>
          <cell r="B93">
            <v>37288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2002-00113</v>
          </cell>
          <cell r="B94">
            <v>37377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2002-00251</v>
          </cell>
          <cell r="B95">
            <v>37469</v>
          </cell>
          <cell r="C95">
            <v>-9.4000000000000004E-3</v>
          </cell>
          <cell r="D95">
            <v>-1.8E-3</v>
          </cell>
          <cell r="E95">
            <v>0</v>
          </cell>
          <cell r="F95">
            <v>0</v>
          </cell>
          <cell r="H95">
            <v>-9.4000000000000004E-3</v>
          </cell>
          <cell r="I95">
            <v>-1.8E-3</v>
          </cell>
          <cell r="J95">
            <v>0</v>
          </cell>
          <cell r="K95">
            <v>0</v>
          </cell>
        </row>
        <row r="96">
          <cell r="A96" t="str">
            <v>2002-00359</v>
          </cell>
          <cell r="B96">
            <v>37561</v>
          </cell>
          <cell r="C96">
            <v>-0.14760000000000001</v>
          </cell>
          <cell r="D96">
            <v>-2.93E-2</v>
          </cell>
          <cell r="E96">
            <v>0</v>
          </cell>
          <cell r="F96">
            <v>0</v>
          </cell>
          <cell r="H96">
            <v>-0.157</v>
          </cell>
          <cell r="I96">
            <v>-3.1099999999999999E-2</v>
          </cell>
          <cell r="J96">
            <v>0</v>
          </cell>
          <cell r="K96">
            <v>0</v>
          </cell>
        </row>
        <row r="97">
          <cell r="A97" t="str">
            <v>2003-00002</v>
          </cell>
          <cell r="B97">
            <v>37653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H97">
            <v>-0.157</v>
          </cell>
          <cell r="I97">
            <v>-3.1099999999999999E-2</v>
          </cell>
          <cell r="J97">
            <v>0</v>
          </cell>
          <cell r="K97">
            <v>0</v>
          </cell>
        </row>
        <row r="98">
          <cell r="A98" t="str">
            <v>2003-00083</v>
          </cell>
          <cell r="B98">
            <v>37713</v>
          </cell>
          <cell r="C98" t="e">
            <v>#REF!</v>
          </cell>
          <cell r="D98" t="e">
            <v>#REF!</v>
          </cell>
          <cell r="E98">
            <v>0</v>
          </cell>
          <cell r="F98">
            <v>0</v>
          </cell>
          <cell r="H98" t="e">
            <v>#REF!</v>
          </cell>
          <cell r="I98" t="e">
            <v>#REF!</v>
          </cell>
          <cell r="J98">
            <v>0</v>
          </cell>
          <cell r="K98">
            <v>0</v>
          </cell>
        </row>
        <row r="99">
          <cell r="A99" t="str">
            <v>2003-00126</v>
          </cell>
          <cell r="B99">
            <v>37742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H99" t="e">
            <v>#REF!</v>
          </cell>
          <cell r="I99" t="e">
            <v>#REF!</v>
          </cell>
          <cell r="J99">
            <v>0</v>
          </cell>
          <cell r="K99">
            <v>0</v>
          </cell>
        </row>
        <row r="100">
          <cell r="A100" t="str">
            <v>2003-00258</v>
          </cell>
          <cell r="B100">
            <v>37834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H100" t="e">
            <v>#REF!</v>
          </cell>
          <cell r="I100" t="e">
            <v>#REF!</v>
          </cell>
          <cell r="J100">
            <v>0</v>
          </cell>
          <cell r="K100">
            <v>0</v>
          </cell>
        </row>
        <row r="101">
          <cell r="A101" t="str">
            <v>2003-00377</v>
          </cell>
          <cell r="B101">
            <v>37926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H101" t="e">
            <v>#REF!</v>
          </cell>
          <cell r="I101" t="e">
            <v>#REF!</v>
          </cell>
          <cell r="J101">
            <v>0</v>
          </cell>
          <cell r="K101">
            <v>0</v>
          </cell>
        </row>
        <row r="102">
          <cell r="A102" t="str">
            <v>2003-00504</v>
          </cell>
          <cell r="B102">
            <v>38018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H102" t="e">
            <v>#REF!</v>
          </cell>
          <cell r="I102" t="e">
            <v>#REF!</v>
          </cell>
          <cell r="J102">
            <v>0</v>
          </cell>
          <cell r="K102">
            <v>0</v>
          </cell>
        </row>
        <row r="103">
          <cell r="A103" t="str">
            <v>2004-00122</v>
          </cell>
          <cell r="B103">
            <v>38108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2004-00269</v>
          </cell>
          <cell r="B104">
            <v>38200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2004-00399</v>
          </cell>
          <cell r="B105">
            <v>2132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2004-00552</v>
          </cell>
          <cell r="B106">
            <v>2224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2006-00428</v>
          </cell>
          <cell r="B107">
            <v>39022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B108">
            <v>54789</v>
          </cell>
        </row>
      </sheetData>
      <sheetData sheetId="50">
        <row r="8">
          <cell r="A8" t="str">
            <v>95-010 A</v>
          </cell>
          <cell r="B8">
            <v>34999</v>
          </cell>
          <cell r="C8">
            <v>-0.16750000000000001</v>
          </cell>
        </row>
        <row r="9">
          <cell r="A9" t="str">
            <v>95-010 B</v>
          </cell>
          <cell r="B9">
            <v>34999</v>
          </cell>
          <cell r="C9">
            <v>-0.16750000000000001</v>
          </cell>
        </row>
        <row r="10">
          <cell r="A10" t="str">
            <v>95-010 C</v>
          </cell>
          <cell r="B10">
            <v>34999</v>
          </cell>
          <cell r="C10">
            <v>-0.16750000000000001</v>
          </cell>
        </row>
        <row r="11">
          <cell r="A11" t="str">
            <v>95-010 D</v>
          </cell>
          <cell r="B11">
            <v>34999</v>
          </cell>
          <cell r="C11">
            <v>-0.16750000000000001</v>
          </cell>
        </row>
        <row r="12">
          <cell r="A12" t="str">
            <v>95-010 E</v>
          </cell>
          <cell r="B12">
            <v>34999</v>
          </cell>
          <cell r="C12">
            <v>-0.16750000000000001</v>
          </cell>
        </row>
        <row r="13">
          <cell r="A13" t="str">
            <v>95-010 F</v>
          </cell>
          <cell r="B13">
            <v>34999</v>
          </cell>
          <cell r="C13">
            <v>-0.16750000000000001</v>
          </cell>
        </row>
        <row r="14">
          <cell r="A14" t="str">
            <v>95-010 G</v>
          </cell>
          <cell r="B14">
            <v>35156</v>
          </cell>
          <cell r="C14">
            <v>-0.121</v>
          </cell>
        </row>
        <row r="15">
          <cell r="A15" t="str">
            <v>95-010 H</v>
          </cell>
          <cell r="B15">
            <v>35156</v>
          </cell>
          <cell r="C15">
            <v>-0.121</v>
          </cell>
        </row>
        <row r="16">
          <cell r="A16" t="str">
            <v>95-010 I</v>
          </cell>
          <cell r="B16">
            <v>35156</v>
          </cell>
          <cell r="C16">
            <v>-0.121</v>
          </cell>
        </row>
        <row r="17">
          <cell r="A17" t="str">
            <v>95-010 J</v>
          </cell>
          <cell r="B17">
            <v>35156</v>
          </cell>
          <cell r="C17">
            <v>-0.121</v>
          </cell>
        </row>
        <row r="18">
          <cell r="A18" t="str">
            <v>95-010 K</v>
          </cell>
          <cell r="B18">
            <v>35156</v>
          </cell>
          <cell r="C18">
            <v>-0.121</v>
          </cell>
        </row>
        <row r="19">
          <cell r="A19" t="str">
            <v>95-010 L</v>
          </cell>
          <cell r="B19">
            <v>35156</v>
          </cell>
          <cell r="C19">
            <v>-0.121</v>
          </cell>
        </row>
        <row r="20">
          <cell r="A20" t="str">
            <v>95-010 M</v>
          </cell>
          <cell r="B20">
            <v>35339</v>
          </cell>
          <cell r="C20">
            <v>-3.3999999999999998E-3</v>
          </cell>
        </row>
        <row r="21">
          <cell r="A21" t="str">
            <v>95-010 N</v>
          </cell>
          <cell r="B21">
            <v>35339</v>
          </cell>
          <cell r="C21">
            <v>-3.3999999999999998E-3</v>
          </cell>
        </row>
        <row r="22">
          <cell r="A22" t="str">
            <v>95-010 O</v>
          </cell>
          <cell r="B22">
            <v>35339</v>
          </cell>
          <cell r="C22">
            <v>-3.3999999999999998E-3</v>
          </cell>
        </row>
        <row r="23">
          <cell r="A23" t="str">
            <v>95-010 P</v>
          </cell>
          <cell r="B23">
            <v>35339</v>
          </cell>
          <cell r="C23">
            <v>-3.3999999999999998E-3</v>
          </cell>
        </row>
        <row r="24">
          <cell r="A24" t="str">
            <v>95-010 Q</v>
          </cell>
          <cell r="B24">
            <v>35339</v>
          </cell>
          <cell r="C24">
            <v>-3.3999999999999998E-3</v>
          </cell>
        </row>
        <row r="25">
          <cell r="A25" t="str">
            <v>95-010 R</v>
          </cell>
          <cell r="B25">
            <v>35339</v>
          </cell>
          <cell r="C25">
            <v>-3.3999999999999998E-3</v>
          </cell>
        </row>
        <row r="26">
          <cell r="A26" t="str">
            <v>95-010 S</v>
          </cell>
          <cell r="B26">
            <v>35521</v>
          </cell>
          <cell r="C26">
            <v>9.3799999999999994E-2</v>
          </cell>
        </row>
        <row r="27">
          <cell r="A27" t="str">
            <v>95-010 T</v>
          </cell>
          <cell r="B27">
            <v>35521</v>
          </cell>
          <cell r="C27">
            <v>9.3799999999999994E-2</v>
          </cell>
        </row>
        <row r="28">
          <cell r="A28" t="str">
            <v>95-010 U</v>
          </cell>
          <cell r="B28">
            <v>35521</v>
          </cell>
          <cell r="C28">
            <v>9.3799999999999994E-2</v>
          </cell>
        </row>
        <row r="29">
          <cell r="A29" t="str">
            <v>95-010 V</v>
          </cell>
          <cell r="B29">
            <v>35521</v>
          </cell>
          <cell r="C29">
            <v>9.3799999999999994E-2</v>
          </cell>
        </row>
        <row r="30">
          <cell r="A30" t="str">
            <v>95-010 W</v>
          </cell>
          <cell r="B30">
            <v>35521</v>
          </cell>
          <cell r="C30">
            <v>9.3799999999999994E-2</v>
          </cell>
        </row>
        <row r="31">
          <cell r="A31" t="str">
            <v>95-010 X</v>
          </cell>
          <cell r="B31">
            <v>35521</v>
          </cell>
          <cell r="C31">
            <v>9.3799999999999994E-2</v>
          </cell>
        </row>
        <row r="32">
          <cell r="A32" t="str">
            <v>95-010 Y</v>
          </cell>
          <cell r="B32">
            <v>35704</v>
          </cell>
          <cell r="C32">
            <v>0.1211</v>
          </cell>
        </row>
        <row r="33">
          <cell r="A33" t="str">
            <v>95-010 Z</v>
          </cell>
          <cell r="B33">
            <v>35704</v>
          </cell>
          <cell r="C33">
            <v>0.1211</v>
          </cell>
        </row>
        <row r="34">
          <cell r="A34" t="str">
            <v>95-010 AA</v>
          </cell>
          <cell r="B34">
            <v>35704</v>
          </cell>
          <cell r="C34">
            <v>0.1211</v>
          </cell>
        </row>
        <row r="35">
          <cell r="A35" t="str">
            <v>95-010 BB</v>
          </cell>
          <cell r="B35">
            <v>35704</v>
          </cell>
          <cell r="C35">
            <v>0.1211</v>
          </cell>
        </row>
        <row r="36">
          <cell r="A36" t="str">
            <v>95-010 CC</v>
          </cell>
          <cell r="B36">
            <v>35704</v>
          </cell>
          <cell r="C36">
            <v>0.1211</v>
          </cell>
        </row>
        <row r="37">
          <cell r="A37" t="str">
            <v>95-010 DD</v>
          </cell>
          <cell r="B37">
            <v>35704</v>
          </cell>
          <cell r="C37">
            <v>0.1211</v>
          </cell>
        </row>
        <row r="38">
          <cell r="A38" t="str">
            <v>95-010 EE</v>
          </cell>
          <cell r="B38">
            <v>35886</v>
          </cell>
          <cell r="C38">
            <v>-0.1147</v>
          </cell>
        </row>
        <row r="39">
          <cell r="A39" t="str">
            <v>95-010 FF</v>
          </cell>
          <cell r="B39">
            <v>35886</v>
          </cell>
          <cell r="C39">
            <v>-0.1147</v>
          </cell>
        </row>
        <row r="40">
          <cell r="A40" t="str">
            <v>95-010 GG</v>
          </cell>
          <cell r="B40">
            <v>35886</v>
          </cell>
          <cell r="C40">
            <v>-0.1147</v>
          </cell>
        </row>
        <row r="41">
          <cell r="A41" t="str">
            <v>95-010 HH</v>
          </cell>
          <cell r="B41">
            <v>35886</v>
          </cell>
          <cell r="C41">
            <v>-0.1147</v>
          </cell>
        </row>
        <row r="42">
          <cell r="A42" t="str">
            <v>95-010 II</v>
          </cell>
          <cell r="B42">
            <v>35886</v>
          </cell>
          <cell r="C42">
            <v>-0.1147</v>
          </cell>
        </row>
        <row r="43">
          <cell r="A43" t="str">
            <v>95-010 JJ</v>
          </cell>
          <cell r="B43">
            <v>35886</v>
          </cell>
          <cell r="C43">
            <v>-0.1147</v>
          </cell>
        </row>
        <row r="44">
          <cell r="A44" t="str">
            <v>95-010 KK</v>
          </cell>
          <cell r="B44">
            <v>36069</v>
          </cell>
          <cell r="C44">
            <v>-0.311</v>
          </cell>
        </row>
        <row r="45">
          <cell r="A45" t="str">
            <v>95-010 LL</v>
          </cell>
          <cell r="B45">
            <v>36069</v>
          </cell>
          <cell r="C45">
            <v>-0.311</v>
          </cell>
        </row>
        <row r="46">
          <cell r="A46" t="str">
            <v>95-010 MM</v>
          </cell>
          <cell r="B46">
            <v>36069</v>
          </cell>
          <cell r="C46">
            <v>-0.311</v>
          </cell>
        </row>
        <row r="47">
          <cell r="A47" t="str">
            <v>95-010 NN</v>
          </cell>
          <cell r="B47">
            <v>36069</v>
          </cell>
          <cell r="C47">
            <v>-0.311</v>
          </cell>
        </row>
        <row r="48">
          <cell r="A48" t="str">
            <v>95-010 OO</v>
          </cell>
          <cell r="B48">
            <v>36069</v>
          </cell>
          <cell r="C48">
            <v>-0.311</v>
          </cell>
        </row>
        <row r="49">
          <cell r="A49" t="str">
            <v>95-010 PP</v>
          </cell>
          <cell r="B49">
            <v>36069</v>
          </cell>
          <cell r="C49">
            <v>-0.311</v>
          </cell>
        </row>
        <row r="50">
          <cell r="A50" t="str">
            <v>95-010 QQ</v>
          </cell>
          <cell r="B50">
            <v>36251</v>
          </cell>
          <cell r="C50">
            <v>-0.18820000000000001</v>
          </cell>
        </row>
        <row r="51">
          <cell r="A51" t="str">
            <v>95-010 RR</v>
          </cell>
          <cell r="B51">
            <v>36251</v>
          </cell>
          <cell r="C51">
            <v>-0.18820000000000001</v>
          </cell>
        </row>
        <row r="52">
          <cell r="A52" t="str">
            <v>95-010 SS</v>
          </cell>
          <cell r="B52">
            <v>36251</v>
          </cell>
          <cell r="C52">
            <v>-0.18820000000000001</v>
          </cell>
        </row>
        <row r="53">
          <cell r="A53" t="str">
            <v>95-010 TT</v>
          </cell>
          <cell r="B53">
            <v>36251</v>
          </cell>
          <cell r="C53">
            <v>-0.18820000000000001</v>
          </cell>
        </row>
        <row r="54">
          <cell r="A54" t="str">
            <v>95-010 UU</v>
          </cell>
          <cell r="B54">
            <v>36251</v>
          </cell>
          <cell r="C54">
            <v>-0.18820000000000001</v>
          </cell>
        </row>
        <row r="55">
          <cell r="A55" t="str">
            <v>95-010 VV</v>
          </cell>
          <cell r="B55">
            <v>36251</v>
          </cell>
          <cell r="C55">
            <v>-0.18820000000000001</v>
          </cell>
        </row>
        <row r="56">
          <cell r="A56" t="str">
            <v>95-010 WW</v>
          </cell>
          <cell r="B56">
            <v>36434</v>
          </cell>
          <cell r="C56">
            <v>-0.22389999999999999</v>
          </cell>
        </row>
        <row r="57">
          <cell r="A57" t="str">
            <v>95-010 XX</v>
          </cell>
          <cell r="B57">
            <v>36434</v>
          </cell>
          <cell r="C57">
            <v>-0.22389999999999999</v>
          </cell>
        </row>
        <row r="58">
          <cell r="A58" t="str">
            <v>95-010 YY</v>
          </cell>
          <cell r="B58">
            <v>36434</v>
          </cell>
          <cell r="C58">
            <v>-0.22389999999999999</v>
          </cell>
        </row>
        <row r="59">
          <cell r="A59" t="str">
            <v>99-070</v>
          </cell>
          <cell r="B59">
            <v>36434</v>
          </cell>
          <cell r="C59">
            <v>-0.22389999999999999</v>
          </cell>
        </row>
        <row r="60">
          <cell r="A60" t="str">
            <v>99-070 A</v>
          </cell>
          <cell r="B60">
            <v>36434</v>
          </cell>
          <cell r="C60">
            <v>-0.22389999999999999</v>
          </cell>
        </row>
        <row r="61">
          <cell r="A61" t="str">
            <v>1999-070 B</v>
          </cell>
          <cell r="B61">
            <v>36617</v>
          </cell>
          <cell r="C61">
            <v>0</v>
          </cell>
        </row>
        <row r="62">
          <cell r="A62" t="str">
            <v>1999-070 C</v>
          </cell>
          <cell r="B62">
            <v>36647</v>
          </cell>
          <cell r="C62">
            <v>0.25019999999999998</v>
          </cell>
        </row>
        <row r="63">
          <cell r="A63" t="str">
            <v>1999-070 D</v>
          </cell>
          <cell r="B63">
            <v>36647</v>
          </cell>
          <cell r="C63">
            <v>0.25019999999999998</v>
          </cell>
        </row>
        <row r="64">
          <cell r="A64" t="str">
            <v>1999-070 E</v>
          </cell>
          <cell r="B64">
            <v>36647</v>
          </cell>
          <cell r="C64">
            <v>0.25019999999999998</v>
          </cell>
        </row>
        <row r="65">
          <cell r="A65" t="str">
            <v>1999-070 F</v>
          </cell>
          <cell r="B65">
            <v>36647</v>
          </cell>
          <cell r="C65">
            <v>0.25019999999999998</v>
          </cell>
        </row>
        <row r="66">
          <cell r="A66" t="str">
            <v>1999-070 G</v>
          </cell>
          <cell r="B66">
            <v>36831</v>
          </cell>
          <cell r="C66">
            <v>1.1344000000000001</v>
          </cell>
        </row>
        <row r="67">
          <cell r="A67" t="str">
            <v>1999-070 H</v>
          </cell>
          <cell r="B67">
            <v>36831</v>
          </cell>
          <cell r="C67">
            <v>1.1344000000000001</v>
          </cell>
        </row>
        <row r="68">
          <cell r="A68" t="str">
            <v>1999-070 I</v>
          </cell>
          <cell r="B68">
            <v>36831</v>
          </cell>
          <cell r="C68">
            <v>1.1344000000000001</v>
          </cell>
        </row>
        <row r="69">
          <cell r="A69" t="str">
            <v>1999-070 J</v>
          </cell>
          <cell r="B69">
            <v>36831</v>
          </cell>
          <cell r="C69">
            <v>1.1344000000000001</v>
          </cell>
        </row>
        <row r="70">
          <cell r="A70" t="str">
            <v>1999-070 K</v>
          </cell>
          <cell r="B70">
            <v>37012</v>
          </cell>
          <cell r="C70">
            <v>1.4216</v>
          </cell>
        </row>
        <row r="71">
          <cell r="A71" t="str">
            <v>1999-070 L</v>
          </cell>
          <cell r="B71">
            <v>37012</v>
          </cell>
          <cell r="C71">
            <v>1.4216</v>
          </cell>
        </row>
        <row r="72">
          <cell r="A72" t="str">
            <v>1999-070 M</v>
          </cell>
          <cell r="B72">
            <v>37012</v>
          </cell>
          <cell r="C72">
            <v>1.4216</v>
          </cell>
        </row>
        <row r="73">
          <cell r="A73" t="str">
            <v>1999-070 N</v>
          </cell>
          <cell r="B73">
            <v>37012</v>
          </cell>
          <cell r="C73">
            <v>1.4216</v>
          </cell>
        </row>
        <row r="74">
          <cell r="A74" t="str">
            <v>1999-070 O</v>
          </cell>
          <cell r="B74">
            <v>37196</v>
          </cell>
          <cell r="C74">
            <v>0.1522</v>
          </cell>
        </row>
        <row r="75">
          <cell r="A75" t="str">
            <v>1999-070 P</v>
          </cell>
          <cell r="B75">
            <v>37288</v>
          </cell>
          <cell r="C75">
            <v>3.8899999999999997E-2</v>
          </cell>
        </row>
        <row r="76">
          <cell r="A76" t="str">
            <v>2002-00113</v>
          </cell>
          <cell r="B76">
            <v>37377</v>
          </cell>
          <cell r="C76">
            <v>-0.2407</v>
          </cell>
        </row>
        <row r="77">
          <cell r="A77" t="str">
            <v>2002-00251</v>
          </cell>
          <cell r="B77">
            <v>37469</v>
          </cell>
          <cell r="C77">
            <v>-0.2248</v>
          </cell>
        </row>
        <row r="78">
          <cell r="A78" t="str">
            <v>2002-00359</v>
          </cell>
          <cell r="B78">
            <v>37561</v>
          </cell>
          <cell r="C78">
            <v>5.1999999999999998E-3</v>
          </cell>
        </row>
        <row r="79">
          <cell r="A79" t="str">
            <v>2003-00002</v>
          </cell>
          <cell r="B79">
            <v>37653</v>
          </cell>
          <cell r="C79">
            <v>0.1686</v>
          </cell>
        </row>
        <row r="80">
          <cell r="A80" t="str">
            <v>2003-00083</v>
          </cell>
          <cell r="B80">
            <v>37653</v>
          </cell>
          <cell r="C80">
            <v>0.1686</v>
          </cell>
        </row>
        <row r="81">
          <cell r="A81" t="str">
            <v>2003-00126</v>
          </cell>
          <cell r="B81">
            <v>37742</v>
          </cell>
          <cell r="C81">
            <v>0.21640000000000001</v>
          </cell>
        </row>
        <row r="82">
          <cell r="A82" t="str">
            <v>2003-00258</v>
          </cell>
          <cell r="B82">
            <v>37834</v>
          </cell>
          <cell r="C82">
            <v>0.45200000000000001</v>
          </cell>
        </row>
        <row r="83">
          <cell r="A83" t="str">
            <v>2003-00377</v>
          </cell>
          <cell r="B83">
            <v>37926</v>
          </cell>
          <cell r="C83">
            <v>0.54669999999999996</v>
          </cell>
        </row>
        <row r="84">
          <cell r="A84" t="str">
            <v>2003-00504</v>
          </cell>
          <cell r="B84">
            <v>38018</v>
          </cell>
          <cell r="C84">
            <v>0.5554</v>
          </cell>
        </row>
        <row r="85">
          <cell r="A85" t="str">
            <v>2004-00122</v>
          </cell>
          <cell r="B85">
            <v>38108</v>
          </cell>
          <cell r="C85">
            <v>0.14910000000000001</v>
          </cell>
        </row>
        <row r="86">
          <cell r="A86" t="str">
            <v>2004-00269</v>
          </cell>
          <cell r="B86">
            <v>38200</v>
          </cell>
          <cell r="C86">
            <v>0.1148</v>
          </cell>
        </row>
        <row r="87">
          <cell r="A87" t="str">
            <v>2004-00398</v>
          </cell>
          <cell r="B87">
            <v>38292</v>
          </cell>
          <cell r="C87">
            <v>0.2064</v>
          </cell>
        </row>
        <row r="88">
          <cell r="A88" t="str">
            <v>2005-00013</v>
          </cell>
          <cell r="B88">
            <v>38384</v>
          </cell>
          <cell r="C88">
            <v>0.3876</v>
          </cell>
        </row>
        <row r="89">
          <cell r="A89" t="str">
            <v>2005-00139</v>
          </cell>
          <cell r="B89">
            <v>38473</v>
          </cell>
          <cell r="C89">
            <v>0.34960000000000002</v>
          </cell>
        </row>
        <row r="90">
          <cell r="A90" t="str">
            <v>2005-00271</v>
          </cell>
          <cell r="B90">
            <v>38565</v>
          </cell>
          <cell r="C90">
            <v>5.7599999999999998E-2</v>
          </cell>
        </row>
        <row r="91">
          <cell r="A91" t="str">
            <v>2005-00399</v>
          </cell>
          <cell r="B91">
            <v>38657</v>
          </cell>
          <cell r="C91">
            <v>0.40460000000000002</v>
          </cell>
        </row>
        <row r="92">
          <cell r="A92" t="str">
            <v>2005-00552</v>
          </cell>
          <cell r="B92">
            <v>38749</v>
          </cell>
          <cell r="C92">
            <v>0.77170000000000005</v>
          </cell>
        </row>
        <row r="93">
          <cell r="A93" t="str">
            <v>2006-00135</v>
          </cell>
          <cell r="B93">
            <v>2313</v>
          </cell>
          <cell r="C93">
            <v>0.29880000000000001</v>
          </cell>
        </row>
        <row r="94">
          <cell r="A94" t="str">
            <v>2006-00324</v>
          </cell>
          <cell r="B94">
            <v>38930</v>
          </cell>
          <cell r="C94">
            <v>-0.1749</v>
          </cell>
        </row>
        <row r="95">
          <cell r="A95" t="str">
            <v>2006-00428</v>
          </cell>
          <cell r="B95">
            <v>39022</v>
          </cell>
          <cell r="C95">
            <v>-0.30880000000000002</v>
          </cell>
        </row>
        <row r="96">
          <cell r="A96" t="str">
            <v>2006-00000</v>
          </cell>
          <cell r="B96">
            <v>39114</v>
          </cell>
          <cell r="C96">
            <v>5.5100000000000003E-2</v>
          </cell>
        </row>
        <row r="97">
          <cell r="B97">
            <v>54789</v>
          </cell>
        </row>
      </sheetData>
      <sheetData sheetId="51">
        <row r="8">
          <cell r="A8" t="str">
            <v>95-010 OO</v>
          </cell>
          <cell r="B8">
            <v>36192</v>
          </cell>
          <cell r="C8">
            <v>2.47E-2</v>
          </cell>
        </row>
        <row r="9">
          <cell r="A9" t="str">
            <v>95-010 PP</v>
          </cell>
          <cell r="B9">
            <v>36192</v>
          </cell>
          <cell r="C9">
            <v>2.47E-2</v>
          </cell>
        </row>
        <row r="10">
          <cell r="A10" t="str">
            <v>95-010 QQ</v>
          </cell>
          <cell r="B10">
            <v>36192</v>
          </cell>
          <cell r="C10">
            <v>2.47E-2</v>
          </cell>
        </row>
        <row r="11">
          <cell r="A11" t="str">
            <v>95-010 RR</v>
          </cell>
          <cell r="B11">
            <v>36192</v>
          </cell>
          <cell r="C11">
            <v>2.47E-2</v>
          </cell>
        </row>
        <row r="12">
          <cell r="A12" t="str">
            <v>95-010 SS</v>
          </cell>
          <cell r="B12">
            <v>36192</v>
          </cell>
          <cell r="C12">
            <v>2.47E-2</v>
          </cell>
        </row>
        <row r="13">
          <cell r="A13" t="str">
            <v>95-010 TT</v>
          </cell>
          <cell r="B13">
            <v>36192</v>
          </cell>
          <cell r="C13">
            <v>2.47E-2</v>
          </cell>
        </row>
        <row r="14">
          <cell r="A14" t="str">
            <v>95-010 UU</v>
          </cell>
          <cell r="B14">
            <v>36192</v>
          </cell>
          <cell r="C14">
            <v>2.47E-2</v>
          </cell>
        </row>
        <row r="15">
          <cell r="A15" t="str">
            <v>95-010 VV</v>
          </cell>
          <cell r="B15">
            <v>36192</v>
          </cell>
          <cell r="C15">
            <v>2.47E-2</v>
          </cell>
        </row>
        <row r="16">
          <cell r="A16" t="str">
            <v>95-010 WW</v>
          </cell>
          <cell r="B16">
            <v>36192</v>
          </cell>
          <cell r="C16">
            <v>2.47E-2</v>
          </cell>
        </row>
        <row r="17">
          <cell r="A17" t="str">
            <v>95-010 XX</v>
          </cell>
          <cell r="B17">
            <v>36192</v>
          </cell>
          <cell r="C17">
            <v>2.47E-2</v>
          </cell>
        </row>
        <row r="18">
          <cell r="A18" t="str">
            <v>95-010 YY</v>
          </cell>
          <cell r="B18">
            <v>36192</v>
          </cell>
          <cell r="C18">
            <v>2.47E-2</v>
          </cell>
        </row>
        <row r="19">
          <cell r="A19" t="str">
            <v>99-070</v>
          </cell>
          <cell r="B19">
            <v>36192</v>
          </cell>
          <cell r="C19">
            <v>2.47E-2</v>
          </cell>
        </row>
        <row r="20">
          <cell r="A20" t="str">
            <v>99-070 A</v>
          </cell>
          <cell r="B20">
            <v>36557</v>
          </cell>
          <cell r="C20">
            <v>9.3399999999999997E-2</v>
          </cell>
        </row>
        <row r="21">
          <cell r="A21" t="str">
            <v>1999-070 B</v>
          </cell>
          <cell r="B21">
            <v>36557</v>
          </cell>
          <cell r="C21">
            <v>9.3399999999999997E-2</v>
          </cell>
        </row>
        <row r="22">
          <cell r="A22" t="str">
            <v>1999-070 C</v>
          </cell>
          <cell r="B22">
            <v>36557</v>
          </cell>
          <cell r="C22">
            <v>9.3399999999999997E-2</v>
          </cell>
        </row>
        <row r="23">
          <cell r="A23" t="str">
            <v>1999-070 D</v>
          </cell>
          <cell r="B23">
            <v>36557</v>
          </cell>
          <cell r="C23">
            <v>9.3399999999999997E-2</v>
          </cell>
        </row>
        <row r="24">
          <cell r="A24" t="str">
            <v>1999-070 E</v>
          </cell>
          <cell r="B24">
            <v>36557</v>
          </cell>
          <cell r="C24">
            <v>9.3399999999999997E-2</v>
          </cell>
        </row>
        <row r="25">
          <cell r="A25" t="str">
            <v>1999-070 F</v>
          </cell>
          <cell r="B25">
            <v>36557</v>
          </cell>
          <cell r="C25">
            <v>9.3399999999999997E-2</v>
          </cell>
        </row>
        <row r="26">
          <cell r="A26" t="str">
            <v>1999-070 G</v>
          </cell>
          <cell r="B26">
            <v>36557</v>
          </cell>
          <cell r="C26">
            <v>9.3399999999999997E-2</v>
          </cell>
        </row>
        <row r="27">
          <cell r="A27" t="str">
            <v>1999-070 H</v>
          </cell>
          <cell r="B27">
            <v>36923</v>
          </cell>
          <cell r="C27">
            <v>6.0199999999999997E-2</v>
          </cell>
        </row>
        <row r="28">
          <cell r="A28" t="str">
            <v>1999-070 I</v>
          </cell>
          <cell r="B28">
            <v>36923</v>
          </cell>
          <cell r="C28">
            <v>6.0199999999999997E-2</v>
          </cell>
        </row>
        <row r="29">
          <cell r="A29" t="str">
            <v>1999-070 J</v>
          </cell>
          <cell r="B29">
            <v>36923</v>
          </cell>
          <cell r="C29">
            <v>6.0199999999999997E-2</v>
          </cell>
        </row>
        <row r="30">
          <cell r="A30" t="str">
            <v>1999-070 K</v>
          </cell>
          <cell r="B30">
            <v>36923</v>
          </cell>
          <cell r="C30">
            <v>6.0199999999999997E-2</v>
          </cell>
        </row>
        <row r="31">
          <cell r="A31" t="str">
            <v>1999-070 L</v>
          </cell>
          <cell r="B31">
            <v>36923</v>
          </cell>
          <cell r="C31">
            <v>6.0199999999999997E-2</v>
          </cell>
        </row>
        <row r="32">
          <cell r="A32" t="str">
            <v>1999-070 M</v>
          </cell>
          <cell r="B32">
            <v>36923</v>
          </cell>
          <cell r="C32">
            <v>6.0199999999999997E-2</v>
          </cell>
        </row>
        <row r="33">
          <cell r="A33" t="str">
            <v>1999-070 N</v>
          </cell>
          <cell r="B33">
            <v>36923</v>
          </cell>
          <cell r="C33">
            <v>6.0199999999999997E-2</v>
          </cell>
        </row>
        <row r="34">
          <cell r="A34" t="str">
            <v>1999-070 O</v>
          </cell>
          <cell r="B34">
            <v>36923</v>
          </cell>
          <cell r="C34">
            <v>6.0199999999999997E-2</v>
          </cell>
        </row>
        <row r="35">
          <cell r="A35" t="str">
            <v>1999-070 P</v>
          </cell>
          <cell r="B35">
            <v>37288</v>
          </cell>
          <cell r="C35">
            <v>2.3699999999999999E-2</v>
          </cell>
        </row>
        <row r="36">
          <cell r="A36" t="str">
            <v>2002-00113</v>
          </cell>
          <cell r="B36">
            <v>37377</v>
          </cell>
          <cell r="C36">
            <v>2.3699999999999999E-2</v>
          </cell>
        </row>
        <row r="37">
          <cell r="A37" t="str">
            <v>2002-00251</v>
          </cell>
          <cell r="B37">
            <v>37469</v>
          </cell>
          <cell r="C37">
            <v>2.3699999999999999E-2</v>
          </cell>
        </row>
        <row r="38">
          <cell r="A38" t="str">
            <v>2002-00359</v>
          </cell>
          <cell r="B38">
            <v>37561</v>
          </cell>
          <cell r="C38">
            <v>2.3699999999999999E-2</v>
          </cell>
        </row>
        <row r="39">
          <cell r="A39" t="str">
            <v>2003-00002</v>
          </cell>
          <cell r="B39">
            <v>37653</v>
          </cell>
          <cell r="C39">
            <v>7.4700000000000003E-2</v>
          </cell>
        </row>
        <row r="40">
          <cell r="A40" t="str">
            <v>2003-00083</v>
          </cell>
          <cell r="B40">
            <v>37713</v>
          </cell>
          <cell r="C40">
            <v>7.4700000000000003E-2</v>
          </cell>
        </row>
        <row r="41">
          <cell r="A41" t="str">
            <v>2003-00126</v>
          </cell>
          <cell r="B41">
            <v>37742</v>
          </cell>
          <cell r="C41">
            <v>7.4700000000000003E-2</v>
          </cell>
        </row>
        <row r="42">
          <cell r="A42" t="str">
            <v>2003-00258</v>
          </cell>
          <cell r="B42">
            <v>37834</v>
          </cell>
          <cell r="C42">
            <v>7.4700000000000003E-2</v>
          </cell>
        </row>
        <row r="43">
          <cell r="A43" t="str">
            <v>2003-00377</v>
          </cell>
          <cell r="B43">
            <v>37926</v>
          </cell>
          <cell r="C43">
            <v>7.4700000000000003E-2</v>
          </cell>
        </row>
        <row r="44">
          <cell r="A44" t="str">
            <v>2003-00504</v>
          </cell>
          <cell r="B44">
            <v>38018</v>
          </cell>
          <cell r="C44">
            <v>6.1199999999999997E-2</v>
          </cell>
        </row>
        <row r="45">
          <cell r="A45" t="str">
            <v>2004-00122</v>
          </cell>
          <cell r="B45">
            <v>38108</v>
          </cell>
          <cell r="C45">
            <v>6.1199999999999997E-2</v>
          </cell>
        </row>
        <row r="46">
          <cell r="A46" t="str">
            <v>2004-00269</v>
          </cell>
          <cell r="B46">
            <v>38200</v>
          </cell>
          <cell r="C46">
            <v>6.1199999999999997E-2</v>
          </cell>
        </row>
        <row r="47">
          <cell r="A47" t="str">
            <v>2004-00398</v>
          </cell>
          <cell r="B47">
            <v>38292</v>
          </cell>
          <cell r="C47">
            <v>6.1199999999999997E-2</v>
          </cell>
        </row>
        <row r="48">
          <cell r="A48" t="str">
            <v>2005-00013</v>
          </cell>
          <cell r="B48">
            <v>38384</v>
          </cell>
          <cell r="C48">
            <v>4.48E-2</v>
          </cell>
        </row>
        <row r="49">
          <cell r="A49" t="str">
            <v>2005-00139</v>
          </cell>
          <cell r="B49">
            <v>38473</v>
          </cell>
          <cell r="C49">
            <v>4.48E-2</v>
          </cell>
        </row>
        <row r="50">
          <cell r="A50" t="str">
            <v>2005-00399</v>
          </cell>
          <cell r="B50">
            <v>38565</v>
          </cell>
          <cell r="C50">
            <v>4.48E-2</v>
          </cell>
        </row>
        <row r="51">
          <cell r="A51" t="str">
            <v>2005-00552</v>
          </cell>
          <cell r="B51">
            <v>38749</v>
          </cell>
          <cell r="C51">
            <v>3.9899999999999998E-2</v>
          </cell>
        </row>
        <row r="52">
          <cell r="B52">
            <v>54789</v>
          </cell>
        </row>
      </sheetData>
      <sheetData sheetId="52"/>
      <sheetData sheetId="53">
        <row r="8">
          <cell r="A8" t="str">
            <v>Case</v>
          </cell>
          <cell r="B8" t="str">
            <v>Date</v>
          </cell>
          <cell r="C8" t="str">
            <v>Description</v>
          </cell>
          <cell r="D8" t="str">
            <v>Res.</v>
          </cell>
          <cell r="E8" t="str">
            <v>Non-Res.</v>
          </cell>
          <cell r="G8" t="str">
            <v>Block 1</v>
          </cell>
          <cell r="H8" t="str">
            <v>Price 1</v>
          </cell>
          <cell r="I8" t="str">
            <v>Block 2</v>
          </cell>
          <cell r="J8" t="str">
            <v>Price 2</v>
          </cell>
          <cell r="K8" t="str">
            <v>Block 3</v>
          </cell>
          <cell r="L8" t="str">
            <v>Price 3</v>
          </cell>
        </row>
        <row r="9">
          <cell r="A9" t="str">
            <v>95-010</v>
          </cell>
          <cell r="B9">
            <v>35004</v>
          </cell>
          <cell r="C9" t="str">
            <v>General Firm Sales</v>
          </cell>
          <cell r="D9">
            <v>5.0999999999999996</v>
          </cell>
          <cell r="E9">
            <v>13.6</v>
          </cell>
          <cell r="G9">
            <v>300</v>
          </cell>
          <cell r="H9">
            <v>4.4438000000000004</v>
          </cell>
          <cell r="I9">
            <v>14700</v>
          </cell>
          <cell r="J9">
            <v>3.9916</v>
          </cell>
          <cell r="K9">
            <v>15000</v>
          </cell>
          <cell r="L9">
            <v>3.8416000000000001</v>
          </cell>
          <cell r="N9">
            <v>3.4331</v>
          </cell>
        </row>
        <row r="10">
          <cell r="A10" t="str">
            <v>95-010+</v>
          </cell>
          <cell r="B10">
            <v>35125</v>
          </cell>
          <cell r="C10" t="str">
            <v>General Firm Sales</v>
          </cell>
          <cell r="D10">
            <v>5.0999999999999996</v>
          </cell>
          <cell r="E10">
            <v>13.6</v>
          </cell>
          <cell r="G10">
            <v>300</v>
          </cell>
          <cell r="H10">
            <v>4.4946000000000002</v>
          </cell>
          <cell r="I10">
            <v>14700</v>
          </cell>
          <cell r="J10">
            <v>3.9916</v>
          </cell>
          <cell r="K10">
            <v>15000</v>
          </cell>
          <cell r="L10">
            <v>3.8416000000000001</v>
          </cell>
          <cell r="N10">
            <v>3.4331</v>
          </cell>
        </row>
        <row r="11">
          <cell r="A11" t="str">
            <v>99-070</v>
          </cell>
          <cell r="B11">
            <v>36516</v>
          </cell>
          <cell r="C11" t="str">
            <v>General Firm Sales</v>
          </cell>
          <cell r="D11">
            <v>7.5</v>
          </cell>
          <cell r="E11">
            <v>20</v>
          </cell>
          <cell r="G11">
            <v>300</v>
          </cell>
          <cell r="H11">
            <v>1.19</v>
          </cell>
          <cell r="I11">
            <v>14700</v>
          </cell>
          <cell r="J11">
            <v>0.65900000000000003</v>
          </cell>
          <cell r="K11">
            <v>15000</v>
          </cell>
          <cell r="L11">
            <v>0.43</v>
          </cell>
          <cell r="N11">
            <v>0</v>
          </cell>
        </row>
        <row r="12">
          <cell r="B12">
            <v>43831</v>
          </cell>
        </row>
      </sheetData>
      <sheetData sheetId="54">
        <row r="8">
          <cell r="A8" t="str">
            <v>Case</v>
          </cell>
          <cell r="B8" t="str">
            <v>Date</v>
          </cell>
          <cell r="C8" t="str">
            <v>Description</v>
          </cell>
          <cell r="D8" t="str">
            <v>Res.</v>
          </cell>
          <cell r="E8" t="str">
            <v>Non-Res.</v>
          </cell>
          <cell r="G8" t="str">
            <v>Block 1</v>
          </cell>
          <cell r="H8" t="str">
            <v>Price 1</v>
          </cell>
          <cell r="I8" t="str">
            <v>Block 2</v>
          </cell>
          <cell r="J8" t="str">
            <v>Price 2</v>
          </cell>
          <cell r="K8" t="str">
            <v>Block 3</v>
          </cell>
          <cell r="L8" t="str">
            <v>Price 3</v>
          </cell>
        </row>
        <row r="9">
          <cell r="A9" t="str">
            <v>95-010</v>
          </cell>
          <cell r="B9">
            <v>35004</v>
          </cell>
          <cell r="C9" t="str">
            <v>General Firm Sales+HLF</v>
          </cell>
          <cell r="D9">
            <v>5.0999999999999996</v>
          </cell>
          <cell r="E9">
            <v>13.6</v>
          </cell>
          <cell r="G9">
            <v>300</v>
          </cell>
          <cell r="H9">
            <v>4.4438000000000004</v>
          </cell>
          <cell r="I9">
            <v>14700</v>
          </cell>
          <cell r="J9">
            <v>3.9916</v>
          </cell>
          <cell r="K9">
            <v>15000</v>
          </cell>
          <cell r="L9">
            <v>3.8416000000000001</v>
          </cell>
          <cell r="N9">
            <v>3.4331</v>
          </cell>
        </row>
        <row r="10">
          <cell r="A10" t="str">
            <v>95-010+</v>
          </cell>
          <cell r="B10">
            <v>35125</v>
          </cell>
          <cell r="C10" t="str">
            <v>General Firm Sales+HLF</v>
          </cell>
          <cell r="D10">
            <v>5.0999999999999996</v>
          </cell>
          <cell r="E10">
            <v>13.6</v>
          </cell>
          <cell r="G10">
            <v>300</v>
          </cell>
          <cell r="H10">
            <v>4.4946000000000002</v>
          </cell>
          <cell r="I10">
            <v>14700</v>
          </cell>
          <cell r="J10">
            <v>3.9916</v>
          </cell>
          <cell r="K10">
            <v>15000</v>
          </cell>
          <cell r="L10">
            <v>3.8416000000000001</v>
          </cell>
          <cell r="N10">
            <v>3.4331</v>
          </cell>
        </row>
        <row r="11">
          <cell r="A11" t="str">
            <v>99-070</v>
          </cell>
          <cell r="B11">
            <v>36516</v>
          </cell>
          <cell r="C11" t="str">
            <v>General Firm Sales+HLF</v>
          </cell>
          <cell r="D11">
            <v>7.5</v>
          </cell>
          <cell r="E11">
            <v>20</v>
          </cell>
          <cell r="G11">
            <v>300</v>
          </cell>
          <cell r="H11">
            <v>1.19</v>
          </cell>
          <cell r="I11">
            <v>14700</v>
          </cell>
          <cell r="J11">
            <v>0.65900000000000003</v>
          </cell>
          <cell r="K11">
            <v>15000</v>
          </cell>
          <cell r="L11">
            <v>0.43</v>
          </cell>
          <cell r="N11">
            <v>0</v>
          </cell>
        </row>
        <row r="12">
          <cell r="B12">
            <v>43831</v>
          </cell>
        </row>
      </sheetData>
      <sheetData sheetId="55">
        <row r="9">
          <cell r="B9">
            <v>35004</v>
          </cell>
          <cell r="C9" t="str">
            <v>Large Volume Sales (HP)</v>
          </cell>
          <cell r="D9">
            <v>13.6</v>
          </cell>
          <cell r="G9">
            <v>300</v>
          </cell>
          <cell r="H9">
            <v>1.0106999999999999</v>
          </cell>
          <cell r="I9">
            <v>14700</v>
          </cell>
          <cell r="J9">
            <v>0.5585</v>
          </cell>
          <cell r="K9">
            <v>15000</v>
          </cell>
          <cell r="L9">
            <v>0.40850000000000003</v>
          </cell>
        </row>
        <row r="10">
          <cell r="B10">
            <v>35125</v>
          </cell>
          <cell r="C10" t="str">
            <v>Large Volume Sales (HP)</v>
          </cell>
          <cell r="D10">
            <v>13.6</v>
          </cell>
          <cell r="G10">
            <v>300</v>
          </cell>
          <cell r="H10">
            <v>1.0615000000000001</v>
          </cell>
          <cell r="I10">
            <v>14700</v>
          </cell>
          <cell r="J10">
            <v>0.5585</v>
          </cell>
          <cell r="K10">
            <v>15000</v>
          </cell>
          <cell r="L10">
            <v>0.40850000000000003</v>
          </cell>
        </row>
        <row r="11">
          <cell r="B11">
            <v>36516</v>
          </cell>
          <cell r="C11" t="str">
            <v>Large Volume Sales (HP)</v>
          </cell>
          <cell r="D11">
            <v>20</v>
          </cell>
          <cell r="G11">
            <v>300</v>
          </cell>
          <cell r="H11">
            <v>1.19</v>
          </cell>
          <cell r="I11">
            <v>14700</v>
          </cell>
          <cell r="J11">
            <v>0.65900000000000003</v>
          </cell>
          <cell r="K11">
            <v>15000</v>
          </cell>
          <cell r="L11">
            <v>0.43</v>
          </cell>
        </row>
        <row r="12">
          <cell r="B12">
            <v>43831</v>
          </cell>
        </row>
      </sheetData>
      <sheetData sheetId="56"/>
      <sheetData sheetId="57">
        <row r="8">
          <cell r="A8" t="str">
            <v>Case</v>
          </cell>
          <cell r="B8" t="str">
            <v>Date</v>
          </cell>
          <cell r="C8" t="str">
            <v>Description</v>
          </cell>
          <cell r="D8" t="str">
            <v>Res.</v>
          </cell>
          <cell r="E8" t="str">
            <v>Non-Res.</v>
          </cell>
          <cell r="G8" t="str">
            <v>Block 1</v>
          </cell>
          <cell r="H8" t="str">
            <v>Price 1</v>
          </cell>
          <cell r="I8" t="str">
            <v>Block 2</v>
          </cell>
          <cell r="J8" t="str">
            <v>Price 2</v>
          </cell>
          <cell r="K8" t="str">
            <v>Block 3</v>
          </cell>
          <cell r="L8" t="str">
            <v>Price 3</v>
          </cell>
        </row>
        <row r="9">
          <cell r="A9" t="str">
            <v>95-010</v>
          </cell>
          <cell r="B9">
            <v>35004</v>
          </cell>
          <cell r="C9" t="str">
            <v>Interruptible Sales</v>
          </cell>
          <cell r="D9" t="str">
            <v>NA</v>
          </cell>
          <cell r="E9">
            <v>150</v>
          </cell>
          <cell r="G9">
            <v>15000</v>
          </cell>
          <cell r="H9">
            <v>3.1448999999999998</v>
          </cell>
          <cell r="K9">
            <v>15000</v>
          </cell>
          <cell r="L9">
            <v>2.9948999999999999</v>
          </cell>
          <cell r="N9">
            <v>2.6513</v>
          </cell>
        </row>
        <row r="10">
          <cell r="A10" t="str">
            <v>99-070</v>
          </cell>
          <cell r="B10">
            <v>36516</v>
          </cell>
          <cell r="C10" t="str">
            <v>Interruptible Sales</v>
          </cell>
          <cell r="D10" t="str">
            <v>NA</v>
          </cell>
          <cell r="E10">
            <v>220</v>
          </cell>
          <cell r="G10">
            <v>15000</v>
          </cell>
          <cell r="H10">
            <v>0.53</v>
          </cell>
          <cell r="K10">
            <v>15000</v>
          </cell>
          <cell r="L10">
            <v>0.35909999999999997</v>
          </cell>
          <cell r="N10">
            <v>0</v>
          </cell>
        </row>
        <row r="11">
          <cell r="B11">
            <v>43831</v>
          </cell>
        </row>
      </sheetData>
      <sheetData sheetId="58">
        <row r="9">
          <cell r="B9">
            <v>35004</v>
          </cell>
          <cell r="C9" t="str">
            <v>Large Volume Sales</v>
          </cell>
          <cell r="E9">
            <v>150</v>
          </cell>
          <cell r="G9">
            <v>15000</v>
          </cell>
          <cell r="H9">
            <v>0.49359999999999998</v>
          </cell>
          <cell r="K9">
            <v>15000</v>
          </cell>
          <cell r="L9">
            <v>0.34360000000000002</v>
          </cell>
        </row>
        <row r="10">
          <cell r="B10">
            <v>36516</v>
          </cell>
          <cell r="C10" t="str">
            <v>Large Volume Sales</v>
          </cell>
          <cell r="E10">
            <v>220</v>
          </cell>
          <cell r="G10">
            <v>15000</v>
          </cell>
          <cell r="H10">
            <v>0.53</v>
          </cell>
          <cell r="K10">
            <v>15000</v>
          </cell>
          <cell r="L10">
            <v>0.35909999999999997</v>
          </cell>
        </row>
        <row r="11">
          <cell r="B11">
            <v>43831</v>
          </cell>
        </row>
      </sheetData>
      <sheetData sheetId="59">
        <row r="8">
          <cell r="A8" t="str">
            <v>Case</v>
          </cell>
          <cell r="B8" t="str">
            <v>Date</v>
          </cell>
          <cell r="C8" t="str">
            <v>Description</v>
          </cell>
          <cell r="D8" t="str">
            <v>Base</v>
          </cell>
          <cell r="E8" t="str">
            <v>Adm. Fee</v>
          </cell>
          <cell r="G8" t="str">
            <v>Block 1</v>
          </cell>
          <cell r="H8" t="str">
            <v>Price 1</v>
          </cell>
          <cell r="I8" t="str">
            <v>Block 2</v>
          </cell>
          <cell r="J8" t="str">
            <v>Price 2</v>
          </cell>
          <cell r="K8" t="str">
            <v>Block 3</v>
          </cell>
          <cell r="L8" t="str">
            <v>Price 3</v>
          </cell>
        </row>
        <row r="9">
          <cell r="A9" t="str">
            <v>95-010</v>
          </cell>
          <cell r="B9">
            <v>35004</v>
          </cell>
          <cell r="C9" t="str">
            <v>Firm Transportation</v>
          </cell>
          <cell r="D9">
            <v>13.6</v>
          </cell>
          <cell r="E9">
            <v>45</v>
          </cell>
          <cell r="G9">
            <v>300</v>
          </cell>
          <cell r="H9">
            <v>1.0106999999999999</v>
          </cell>
          <cell r="I9">
            <v>14700</v>
          </cell>
          <cell r="J9">
            <v>0.5585</v>
          </cell>
          <cell r="K9">
            <v>15000</v>
          </cell>
          <cell r="L9">
            <v>0.40850000000000003</v>
          </cell>
        </row>
        <row r="10">
          <cell r="A10" t="str">
            <v>95-010+</v>
          </cell>
          <cell r="B10">
            <v>35125</v>
          </cell>
          <cell r="C10" t="str">
            <v>Firm Transportation</v>
          </cell>
          <cell r="D10">
            <v>13.6</v>
          </cell>
          <cell r="E10">
            <v>45</v>
          </cell>
          <cell r="G10">
            <v>300</v>
          </cell>
          <cell r="H10">
            <v>1.0615000000000001</v>
          </cell>
          <cell r="I10">
            <v>14700</v>
          </cell>
          <cell r="J10">
            <v>0.5585</v>
          </cell>
          <cell r="K10">
            <v>15000</v>
          </cell>
          <cell r="L10">
            <v>0.40850000000000003</v>
          </cell>
        </row>
        <row r="11">
          <cell r="A11" t="str">
            <v>99-070</v>
          </cell>
          <cell r="B11">
            <v>36516</v>
          </cell>
          <cell r="C11" t="str">
            <v>Firm Transportation</v>
          </cell>
          <cell r="D11">
            <v>20</v>
          </cell>
          <cell r="E11">
            <v>50</v>
          </cell>
          <cell r="G11">
            <v>300</v>
          </cell>
          <cell r="H11">
            <v>1.19</v>
          </cell>
          <cell r="I11">
            <v>14700</v>
          </cell>
          <cell r="J11">
            <v>0.65900000000000003</v>
          </cell>
          <cell r="K11">
            <v>15000</v>
          </cell>
          <cell r="L11">
            <v>0.43</v>
          </cell>
        </row>
        <row r="12">
          <cell r="B12">
            <v>43831</v>
          </cell>
        </row>
      </sheetData>
      <sheetData sheetId="60">
        <row r="8">
          <cell r="A8" t="str">
            <v>Case</v>
          </cell>
          <cell r="B8" t="str">
            <v>Date</v>
          </cell>
          <cell r="C8" t="str">
            <v>Description</v>
          </cell>
          <cell r="D8" t="str">
            <v>Base</v>
          </cell>
          <cell r="E8" t="str">
            <v>Adm. Fee</v>
          </cell>
          <cell r="G8" t="str">
            <v>Block 1</v>
          </cell>
          <cell r="H8" t="str">
            <v>Price 1</v>
          </cell>
          <cell r="I8" t="str">
            <v>Block 2</v>
          </cell>
          <cell r="J8" t="str">
            <v>Price 2</v>
          </cell>
          <cell r="K8" t="str">
            <v>Block 3</v>
          </cell>
          <cell r="L8" t="str">
            <v>Price 3</v>
          </cell>
        </row>
        <row r="9">
          <cell r="A9" t="str">
            <v>95-010</v>
          </cell>
          <cell r="B9">
            <v>35004</v>
          </cell>
          <cell r="C9" t="str">
            <v>Firm Transportation+HLF</v>
          </cell>
          <cell r="D9">
            <v>13.6</v>
          </cell>
          <cell r="E9">
            <v>45</v>
          </cell>
          <cell r="G9">
            <v>300</v>
          </cell>
          <cell r="H9">
            <v>1.0106999999999999</v>
          </cell>
          <cell r="I9">
            <v>14700</v>
          </cell>
          <cell r="J9">
            <v>0.5585</v>
          </cell>
          <cell r="K9">
            <v>15000</v>
          </cell>
          <cell r="L9">
            <v>0.40850000000000003</v>
          </cell>
        </row>
        <row r="10">
          <cell r="A10" t="str">
            <v>95-010+</v>
          </cell>
          <cell r="B10">
            <v>35125</v>
          </cell>
          <cell r="C10" t="str">
            <v>Firm Transportation+HLF</v>
          </cell>
          <cell r="D10">
            <v>13.6</v>
          </cell>
          <cell r="E10">
            <v>45</v>
          </cell>
          <cell r="G10">
            <v>300</v>
          </cell>
          <cell r="H10">
            <v>1.0615000000000001</v>
          </cell>
          <cell r="I10">
            <v>14700</v>
          </cell>
          <cell r="J10">
            <v>0.5585</v>
          </cell>
          <cell r="K10">
            <v>15000</v>
          </cell>
          <cell r="L10">
            <v>0.40850000000000003</v>
          </cell>
        </row>
        <row r="11">
          <cell r="A11" t="str">
            <v>99-070</v>
          </cell>
          <cell r="B11">
            <v>36516</v>
          </cell>
          <cell r="C11" t="str">
            <v>Firm Transportation+HLF</v>
          </cell>
          <cell r="D11">
            <v>20</v>
          </cell>
          <cell r="E11">
            <v>50</v>
          </cell>
          <cell r="G11">
            <v>300</v>
          </cell>
          <cell r="H11">
            <v>1.19</v>
          </cell>
          <cell r="I11">
            <v>14700</v>
          </cell>
          <cell r="J11">
            <v>0.65900000000000003</v>
          </cell>
          <cell r="K11">
            <v>15000</v>
          </cell>
          <cell r="L11">
            <v>0.43</v>
          </cell>
        </row>
        <row r="12">
          <cell r="B12">
            <v>43831</v>
          </cell>
        </row>
      </sheetData>
      <sheetData sheetId="61">
        <row r="8">
          <cell r="A8" t="str">
            <v>Case</v>
          </cell>
          <cell r="B8" t="str">
            <v>Date</v>
          </cell>
          <cell r="C8" t="str">
            <v>Description</v>
          </cell>
          <cell r="D8" t="str">
            <v>Base</v>
          </cell>
          <cell r="E8" t="str">
            <v>Admin.</v>
          </cell>
          <cell r="G8" t="str">
            <v>Block 1</v>
          </cell>
          <cell r="H8" t="str">
            <v>Price 1</v>
          </cell>
          <cell r="I8" t="str">
            <v>Block 2</v>
          </cell>
          <cell r="J8" t="str">
            <v>Price 2</v>
          </cell>
          <cell r="K8" t="str">
            <v>Block 3</v>
          </cell>
          <cell r="L8" t="str">
            <v>Price 3</v>
          </cell>
        </row>
        <row r="9">
          <cell r="A9" t="str">
            <v>95-010</v>
          </cell>
          <cell r="B9">
            <v>35004</v>
          </cell>
          <cell r="C9" t="str">
            <v>Firm Carriage Service</v>
          </cell>
          <cell r="D9">
            <v>150</v>
          </cell>
          <cell r="E9">
            <v>45</v>
          </cell>
          <cell r="G9">
            <v>300</v>
          </cell>
          <cell r="H9">
            <v>1.0106999999999999</v>
          </cell>
          <cell r="I9">
            <v>14700</v>
          </cell>
          <cell r="J9">
            <v>0.5585</v>
          </cell>
          <cell r="K9">
            <v>15000</v>
          </cell>
          <cell r="L9">
            <v>0.40850000000000003</v>
          </cell>
        </row>
        <row r="10">
          <cell r="A10" t="str">
            <v>95-010+</v>
          </cell>
          <cell r="B10">
            <v>35125</v>
          </cell>
          <cell r="C10" t="str">
            <v>Firm Carriage Service</v>
          </cell>
          <cell r="D10">
            <v>150</v>
          </cell>
          <cell r="E10">
            <v>45</v>
          </cell>
          <cell r="G10">
            <v>300</v>
          </cell>
          <cell r="H10">
            <v>1.0615000000000001</v>
          </cell>
          <cell r="I10">
            <v>14700</v>
          </cell>
          <cell r="J10">
            <v>0.5585</v>
          </cell>
          <cell r="K10">
            <v>15000</v>
          </cell>
          <cell r="L10">
            <v>0.40850000000000003</v>
          </cell>
        </row>
        <row r="11">
          <cell r="A11" t="str">
            <v>99-070</v>
          </cell>
          <cell r="B11">
            <v>36516</v>
          </cell>
          <cell r="C11" t="str">
            <v>Firm Carriage Service</v>
          </cell>
          <cell r="D11">
            <v>220</v>
          </cell>
          <cell r="E11">
            <v>50</v>
          </cell>
          <cell r="G11">
            <v>300</v>
          </cell>
          <cell r="H11">
            <v>1.19</v>
          </cell>
          <cell r="I11">
            <v>14700</v>
          </cell>
          <cell r="J11">
            <v>0.65900000000000003</v>
          </cell>
          <cell r="K11">
            <v>15000</v>
          </cell>
          <cell r="L11">
            <v>0.43</v>
          </cell>
        </row>
        <row r="12">
          <cell r="B12">
            <v>43831</v>
          </cell>
        </row>
      </sheetData>
      <sheetData sheetId="62">
        <row r="8">
          <cell r="A8" t="str">
            <v>Case</v>
          </cell>
          <cell r="B8" t="str">
            <v>Date</v>
          </cell>
          <cell r="C8" t="str">
            <v>Description</v>
          </cell>
          <cell r="D8" t="str">
            <v>Base</v>
          </cell>
          <cell r="E8" t="str">
            <v>Admin.</v>
          </cell>
          <cell r="G8" t="str">
            <v>Block 1</v>
          </cell>
          <cell r="H8" t="str">
            <v>Price 1</v>
          </cell>
          <cell r="I8" t="str">
            <v>Block 2</v>
          </cell>
          <cell r="J8" t="str">
            <v>Price 2</v>
          </cell>
          <cell r="K8" t="str">
            <v>Block 3</v>
          </cell>
          <cell r="L8" t="str">
            <v>Price 3</v>
          </cell>
        </row>
        <row r="9">
          <cell r="A9" t="str">
            <v>95-010</v>
          </cell>
          <cell r="B9">
            <v>35004</v>
          </cell>
          <cell r="C9" t="str">
            <v>General Firm Sales</v>
          </cell>
          <cell r="D9">
            <v>150</v>
          </cell>
          <cell r="E9">
            <v>45</v>
          </cell>
          <cell r="G9">
            <v>15000</v>
          </cell>
          <cell r="H9">
            <v>0.49359999999999998</v>
          </cell>
          <cell r="K9">
            <v>15000</v>
          </cell>
          <cell r="L9">
            <v>0.34360000000000002</v>
          </cell>
        </row>
        <row r="10">
          <cell r="A10" t="str">
            <v>99-070</v>
          </cell>
          <cell r="B10">
            <v>36516</v>
          </cell>
          <cell r="C10" t="str">
            <v>General Firm Sales</v>
          </cell>
          <cell r="D10">
            <v>220</v>
          </cell>
          <cell r="E10">
            <v>50</v>
          </cell>
          <cell r="G10">
            <v>15000</v>
          </cell>
          <cell r="H10">
            <v>0.53</v>
          </cell>
          <cell r="K10">
            <v>15000</v>
          </cell>
          <cell r="L10">
            <v>0.35909999999999997</v>
          </cell>
        </row>
        <row r="11">
          <cell r="B11">
            <v>43831</v>
          </cell>
        </row>
      </sheetData>
      <sheetData sheetId="63">
        <row r="8">
          <cell r="A8" t="str">
            <v>Case</v>
          </cell>
          <cell r="B8" t="str">
            <v>Date</v>
          </cell>
          <cell r="C8" t="str">
            <v>Description</v>
          </cell>
          <cell r="D8" t="str">
            <v>Base</v>
          </cell>
          <cell r="E8" t="str">
            <v>Admin.</v>
          </cell>
          <cell r="G8" t="str">
            <v>Block 1</v>
          </cell>
          <cell r="H8" t="str">
            <v>Price 1</v>
          </cell>
          <cell r="I8" t="str">
            <v>Block 2</v>
          </cell>
          <cell r="J8" t="str">
            <v>Price 2</v>
          </cell>
          <cell r="K8" t="str">
            <v>Block 3</v>
          </cell>
          <cell r="L8" t="str">
            <v>Price 3</v>
          </cell>
        </row>
        <row r="9">
          <cell r="A9" t="str">
            <v>95-010</v>
          </cell>
          <cell r="B9">
            <v>35004</v>
          </cell>
          <cell r="C9" t="str">
            <v>General Firm Sales</v>
          </cell>
          <cell r="D9">
            <v>150</v>
          </cell>
          <cell r="E9">
            <v>45</v>
          </cell>
          <cell r="G9">
            <v>15000</v>
          </cell>
          <cell r="H9">
            <v>0.49359999999999998</v>
          </cell>
          <cell r="K9">
            <v>15000</v>
          </cell>
          <cell r="L9">
            <v>0.34360000000000002</v>
          </cell>
        </row>
        <row r="10">
          <cell r="A10" t="str">
            <v>99-070</v>
          </cell>
          <cell r="B10">
            <v>36516</v>
          </cell>
          <cell r="C10" t="str">
            <v>General Firm Sales</v>
          </cell>
          <cell r="D10">
            <v>220</v>
          </cell>
          <cell r="E10">
            <v>50</v>
          </cell>
          <cell r="G10">
            <v>15000</v>
          </cell>
          <cell r="H10">
            <v>0.53</v>
          </cell>
          <cell r="K10">
            <v>15000</v>
          </cell>
          <cell r="L10">
            <v>0.35909999999999997</v>
          </cell>
        </row>
        <row r="11">
          <cell r="A11" t="str">
            <v>99-070+</v>
          </cell>
          <cell r="B11">
            <v>36516</v>
          </cell>
          <cell r="C11" t="str">
            <v>General Firm Sales</v>
          </cell>
          <cell r="D11">
            <v>220</v>
          </cell>
          <cell r="E11">
            <v>50</v>
          </cell>
          <cell r="G11">
            <v>15000</v>
          </cell>
          <cell r="H11">
            <v>0.53</v>
          </cell>
          <cell r="K11">
            <v>15000</v>
          </cell>
          <cell r="L11">
            <v>0.35909999999999997</v>
          </cell>
        </row>
        <row r="12">
          <cell r="B12">
            <v>43831</v>
          </cell>
        </row>
      </sheetData>
      <sheetData sheetId="64"/>
      <sheetData sheetId="65">
        <row r="8">
          <cell r="A8" t="str">
            <v>Effective</v>
          </cell>
          <cell r="B8" t="str">
            <v>Base</v>
          </cell>
          <cell r="C8" t="str">
            <v>Surcharge</v>
          </cell>
          <cell r="D8" t="str">
            <v>TCA Adj</v>
          </cell>
          <cell r="E8" t="str">
            <v>TCA Surc</v>
          </cell>
          <cell r="F8" t="str">
            <v>ISS CR Adj</v>
          </cell>
          <cell r="G8" t="str">
            <v>Rev Cr Adj</v>
          </cell>
          <cell r="H8" t="str">
            <v>GRI</v>
          </cell>
          <cell r="I8" t="str">
            <v>Total</v>
          </cell>
          <cell r="K8" t="str">
            <v>Base</v>
          </cell>
          <cell r="L8" t="str">
            <v>Surcharge</v>
          </cell>
          <cell r="M8" t="str">
            <v>TCA Adj</v>
          </cell>
          <cell r="N8" t="str">
            <v>TCA Surc</v>
          </cell>
          <cell r="O8" t="str">
            <v>ISS CR Adj</v>
          </cell>
          <cell r="P8" t="str">
            <v>Rev Cr Adj</v>
          </cell>
          <cell r="Q8" t="str">
            <v>GRI</v>
          </cell>
          <cell r="R8" t="str">
            <v>Total</v>
          </cell>
          <cell r="T8" t="str">
            <v>Base</v>
          </cell>
          <cell r="U8" t="str">
            <v>Surcharge</v>
          </cell>
          <cell r="V8" t="str">
            <v>TCA Adj</v>
          </cell>
          <cell r="W8" t="str">
            <v>TCA Surc</v>
          </cell>
          <cell r="X8" t="str">
            <v>ISS CR Adj</v>
          </cell>
          <cell r="Y8" t="str">
            <v>Rev Cr Adj</v>
          </cell>
          <cell r="Z8" t="str">
            <v>GRI</v>
          </cell>
          <cell r="AA8" t="str">
            <v>Total</v>
          </cell>
        </row>
        <row r="9">
          <cell r="A9">
            <v>34973</v>
          </cell>
          <cell r="B9">
            <v>0.42220000000000002</v>
          </cell>
          <cell r="C9">
            <v>2.46E-2</v>
          </cell>
          <cell r="H9">
            <v>7.2000000000000007E-3</v>
          </cell>
          <cell r="I9">
            <v>0.45400000000000001</v>
          </cell>
          <cell r="K9">
            <v>0.44259999999999999</v>
          </cell>
          <cell r="L9">
            <v>2.46E-2</v>
          </cell>
          <cell r="Q9">
            <v>7.2000000000000007E-3</v>
          </cell>
          <cell r="R9">
            <v>0.47439999999999999</v>
          </cell>
          <cell r="T9">
            <v>0.49609999999999999</v>
          </cell>
          <cell r="U9">
            <v>2.46E-2</v>
          </cell>
          <cell r="Z9">
            <v>7.2000000000000007E-3</v>
          </cell>
          <cell r="AA9">
            <v>0.52789999999999992</v>
          </cell>
        </row>
        <row r="10">
          <cell r="A10">
            <v>35065</v>
          </cell>
          <cell r="B10">
            <v>0.42220000000000002</v>
          </cell>
          <cell r="C10">
            <v>1.7500000000000002E-2</v>
          </cell>
          <cell r="H10">
            <v>8.5000000000000006E-3</v>
          </cell>
          <cell r="I10">
            <v>0.44820000000000004</v>
          </cell>
          <cell r="K10">
            <v>0.44259999999999999</v>
          </cell>
          <cell r="L10">
            <v>1.7500000000000002E-2</v>
          </cell>
          <cell r="Q10">
            <v>8.5000000000000006E-3</v>
          </cell>
          <cell r="R10">
            <v>0.46860000000000002</v>
          </cell>
          <cell r="T10">
            <v>0.49609999999999999</v>
          </cell>
          <cell r="U10">
            <v>1.7500000000000002E-2</v>
          </cell>
          <cell r="Z10">
            <v>8.5000000000000006E-3</v>
          </cell>
          <cell r="AA10">
            <v>0.5220999999999999</v>
          </cell>
        </row>
        <row r="11">
          <cell r="A11">
            <v>35096</v>
          </cell>
          <cell r="B11">
            <v>0.35980000000000001</v>
          </cell>
          <cell r="C11">
            <v>1.7500000000000002E-2</v>
          </cell>
          <cell r="H11">
            <v>8.5000000000000006E-3</v>
          </cell>
          <cell r="I11">
            <v>0.38580000000000003</v>
          </cell>
          <cell r="K11">
            <v>0.3795</v>
          </cell>
          <cell r="L11">
            <v>1.7500000000000002E-2</v>
          </cell>
          <cell r="Q11">
            <v>8.5000000000000006E-3</v>
          </cell>
          <cell r="R11">
            <v>0.40550000000000003</v>
          </cell>
          <cell r="T11">
            <v>0.43209999999999998</v>
          </cell>
          <cell r="U11">
            <v>1.7500000000000002E-2</v>
          </cell>
          <cell r="Z11">
            <v>8.5000000000000006E-3</v>
          </cell>
          <cell r="AA11">
            <v>0.45810000000000001</v>
          </cell>
        </row>
        <row r="12">
          <cell r="A12">
            <v>35125</v>
          </cell>
          <cell r="B12">
            <v>0.34699999999999998</v>
          </cell>
          <cell r="C12">
            <v>1.7500000000000002E-2</v>
          </cell>
          <cell r="H12">
            <v>8.5000000000000006E-3</v>
          </cell>
          <cell r="I12">
            <v>0.373</v>
          </cell>
          <cell r="K12">
            <v>0.36670000000000003</v>
          </cell>
          <cell r="L12">
            <v>1.7500000000000002E-2</v>
          </cell>
          <cell r="Q12">
            <v>8.5000000000000006E-3</v>
          </cell>
          <cell r="R12">
            <v>0.39270000000000005</v>
          </cell>
          <cell r="T12">
            <v>0.41930000000000001</v>
          </cell>
          <cell r="U12">
            <v>1.7500000000000002E-2</v>
          </cell>
          <cell r="Z12">
            <v>8.5000000000000006E-3</v>
          </cell>
          <cell r="AA12">
            <v>0.44530000000000003</v>
          </cell>
        </row>
        <row r="13">
          <cell r="A13">
            <v>35247</v>
          </cell>
          <cell r="B13">
            <v>0.3599</v>
          </cell>
          <cell r="C13">
            <v>1.7500000000000002E-2</v>
          </cell>
          <cell r="D13">
            <v>-1.4999999999999999E-2</v>
          </cell>
          <cell r="E13">
            <v>2.2000000000000001E-3</v>
          </cell>
          <cell r="F13">
            <v>-1E-4</v>
          </cell>
          <cell r="G13">
            <v>-1.1999999999999999E-3</v>
          </cell>
          <cell r="H13">
            <v>8.5000000000000006E-3</v>
          </cell>
          <cell r="I13">
            <v>0.37180000000000002</v>
          </cell>
          <cell r="K13">
            <v>0.37959999999999999</v>
          </cell>
          <cell r="L13">
            <v>1.7500000000000002E-2</v>
          </cell>
          <cell r="M13">
            <v>-1.4999999999999999E-2</v>
          </cell>
          <cell r="N13">
            <v>2.2000000000000001E-3</v>
          </cell>
          <cell r="O13">
            <v>-1E-4</v>
          </cell>
          <cell r="P13">
            <v>-1.1999999999999999E-3</v>
          </cell>
          <cell r="Q13">
            <v>8.5000000000000006E-3</v>
          </cell>
          <cell r="R13">
            <v>0.39150000000000001</v>
          </cell>
          <cell r="T13">
            <v>0.43219999999999997</v>
          </cell>
          <cell r="U13">
            <v>1.7500000000000002E-2</v>
          </cell>
          <cell r="V13">
            <v>-1.4999999999999999E-2</v>
          </cell>
          <cell r="W13">
            <v>2.2000000000000001E-3</v>
          </cell>
          <cell r="X13">
            <v>-1E-4</v>
          </cell>
          <cell r="Y13">
            <v>-1.1999999999999999E-3</v>
          </cell>
          <cell r="Z13">
            <v>8.5000000000000006E-3</v>
          </cell>
          <cell r="AA13">
            <v>0.44409999999999999</v>
          </cell>
        </row>
        <row r="14">
          <cell r="A14">
            <v>35309</v>
          </cell>
          <cell r="B14">
            <v>0.3599</v>
          </cell>
          <cell r="C14">
            <v>1.7500000000000002E-2</v>
          </cell>
          <cell r="D14">
            <v>-1.8100000000000002E-2</v>
          </cell>
          <cell r="E14">
            <v>-9.4000000000000004E-3</v>
          </cell>
          <cell r="F14">
            <v>-1E-4</v>
          </cell>
          <cell r="G14">
            <v>-1.1999999999999999E-3</v>
          </cell>
          <cell r="H14">
            <v>8.5000000000000006E-3</v>
          </cell>
          <cell r="I14">
            <v>0.35710000000000003</v>
          </cell>
          <cell r="K14">
            <v>0.37959999999999999</v>
          </cell>
          <cell r="L14">
            <v>1.7500000000000002E-2</v>
          </cell>
          <cell r="M14">
            <v>-1.8100000000000002E-2</v>
          </cell>
          <cell r="N14">
            <v>-9.4000000000000004E-3</v>
          </cell>
          <cell r="O14">
            <v>-1E-4</v>
          </cell>
          <cell r="P14">
            <v>-1.1999999999999999E-3</v>
          </cell>
          <cell r="Q14">
            <v>8.5000000000000006E-3</v>
          </cell>
          <cell r="R14">
            <v>0.37680000000000002</v>
          </cell>
          <cell r="T14">
            <v>0.43219999999999997</v>
          </cell>
          <cell r="U14">
            <v>1.7500000000000002E-2</v>
          </cell>
          <cell r="V14">
            <v>-1.8100000000000002E-2</v>
          </cell>
          <cell r="W14">
            <v>-9.4000000000000004E-3</v>
          </cell>
          <cell r="X14">
            <v>-1E-4</v>
          </cell>
          <cell r="Y14">
            <v>-1.1999999999999999E-3</v>
          </cell>
          <cell r="Z14">
            <v>8.5000000000000006E-3</v>
          </cell>
          <cell r="AA14">
            <v>0.4294</v>
          </cell>
        </row>
        <row r="15">
          <cell r="A15">
            <v>35339</v>
          </cell>
          <cell r="B15">
            <v>0.3599</v>
          </cell>
          <cell r="C15">
            <v>1.7500000000000002E-2</v>
          </cell>
          <cell r="D15">
            <v>-1.8100000000000002E-2</v>
          </cell>
          <cell r="E15">
            <v>-9.4000000000000004E-3</v>
          </cell>
          <cell r="F15">
            <v>-1E-4</v>
          </cell>
          <cell r="G15">
            <v>-1.1999999999999999E-3</v>
          </cell>
          <cell r="H15">
            <v>8.5000000000000006E-3</v>
          </cell>
          <cell r="I15">
            <v>0.35710000000000003</v>
          </cell>
          <cell r="K15">
            <v>0.37959999999999999</v>
          </cell>
          <cell r="L15">
            <v>1.7500000000000002E-2</v>
          </cell>
          <cell r="M15">
            <v>-1.8100000000000002E-2</v>
          </cell>
          <cell r="N15">
            <v>-9.4000000000000004E-3</v>
          </cell>
          <cell r="O15">
            <v>-1E-4</v>
          </cell>
          <cell r="P15">
            <v>-1.1999999999999999E-3</v>
          </cell>
          <cell r="Q15">
            <v>8.5000000000000006E-3</v>
          </cell>
          <cell r="R15">
            <v>0.37680000000000002</v>
          </cell>
          <cell r="T15">
            <v>0.43219999999999997</v>
          </cell>
          <cell r="U15">
            <v>1.7500000000000002E-2</v>
          </cell>
          <cell r="V15">
            <v>-1.8100000000000002E-2</v>
          </cell>
          <cell r="W15">
            <v>-9.4000000000000004E-3</v>
          </cell>
          <cell r="X15">
            <v>-1E-4</v>
          </cell>
          <cell r="Y15">
            <v>-1.1999999999999999E-3</v>
          </cell>
          <cell r="Z15">
            <v>8.5000000000000006E-3</v>
          </cell>
          <cell r="AA15">
            <v>0.4294</v>
          </cell>
        </row>
        <row r="16">
          <cell r="A16">
            <v>35462</v>
          </cell>
          <cell r="B16">
            <v>0.3599</v>
          </cell>
          <cell r="C16">
            <v>1.7500000000000002E-2</v>
          </cell>
          <cell r="D16">
            <v>-1.8100000000000002E-2</v>
          </cell>
          <cell r="E16">
            <v>-9.4000000000000004E-3</v>
          </cell>
          <cell r="G16">
            <v>-1.1999999999999999E-3</v>
          </cell>
          <cell r="H16">
            <v>8.5000000000000006E-3</v>
          </cell>
          <cell r="I16">
            <v>0.35720000000000002</v>
          </cell>
          <cell r="K16">
            <v>0.37959999999999999</v>
          </cell>
          <cell r="L16">
            <v>1.7500000000000002E-2</v>
          </cell>
          <cell r="M16">
            <v>-1.8100000000000002E-2</v>
          </cell>
          <cell r="N16">
            <v>-9.4000000000000004E-3</v>
          </cell>
          <cell r="P16">
            <v>-1.1999999999999999E-3</v>
          </cell>
          <cell r="Q16">
            <v>8.5000000000000006E-3</v>
          </cell>
          <cell r="R16">
            <v>0.37690000000000001</v>
          </cell>
          <cell r="T16">
            <v>0.43219999999999997</v>
          </cell>
          <cell r="U16">
            <v>1.7500000000000002E-2</v>
          </cell>
          <cell r="V16">
            <v>-1.8100000000000002E-2</v>
          </cell>
          <cell r="W16">
            <v>-9.4000000000000004E-3</v>
          </cell>
          <cell r="Y16">
            <v>-1.1999999999999999E-3</v>
          </cell>
          <cell r="Z16">
            <v>8.5000000000000006E-3</v>
          </cell>
          <cell r="AA16">
            <v>0.42949999999999999</v>
          </cell>
        </row>
        <row r="17">
          <cell r="A17">
            <v>35490</v>
          </cell>
          <cell r="B17">
            <v>0.3599</v>
          </cell>
          <cell r="C17">
            <v>1.7500000000000002E-2</v>
          </cell>
          <cell r="D17">
            <v>-1.7999999999999999E-2</v>
          </cell>
          <cell r="E17">
            <v>3.8E-3</v>
          </cell>
          <cell r="G17">
            <v>-1.1999999999999999E-3</v>
          </cell>
          <cell r="H17">
            <v>8.5000000000000006E-3</v>
          </cell>
          <cell r="I17">
            <v>0.37050000000000005</v>
          </cell>
          <cell r="K17">
            <v>0.37959999999999999</v>
          </cell>
          <cell r="L17">
            <v>1.7500000000000002E-2</v>
          </cell>
          <cell r="M17">
            <v>-1.7999999999999999E-2</v>
          </cell>
          <cell r="N17">
            <v>3.8E-3</v>
          </cell>
          <cell r="P17">
            <v>-1.1999999999999999E-3</v>
          </cell>
          <cell r="Q17">
            <v>8.5000000000000006E-3</v>
          </cell>
          <cell r="R17">
            <v>0.39020000000000005</v>
          </cell>
          <cell r="T17">
            <v>0.43219999999999997</v>
          </cell>
          <cell r="U17">
            <v>1.7500000000000002E-2</v>
          </cell>
          <cell r="V17">
            <v>-1.7999999999999999E-2</v>
          </cell>
          <cell r="W17">
            <v>3.8E-3</v>
          </cell>
          <cell r="Y17">
            <v>-1.1999999999999999E-3</v>
          </cell>
          <cell r="Z17">
            <v>8.5000000000000006E-3</v>
          </cell>
          <cell r="AA17">
            <v>0.44280000000000003</v>
          </cell>
        </row>
        <row r="18">
          <cell r="A18">
            <v>35612</v>
          </cell>
          <cell r="B18">
            <v>0.3599</v>
          </cell>
          <cell r="C18">
            <v>1.7500000000000002E-2</v>
          </cell>
          <cell r="D18">
            <v>-1.7999999999999999E-2</v>
          </cell>
          <cell r="E18">
            <v>3.8E-3</v>
          </cell>
          <cell r="G18">
            <v>-1.1999999999999999E-3</v>
          </cell>
          <cell r="H18">
            <v>8.5000000000000006E-3</v>
          </cell>
          <cell r="I18">
            <v>0.37050000000000005</v>
          </cell>
          <cell r="K18">
            <v>0.37959999999999999</v>
          </cell>
          <cell r="L18">
            <v>1.7500000000000002E-2</v>
          </cell>
          <cell r="M18">
            <v>-1.7999999999999999E-2</v>
          </cell>
          <cell r="N18">
            <v>3.8E-3</v>
          </cell>
          <cell r="P18">
            <v>-1.1999999999999999E-3</v>
          </cell>
          <cell r="Q18">
            <v>8.5000000000000006E-3</v>
          </cell>
          <cell r="R18">
            <v>0.39020000000000005</v>
          </cell>
          <cell r="T18">
            <v>0.43219999999999997</v>
          </cell>
          <cell r="U18">
            <v>1.7500000000000002E-2</v>
          </cell>
          <cell r="V18">
            <v>-1.7999999999999999E-2</v>
          </cell>
          <cell r="W18">
            <v>3.8E-3</v>
          </cell>
          <cell r="Y18">
            <v>-1.1999999999999999E-3</v>
          </cell>
          <cell r="Z18">
            <v>8.5000000000000006E-3</v>
          </cell>
          <cell r="AA18">
            <v>0.44280000000000003</v>
          </cell>
        </row>
        <row r="19">
          <cell r="A19">
            <v>35735</v>
          </cell>
          <cell r="B19">
            <v>0.40960000000000002</v>
          </cell>
          <cell r="C19">
            <v>1.7500000000000002E-2</v>
          </cell>
          <cell r="G19">
            <v>-1.1999999999999999E-3</v>
          </cell>
          <cell r="H19">
            <v>8.5000000000000006E-3</v>
          </cell>
          <cell r="I19">
            <v>0.43440000000000006</v>
          </cell>
          <cell r="K19">
            <v>0.45710000000000001</v>
          </cell>
          <cell r="L19">
            <v>1.7500000000000002E-2</v>
          </cell>
          <cell r="P19">
            <v>-1.1999999999999999E-3</v>
          </cell>
          <cell r="Q19">
            <v>8.5000000000000006E-3</v>
          </cell>
          <cell r="R19">
            <v>0.48190000000000005</v>
          </cell>
          <cell r="T19">
            <v>0.54810000000000003</v>
          </cell>
          <cell r="U19">
            <v>1.7500000000000002E-2</v>
          </cell>
          <cell r="Y19">
            <v>-1.1999999999999999E-3</v>
          </cell>
          <cell r="Z19">
            <v>8.5000000000000006E-3</v>
          </cell>
          <cell r="AA19">
            <v>0.57289999999999996</v>
          </cell>
        </row>
        <row r="20">
          <cell r="A20">
            <v>35796</v>
          </cell>
          <cell r="B20">
            <v>0.34499999999999997</v>
          </cell>
          <cell r="C20">
            <v>0</v>
          </cell>
          <cell r="G20">
            <v>-1.1999999999999999E-3</v>
          </cell>
          <cell r="H20">
            <v>8.5000000000000006E-3</v>
          </cell>
          <cell r="I20">
            <v>0.3523</v>
          </cell>
          <cell r="K20">
            <v>0.39</v>
          </cell>
          <cell r="L20">
            <v>0</v>
          </cell>
          <cell r="P20">
            <v>-1.1999999999999999E-3</v>
          </cell>
          <cell r="Q20">
            <v>8.5000000000000006E-3</v>
          </cell>
          <cell r="R20">
            <v>0.39730000000000004</v>
          </cell>
          <cell r="T20">
            <v>0.45</v>
          </cell>
          <cell r="U20">
            <v>0</v>
          </cell>
          <cell r="Y20">
            <v>-1.1999999999999999E-3</v>
          </cell>
          <cell r="Z20">
            <v>8.5000000000000006E-3</v>
          </cell>
          <cell r="AA20">
            <v>0.45730000000000004</v>
          </cell>
        </row>
        <row r="21">
          <cell r="A21">
            <v>35827</v>
          </cell>
          <cell r="B21">
            <v>0.34499999999999997</v>
          </cell>
          <cell r="C21">
            <v>0</v>
          </cell>
          <cell r="G21">
            <v>-1.2999999999999999E-3</v>
          </cell>
          <cell r="H21">
            <v>8.5000000000000006E-3</v>
          </cell>
          <cell r="I21">
            <v>0.35219999999999996</v>
          </cell>
          <cell r="K21">
            <v>0.39</v>
          </cell>
          <cell r="L21">
            <v>0</v>
          </cell>
          <cell r="P21">
            <v>-1.2999999999999999E-3</v>
          </cell>
          <cell r="Q21">
            <v>8.5000000000000006E-3</v>
          </cell>
          <cell r="R21">
            <v>0.3972</v>
          </cell>
          <cell r="T21">
            <v>0.45</v>
          </cell>
          <cell r="U21">
            <v>0</v>
          </cell>
          <cell r="Y21">
            <v>-1.2999999999999999E-3</v>
          </cell>
          <cell r="Z21">
            <v>8.5000000000000006E-3</v>
          </cell>
          <cell r="AA21">
            <v>0.4572</v>
          </cell>
        </row>
        <row r="22">
          <cell r="A22">
            <v>35947</v>
          </cell>
          <cell r="B22">
            <v>0.32090000000000002</v>
          </cell>
          <cell r="C22">
            <v>0</v>
          </cell>
          <cell r="G22">
            <v>-1.2999999999999999E-3</v>
          </cell>
          <cell r="H22">
            <v>8.5000000000000006E-3</v>
          </cell>
          <cell r="I22">
            <v>0.3281</v>
          </cell>
          <cell r="K22">
            <v>0.35489999999999999</v>
          </cell>
          <cell r="L22">
            <v>0</v>
          </cell>
          <cell r="P22">
            <v>-1.2999999999999999E-3</v>
          </cell>
          <cell r="Q22">
            <v>8.5000000000000006E-3</v>
          </cell>
          <cell r="R22">
            <v>0.36209999999999998</v>
          </cell>
          <cell r="T22">
            <v>0.41470000000000001</v>
          </cell>
          <cell r="U22">
            <v>0</v>
          </cell>
          <cell r="Y22">
            <v>-1.2999999999999999E-3</v>
          </cell>
          <cell r="Z22">
            <v>8.5000000000000006E-3</v>
          </cell>
          <cell r="AA22">
            <v>0.4219</v>
          </cell>
        </row>
        <row r="23">
          <cell r="A23">
            <v>35977</v>
          </cell>
          <cell r="B23">
            <v>0.31580000000000003</v>
          </cell>
          <cell r="C23">
            <v>0</v>
          </cell>
          <cell r="G23">
            <v>-1E-4</v>
          </cell>
          <cell r="H23">
            <v>8.5000000000000006E-3</v>
          </cell>
          <cell r="I23">
            <v>0.32420000000000004</v>
          </cell>
          <cell r="K23">
            <v>0.3498</v>
          </cell>
          <cell r="L23">
            <v>0</v>
          </cell>
          <cell r="P23">
            <v>-1E-4</v>
          </cell>
          <cell r="Q23">
            <v>8.5000000000000006E-3</v>
          </cell>
          <cell r="R23">
            <v>0.35820000000000002</v>
          </cell>
          <cell r="T23">
            <v>0.40960000000000002</v>
          </cell>
          <cell r="U23">
            <v>0</v>
          </cell>
          <cell r="Y23">
            <v>-1E-4</v>
          </cell>
          <cell r="Z23">
            <v>8.5000000000000006E-3</v>
          </cell>
          <cell r="AA23">
            <v>0.41800000000000004</v>
          </cell>
        </row>
        <row r="24">
          <cell r="A24">
            <v>36192</v>
          </cell>
          <cell r="B24">
            <v>0.31580000000000003</v>
          </cell>
          <cell r="C24">
            <v>0</v>
          </cell>
          <cell r="G24">
            <v>-1E-3</v>
          </cell>
          <cell r="H24">
            <v>7.6E-3</v>
          </cell>
          <cell r="I24">
            <v>0.32240000000000002</v>
          </cell>
          <cell r="K24">
            <v>0.3498</v>
          </cell>
          <cell r="L24">
            <v>0</v>
          </cell>
          <cell r="P24">
            <v>-1E-3</v>
          </cell>
          <cell r="Q24">
            <v>7.6E-3</v>
          </cell>
          <cell r="R24">
            <v>0.35639999999999999</v>
          </cell>
          <cell r="T24">
            <v>0.40960000000000002</v>
          </cell>
          <cell r="U24">
            <v>0</v>
          </cell>
          <cell r="Y24">
            <v>-1E-3</v>
          </cell>
          <cell r="Z24">
            <v>7.6E-3</v>
          </cell>
          <cell r="AA24">
            <v>0.41620000000000001</v>
          </cell>
        </row>
        <row r="25">
          <cell r="A25">
            <v>36831</v>
          </cell>
          <cell r="B25">
            <v>0.31330000000000002</v>
          </cell>
          <cell r="C25">
            <v>0</v>
          </cell>
          <cell r="G25">
            <v>0</v>
          </cell>
          <cell r="H25">
            <v>6.6E-3</v>
          </cell>
          <cell r="I25">
            <v>0.31990000000000002</v>
          </cell>
          <cell r="K25">
            <v>0.3473</v>
          </cell>
          <cell r="L25">
            <v>0</v>
          </cell>
          <cell r="P25">
            <v>0</v>
          </cell>
          <cell r="Q25">
            <v>6.6E-3</v>
          </cell>
          <cell r="R25">
            <v>0.35389999999999999</v>
          </cell>
          <cell r="T25">
            <v>0.40710000000000002</v>
          </cell>
          <cell r="U25">
            <v>0</v>
          </cell>
          <cell r="Y25">
            <v>0</v>
          </cell>
          <cell r="Z25">
            <v>6.6E-3</v>
          </cell>
          <cell r="AA25">
            <v>0.41370000000000001</v>
          </cell>
        </row>
        <row r="26">
          <cell r="A26">
            <v>36923</v>
          </cell>
          <cell r="B26">
            <v>0.41560000000000002</v>
          </cell>
          <cell r="C26">
            <v>0</v>
          </cell>
          <cell r="G26">
            <v>0</v>
          </cell>
          <cell r="H26">
            <v>6.6E-3</v>
          </cell>
          <cell r="I26">
            <v>0.42220000000000002</v>
          </cell>
          <cell r="K26">
            <v>0.47170000000000001</v>
          </cell>
          <cell r="L26">
            <v>0</v>
          </cell>
          <cell r="P26">
            <v>0</v>
          </cell>
          <cell r="Q26">
            <v>6.6E-3</v>
          </cell>
          <cell r="R26">
            <v>0.4783</v>
          </cell>
          <cell r="T26">
            <v>0.55459999999999998</v>
          </cell>
          <cell r="U26">
            <v>0</v>
          </cell>
          <cell r="Y26">
            <v>0</v>
          </cell>
          <cell r="Z26">
            <v>6.6E-3</v>
          </cell>
          <cell r="AA26">
            <v>0.56120000000000003</v>
          </cell>
        </row>
        <row r="27">
          <cell r="A27">
            <v>37012</v>
          </cell>
          <cell r="B27">
            <v>0.35499999999999998</v>
          </cell>
          <cell r="C27">
            <v>0</v>
          </cell>
          <cell r="G27">
            <v>0</v>
          </cell>
          <cell r="H27">
            <v>3.0000000000000001E-3</v>
          </cell>
          <cell r="I27">
            <v>0.35799999999999998</v>
          </cell>
          <cell r="K27">
            <v>0.4</v>
          </cell>
          <cell r="L27">
            <v>0</v>
          </cell>
          <cell r="P27">
            <v>0</v>
          </cell>
          <cell r="Q27">
            <v>3.0000000000000001E-3</v>
          </cell>
          <cell r="R27">
            <v>0.40300000000000002</v>
          </cell>
          <cell r="T27">
            <v>0.47</v>
          </cell>
          <cell r="U27">
            <v>0</v>
          </cell>
          <cell r="Y27">
            <v>0</v>
          </cell>
          <cell r="Z27">
            <v>3.0000000000000001E-3</v>
          </cell>
          <cell r="AA27">
            <v>0.47299999999999998</v>
          </cell>
        </row>
        <row r="28">
          <cell r="A28">
            <v>37104</v>
          </cell>
          <cell r="B28">
            <v>0.35499999999999998</v>
          </cell>
          <cell r="C28">
            <v>0</v>
          </cell>
          <cell r="G28">
            <v>0</v>
          </cell>
          <cell r="H28">
            <v>3.0000000000000001E-3</v>
          </cell>
          <cell r="I28">
            <v>0.35799999999999998</v>
          </cell>
          <cell r="K28">
            <v>0.4</v>
          </cell>
          <cell r="L28">
            <v>0</v>
          </cell>
          <cell r="P28">
            <v>0</v>
          </cell>
          <cell r="Q28">
            <v>3.0000000000000001E-3</v>
          </cell>
          <cell r="R28">
            <v>0.40300000000000002</v>
          </cell>
          <cell r="T28">
            <v>0.47</v>
          </cell>
          <cell r="U28">
            <v>0</v>
          </cell>
          <cell r="Y28">
            <v>0</v>
          </cell>
          <cell r="Z28">
            <v>3.0000000000000001E-3</v>
          </cell>
          <cell r="AA28">
            <v>0.47299999999999998</v>
          </cell>
        </row>
        <row r="29">
          <cell r="A29">
            <v>37561</v>
          </cell>
          <cell r="B29">
            <v>0.31879999999999997</v>
          </cell>
          <cell r="H29">
            <v>2.2000000000000001E-3</v>
          </cell>
          <cell r="I29">
            <v>0.32099999999999995</v>
          </cell>
          <cell r="K29">
            <v>0.35759999999999997</v>
          </cell>
          <cell r="Q29">
            <v>2.2000000000000001E-3</v>
          </cell>
          <cell r="R29">
            <v>0.35979999999999995</v>
          </cell>
          <cell r="T29">
            <v>0.4204</v>
          </cell>
          <cell r="Z29">
            <v>2.2000000000000001E-3</v>
          </cell>
          <cell r="AA29">
            <v>0.42259999999999998</v>
          </cell>
        </row>
        <row r="30">
          <cell r="A30">
            <v>37834</v>
          </cell>
          <cell r="B30">
            <v>0.31219999999999998</v>
          </cell>
          <cell r="H30">
            <v>1.6000000000000001E-3</v>
          </cell>
          <cell r="I30">
            <v>0.31379999999999997</v>
          </cell>
          <cell r="K30">
            <v>0.35099999999999998</v>
          </cell>
          <cell r="Q30">
            <v>1.6000000000000001E-3</v>
          </cell>
          <cell r="R30">
            <v>0.35259999999999997</v>
          </cell>
          <cell r="T30">
            <v>0.4138</v>
          </cell>
          <cell r="Z30">
            <v>1.6000000000000001E-3</v>
          </cell>
          <cell r="AA30">
            <v>0.41539999999999999</v>
          </cell>
        </row>
        <row r="31">
          <cell r="A31">
            <v>38200</v>
          </cell>
          <cell r="B31">
            <v>0.31219999999999998</v>
          </cell>
          <cell r="H31">
            <v>0</v>
          </cell>
          <cell r="I31">
            <v>0.31219999999999998</v>
          </cell>
          <cell r="K31">
            <v>0.35099999999999998</v>
          </cell>
          <cell r="L31">
            <v>0</v>
          </cell>
          <cell r="Q31">
            <v>0</v>
          </cell>
          <cell r="R31">
            <v>0.35099999999999998</v>
          </cell>
          <cell r="T31">
            <v>0.4138</v>
          </cell>
          <cell r="U31">
            <v>0</v>
          </cell>
          <cell r="Z31">
            <v>0</v>
          </cell>
          <cell r="AA31">
            <v>0.4138</v>
          </cell>
        </row>
        <row r="32">
          <cell r="A32">
            <v>38384</v>
          </cell>
          <cell r="B32">
            <v>0.31219999999999998</v>
          </cell>
          <cell r="H32">
            <v>0</v>
          </cell>
          <cell r="I32">
            <v>0.31219999999999998</v>
          </cell>
          <cell r="K32">
            <v>0.35099999999999998</v>
          </cell>
          <cell r="L32">
            <v>0</v>
          </cell>
          <cell r="Q32">
            <v>0</v>
          </cell>
          <cell r="R32">
            <v>0.35099999999999998</v>
          </cell>
          <cell r="T32">
            <v>0.4138</v>
          </cell>
          <cell r="U32">
            <v>0</v>
          </cell>
          <cell r="Z32">
            <v>0</v>
          </cell>
          <cell r="AA32">
            <v>0.4138</v>
          </cell>
        </row>
        <row r="33">
          <cell r="A33">
            <v>38473</v>
          </cell>
          <cell r="B33">
            <v>0.31219999999999998</v>
          </cell>
          <cell r="H33">
            <v>0</v>
          </cell>
          <cell r="I33">
            <v>0.31219999999999998</v>
          </cell>
          <cell r="K33">
            <v>0.35099999999999998</v>
          </cell>
          <cell r="L33">
            <v>0</v>
          </cell>
          <cell r="Q33">
            <v>0</v>
          </cell>
          <cell r="R33">
            <v>0.35099999999999998</v>
          </cell>
          <cell r="T33">
            <v>0.4138</v>
          </cell>
          <cell r="U33">
            <v>0</v>
          </cell>
          <cell r="Z33">
            <v>0</v>
          </cell>
          <cell r="AA33">
            <v>0.4138</v>
          </cell>
        </row>
        <row r="34">
          <cell r="A34">
            <v>38565</v>
          </cell>
          <cell r="B34">
            <v>0.31219999999999998</v>
          </cell>
          <cell r="H34">
            <v>0</v>
          </cell>
          <cell r="I34">
            <v>0.31219999999999998</v>
          </cell>
          <cell r="K34">
            <v>0.35099999999999998</v>
          </cell>
          <cell r="L34">
            <v>0</v>
          </cell>
          <cell r="Q34">
            <v>0</v>
          </cell>
          <cell r="R34">
            <v>0.35099999999999998</v>
          </cell>
          <cell r="T34">
            <v>0.4138</v>
          </cell>
          <cell r="U34">
            <v>0</v>
          </cell>
          <cell r="Z34">
            <v>0</v>
          </cell>
          <cell r="AA34">
            <v>0.4138</v>
          </cell>
        </row>
        <row r="35">
          <cell r="A35">
            <v>38687</v>
          </cell>
          <cell r="B35">
            <v>0.37240000000000001</v>
          </cell>
          <cell r="H35">
            <v>0</v>
          </cell>
          <cell r="I35">
            <v>0.37240000000000001</v>
          </cell>
          <cell r="K35">
            <v>0.42959999999999998</v>
          </cell>
          <cell r="L35">
            <v>0</v>
          </cell>
          <cell r="Q35">
            <v>0</v>
          </cell>
          <cell r="R35">
            <v>0.42959999999999998</v>
          </cell>
          <cell r="T35">
            <v>0.49759999999999999</v>
          </cell>
          <cell r="U35">
            <v>0</v>
          </cell>
          <cell r="Z35">
            <v>0</v>
          </cell>
          <cell r="AA35">
            <v>0.49759999999999999</v>
          </cell>
        </row>
        <row r="36">
          <cell r="A36">
            <v>38838</v>
          </cell>
          <cell r="B36">
            <v>0.30880000000000002</v>
          </cell>
          <cell r="H36">
            <v>0</v>
          </cell>
          <cell r="I36">
            <v>0.30880000000000002</v>
          </cell>
          <cell r="K36">
            <v>0.3543</v>
          </cell>
          <cell r="L36">
            <v>0</v>
          </cell>
          <cell r="Q36">
            <v>0</v>
          </cell>
          <cell r="R36">
            <v>0.3543</v>
          </cell>
          <cell r="T36">
            <v>0.41899999999999998</v>
          </cell>
          <cell r="U36">
            <v>0</v>
          </cell>
          <cell r="Z36">
            <v>0</v>
          </cell>
          <cell r="AA36">
            <v>0.41899999999999998</v>
          </cell>
        </row>
        <row r="37">
          <cell r="A37">
            <v>39114</v>
          </cell>
          <cell r="B37">
            <v>0.30880000000000002</v>
          </cell>
          <cell r="H37">
            <v>0</v>
          </cell>
          <cell r="I37">
            <v>0.30880000000000002</v>
          </cell>
          <cell r="K37">
            <v>0.3543</v>
          </cell>
          <cell r="L37">
            <v>0</v>
          </cell>
          <cell r="Q37">
            <v>0</v>
          </cell>
          <cell r="R37">
            <v>0.3543</v>
          </cell>
          <cell r="T37">
            <v>0.41899999999999998</v>
          </cell>
          <cell r="U37">
            <v>0</v>
          </cell>
          <cell r="Z37">
            <v>0</v>
          </cell>
          <cell r="AA37">
            <v>0.41899999999999998</v>
          </cell>
        </row>
        <row r="38">
          <cell r="A38">
            <v>54789</v>
          </cell>
        </row>
      </sheetData>
      <sheetData sheetId="66">
        <row r="9">
          <cell r="A9">
            <v>34973</v>
          </cell>
          <cell r="B9">
            <v>3.0300000000000001E-2</v>
          </cell>
          <cell r="E9">
            <v>8.5000000000000006E-3</v>
          </cell>
          <cell r="F9">
            <v>2.1000000000000003E-3</v>
          </cell>
          <cell r="G9">
            <v>4.0899999999999999E-2</v>
          </cell>
          <cell r="I9">
            <v>3.5500000000000004E-2</v>
          </cell>
          <cell r="L9">
            <v>8.5000000000000006E-3</v>
          </cell>
          <cell r="M9">
            <v>2.1000000000000003E-3</v>
          </cell>
          <cell r="N9">
            <v>4.6100000000000002E-2</v>
          </cell>
          <cell r="P9">
            <v>3.9800000000000002E-2</v>
          </cell>
          <cell r="S9">
            <v>8.5000000000000006E-3</v>
          </cell>
          <cell r="T9">
            <v>2.1000000000000003E-3</v>
          </cell>
          <cell r="U9">
            <v>5.04E-2</v>
          </cell>
        </row>
        <row r="10">
          <cell r="A10">
            <v>35065</v>
          </cell>
          <cell r="B10">
            <v>3.0300000000000001E-2</v>
          </cell>
          <cell r="E10">
            <v>8.8000000000000005E-3</v>
          </cell>
          <cell r="F10">
            <v>2.1000000000000003E-3</v>
          </cell>
          <cell r="G10">
            <v>4.1200000000000001E-2</v>
          </cell>
          <cell r="I10">
            <v>3.5500000000000004E-2</v>
          </cell>
          <cell r="L10">
            <v>8.8000000000000005E-3</v>
          </cell>
          <cell r="M10">
            <v>2.1000000000000003E-3</v>
          </cell>
          <cell r="N10">
            <v>4.6400000000000004E-2</v>
          </cell>
          <cell r="P10">
            <v>3.9800000000000002E-2</v>
          </cell>
          <cell r="S10">
            <v>8.8000000000000005E-3</v>
          </cell>
          <cell r="T10">
            <v>2.1000000000000003E-3</v>
          </cell>
          <cell r="U10">
            <v>5.0700000000000002E-2</v>
          </cell>
        </row>
        <row r="11">
          <cell r="A11">
            <v>35096</v>
          </cell>
          <cell r="B11">
            <v>2.9600000000000001E-2</v>
          </cell>
          <cell r="E11">
            <v>8.8000000000000005E-3</v>
          </cell>
          <cell r="F11">
            <v>2.1000000000000003E-3</v>
          </cell>
          <cell r="G11">
            <v>4.0500000000000001E-2</v>
          </cell>
          <cell r="I11">
            <v>3.3599999999999998E-2</v>
          </cell>
          <cell r="L11">
            <v>8.8000000000000005E-3</v>
          </cell>
          <cell r="M11">
            <v>2.1000000000000003E-3</v>
          </cell>
          <cell r="N11">
            <v>4.4499999999999998E-2</v>
          </cell>
          <cell r="P11">
            <v>3.7699999999999997E-2</v>
          </cell>
          <cell r="S11">
            <v>8.8000000000000005E-3</v>
          </cell>
          <cell r="T11">
            <v>2.1000000000000003E-3</v>
          </cell>
          <cell r="U11">
            <v>4.8599999999999997E-2</v>
          </cell>
        </row>
        <row r="12">
          <cell r="A12">
            <v>35125</v>
          </cell>
          <cell r="B12">
            <v>2.0299999999999999E-2</v>
          </cell>
          <cell r="E12">
            <v>8.8000000000000005E-3</v>
          </cell>
          <cell r="F12">
            <v>2.0999999999999999E-3</v>
          </cell>
          <cell r="G12">
            <v>3.1200000000000002E-2</v>
          </cell>
          <cell r="I12">
            <v>2.4299999999999999E-2</v>
          </cell>
          <cell r="L12">
            <v>8.8000000000000005E-3</v>
          </cell>
          <cell r="M12">
            <v>2.0999999999999999E-3</v>
          </cell>
          <cell r="N12">
            <v>3.5199999999999995E-2</v>
          </cell>
          <cell r="P12">
            <v>2.8400000000000002E-2</v>
          </cell>
          <cell r="S12">
            <v>8.8000000000000005E-3</v>
          </cell>
          <cell r="T12">
            <v>2.0999999999999999E-3</v>
          </cell>
          <cell r="U12">
            <v>3.9300000000000002E-2</v>
          </cell>
        </row>
        <row r="13">
          <cell r="A13">
            <v>35247</v>
          </cell>
          <cell r="B13">
            <v>2.9600000000000001E-2</v>
          </cell>
          <cell r="C13">
            <v>-6.7000000000000002E-3</v>
          </cell>
          <cell r="D13">
            <v>-2.5999999999999999E-3</v>
          </cell>
          <cell r="E13">
            <v>8.8000000000000005E-3</v>
          </cell>
          <cell r="F13">
            <v>2.0999999999999999E-3</v>
          </cell>
          <cell r="G13">
            <v>3.1200000000000002E-2</v>
          </cell>
          <cell r="I13">
            <v>3.3599999999999998E-2</v>
          </cell>
          <cell r="J13">
            <v>-6.7000000000000002E-3</v>
          </cell>
          <cell r="K13">
            <v>-2.5999999999999999E-3</v>
          </cell>
          <cell r="L13">
            <v>8.8000000000000005E-3</v>
          </cell>
          <cell r="M13">
            <v>2.0999999999999999E-3</v>
          </cell>
          <cell r="N13">
            <v>3.5199999999999995E-2</v>
          </cell>
          <cell r="P13">
            <v>3.7699999999999997E-2</v>
          </cell>
          <cell r="Q13">
            <v>-6.7000000000000002E-3</v>
          </cell>
          <cell r="R13">
            <v>-2.5999999999999999E-3</v>
          </cell>
          <cell r="S13">
            <v>8.8000000000000005E-3</v>
          </cell>
          <cell r="T13">
            <v>2.0999999999999999E-3</v>
          </cell>
          <cell r="U13">
            <v>3.9299999999999995E-2</v>
          </cell>
        </row>
        <row r="14">
          <cell r="A14">
            <v>35309</v>
          </cell>
          <cell r="B14">
            <v>2.9600000000000001E-2</v>
          </cell>
          <cell r="C14">
            <v>-7.1999999999999998E-3</v>
          </cell>
          <cell r="D14">
            <v>-5.0000000000000001E-3</v>
          </cell>
          <cell r="E14">
            <v>8.8000000000000005E-3</v>
          </cell>
          <cell r="F14">
            <v>2.0999999999999999E-3</v>
          </cell>
          <cell r="G14">
            <v>2.8300000000000002E-2</v>
          </cell>
          <cell r="I14">
            <v>3.3599999999999998E-2</v>
          </cell>
          <cell r="J14">
            <v>-7.1999999999999998E-3</v>
          </cell>
          <cell r="K14">
            <v>-5.0000000000000001E-3</v>
          </cell>
          <cell r="L14">
            <v>8.8000000000000005E-3</v>
          </cell>
          <cell r="M14">
            <v>2.0999999999999999E-3</v>
          </cell>
          <cell r="N14">
            <v>3.2299999999999995E-2</v>
          </cell>
          <cell r="P14">
            <v>3.7699999999999997E-2</v>
          </cell>
          <cell r="Q14">
            <v>-7.1999999999999998E-3</v>
          </cell>
          <cell r="R14">
            <v>-5.0000000000000001E-3</v>
          </cell>
          <cell r="S14">
            <v>8.8000000000000005E-3</v>
          </cell>
          <cell r="T14">
            <v>2.0999999999999999E-3</v>
          </cell>
          <cell r="U14">
            <v>3.6399999999999995E-2</v>
          </cell>
        </row>
        <row r="15">
          <cell r="A15">
            <v>35339</v>
          </cell>
          <cell r="B15">
            <v>2.9600000000000001E-2</v>
          </cell>
          <cell r="C15">
            <v>-7.1999999999999998E-3</v>
          </cell>
          <cell r="D15">
            <v>-5.0000000000000001E-3</v>
          </cell>
          <cell r="E15">
            <v>8.8000000000000005E-3</v>
          </cell>
          <cell r="F15">
            <v>1.8E-3</v>
          </cell>
          <cell r="G15">
            <v>2.8000000000000001E-2</v>
          </cell>
          <cell r="I15">
            <v>3.3599999999999998E-2</v>
          </cell>
          <cell r="J15">
            <v>-7.1999999999999998E-3</v>
          </cell>
          <cell r="K15">
            <v>-5.0000000000000001E-3</v>
          </cell>
          <cell r="L15">
            <v>8.8000000000000005E-3</v>
          </cell>
          <cell r="M15">
            <v>1.8E-3</v>
          </cell>
          <cell r="N15">
            <v>3.2000000000000001E-2</v>
          </cell>
          <cell r="P15">
            <v>3.7699999999999997E-2</v>
          </cell>
          <cell r="Q15">
            <v>-7.1999999999999998E-3</v>
          </cell>
          <cell r="R15">
            <v>-5.0000000000000001E-3</v>
          </cell>
          <cell r="S15">
            <v>8.8000000000000005E-3</v>
          </cell>
          <cell r="T15">
            <v>1.8E-3</v>
          </cell>
          <cell r="U15">
            <v>3.61E-2</v>
          </cell>
        </row>
        <row r="16">
          <cell r="A16">
            <v>35462</v>
          </cell>
          <cell r="B16">
            <v>2.9600000000000001E-2</v>
          </cell>
          <cell r="C16">
            <v>-7.1999999999999998E-3</v>
          </cell>
          <cell r="D16">
            <v>-5.0000000000000001E-3</v>
          </cell>
          <cell r="E16">
            <v>8.8000000000000005E-3</v>
          </cell>
          <cell r="F16">
            <v>1.8E-3</v>
          </cell>
          <cell r="G16">
            <v>2.8000000000000001E-2</v>
          </cell>
          <cell r="I16">
            <v>3.3599999999999998E-2</v>
          </cell>
          <cell r="J16">
            <v>-7.1999999999999998E-3</v>
          </cell>
          <cell r="K16">
            <v>-5.0000000000000001E-3</v>
          </cell>
          <cell r="L16">
            <v>8.8000000000000005E-3</v>
          </cell>
          <cell r="M16">
            <v>1.8E-3</v>
          </cell>
          <cell r="N16">
            <v>3.2000000000000001E-2</v>
          </cell>
          <cell r="P16">
            <v>3.7699999999999997E-2</v>
          </cell>
          <cell r="Q16">
            <v>-7.1999999999999998E-3</v>
          </cell>
          <cell r="R16">
            <v>-5.0000000000000001E-3</v>
          </cell>
          <cell r="S16">
            <v>8.8000000000000005E-3</v>
          </cell>
          <cell r="T16">
            <v>1.8E-3</v>
          </cell>
          <cell r="U16">
            <v>3.61E-2</v>
          </cell>
        </row>
        <row r="17">
          <cell r="A17">
            <v>35490</v>
          </cell>
          <cell r="B17">
            <v>2.9600000000000001E-2</v>
          </cell>
          <cell r="C17">
            <v>-6.8999999999999999E-3</v>
          </cell>
          <cell r="D17">
            <v>1E-4</v>
          </cell>
          <cell r="E17">
            <v>8.8000000000000005E-3</v>
          </cell>
          <cell r="F17">
            <v>1.8E-3</v>
          </cell>
          <cell r="G17">
            <v>3.3400000000000006E-2</v>
          </cell>
          <cell r="I17">
            <v>3.3599999999999998E-2</v>
          </cell>
          <cell r="J17">
            <v>-6.8999999999999999E-3</v>
          </cell>
          <cell r="K17">
            <v>1E-4</v>
          </cell>
          <cell r="L17">
            <v>8.8000000000000005E-3</v>
          </cell>
          <cell r="M17">
            <v>1.8E-3</v>
          </cell>
          <cell r="N17">
            <v>3.7400000000000003E-2</v>
          </cell>
          <cell r="P17">
            <v>3.7699999999999997E-2</v>
          </cell>
          <cell r="Q17">
            <v>-6.8999999999999999E-3</v>
          </cell>
          <cell r="R17">
            <v>1E-4</v>
          </cell>
          <cell r="S17">
            <v>8.8000000000000005E-3</v>
          </cell>
          <cell r="T17">
            <v>1.8E-3</v>
          </cell>
          <cell r="U17">
            <v>4.1500000000000002E-2</v>
          </cell>
        </row>
        <row r="18">
          <cell r="A18">
            <v>35612</v>
          </cell>
          <cell r="B18">
            <v>2.9600000000000001E-2</v>
          </cell>
          <cell r="C18">
            <v>-6.8999999999999999E-3</v>
          </cell>
          <cell r="D18">
            <v>1E-4</v>
          </cell>
          <cell r="E18">
            <v>8.8000000000000005E-3</v>
          </cell>
          <cell r="F18">
            <v>1.8E-3</v>
          </cell>
          <cell r="G18">
            <v>3.3400000000000006E-2</v>
          </cell>
          <cell r="I18">
            <v>3.3599999999999998E-2</v>
          </cell>
          <cell r="J18">
            <v>-6.8999999999999999E-3</v>
          </cell>
          <cell r="K18">
            <v>1E-4</v>
          </cell>
          <cell r="L18">
            <v>8.8000000000000005E-3</v>
          </cell>
          <cell r="M18">
            <v>1.8E-3</v>
          </cell>
          <cell r="N18">
            <v>3.7400000000000003E-2</v>
          </cell>
          <cell r="P18">
            <v>3.7699999999999997E-2</v>
          </cell>
          <cell r="Q18">
            <v>-6.8999999999999999E-3</v>
          </cell>
          <cell r="R18">
            <v>1E-4</v>
          </cell>
          <cell r="S18">
            <v>8.8000000000000005E-3</v>
          </cell>
          <cell r="T18">
            <v>1.8E-3</v>
          </cell>
          <cell r="U18">
            <v>4.1500000000000002E-2</v>
          </cell>
        </row>
        <row r="19">
          <cell r="A19">
            <v>35704</v>
          </cell>
          <cell r="B19">
            <v>2.7400000000000001E-2</v>
          </cell>
          <cell r="E19">
            <v>8.8000000000000005E-3</v>
          </cell>
          <cell r="F19">
            <v>1.8E-3</v>
          </cell>
          <cell r="G19">
            <v>3.8000000000000006E-2</v>
          </cell>
          <cell r="I19">
            <v>3.3500000000000002E-2</v>
          </cell>
          <cell r="L19">
            <v>8.8000000000000005E-3</v>
          </cell>
          <cell r="M19">
            <v>1.8E-3</v>
          </cell>
          <cell r="N19">
            <v>4.4100000000000007E-2</v>
          </cell>
          <cell r="P19">
            <v>4.0399999999999998E-2</v>
          </cell>
          <cell r="S19">
            <v>8.8000000000000005E-3</v>
          </cell>
          <cell r="T19">
            <v>1.8E-3</v>
          </cell>
          <cell r="U19">
            <v>5.1000000000000004E-2</v>
          </cell>
        </row>
        <row r="20">
          <cell r="A20">
            <v>35796</v>
          </cell>
          <cell r="B20">
            <v>2.7400000000000001E-2</v>
          </cell>
          <cell r="E20">
            <v>8.8000000000000005E-3</v>
          </cell>
          <cell r="F20">
            <v>2.2000000000000001E-3</v>
          </cell>
          <cell r="G20">
            <v>3.8400000000000004E-2</v>
          </cell>
          <cell r="I20">
            <v>3.3500000000000002E-2</v>
          </cell>
          <cell r="L20">
            <v>8.8000000000000005E-3</v>
          </cell>
          <cell r="M20">
            <v>2.2000000000000001E-3</v>
          </cell>
          <cell r="N20">
            <v>4.4500000000000005E-2</v>
          </cell>
          <cell r="P20">
            <v>4.0300000000000002E-2</v>
          </cell>
          <cell r="S20">
            <v>8.8000000000000005E-3</v>
          </cell>
          <cell r="T20">
            <v>2.2000000000000001E-3</v>
          </cell>
          <cell r="U20">
            <v>5.1300000000000005E-2</v>
          </cell>
        </row>
        <row r="21">
          <cell r="A21">
            <v>35947</v>
          </cell>
          <cell r="B21">
            <v>2.63E-2</v>
          </cell>
          <cell r="E21">
            <v>8.8000000000000005E-3</v>
          </cell>
          <cell r="F21">
            <v>2.2000000000000001E-3</v>
          </cell>
          <cell r="G21">
            <v>3.73E-2</v>
          </cell>
          <cell r="I21">
            <v>3.1E-2</v>
          </cell>
          <cell r="L21">
            <v>8.8000000000000005E-3</v>
          </cell>
          <cell r="M21">
            <v>2.2000000000000001E-3</v>
          </cell>
          <cell r="N21">
            <v>4.2000000000000003E-2</v>
          </cell>
          <cell r="P21">
            <v>3.61E-2</v>
          </cell>
          <cell r="S21">
            <v>8.8000000000000005E-3</v>
          </cell>
          <cell r="T21">
            <v>2.2000000000000001E-3</v>
          </cell>
          <cell r="U21">
            <v>4.7100000000000003E-2</v>
          </cell>
        </row>
        <row r="22">
          <cell r="A22">
            <v>35977</v>
          </cell>
          <cell r="B22">
            <v>2.35E-2</v>
          </cell>
          <cell r="E22">
            <v>8.8000000000000005E-3</v>
          </cell>
          <cell r="F22">
            <v>2.2000000000000001E-3</v>
          </cell>
          <cell r="G22">
            <v>3.4500000000000003E-2</v>
          </cell>
          <cell r="I22">
            <v>2.8199999999999999E-2</v>
          </cell>
          <cell r="L22">
            <v>8.8000000000000005E-3</v>
          </cell>
          <cell r="M22">
            <v>2.2000000000000001E-3</v>
          </cell>
          <cell r="N22">
            <v>3.9199999999999999E-2</v>
          </cell>
          <cell r="P22">
            <v>3.3300000000000003E-2</v>
          </cell>
          <cell r="S22">
            <v>8.8000000000000005E-3</v>
          </cell>
          <cell r="T22">
            <v>2.2000000000000001E-3</v>
          </cell>
          <cell r="U22">
            <v>4.4300000000000006E-2</v>
          </cell>
        </row>
        <row r="23">
          <cell r="A23">
            <v>36192</v>
          </cell>
          <cell r="B23">
            <v>2.6800000000000001E-2</v>
          </cell>
          <cell r="E23">
            <v>7.4999999999999997E-3</v>
          </cell>
          <cell r="F23">
            <v>2.2000000000000001E-3</v>
          </cell>
          <cell r="G23">
            <v>3.6499999999999998E-2</v>
          </cell>
          <cell r="I23">
            <v>3.15E-2</v>
          </cell>
          <cell r="L23">
            <v>7.4999999999999997E-3</v>
          </cell>
          <cell r="M23">
            <v>2.2000000000000001E-3</v>
          </cell>
          <cell r="N23">
            <v>4.1200000000000001E-2</v>
          </cell>
          <cell r="P23">
            <v>3.6600000000000001E-2</v>
          </cell>
          <cell r="S23">
            <v>7.4999999999999997E-3</v>
          </cell>
          <cell r="T23">
            <v>2.2000000000000001E-3</v>
          </cell>
          <cell r="U23">
            <v>4.6300000000000001E-2</v>
          </cell>
        </row>
        <row r="24">
          <cell r="A24">
            <v>36831</v>
          </cell>
          <cell r="B24">
            <v>2.5899999999999999E-2</v>
          </cell>
          <cell r="E24">
            <v>7.1999999999999998E-3</v>
          </cell>
          <cell r="F24">
            <v>2.2000000000000001E-3</v>
          </cell>
          <cell r="G24">
            <v>3.5299999999999998E-2</v>
          </cell>
          <cell r="I24">
            <v>3.0599999999999999E-2</v>
          </cell>
          <cell r="L24">
            <v>7.1999999999999998E-3</v>
          </cell>
          <cell r="M24">
            <v>2.2000000000000001E-3</v>
          </cell>
          <cell r="N24">
            <v>0.04</v>
          </cell>
          <cell r="P24">
            <v>3.5700000000000003E-2</v>
          </cell>
          <cell r="S24">
            <v>7.1999999999999998E-3</v>
          </cell>
          <cell r="T24">
            <v>2.2000000000000001E-3</v>
          </cell>
          <cell r="U24">
            <v>4.5100000000000001E-2</v>
          </cell>
        </row>
        <row r="25">
          <cell r="A25">
            <v>36923</v>
          </cell>
          <cell r="B25">
            <v>2.58E-2</v>
          </cell>
          <cell r="E25">
            <v>7.1999999999999998E-3</v>
          </cell>
          <cell r="F25">
            <v>2.2000000000000001E-3</v>
          </cell>
          <cell r="G25">
            <v>3.5200000000000002E-2</v>
          </cell>
          <cell r="I25">
            <v>2.53E-2</v>
          </cell>
          <cell r="L25">
            <v>7.1999999999999998E-3</v>
          </cell>
          <cell r="M25">
            <v>2.2000000000000001E-3</v>
          </cell>
          <cell r="N25">
            <v>3.4700000000000002E-2</v>
          </cell>
          <cell r="P25">
            <v>3.1300000000000001E-2</v>
          </cell>
          <cell r="S25">
            <v>7.1999999999999998E-3</v>
          </cell>
          <cell r="T25">
            <v>2.2000000000000001E-3</v>
          </cell>
          <cell r="U25">
            <v>4.07E-2</v>
          </cell>
        </row>
        <row r="26">
          <cell r="A26">
            <v>37012</v>
          </cell>
          <cell r="B26">
            <v>2.58E-2</v>
          </cell>
          <cell r="E26">
            <v>7.0000000000000001E-3</v>
          </cell>
          <cell r="F26">
            <v>2.2000000000000001E-3</v>
          </cell>
          <cell r="G26">
            <v>3.5000000000000003E-2</v>
          </cell>
          <cell r="I26">
            <v>2.53E-2</v>
          </cell>
          <cell r="L26">
            <v>7.0000000000000001E-3</v>
          </cell>
          <cell r="M26">
            <v>2.2000000000000001E-3</v>
          </cell>
          <cell r="N26">
            <v>3.4500000000000003E-2</v>
          </cell>
          <cell r="P26">
            <v>3.1300000000000001E-2</v>
          </cell>
          <cell r="S26">
            <v>7.0000000000000001E-3</v>
          </cell>
          <cell r="T26">
            <v>2.2000000000000001E-3</v>
          </cell>
          <cell r="U26">
            <v>4.0500000000000001E-2</v>
          </cell>
        </row>
        <row r="27">
          <cell r="A27">
            <v>37012</v>
          </cell>
          <cell r="B27">
            <v>2.58E-2</v>
          </cell>
          <cell r="E27">
            <v>7.0000000000000001E-3</v>
          </cell>
          <cell r="F27">
            <v>2.0999999999999999E-3</v>
          </cell>
          <cell r="G27">
            <v>3.49E-2</v>
          </cell>
          <cell r="I27">
            <v>2.53E-2</v>
          </cell>
          <cell r="L27">
            <v>7.0000000000000001E-3</v>
          </cell>
          <cell r="M27">
            <v>2.0999999999999999E-3</v>
          </cell>
          <cell r="N27">
            <v>3.44E-2</v>
          </cell>
          <cell r="P27">
            <v>3.1300000000000001E-2</v>
          </cell>
          <cell r="S27">
            <v>7.0000000000000001E-3</v>
          </cell>
          <cell r="T27">
            <v>2.0999999999999999E-3</v>
          </cell>
          <cell r="U27">
            <v>4.0399999999999998E-2</v>
          </cell>
        </row>
        <row r="28">
          <cell r="A28">
            <v>37561</v>
          </cell>
          <cell r="B28">
            <v>3.9300000000000002E-2</v>
          </cell>
          <cell r="E28">
            <v>5.4999999999999997E-3</v>
          </cell>
          <cell r="F28">
            <v>2.0999999999999999E-3</v>
          </cell>
          <cell r="G28">
            <v>4.6899999999999997E-2</v>
          </cell>
          <cell r="I28">
            <v>4.9399999999999999E-2</v>
          </cell>
          <cell r="L28">
            <v>5.4999999999999997E-3</v>
          </cell>
          <cell r="M28">
            <v>2.0999999999999999E-3</v>
          </cell>
          <cell r="N28">
            <v>5.6999999999999995E-2</v>
          </cell>
          <cell r="P28">
            <v>5.7000000000000002E-2</v>
          </cell>
          <cell r="S28">
            <v>5.4999999999999997E-3</v>
          </cell>
          <cell r="T28">
            <v>2.0999999999999999E-3</v>
          </cell>
          <cell r="U28">
            <v>6.4600000000000005E-2</v>
          </cell>
        </row>
        <row r="29">
          <cell r="A29">
            <v>37834</v>
          </cell>
          <cell r="B29">
            <v>3.9199999999999999E-2</v>
          </cell>
          <cell r="E29">
            <v>4.0000000000000001E-3</v>
          </cell>
          <cell r="F29">
            <v>2.0999999999999999E-3</v>
          </cell>
          <cell r="G29">
            <v>4.53E-2</v>
          </cell>
          <cell r="I29">
            <v>4.9299999999999997E-2</v>
          </cell>
          <cell r="L29">
            <v>4.0000000000000001E-3</v>
          </cell>
          <cell r="M29">
            <v>2.0999999999999999E-3</v>
          </cell>
          <cell r="N29">
            <v>5.5399999999999998E-2</v>
          </cell>
          <cell r="P29">
            <v>5.6899999999999999E-2</v>
          </cell>
          <cell r="S29">
            <v>4.0000000000000001E-3</v>
          </cell>
          <cell r="T29">
            <v>2.0999999999999999E-3</v>
          </cell>
          <cell r="U29">
            <v>6.3E-2</v>
          </cell>
        </row>
        <row r="30">
          <cell r="A30">
            <v>38292</v>
          </cell>
          <cell r="B30">
            <v>3.9199999999999999E-2</v>
          </cell>
          <cell r="E30">
            <v>0</v>
          </cell>
          <cell r="F30">
            <v>2.0999999999999999E-3</v>
          </cell>
          <cell r="G30">
            <v>4.1299999999999996E-2</v>
          </cell>
          <cell r="I30">
            <v>4.9299999999999997E-2</v>
          </cell>
          <cell r="L30">
            <v>0</v>
          </cell>
          <cell r="M30">
            <v>2.0999999999999999E-3</v>
          </cell>
          <cell r="N30">
            <v>5.1399999999999994E-2</v>
          </cell>
          <cell r="P30">
            <v>5.6899999999999999E-2</v>
          </cell>
          <cell r="S30">
            <v>0</v>
          </cell>
          <cell r="T30">
            <v>2.0999999999999999E-3</v>
          </cell>
          <cell r="U30">
            <v>5.8999999999999997E-2</v>
          </cell>
        </row>
        <row r="31">
          <cell r="A31">
            <v>38384</v>
          </cell>
          <cell r="B31">
            <v>3.9199999999999999E-2</v>
          </cell>
          <cell r="E31">
            <v>0</v>
          </cell>
          <cell r="F31">
            <v>1.9E-3</v>
          </cell>
          <cell r="G31">
            <v>4.1099999999999998E-2</v>
          </cell>
          <cell r="I31">
            <v>4.9299999999999997E-2</v>
          </cell>
          <cell r="L31">
            <v>0</v>
          </cell>
          <cell r="M31">
            <v>1.9E-3</v>
          </cell>
          <cell r="N31">
            <v>5.1199999999999996E-2</v>
          </cell>
          <cell r="P31">
            <v>5.6899999999999999E-2</v>
          </cell>
          <cell r="S31">
            <v>0</v>
          </cell>
          <cell r="T31">
            <v>1.9E-3</v>
          </cell>
          <cell r="U31">
            <v>5.8799999999999998E-2</v>
          </cell>
        </row>
        <row r="32">
          <cell r="A32">
            <v>38473</v>
          </cell>
          <cell r="B32">
            <v>3.9199999999999999E-2</v>
          </cell>
          <cell r="E32">
            <v>0</v>
          </cell>
          <cell r="F32">
            <v>1.9E-3</v>
          </cell>
          <cell r="G32">
            <v>4.1099999999999998E-2</v>
          </cell>
          <cell r="I32">
            <v>4.9299999999999997E-2</v>
          </cell>
          <cell r="L32">
            <v>0</v>
          </cell>
          <cell r="M32">
            <v>1.9E-3</v>
          </cell>
          <cell r="N32">
            <v>5.1199999999999996E-2</v>
          </cell>
          <cell r="P32">
            <v>5.6899999999999999E-2</v>
          </cell>
          <cell r="S32">
            <v>0</v>
          </cell>
          <cell r="T32">
            <v>1.9E-3</v>
          </cell>
          <cell r="U32">
            <v>5.8799999999999998E-2</v>
          </cell>
        </row>
        <row r="33">
          <cell r="A33">
            <v>38565</v>
          </cell>
          <cell r="B33">
            <v>3.9199999999999999E-2</v>
          </cell>
          <cell r="E33">
            <v>0</v>
          </cell>
          <cell r="F33">
            <v>1.9E-3</v>
          </cell>
          <cell r="G33">
            <v>4.1099999999999998E-2</v>
          </cell>
          <cell r="I33">
            <v>4.9299999999999997E-2</v>
          </cell>
          <cell r="L33">
            <v>0</v>
          </cell>
          <cell r="M33">
            <v>1.9E-3</v>
          </cell>
          <cell r="N33">
            <v>5.1199999999999996E-2</v>
          </cell>
          <cell r="P33">
            <v>5.6899999999999999E-2</v>
          </cell>
          <cell r="S33">
            <v>0</v>
          </cell>
          <cell r="T33">
            <v>1.9E-3</v>
          </cell>
          <cell r="U33">
            <v>5.8799999999999998E-2</v>
          </cell>
        </row>
        <row r="34">
          <cell r="A34">
            <v>38687</v>
          </cell>
          <cell r="B34">
            <v>5.1200000000000002E-2</v>
          </cell>
          <cell r="E34">
            <v>0</v>
          </cell>
          <cell r="F34">
            <v>1.8E-3</v>
          </cell>
          <cell r="G34">
            <v>5.3000000000000005E-2</v>
          </cell>
          <cell r="I34">
            <v>5.45E-2</v>
          </cell>
          <cell r="L34">
            <v>0</v>
          </cell>
          <cell r="M34">
            <v>1.8E-3</v>
          </cell>
          <cell r="N34">
            <v>5.6300000000000003E-2</v>
          </cell>
          <cell r="P34">
            <v>6.6699999999999995E-2</v>
          </cell>
          <cell r="S34">
            <v>0</v>
          </cell>
          <cell r="T34">
            <v>1.8E-3</v>
          </cell>
          <cell r="U34">
            <v>6.8499999999999991E-2</v>
          </cell>
        </row>
        <row r="35">
          <cell r="A35">
            <v>38838</v>
          </cell>
          <cell r="B35">
            <v>4.5999999999999999E-2</v>
          </cell>
          <cell r="E35">
            <v>0</v>
          </cell>
          <cell r="F35">
            <v>1.8E-3</v>
          </cell>
          <cell r="G35">
            <v>4.7800000000000002E-2</v>
          </cell>
          <cell r="I35">
            <v>4.9000000000000002E-2</v>
          </cell>
          <cell r="L35">
            <v>0</v>
          </cell>
          <cell r="M35">
            <v>1.8E-3</v>
          </cell>
          <cell r="N35">
            <v>5.0800000000000005E-2</v>
          </cell>
          <cell r="P35">
            <v>6.1400000000000003E-2</v>
          </cell>
          <cell r="S35">
            <v>0</v>
          </cell>
          <cell r="T35">
            <v>1.8E-3</v>
          </cell>
          <cell r="U35">
            <v>6.3200000000000006E-2</v>
          </cell>
        </row>
        <row r="36">
          <cell r="A36">
            <v>39114</v>
          </cell>
          <cell r="B36">
            <v>4.5999999999999999E-2</v>
          </cell>
          <cell r="E36">
            <v>0</v>
          </cell>
          <cell r="F36">
            <v>1.6000000000000001E-3</v>
          </cell>
          <cell r="G36">
            <v>4.7599999999999996E-2</v>
          </cell>
          <cell r="I36">
            <v>4.9000000000000002E-2</v>
          </cell>
          <cell r="L36">
            <v>0</v>
          </cell>
          <cell r="M36">
            <v>1.6000000000000001E-3</v>
          </cell>
          <cell r="N36">
            <v>5.0599999999999999E-2</v>
          </cell>
          <cell r="P36">
            <v>6.1400000000000003E-2</v>
          </cell>
          <cell r="S36">
            <v>0</v>
          </cell>
          <cell r="T36">
            <v>1.6000000000000001E-3</v>
          </cell>
          <cell r="U36">
            <v>6.3E-2</v>
          </cell>
        </row>
        <row r="37">
          <cell r="A37">
            <v>54789</v>
          </cell>
        </row>
      </sheetData>
      <sheetData sheetId="67">
        <row r="10">
          <cell r="A10">
            <v>34973</v>
          </cell>
          <cell r="B10">
            <v>0.29920000000000002</v>
          </cell>
          <cell r="C10">
            <v>2.46E-2</v>
          </cell>
          <cell r="H10">
            <v>7.2000000000000007E-3</v>
          </cell>
          <cell r="I10">
            <v>0.33100000000000002</v>
          </cell>
          <cell r="K10">
            <v>0.3422</v>
          </cell>
          <cell r="L10">
            <v>2.46E-2</v>
          </cell>
          <cell r="Q10">
            <v>7.2000000000000007E-3</v>
          </cell>
          <cell r="R10">
            <v>0.374</v>
          </cell>
          <cell r="T10">
            <v>0.40029999999999999</v>
          </cell>
          <cell r="U10">
            <v>2.46E-2</v>
          </cell>
          <cell r="Z10">
            <v>7.2000000000000007E-3</v>
          </cell>
          <cell r="AA10">
            <v>0.43209999999999998</v>
          </cell>
          <cell r="AC10">
            <v>0.31909999999999999</v>
          </cell>
          <cell r="AD10">
            <v>2.46E-2</v>
          </cell>
          <cell r="AI10">
            <v>7.2000000000000007E-3</v>
          </cell>
          <cell r="AJ10">
            <v>0.35089999999999999</v>
          </cell>
        </row>
        <row r="11">
          <cell r="A11">
            <v>35065</v>
          </cell>
          <cell r="B11">
            <v>0.29920000000000002</v>
          </cell>
          <cell r="C11">
            <v>1.7500000000000002E-2</v>
          </cell>
          <cell r="H11">
            <v>8.5000000000000006E-3</v>
          </cell>
          <cell r="I11">
            <v>0.32520000000000004</v>
          </cell>
          <cell r="K11">
            <v>0.3422</v>
          </cell>
          <cell r="L11">
            <v>1.7500000000000002E-2</v>
          </cell>
          <cell r="Q11">
            <v>8.5000000000000006E-3</v>
          </cell>
          <cell r="R11">
            <v>0.36820000000000003</v>
          </cell>
          <cell r="T11">
            <v>0.40029999999999999</v>
          </cell>
          <cell r="U11">
            <v>1.7500000000000002E-2</v>
          </cell>
          <cell r="Z11">
            <v>8.5000000000000006E-3</v>
          </cell>
          <cell r="AA11">
            <v>0.42630000000000001</v>
          </cell>
          <cell r="AC11">
            <v>0.31909999999999999</v>
          </cell>
          <cell r="AD11">
            <v>1.7500000000000002E-2</v>
          </cell>
          <cell r="AI11">
            <v>8.5000000000000006E-3</v>
          </cell>
          <cell r="AJ11">
            <v>0.34510000000000002</v>
          </cell>
        </row>
        <row r="12">
          <cell r="A12">
            <v>35096</v>
          </cell>
          <cell r="B12">
            <v>0.30020000000000002</v>
          </cell>
          <cell r="C12">
            <v>1.7500000000000002E-2</v>
          </cell>
          <cell r="H12">
            <v>8.5000000000000006E-3</v>
          </cell>
          <cell r="I12">
            <v>0.32620000000000005</v>
          </cell>
          <cell r="K12">
            <v>0.34320000000000001</v>
          </cell>
          <cell r="L12">
            <v>1.7500000000000002E-2</v>
          </cell>
          <cell r="Q12">
            <v>8.5000000000000006E-3</v>
          </cell>
          <cell r="R12">
            <v>0.36920000000000003</v>
          </cell>
          <cell r="T12">
            <v>0.40129999999999999</v>
          </cell>
          <cell r="U12">
            <v>1.7500000000000002E-2</v>
          </cell>
          <cell r="Z12">
            <v>8.5000000000000006E-3</v>
          </cell>
          <cell r="AA12">
            <v>0.42730000000000001</v>
          </cell>
          <cell r="AC12">
            <v>0.3201</v>
          </cell>
          <cell r="AD12">
            <v>1.7500000000000002E-2</v>
          </cell>
          <cell r="AI12">
            <v>8.5000000000000006E-3</v>
          </cell>
          <cell r="AJ12">
            <v>0.34610000000000002</v>
          </cell>
        </row>
        <row r="13">
          <cell r="A13">
            <v>35125</v>
          </cell>
          <cell r="B13">
            <v>0.24440000000000001</v>
          </cell>
          <cell r="C13">
            <v>1.7500000000000002E-2</v>
          </cell>
          <cell r="H13">
            <v>8.5000000000000006E-3</v>
          </cell>
          <cell r="I13">
            <v>0.27040000000000003</v>
          </cell>
          <cell r="K13">
            <v>0.28189999999999998</v>
          </cell>
          <cell r="L13">
            <v>1.7500000000000002E-2</v>
          </cell>
          <cell r="Q13">
            <v>8.5000000000000006E-3</v>
          </cell>
          <cell r="R13">
            <v>0.30790000000000001</v>
          </cell>
          <cell r="T13">
            <v>0.32969999999999999</v>
          </cell>
          <cell r="U13">
            <v>1.7500000000000002E-2</v>
          </cell>
          <cell r="Z13">
            <v>8.5000000000000006E-3</v>
          </cell>
          <cell r="AA13">
            <v>0.35570000000000002</v>
          </cell>
          <cell r="AC13">
            <v>0.26250000000000001</v>
          </cell>
          <cell r="AD13">
            <v>1.7500000000000002E-2</v>
          </cell>
          <cell r="AI13">
            <v>8.5000000000000006E-3</v>
          </cell>
          <cell r="AJ13">
            <v>0.28850000000000003</v>
          </cell>
        </row>
        <row r="14">
          <cell r="A14">
            <v>35247</v>
          </cell>
          <cell r="B14">
            <v>0.25729999999999997</v>
          </cell>
          <cell r="C14">
            <v>1.7500000000000002E-2</v>
          </cell>
          <cell r="D14">
            <v>-1.4999999999999999E-2</v>
          </cell>
          <cell r="E14">
            <v>2.2000000000000001E-3</v>
          </cell>
          <cell r="F14">
            <v>-1E-4</v>
          </cell>
          <cell r="G14">
            <v>-1.1999999999999999E-3</v>
          </cell>
          <cell r="H14">
            <v>8.5000000000000006E-3</v>
          </cell>
          <cell r="I14">
            <v>0.26919999999999999</v>
          </cell>
          <cell r="K14">
            <v>0.29480000000000001</v>
          </cell>
          <cell r="L14">
            <v>1.7500000000000002E-2</v>
          </cell>
          <cell r="M14">
            <v>-1.4999999999999999E-2</v>
          </cell>
          <cell r="N14">
            <v>2.2000000000000001E-3</v>
          </cell>
          <cell r="O14">
            <v>-1E-4</v>
          </cell>
          <cell r="P14">
            <v>-1.1999999999999999E-3</v>
          </cell>
          <cell r="Q14">
            <v>8.5000000000000006E-3</v>
          </cell>
          <cell r="R14">
            <v>0.30670000000000003</v>
          </cell>
          <cell r="T14">
            <v>0.34260000000000002</v>
          </cell>
          <cell r="U14">
            <v>1.7500000000000002E-2</v>
          </cell>
          <cell r="V14">
            <v>-1.4999999999999999E-2</v>
          </cell>
          <cell r="W14">
            <v>2.2000000000000001E-3</v>
          </cell>
          <cell r="X14">
            <v>-1E-4</v>
          </cell>
          <cell r="Y14">
            <v>-1.1999999999999999E-3</v>
          </cell>
          <cell r="Z14">
            <v>8.5000000000000006E-3</v>
          </cell>
          <cell r="AA14">
            <v>0.35450000000000004</v>
          </cell>
          <cell r="AC14">
            <v>0.27539999999999998</v>
          </cell>
          <cell r="AD14">
            <v>1.7500000000000002E-2</v>
          </cell>
          <cell r="AE14">
            <v>-1.4999999999999999E-2</v>
          </cell>
          <cell r="AF14">
            <v>2.2000000000000001E-3</v>
          </cell>
          <cell r="AG14">
            <v>-1E-4</v>
          </cell>
          <cell r="AH14">
            <v>-1.1999999999999999E-3</v>
          </cell>
          <cell r="AI14">
            <v>8.5000000000000006E-3</v>
          </cell>
          <cell r="AJ14">
            <v>0.2873</v>
          </cell>
        </row>
        <row r="15">
          <cell r="A15">
            <v>35309</v>
          </cell>
          <cell r="B15">
            <v>0.25729999999999997</v>
          </cell>
          <cell r="C15">
            <v>1.7500000000000002E-2</v>
          </cell>
          <cell r="D15">
            <v>-1.8100000000000002E-2</v>
          </cell>
          <cell r="E15">
            <v>-9.4000000000000004E-3</v>
          </cell>
          <cell r="F15">
            <v>-1E-4</v>
          </cell>
          <cell r="G15">
            <v>-1.1999999999999999E-3</v>
          </cell>
          <cell r="H15">
            <v>8.5000000000000006E-3</v>
          </cell>
          <cell r="I15">
            <v>0.2545</v>
          </cell>
          <cell r="K15">
            <v>0.29480000000000001</v>
          </cell>
          <cell r="L15">
            <v>1.7500000000000002E-2</v>
          </cell>
          <cell r="M15">
            <v>-1.8100000000000002E-2</v>
          </cell>
          <cell r="N15">
            <v>-9.4000000000000004E-3</v>
          </cell>
          <cell r="O15">
            <v>-1E-4</v>
          </cell>
          <cell r="P15">
            <v>-1.1999999999999999E-3</v>
          </cell>
          <cell r="Q15">
            <v>8.5000000000000006E-3</v>
          </cell>
          <cell r="R15">
            <v>0.29200000000000004</v>
          </cell>
          <cell r="T15">
            <v>0.34260000000000002</v>
          </cell>
          <cell r="U15">
            <v>1.7500000000000002E-2</v>
          </cell>
          <cell r="V15">
            <v>-1.8100000000000002E-2</v>
          </cell>
          <cell r="W15">
            <v>-9.4000000000000004E-3</v>
          </cell>
          <cell r="X15">
            <v>-1E-4</v>
          </cell>
          <cell r="Y15">
            <v>-1.1999999999999999E-3</v>
          </cell>
          <cell r="Z15">
            <v>8.5000000000000006E-3</v>
          </cell>
          <cell r="AA15">
            <v>0.33980000000000005</v>
          </cell>
          <cell r="AC15">
            <v>0.27539999999999998</v>
          </cell>
          <cell r="AD15">
            <v>1.7500000000000002E-2</v>
          </cell>
          <cell r="AE15">
            <v>-1.8100000000000002E-2</v>
          </cell>
          <cell r="AF15">
            <v>-9.4000000000000004E-3</v>
          </cell>
          <cell r="AG15">
            <v>-1E-4</v>
          </cell>
          <cell r="AH15">
            <v>-1.1999999999999999E-3</v>
          </cell>
          <cell r="AI15">
            <v>8.5000000000000006E-3</v>
          </cell>
          <cell r="AJ15">
            <v>0.27260000000000001</v>
          </cell>
        </row>
        <row r="16">
          <cell r="A16">
            <v>35462</v>
          </cell>
          <cell r="B16">
            <v>0.25729999999999997</v>
          </cell>
          <cell r="C16">
            <v>1.7500000000000002E-2</v>
          </cell>
          <cell r="D16">
            <v>-1.8100000000000002E-2</v>
          </cell>
          <cell r="E16">
            <v>-9.4000000000000004E-3</v>
          </cell>
          <cell r="G16">
            <v>-1.1999999999999999E-3</v>
          </cell>
          <cell r="H16">
            <v>8.5000000000000006E-3</v>
          </cell>
          <cell r="I16">
            <v>0.25459999999999999</v>
          </cell>
          <cell r="K16">
            <v>0.29480000000000001</v>
          </cell>
          <cell r="L16">
            <v>1.7500000000000002E-2</v>
          </cell>
          <cell r="M16">
            <v>-1.8100000000000002E-2</v>
          </cell>
          <cell r="N16">
            <v>-9.4000000000000004E-3</v>
          </cell>
          <cell r="P16">
            <v>-1.1999999999999999E-3</v>
          </cell>
          <cell r="Q16">
            <v>8.5000000000000006E-3</v>
          </cell>
          <cell r="R16">
            <v>0.29210000000000003</v>
          </cell>
          <cell r="T16">
            <v>0.34260000000000002</v>
          </cell>
          <cell r="U16">
            <v>1.7500000000000002E-2</v>
          </cell>
          <cell r="V16">
            <v>-1.8100000000000002E-2</v>
          </cell>
          <cell r="W16">
            <v>-9.4000000000000004E-3</v>
          </cell>
          <cell r="Y16">
            <v>-1.1999999999999999E-3</v>
          </cell>
          <cell r="Z16">
            <v>8.5000000000000006E-3</v>
          </cell>
          <cell r="AA16">
            <v>0.33990000000000004</v>
          </cell>
          <cell r="AC16">
            <v>0.27539999999999998</v>
          </cell>
          <cell r="AD16">
            <v>1.7500000000000002E-2</v>
          </cell>
          <cell r="AE16">
            <v>-1.8100000000000002E-2</v>
          </cell>
          <cell r="AF16">
            <v>-9.4000000000000004E-3</v>
          </cell>
          <cell r="AH16">
            <v>-1.1999999999999999E-3</v>
          </cell>
          <cell r="AI16">
            <v>8.5000000000000006E-3</v>
          </cell>
          <cell r="AJ16">
            <v>0.2727</v>
          </cell>
        </row>
        <row r="17">
          <cell r="A17">
            <v>35490</v>
          </cell>
          <cell r="B17">
            <v>0.25729999999999997</v>
          </cell>
          <cell r="C17">
            <v>1.7500000000000002E-2</v>
          </cell>
          <cell r="D17">
            <v>-1.7999999999999999E-2</v>
          </cell>
          <cell r="E17">
            <v>3.8E-3</v>
          </cell>
          <cell r="G17">
            <v>-1.1999999999999999E-3</v>
          </cell>
          <cell r="H17">
            <v>8.5000000000000006E-3</v>
          </cell>
          <cell r="I17">
            <v>0.26790000000000003</v>
          </cell>
          <cell r="K17">
            <v>0.29480000000000001</v>
          </cell>
          <cell r="L17">
            <v>1.7500000000000002E-2</v>
          </cell>
          <cell r="M17">
            <v>-1.7999999999999999E-2</v>
          </cell>
          <cell r="N17">
            <v>3.8E-3</v>
          </cell>
          <cell r="P17">
            <v>-1.1999999999999999E-3</v>
          </cell>
          <cell r="Q17">
            <v>8.5000000000000006E-3</v>
          </cell>
          <cell r="R17">
            <v>0.30540000000000006</v>
          </cell>
          <cell r="T17">
            <v>0.34260000000000002</v>
          </cell>
          <cell r="U17">
            <v>1.7500000000000002E-2</v>
          </cell>
          <cell r="V17">
            <v>-1.7999999999999999E-2</v>
          </cell>
          <cell r="W17">
            <v>3.8E-3</v>
          </cell>
          <cell r="Y17">
            <v>-1.1999999999999999E-3</v>
          </cell>
          <cell r="Z17">
            <v>8.5000000000000006E-3</v>
          </cell>
          <cell r="AA17">
            <v>0.35320000000000007</v>
          </cell>
          <cell r="AC17">
            <v>0.27539999999999998</v>
          </cell>
          <cell r="AD17">
            <v>1.7500000000000002E-2</v>
          </cell>
          <cell r="AE17">
            <v>-1.7999999999999999E-2</v>
          </cell>
          <cell r="AF17">
            <v>3.8E-3</v>
          </cell>
          <cell r="AH17">
            <v>-1.1999999999999999E-3</v>
          </cell>
          <cell r="AI17">
            <v>8.5000000000000006E-3</v>
          </cell>
          <cell r="AJ17">
            <v>0.28600000000000003</v>
          </cell>
        </row>
        <row r="18">
          <cell r="A18">
            <v>35612</v>
          </cell>
          <cell r="B18">
            <v>0.25729999999999997</v>
          </cell>
          <cell r="C18">
            <v>1.7500000000000002E-2</v>
          </cell>
          <cell r="D18">
            <v>-1.7999999999999999E-2</v>
          </cell>
          <cell r="E18">
            <v>3.8E-3</v>
          </cell>
          <cell r="F18">
            <v>-1E-4</v>
          </cell>
          <cell r="G18">
            <v>-1.1999999999999999E-3</v>
          </cell>
          <cell r="H18">
            <v>8.5000000000000006E-3</v>
          </cell>
          <cell r="I18">
            <v>0.26780000000000004</v>
          </cell>
          <cell r="K18">
            <v>0.29480000000000001</v>
          </cell>
          <cell r="L18">
            <v>1.7500000000000002E-2</v>
          </cell>
          <cell r="M18">
            <v>-1.7999999999999999E-2</v>
          </cell>
          <cell r="N18">
            <v>3.8E-3</v>
          </cell>
          <cell r="O18">
            <v>-1E-4</v>
          </cell>
          <cell r="P18">
            <v>-1.1999999999999999E-3</v>
          </cell>
          <cell r="Q18">
            <v>8.5000000000000006E-3</v>
          </cell>
          <cell r="R18">
            <v>0.30530000000000007</v>
          </cell>
          <cell r="T18">
            <v>0.34260000000000002</v>
          </cell>
          <cell r="U18">
            <v>1.7500000000000002E-2</v>
          </cell>
          <cell r="V18">
            <v>-1.7999999999999999E-2</v>
          </cell>
          <cell r="W18">
            <v>3.8E-3</v>
          </cell>
          <cell r="X18">
            <v>-1E-4</v>
          </cell>
          <cell r="Y18">
            <v>-1.1999999999999999E-3</v>
          </cell>
          <cell r="Z18">
            <v>8.5000000000000006E-3</v>
          </cell>
          <cell r="AA18">
            <v>0.35310000000000008</v>
          </cell>
          <cell r="AC18">
            <v>0.27539999999999998</v>
          </cell>
          <cell r="AD18">
            <v>1.7500000000000002E-2</v>
          </cell>
          <cell r="AE18">
            <v>-1.7999999999999999E-2</v>
          </cell>
          <cell r="AF18">
            <v>3.8E-3</v>
          </cell>
          <cell r="AG18">
            <v>-1E-4</v>
          </cell>
          <cell r="AH18">
            <v>-1.1999999999999999E-3</v>
          </cell>
          <cell r="AI18">
            <v>8.5000000000000006E-3</v>
          </cell>
          <cell r="AJ18">
            <v>0.28590000000000004</v>
          </cell>
        </row>
        <row r="19">
          <cell r="A19">
            <v>35735</v>
          </cell>
          <cell r="B19">
            <v>0.30230000000000001</v>
          </cell>
          <cell r="C19">
            <v>1.7500000000000002E-2</v>
          </cell>
          <cell r="G19">
            <v>-1.1999999999999999E-3</v>
          </cell>
          <cell r="H19">
            <v>8.5000000000000006E-3</v>
          </cell>
          <cell r="I19">
            <v>0.32710000000000006</v>
          </cell>
          <cell r="K19">
            <v>0.35339999999999999</v>
          </cell>
          <cell r="L19">
            <v>1.7500000000000002E-2</v>
          </cell>
          <cell r="P19">
            <v>-1.1999999999999999E-3</v>
          </cell>
          <cell r="Q19">
            <v>8.5000000000000006E-3</v>
          </cell>
          <cell r="R19">
            <v>0.37820000000000004</v>
          </cell>
          <cell r="T19">
            <v>0.4138</v>
          </cell>
          <cell r="U19">
            <v>1.7500000000000002E-2</v>
          </cell>
          <cell r="Y19">
            <v>-1.1999999999999999E-3</v>
          </cell>
          <cell r="Z19">
            <v>8.5000000000000006E-3</v>
          </cell>
          <cell r="AA19">
            <v>0.43860000000000005</v>
          </cell>
          <cell r="AC19">
            <v>0.3392</v>
          </cell>
          <cell r="AD19">
            <v>1.7500000000000002E-2</v>
          </cell>
          <cell r="AH19">
            <v>-1.1999999999999999E-3</v>
          </cell>
          <cell r="AI19">
            <v>8.5000000000000006E-3</v>
          </cell>
          <cell r="AJ19">
            <v>0.36400000000000005</v>
          </cell>
        </row>
        <row r="20">
          <cell r="A20">
            <v>35796</v>
          </cell>
          <cell r="B20">
            <v>0.26</v>
          </cell>
          <cell r="C20">
            <v>0</v>
          </cell>
          <cell r="F20">
            <v>-1E-4</v>
          </cell>
          <cell r="G20">
            <v>-1.1999999999999999E-3</v>
          </cell>
          <cell r="H20">
            <v>8.5000000000000006E-3</v>
          </cell>
          <cell r="I20">
            <v>0.26720000000000005</v>
          </cell>
          <cell r="K20">
            <v>0.30499999999999999</v>
          </cell>
          <cell r="L20">
            <v>0</v>
          </cell>
          <cell r="O20">
            <v>-1E-4</v>
          </cell>
          <cell r="P20">
            <v>-1.1999999999999999E-3</v>
          </cell>
          <cell r="Q20">
            <v>8.5000000000000006E-3</v>
          </cell>
          <cell r="R20">
            <v>0.31220000000000003</v>
          </cell>
          <cell r="T20">
            <v>0.33500000000000002</v>
          </cell>
          <cell r="U20">
            <v>0</v>
          </cell>
          <cell r="X20">
            <v>-1E-4</v>
          </cell>
          <cell r="Y20">
            <v>-1.1999999999999999E-3</v>
          </cell>
          <cell r="Z20">
            <v>8.5000000000000006E-3</v>
          </cell>
          <cell r="AA20">
            <v>0.34220000000000006</v>
          </cell>
          <cell r="AC20">
            <v>0.29249999999999998</v>
          </cell>
          <cell r="AD20">
            <v>0</v>
          </cell>
          <cell r="AG20">
            <v>-1E-4</v>
          </cell>
          <cell r="AH20">
            <v>-1.1999999999999999E-3</v>
          </cell>
          <cell r="AI20">
            <v>8.5000000000000006E-3</v>
          </cell>
          <cell r="AJ20">
            <v>0.29970000000000002</v>
          </cell>
        </row>
        <row r="21">
          <cell r="A21">
            <v>35827</v>
          </cell>
          <cell r="B21">
            <v>0.26</v>
          </cell>
          <cell r="C21">
            <v>0</v>
          </cell>
          <cell r="F21">
            <v>-8.0000000000000004E-4</v>
          </cell>
          <cell r="G21">
            <v>-1.2999999999999999E-3</v>
          </cell>
          <cell r="H21">
            <v>8.5000000000000006E-3</v>
          </cell>
          <cell r="I21">
            <v>0.26639999999999997</v>
          </cell>
          <cell r="K21">
            <v>0.30499999999999999</v>
          </cell>
          <cell r="L21">
            <v>0</v>
          </cell>
          <cell r="O21">
            <v>-8.0000000000000004E-4</v>
          </cell>
          <cell r="P21">
            <v>-1.2999999999999999E-3</v>
          </cell>
          <cell r="Q21">
            <v>8.5000000000000006E-3</v>
          </cell>
          <cell r="R21">
            <v>0.31139999999999995</v>
          </cell>
          <cell r="T21">
            <v>0.33500000000000002</v>
          </cell>
          <cell r="U21">
            <v>0</v>
          </cell>
          <cell r="X21">
            <v>-8.0000000000000004E-4</v>
          </cell>
          <cell r="Y21">
            <v>-1.2999999999999999E-3</v>
          </cell>
          <cell r="Z21">
            <v>8.5000000000000006E-3</v>
          </cell>
          <cell r="AA21">
            <v>0.34139999999999998</v>
          </cell>
          <cell r="AC21">
            <v>0.29249999999999998</v>
          </cell>
          <cell r="AD21">
            <v>0</v>
          </cell>
          <cell r="AG21">
            <v>-8.0000000000000004E-4</v>
          </cell>
          <cell r="AH21">
            <v>-1.2999999999999999E-3</v>
          </cell>
          <cell r="AI21">
            <v>8.5000000000000006E-3</v>
          </cell>
          <cell r="AJ21">
            <v>0.29889999999999994</v>
          </cell>
        </row>
        <row r="22">
          <cell r="A22">
            <v>35947</v>
          </cell>
          <cell r="B22">
            <v>0.21729999999999999</v>
          </cell>
          <cell r="C22">
            <v>0</v>
          </cell>
          <cell r="F22">
            <v>-8.0000000000000004E-4</v>
          </cell>
          <cell r="G22">
            <v>-1.2999999999999999E-3</v>
          </cell>
          <cell r="H22">
            <v>8.5000000000000006E-3</v>
          </cell>
          <cell r="I22">
            <v>0.22370000000000001</v>
          </cell>
          <cell r="K22">
            <v>0.25800000000000001</v>
          </cell>
          <cell r="L22">
            <v>0</v>
          </cell>
          <cell r="O22">
            <v>-8.0000000000000004E-4</v>
          </cell>
          <cell r="P22">
            <v>-1.2999999999999999E-3</v>
          </cell>
          <cell r="Q22">
            <v>8.5000000000000006E-3</v>
          </cell>
          <cell r="R22">
            <v>0.26439999999999997</v>
          </cell>
          <cell r="T22">
            <v>0.31119999999999998</v>
          </cell>
          <cell r="U22">
            <v>0</v>
          </cell>
          <cell r="X22">
            <v>-8.0000000000000004E-4</v>
          </cell>
          <cell r="Y22">
            <v>-1.2999999999999999E-3</v>
          </cell>
          <cell r="Z22">
            <v>8.5000000000000006E-3</v>
          </cell>
          <cell r="AA22">
            <v>0.31759999999999994</v>
          </cell>
          <cell r="AC22">
            <v>0.24990000000000001</v>
          </cell>
          <cell r="AD22">
            <v>0</v>
          </cell>
          <cell r="AG22">
            <v>-8.0000000000000004E-4</v>
          </cell>
          <cell r="AH22">
            <v>-1.2999999999999999E-3</v>
          </cell>
          <cell r="AI22">
            <v>8.5000000000000006E-3</v>
          </cell>
          <cell r="AJ22">
            <v>0.25630000000000003</v>
          </cell>
        </row>
        <row r="23">
          <cell r="A23">
            <v>35977</v>
          </cell>
          <cell r="B23">
            <v>0.2122</v>
          </cell>
          <cell r="C23">
            <v>0</v>
          </cell>
          <cell r="F23">
            <v>-6.9999999999999999E-4</v>
          </cell>
          <cell r="G23">
            <v>-1E-4</v>
          </cell>
          <cell r="H23">
            <v>8.5000000000000006E-3</v>
          </cell>
          <cell r="I23">
            <v>0.21990000000000001</v>
          </cell>
          <cell r="K23">
            <v>0.25290000000000001</v>
          </cell>
          <cell r="L23">
            <v>0</v>
          </cell>
          <cell r="O23">
            <v>-6.9999999999999999E-4</v>
          </cell>
          <cell r="P23">
            <v>-1E-4</v>
          </cell>
          <cell r="Q23">
            <v>8.5000000000000006E-3</v>
          </cell>
          <cell r="R23">
            <v>0.26060000000000005</v>
          </cell>
          <cell r="T23">
            <v>0.30609999999999998</v>
          </cell>
          <cell r="U23">
            <v>0</v>
          </cell>
          <cell r="X23">
            <v>-6.9999999999999999E-4</v>
          </cell>
          <cell r="Y23">
            <v>-1E-4</v>
          </cell>
          <cell r="Z23">
            <v>8.5000000000000006E-3</v>
          </cell>
          <cell r="AA23">
            <v>0.31380000000000002</v>
          </cell>
          <cell r="AC23">
            <v>0.24479999999999999</v>
          </cell>
          <cell r="AD23">
            <v>0</v>
          </cell>
          <cell r="AG23">
            <v>-6.9999999999999999E-4</v>
          </cell>
          <cell r="AH23">
            <v>-1E-4</v>
          </cell>
          <cell r="AI23">
            <v>8.5000000000000006E-3</v>
          </cell>
          <cell r="AJ23">
            <v>0.2525</v>
          </cell>
        </row>
        <row r="24">
          <cell r="A24">
            <v>36192</v>
          </cell>
          <cell r="B24">
            <v>0.2122</v>
          </cell>
          <cell r="C24">
            <v>0</v>
          </cell>
          <cell r="F24">
            <v>0</v>
          </cell>
          <cell r="G24">
            <v>-1E-3</v>
          </cell>
          <cell r="H24">
            <v>7.6E-3</v>
          </cell>
          <cell r="I24">
            <v>0.21879999999999999</v>
          </cell>
          <cell r="K24">
            <v>0.25290000000000001</v>
          </cell>
          <cell r="L24">
            <v>0</v>
          </cell>
          <cell r="O24">
            <v>0</v>
          </cell>
          <cell r="P24">
            <v>-1E-3</v>
          </cell>
          <cell r="Q24">
            <v>7.6E-3</v>
          </cell>
          <cell r="R24">
            <v>0.25950000000000001</v>
          </cell>
          <cell r="T24">
            <v>0.30430000000000001</v>
          </cell>
          <cell r="U24">
            <v>0</v>
          </cell>
          <cell r="X24">
            <v>0</v>
          </cell>
          <cell r="Y24">
            <v>-1E-3</v>
          </cell>
          <cell r="Z24">
            <v>7.6E-3</v>
          </cell>
          <cell r="AA24">
            <v>0.31090000000000001</v>
          </cell>
          <cell r="AC24">
            <v>0.22270000000000001</v>
          </cell>
          <cell r="AD24">
            <v>0</v>
          </cell>
          <cell r="AG24">
            <v>0</v>
          </cell>
          <cell r="AH24">
            <v>-1E-3</v>
          </cell>
          <cell r="AI24">
            <v>7.6E-3</v>
          </cell>
          <cell r="AJ24">
            <v>0.2293</v>
          </cell>
        </row>
        <row r="25">
          <cell r="A25">
            <v>36831</v>
          </cell>
          <cell r="B25">
            <v>0.2097</v>
          </cell>
          <cell r="C25">
            <v>0</v>
          </cell>
          <cell r="F25">
            <v>0</v>
          </cell>
          <cell r="G25">
            <v>0</v>
          </cell>
          <cell r="H25">
            <v>6.6E-3</v>
          </cell>
          <cell r="I25">
            <v>0.21629999999999999</v>
          </cell>
          <cell r="K25">
            <v>0.25040000000000001</v>
          </cell>
          <cell r="L25">
            <v>0</v>
          </cell>
          <cell r="O25">
            <v>0</v>
          </cell>
          <cell r="P25">
            <v>0</v>
          </cell>
          <cell r="Q25">
            <v>6.6E-3</v>
          </cell>
          <cell r="R25">
            <v>0.25700000000000001</v>
          </cell>
          <cell r="T25">
            <v>0.30180000000000001</v>
          </cell>
          <cell r="U25">
            <v>0</v>
          </cell>
          <cell r="X25">
            <v>0</v>
          </cell>
          <cell r="Y25">
            <v>0</v>
          </cell>
          <cell r="Z25">
            <v>6.6E-3</v>
          </cell>
          <cell r="AA25">
            <v>0.30840000000000001</v>
          </cell>
          <cell r="AC25">
            <v>0.22020000000000001</v>
          </cell>
          <cell r="AD25">
            <v>0</v>
          </cell>
          <cell r="AG25">
            <v>0</v>
          </cell>
          <cell r="AH25">
            <v>0</v>
          </cell>
          <cell r="AI25">
            <v>6.6E-3</v>
          </cell>
          <cell r="AJ25">
            <v>0.2268</v>
          </cell>
        </row>
        <row r="26">
          <cell r="A26">
            <v>36923</v>
          </cell>
          <cell r="B26">
            <v>0.2838</v>
          </cell>
          <cell r="C26">
            <v>0</v>
          </cell>
          <cell r="F26">
            <v>0</v>
          </cell>
          <cell r="G26">
            <v>0</v>
          </cell>
          <cell r="H26">
            <v>6.6E-3</v>
          </cell>
          <cell r="I26">
            <v>0.29039999999999999</v>
          </cell>
          <cell r="K26">
            <v>0.34370000000000001</v>
          </cell>
          <cell r="L26">
            <v>0</v>
          </cell>
          <cell r="O26">
            <v>0</v>
          </cell>
          <cell r="P26">
            <v>0</v>
          </cell>
          <cell r="Q26">
            <v>6.6E-3</v>
          </cell>
          <cell r="R26">
            <v>0.3503</v>
          </cell>
          <cell r="T26">
            <v>0.41749999999999998</v>
          </cell>
          <cell r="U26">
            <v>0</v>
          </cell>
          <cell r="X26">
            <v>0</v>
          </cell>
          <cell r="Y26">
            <v>0</v>
          </cell>
          <cell r="Z26">
            <v>6.6E-3</v>
          </cell>
          <cell r="AA26">
            <v>0.42409999999999998</v>
          </cell>
          <cell r="AC26">
            <v>0.31369999999999998</v>
          </cell>
          <cell r="AD26">
            <v>0</v>
          </cell>
          <cell r="AG26">
            <v>0</v>
          </cell>
          <cell r="AH26">
            <v>0</v>
          </cell>
          <cell r="AI26">
            <v>6.6E-3</v>
          </cell>
          <cell r="AJ26">
            <v>0.32029999999999997</v>
          </cell>
        </row>
        <row r="27">
          <cell r="A27">
            <v>37012</v>
          </cell>
          <cell r="B27">
            <v>0.245</v>
          </cell>
          <cell r="C27">
            <v>0</v>
          </cell>
          <cell r="F27">
            <v>0</v>
          </cell>
          <cell r="G27">
            <v>0</v>
          </cell>
          <cell r="H27">
            <v>3.0000000000000001E-3</v>
          </cell>
          <cell r="I27">
            <v>0.248</v>
          </cell>
          <cell r="K27">
            <v>0.28999999999999998</v>
          </cell>
          <cell r="L27">
            <v>0</v>
          </cell>
          <cell r="O27">
            <v>0</v>
          </cell>
          <cell r="P27">
            <v>0</v>
          </cell>
          <cell r="Q27">
            <v>3.0000000000000001E-3</v>
          </cell>
          <cell r="R27">
            <v>0.29299999999999998</v>
          </cell>
          <cell r="T27">
            <v>0.35</v>
          </cell>
          <cell r="U27">
            <v>0</v>
          </cell>
          <cell r="X27">
            <v>0</v>
          </cell>
          <cell r="Y27">
            <v>0</v>
          </cell>
          <cell r="Z27">
            <v>3.0000000000000001E-3</v>
          </cell>
          <cell r="AA27">
            <v>0.35299999999999998</v>
          </cell>
          <cell r="AC27">
            <v>0.26</v>
          </cell>
          <cell r="AD27">
            <v>0</v>
          </cell>
          <cell r="AG27">
            <v>0</v>
          </cell>
          <cell r="AH27">
            <v>0</v>
          </cell>
          <cell r="AI27">
            <v>3.0000000000000001E-3</v>
          </cell>
          <cell r="AJ27">
            <v>0.26300000000000001</v>
          </cell>
        </row>
        <row r="28">
          <cell r="A28">
            <v>37561</v>
          </cell>
          <cell r="B28">
            <v>0.21229999999999999</v>
          </cell>
          <cell r="C28">
            <v>0</v>
          </cell>
          <cell r="F28">
            <v>0</v>
          </cell>
          <cell r="G28">
            <v>0</v>
          </cell>
          <cell r="H28">
            <v>2.2000000000000001E-3</v>
          </cell>
          <cell r="I28">
            <v>0.2145</v>
          </cell>
          <cell r="K28">
            <v>0.25369999999999998</v>
          </cell>
          <cell r="L28">
            <v>0</v>
          </cell>
          <cell r="O28">
            <v>0</v>
          </cell>
          <cell r="P28">
            <v>0</v>
          </cell>
          <cell r="Q28">
            <v>2.2000000000000001E-3</v>
          </cell>
          <cell r="R28">
            <v>0.25589999999999996</v>
          </cell>
          <cell r="T28">
            <v>0.30599999999999999</v>
          </cell>
          <cell r="U28">
            <v>0</v>
          </cell>
          <cell r="X28">
            <v>0</v>
          </cell>
          <cell r="Y28">
            <v>0</v>
          </cell>
          <cell r="Z28">
            <v>2.2000000000000001E-3</v>
          </cell>
          <cell r="AA28">
            <v>0.30819999999999997</v>
          </cell>
          <cell r="AC28">
            <v>0.22270000000000001</v>
          </cell>
          <cell r="AD28">
            <v>0</v>
          </cell>
          <cell r="AG28">
            <v>0</v>
          </cell>
          <cell r="AH28">
            <v>0</v>
          </cell>
          <cell r="AI28">
            <v>2.2000000000000001E-3</v>
          </cell>
          <cell r="AJ28">
            <v>0.22490000000000002</v>
          </cell>
        </row>
        <row r="29">
          <cell r="A29">
            <v>37834</v>
          </cell>
          <cell r="B29">
            <v>0.20569999999999999</v>
          </cell>
          <cell r="C29">
            <v>0</v>
          </cell>
          <cell r="F29">
            <v>0</v>
          </cell>
          <cell r="G29">
            <v>0</v>
          </cell>
          <cell r="H29">
            <v>1.6000000000000001E-3</v>
          </cell>
          <cell r="I29">
            <v>0.20729999999999998</v>
          </cell>
          <cell r="K29">
            <v>0.24709999999999999</v>
          </cell>
          <cell r="L29">
            <v>0</v>
          </cell>
          <cell r="O29">
            <v>0</v>
          </cell>
          <cell r="P29">
            <v>0</v>
          </cell>
          <cell r="Q29">
            <v>1.6000000000000001E-3</v>
          </cell>
          <cell r="R29">
            <v>0.24869999999999998</v>
          </cell>
          <cell r="T29">
            <v>0.2994</v>
          </cell>
          <cell r="U29">
            <v>0</v>
          </cell>
          <cell r="X29">
            <v>0</v>
          </cell>
          <cell r="Y29">
            <v>0</v>
          </cell>
          <cell r="Z29">
            <v>1.6000000000000001E-3</v>
          </cell>
          <cell r="AA29">
            <v>0.30099999999999999</v>
          </cell>
          <cell r="AC29">
            <v>0.21609999999999999</v>
          </cell>
          <cell r="AD29">
            <v>0</v>
          </cell>
          <cell r="AG29">
            <v>0</v>
          </cell>
          <cell r="AH29">
            <v>0</v>
          </cell>
          <cell r="AI29">
            <v>1.6000000000000001E-3</v>
          </cell>
          <cell r="AJ29">
            <v>0.21769999999999998</v>
          </cell>
        </row>
        <row r="30">
          <cell r="A30">
            <v>38200</v>
          </cell>
          <cell r="B30">
            <v>0.20569999999999999</v>
          </cell>
          <cell r="H30">
            <v>0</v>
          </cell>
          <cell r="I30">
            <v>0.20569999999999999</v>
          </cell>
          <cell r="K30">
            <v>0.24709999999999999</v>
          </cell>
          <cell r="Q30">
            <v>0</v>
          </cell>
          <cell r="R30">
            <v>0.24709999999999999</v>
          </cell>
          <cell r="T30">
            <v>0.2994</v>
          </cell>
          <cell r="Z30">
            <v>0</v>
          </cell>
          <cell r="AA30">
            <v>0.2994</v>
          </cell>
          <cell r="AC30">
            <v>0.21609999999999999</v>
          </cell>
          <cell r="AI30">
            <v>0</v>
          </cell>
          <cell r="AJ30">
            <v>0.21609999999999999</v>
          </cell>
        </row>
        <row r="31">
          <cell r="A31">
            <v>38384</v>
          </cell>
          <cell r="B31">
            <v>0.20569999999999999</v>
          </cell>
          <cell r="H31">
            <v>0</v>
          </cell>
          <cell r="I31">
            <v>0.20569999999999999</v>
          </cell>
          <cell r="K31">
            <v>0.24709999999999999</v>
          </cell>
          <cell r="Q31">
            <v>0</v>
          </cell>
          <cell r="R31">
            <v>0.24709999999999999</v>
          </cell>
          <cell r="T31">
            <v>0.2994</v>
          </cell>
          <cell r="Z31">
            <v>0</v>
          </cell>
          <cell r="AA31">
            <v>0.2994</v>
          </cell>
          <cell r="AC31">
            <v>0.21609999999999999</v>
          </cell>
          <cell r="AI31">
            <v>0</v>
          </cell>
          <cell r="AJ31">
            <v>0.21609999999999999</v>
          </cell>
        </row>
        <row r="32">
          <cell r="A32">
            <v>38473</v>
          </cell>
          <cell r="B32">
            <v>0.20569999999999999</v>
          </cell>
          <cell r="H32">
            <v>0</v>
          </cell>
          <cell r="I32">
            <v>0.20569999999999999</v>
          </cell>
          <cell r="K32">
            <v>0.24709999999999999</v>
          </cell>
          <cell r="Q32">
            <v>0</v>
          </cell>
          <cell r="R32">
            <v>0.24709999999999999</v>
          </cell>
          <cell r="T32">
            <v>0.2994</v>
          </cell>
          <cell r="Z32">
            <v>0</v>
          </cell>
          <cell r="AA32">
            <v>0.2994</v>
          </cell>
          <cell r="AC32">
            <v>0.21609999999999999</v>
          </cell>
          <cell r="AI32">
            <v>0</v>
          </cell>
          <cell r="AJ32">
            <v>0.21609999999999999</v>
          </cell>
        </row>
        <row r="33">
          <cell r="A33">
            <v>38687</v>
          </cell>
          <cell r="B33">
            <v>0.26229999999999998</v>
          </cell>
          <cell r="H33">
            <v>0</v>
          </cell>
          <cell r="I33">
            <v>0.26229999999999998</v>
          </cell>
          <cell r="K33">
            <v>0.3125</v>
          </cell>
          <cell r="Q33">
            <v>0</v>
          </cell>
          <cell r="R33">
            <v>0.3125</v>
          </cell>
          <cell r="T33">
            <v>0.37380000000000002</v>
          </cell>
          <cell r="Z33">
            <v>0</v>
          </cell>
          <cell r="AA33">
            <v>0.37380000000000002</v>
          </cell>
          <cell r="AC33">
            <v>0.28249999999999997</v>
          </cell>
          <cell r="AI33">
            <v>0</v>
          </cell>
          <cell r="AJ33">
            <v>0.28249999999999997</v>
          </cell>
        </row>
        <row r="34">
          <cell r="A34">
            <v>38838</v>
          </cell>
          <cell r="B34">
            <v>0.21199999999999999</v>
          </cell>
          <cell r="H34">
            <v>0</v>
          </cell>
          <cell r="I34">
            <v>0.21199999999999999</v>
          </cell>
          <cell r="K34">
            <v>0.24940000000000001</v>
          </cell>
          <cell r="Q34">
            <v>0</v>
          </cell>
          <cell r="R34">
            <v>0.24940000000000001</v>
          </cell>
          <cell r="T34">
            <v>0.31419999999999998</v>
          </cell>
          <cell r="Z34">
            <v>0</v>
          </cell>
          <cell r="AA34">
            <v>0.31419999999999998</v>
          </cell>
          <cell r="AC34">
            <v>0.21940000000000001</v>
          </cell>
          <cell r="AI34">
            <v>0</v>
          </cell>
          <cell r="AJ34">
            <v>0.21940000000000001</v>
          </cell>
        </row>
        <row r="35">
          <cell r="A35">
            <v>39114</v>
          </cell>
          <cell r="B35">
            <v>0.21199999999999999</v>
          </cell>
          <cell r="H35">
            <v>0</v>
          </cell>
          <cell r="I35">
            <v>0.21199999999999999</v>
          </cell>
          <cell r="K35">
            <v>0.24940000000000001</v>
          </cell>
          <cell r="Q35">
            <v>0</v>
          </cell>
          <cell r="R35">
            <v>0.24940000000000001</v>
          </cell>
          <cell r="T35">
            <v>0.31419999999999998</v>
          </cell>
          <cell r="Z35">
            <v>0</v>
          </cell>
          <cell r="AA35">
            <v>0.31419999999999998</v>
          </cell>
          <cell r="AC35">
            <v>0.21940000000000001</v>
          </cell>
          <cell r="AI35">
            <v>0</v>
          </cell>
          <cell r="AJ35">
            <v>0.21940000000000001</v>
          </cell>
        </row>
        <row r="36">
          <cell r="A36">
            <v>54789</v>
          </cell>
        </row>
      </sheetData>
      <sheetData sheetId="68">
        <row r="10">
          <cell r="A10">
            <v>34973</v>
          </cell>
          <cell r="B10">
            <v>2.7800000000000002E-2</v>
          </cell>
          <cell r="F10">
            <v>8.5000000000000006E-3</v>
          </cell>
          <cell r="G10">
            <v>2.1000000000000003E-3</v>
          </cell>
          <cell r="H10">
            <v>3.8399999999999997E-2</v>
          </cell>
          <cell r="J10">
            <v>3.3100000000000004E-2</v>
          </cell>
          <cell r="N10">
            <v>8.5000000000000006E-3</v>
          </cell>
          <cell r="O10">
            <v>2.1000000000000003E-3</v>
          </cell>
          <cell r="P10">
            <v>4.3700000000000003E-2</v>
          </cell>
          <cell r="R10">
            <v>3.6000000000000004E-2</v>
          </cell>
          <cell r="V10">
            <v>8.5000000000000006E-3</v>
          </cell>
          <cell r="W10">
            <v>2.1000000000000003E-3</v>
          </cell>
          <cell r="X10">
            <v>4.6600000000000003E-2</v>
          </cell>
          <cell r="Z10">
            <v>3.1300000000000001E-2</v>
          </cell>
          <cell r="AD10">
            <v>8.5000000000000006E-3</v>
          </cell>
          <cell r="AE10">
            <v>2.1000000000000003E-3</v>
          </cell>
          <cell r="AF10">
            <v>4.19E-2</v>
          </cell>
        </row>
        <row r="11">
          <cell r="A11">
            <v>35065</v>
          </cell>
          <cell r="B11">
            <v>2.7800000000000002E-2</v>
          </cell>
          <cell r="F11">
            <v>8.8000000000000005E-3</v>
          </cell>
          <cell r="G11">
            <v>2.1000000000000003E-3</v>
          </cell>
          <cell r="H11">
            <v>3.8699999999999998E-2</v>
          </cell>
          <cell r="J11">
            <v>3.3100000000000004E-2</v>
          </cell>
          <cell r="N11">
            <v>8.8000000000000005E-3</v>
          </cell>
          <cell r="O11">
            <v>2.1000000000000003E-3</v>
          </cell>
          <cell r="P11">
            <v>4.4000000000000004E-2</v>
          </cell>
          <cell r="R11">
            <v>3.6000000000000004E-2</v>
          </cell>
          <cell r="V11">
            <v>8.8000000000000005E-3</v>
          </cell>
          <cell r="W11">
            <v>2.1000000000000003E-3</v>
          </cell>
          <cell r="X11">
            <v>4.6900000000000004E-2</v>
          </cell>
          <cell r="Z11">
            <v>3.1300000000000001E-2</v>
          </cell>
          <cell r="AD11">
            <v>8.8000000000000005E-3</v>
          </cell>
          <cell r="AE11">
            <v>2.1000000000000003E-3</v>
          </cell>
          <cell r="AF11">
            <v>4.2200000000000001E-2</v>
          </cell>
        </row>
        <row r="12">
          <cell r="A12">
            <v>35096</v>
          </cell>
          <cell r="B12">
            <v>2.7800000000000002E-2</v>
          </cell>
          <cell r="F12">
            <v>8.8000000000000005E-3</v>
          </cell>
          <cell r="G12">
            <v>2.1000000000000003E-3</v>
          </cell>
          <cell r="H12">
            <v>3.8699999999999998E-2</v>
          </cell>
          <cell r="J12">
            <v>3.3100000000000004E-2</v>
          </cell>
          <cell r="N12">
            <v>8.8000000000000005E-3</v>
          </cell>
          <cell r="O12">
            <v>2.1000000000000003E-3</v>
          </cell>
          <cell r="P12">
            <v>4.4000000000000004E-2</v>
          </cell>
          <cell r="R12">
            <v>3.6000000000000004E-2</v>
          </cell>
          <cell r="V12">
            <v>8.8000000000000005E-3</v>
          </cell>
          <cell r="W12">
            <v>2.1000000000000003E-3</v>
          </cell>
          <cell r="X12">
            <v>4.6900000000000004E-2</v>
          </cell>
          <cell r="Z12">
            <v>3.1300000000000001E-2</v>
          </cell>
          <cell r="AD12">
            <v>8.8000000000000005E-3</v>
          </cell>
          <cell r="AE12">
            <v>2.1000000000000003E-3</v>
          </cell>
          <cell r="AF12">
            <v>4.2200000000000001E-2</v>
          </cell>
        </row>
        <row r="13">
          <cell r="A13">
            <v>35125</v>
          </cell>
          <cell r="B13">
            <v>1.41E-2</v>
          </cell>
          <cell r="F13">
            <v>8.8000000000000005E-3</v>
          </cell>
          <cell r="G13">
            <v>2.1000000000000003E-3</v>
          </cell>
          <cell r="H13">
            <v>2.5000000000000001E-2</v>
          </cell>
          <cell r="J13">
            <v>1.8800000000000001E-2</v>
          </cell>
          <cell r="N13">
            <v>8.8000000000000005E-3</v>
          </cell>
          <cell r="O13">
            <v>2.1000000000000003E-3</v>
          </cell>
          <cell r="P13">
            <v>2.9700000000000001E-2</v>
          </cell>
          <cell r="R13">
            <v>2.1600000000000001E-2</v>
          </cell>
          <cell r="V13">
            <v>8.8000000000000005E-3</v>
          </cell>
          <cell r="W13">
            <v>2.1000000000000003E-3</v>
          </cell>
          <cell r="X13">
            <v>3.2500000000000001E-2</v>
          </cell>
          <cell r="Z13">
            <v>1.7100000000000001E-2</v>
          </cell>
          <cell r="AD13">
            <v>8.8000000000000005E-3</v>
          </cell>
          <cell r="AE13">
            <v>2.1000000000000003E-3</v>
          </cell>
          <cell r="AF13">
            <v>2.8000000000000001E-2</v>
          </cell>
        </row>
        <row r="14">
          <cell r="A14">
            <v>35247</v>
          </cell>
          <cell r="B14">
            <v>2.5999999999999999E-2</v>
          </cell>
          <cell r="C14">
            <v>-6.7000000000000002E-3</v>
          </cell>
          <cell r="D14">
            <v>-2.5999999999999999E-3</v>
          </cell>
          <cell r="E14">
            <v>-2.5999999999999999E-3</v>
          </cell>
          <cell r="F14">
            <v>8.8000000000000005E-3</v>
          </cell>
          <cell r="G14">
            <v>2.1000000000000003E-3</v>
          </cell>
          <cell r="H14">
            <v>2.5000000000000001E-2</v>
          </cell>
          <cell r="J14">
            <v>3.0700000000000002E-2</v>
          </cell>
          <cell r="K14">
            <v>-6.7000000000000002E-3</v>
          </cell>
          <cell r="L14">
            <v>-2.5999999999999999E-3</v>
          </cell>
          <cell r="M14">
            <v>-2.5999999999999999E-3</v>
          </cell>
          <cell r="N14">
            <v>8.8000000000000005E-3</v>
          </cell>
          <cell r="O14">
            <v>2.1000000000000003E-3</v>
          </cell>
          <cell r="P14">
            <v>2.9700000000000008E-2</v>
          </cell>
          <cell r="R14">
            <v>3.3500000000000002E-2</v>
          </cell>
          <cell r="S14">
            <v>-6.7000000000000002E-3</v>
          </cell>
          <cell r="T14">
            <v>-2.5999999999999999E-3</v>
          </cell>
          <cell r="U14">
            <v>-2.5999999999999999E-3</v>
          </cell>
          <cell r="V14">
            <v>8.8000000000000005E-3</v>
          </cell>
          <cell r="W14">
            <v>2.1000000000000003E-3</v>
          </cell>
          <cell r="X14">
            <v>3.2500000000000001E-2</v>
          </cell>
          <cell r="Z14">
            <v>2.9000000000000001E-2</v>
          </cell>
          <cell r="AA14">
            <v>-6.7000000000000002E-3</v>
          </cell>
          <cell r="AB14">
            <v>-2.5999999999999999E-3</v>
          </cell>
          <cell r="AC14">
            <v>-2.5999999999999999E-3</v>
          </cell>
          <cell r="AD14">
            <v>8.8000000000000005E-3</v>
          </cell>
          <cell r="AE14">
            <v>2.1000000000000003E-3</v>
          </cell>
          <cell r="AF14">
            <v>2.8000000000000008E-2</v>
          </cell>
        </row>
        <row r="15">
          <cell r="A15">
            <v>35309</v>
          </cell>
          <cell r="B15">
            <v>2.5999999999999999E-2</v>
          </cell>
          <cell r="C15">
            <v>-7.1999999999999998E-3</v>
          </cell>
          <cell r="D15">
            <v>-5.0000000000000001E-3</v>
          </cell>
          <cell r="E15">
            <v>-2.5999999999999999E-3</v>
          </cell>
          <cell r="F15">
            <v>8.8000000000000005E-3</v>
          </cell>
          <cell r="G15">
            <v>2.1000000000000003E-3</v>
          </cell>
          <cell r="H15">
            <v>2.2099999999999998E-2</v>
          </cell>
          <cell r="J15">
            <v>3.0700000000000002E-2</v>
          </cell>
          <cell r="K15">
            <v>-7.1999999999999998E-3</v>
          </cell>
          <cell r="L15">
            <v>-5.0000000000000001E-3</v>
          </cell>
          <cell r="M15">
            <v>-2.5999999999999999E-3</v>
          </cell>
          <cell r="N15">
            <v>8.8000000000000005E-3</v>
          </cell>
          <cell r="O15">
            <v>2.1000000000000003E-3</v>
          </cell>
          <cell r="P15">
            <v>2.6800000000000001E-2</v>
          </cell>
          <cell r="R15">
            <v>3.3500000000000002E-2</v>
          </cell>
          <cell r="S15">
            <v>-7.1999999999999998E-3</v>
          </cell>
          <cell r="T15">
            <v>-5.0000000000000001E-3</v>
          </cell>
          <cell r="U15">
            <v>-2.5999999999999999E-3</v>
          </cell>
          <cell r="V15">
            <v>8.8000000000000005E-3</v>
          </cell>
          <cell r="W15">
            <v>2.1000000000000003E-3</v>
          </cell>
          <cell r="X15">
            <v>2.9600000000000005E-2</v>
          </cell>
          <cell r="Z15">
            <v>2.9000000000000001E-2</v>
          </cell>
          <cell r="AA15">
            <v>-7.1999999999999998E-3</v>
          </cell>
          <cell r="AB15">
            <v>-5.0000000000000001E-3</v>
          </cell>
          <cell r="AC15">
            <v>-2.5999999999999999E-3</v>
          </cell>
          <cell r="AD15">
            <v>8.8000000000000005E-3</v>
          </cell>
          <cell r="AE15">
            <v>2.1000000000000003E-3</v>
          </cell>
          <cell r="AF15">
            <v>2.5100000000000001E-2</v>
          </cell>
        </row>
        <row r="16">
          <cell r="A16">
            <v>35339</v>
          </cell>
          <cell r="B16">
            <v>2.5999999999999999E-2</v>
          </cell>
          <cell r="C16">
            <v>-7.1999999999999998E-3</v>
          </cell>
          <cell r="D16">
            <v>-5.0000000000000001E-3</v>
          </cell>
          <cell r="E16">
            <v>-2.5999999999999999E-3</v>
          </cell>
          <cell r="F16">
            <v>8.8000000000000005E-3</v>
          </cell>
          <cell r="G16">
            <v>1.8E-3</v>
          </cell>
          <cell r="H16">
            <v>2.1799999999999996E-2</v>
          </cell>
          <cell r="J16">
            <v>3.0700000000000002E-2</v>
          </cell>
          <cell r="K16">
            <v>-7.1999999999999998E-3</v>
          </cell>
          <cell r="L16">
            <v>-5.0000000000000001E-3</v>
          </cell>
          <cell r="M16">
            <v>-2.5999999999999999E-3</v>
          </cell>
          <cell r="N16">
            <v>8.8000000000000005E-3</v>
          </cell>
          <cell r="O16">
            <v>1.8E-3</v>
          </cell>
          <cell r="P16">
            <v>2.6499999999999999E-2</v>
          </cell>
          <cell r="R16">
            <v>3.3500000000000002E-2</v>
          </cell>
          <cell r="S16">
            <v>-7.1999999999999998E-3</v>
          </cell>
          <cell r="T16">
            <v>-5.0000000000000001E-3</v>
          </cell>
          <cell r="U16">
            <v>-2.5999999999999999E-3</v>
          </cell>
          <cell r="V16">
            <v>8.8000000000000005E-3</v>
          </cell>
          <cell r="W16">
            <v>1.8E-3</v>
          </cell>
          <cell r="X16">
            <v>2.9300000000000003E-2</v>
          </cell>
          <cell r="Z16">
            <v>2.9000000000000001E-2</v>
          </cell>
          <cell r="AA16">
            <v>-7.1999999999999998E-3</v>
          </cell>
          <cell r="AB16">
            <v>-5.0000000000000001E-3</v>
          </cell>
          <cell r="AC16">
            <v>-2.5999999999999999E-3</v>
          </cell>
          <cell r="AD16">
            <v>8.8000000000000005E-3</v>
          </cell>
          <cell r="AE16">
            <v>1.8E-3</v>
          </cell>
          <cell r="AF16">
            <v>2.4799999999999999E-2</v>
          </cell>
        </row>
        <row r="17">
          <cell r="A17">
            <v>35490</v>
          </cell>
          <cell r="B17">
            <v>2.5999999999999999E-2</v>
          </cell>
          <cell r="C17">
            <v>-6.8999999999999999E-3</v>
          </cell>
          <cell r="D17">
            <v>1E-4</v>
          </cell>
          <cell r="F17">
            <v>8.8000000000000005E-3</v>
          </cell>
          <cell r="G17">
            <v>1.8E-3</v>
          </cell>
          <cell r="H17">
            <v>2.9799999999999997E-2</v>
          </cell>
          <cell r="J17">
            <v>3.0700000000000002E-2</v>
          </cell>
          <cell r="K17">
            <v>-6.8999999999999999E-3</v>
          </cell>
          <cell r="L17">
            <v>1E-4</v>
          </cell>
          <cell r="N17">
            <v>8.8000000000000005E-3</v>
          </cell>
          <cell r="O17">
            <v>1.8E-3</v>
          </cell>
          <cell r="P17">
            <v>3.4500000000000003E-2</v>
          </cell>
          <cell r="R17">
            <v>3.3500000000000002E-2</v>
          </cell>
          <cell r="S17">
            <v>-6.8999999999999999E-3</v>
          </cell>
          <cell r="T17">
            <v>1E-4</v>
          </cell>
          <cell r="V17">
            <v>8.8000000000000005E-3</v>
          </cell>
          <cell r="W17">
            <v>1.8E-3</v>
          </cell>
          <cell r="X17">
            <v>3.7300000000000007E-2</v>
          </cell>
          <cell r="Z17">
            <v>2.9000000000000001E-2</v>
          </cell>
          <cell r="AA17">
            <v>-6.8999999999999999E-3</v>
          </cell>
          <cell r="AB17">
            <v>1E-4</v>
          </cell>
          <cell r="AD17">
            <v>8.8000000000000005E-3</v>
          </cell>
          <cell r="AE17">
            <v>1.8E-3</v>
          </cell>
          <cell r="AF17">
            <v>3.2800000000000003E-2</v>
          </cell>
        </row>
        <row r="18">
          <cell r="A18">
            <v>35674</v>
          </cell>
          <cell r="B18">
            <v>2.5999999999999999E-2</v>
          </cell>
          <cell r="C18">
            <v>-7.1999999999999998E-3</v>
          </cell>
          <cell r="F18">
            <v>8.8000000000000005E-3</v>
          </cell>
          <cell r="G18">
            <v>1.8E-3</v>
          </cell>
          <cell r="H18">
            <v>2.9399999999999999E-2</v>
          </cell>
          <cell r="J18">
            <v>3.0700000000000002E-2</v>
          </cell>
          <cell r="K18">
            <v>-7.1999999999999998E-3</v>
          </cell>
          <cell r="N18">
            <v>8.8000000000000005E-3</v>
          </cell>
          <cell r="O18">
            <v>1.8E-3</v>
          </cell>
          <cell r="P18">
            <v>3.4100000000000005E-2</v>
          </cell>
          <cell r="R18">
            <v>3.3500000000000002E-2</v>
          </cell>
          <cell r="S18">
            <v>-7.1999999999999998E-3</v>
          </cell>
          <cell r="V18">
            <v>8.8000000000000005E-3</v>
          </cell>
          <cell r="W18">
            <v>1.8E-3</v>
          </cell>
          <cell r="X18">
            <v>3.6900000000000009E-2</v>
          </cell>
          <cell r="Z18">
            <v>2.9000000000000001E-2</v>
          </cell>
          <cell r="AA18">
            <v>-7.1999999999999998E-3</v>
          </cell>
          <cell r="AD18">
            <v>8.8000000000000005E-3</v>
          </cell>
          <cell r="AE18">
            <v>1.8E-3</v>
          </cell>
          <cell r="AF18">
            <v>3.2400000000000005E-2</v>
          </cell>
        </row>
        <row r="19">
          <cell r="A19">
            <v>36161</v>
          </cell>
          <cell r="B19">
            <v>2.2100000000000002E-2</v>
          </cell>
          <cell r="C19">
            <v>0</v>
          </cell>
          <cell r="F19">
            <v>7.4999999999999997E-3</v>
          </cell>
          <cell r="G19">
            <v>2.2000000000000001E-3</v>
          </cell>
          <cell r="H19">
            <v>3.1800000000000002E-2</v>
          </cell>
          <cell r="J19">
            <v>2.81E-2</v>
          </cell>
          <cell r="K19">
            <v>0</v>
          </cell>
          <cell r="N19">
            <v>7.4999999999999997E-3</v>
          </cell>
          <cell r="O19">
            <v>2.2000000000000001E-3</v>
          </cell>
          <cell r="P19">
            <v>3.78E-2</v>
          </cell>
          <cell r="R19">
            <v>3.1199999999999999E-2</v>
          </cell>
          <cell r="S19">
            <v>0</v>
          </cell>
          <cell r="V19">
            <v>7.4999999999999997E-3</v>
          </cell>
          <cell r="W19">
            <v>2.2000000000000001E-3</v>
          </cell>
          <cell r="X19">
            <v>4.0899999999999999E-2</v>
          </cell>
          <cell r="Z19">
            <v>2.6200000000000001E-2</v>
          </cell>
          <cell r="AA19">
            <v>0</v>
          </cell>
          <cell r="AD19">
            <v>7.4999999999999997E-3</v>
          </cell>
          <cell r="AE19">
            <v>2.2000000000000001E-3</v>
          </cell>
          <cell r="AF19">
            <v>3.5900000000000001E-2</v>
          </cell>
        </row>
        <row r="20">
          <cell r="A20">
            <v>36831</v>
          </cell>
          <cell r="B20">
            <v>2.12E-2</v>
          </cell>
          <cell r="C20">
            <v>0</v>
          </cell>
          <cell r="F20">
            <v>7.1999999999999998E-3</v>
          </cell>
          <cell r="G20">
            <v>2.2000000000000001E-3</v>
          </cell>
          <cell r="H20">
            <v>3.0600000000000002E-2</v>
          </cell>
          <cell r="J20">
            <v>2.7199999999999998E-2</v>
          </cell>
          <cell r="K20">
            <v>0</v>
          </cell>
          <cell r="N20">
            <v>7.1999999999999998E-3</v>
          </cell>
          <cell r="O20">
            <v>2.2000000000000001E-3</v>
          </cell>
          <cell r="P20">
            <v>3.6600000000000001E-2</v>
          </cell>
          <cell r="R20">
            <v>3.0300000000000001E-2</v>
          </cell>
          <cell r="S20">
            <v>0</v>
          </cell>
          <cell r="V20">
            <v>7.1999999999999998E-3</v>
          </cell>
          <cell r="W20">
            <v>2.2000000000000001E-3</v>
          </cell>
          <cell r="X20">
            <v>3.9699999999999999E-2</v>
          </cell>
          <cell r="Z20">
            <v>2.53E-2</v>
          </cell>
          <cell r="AA20">
            <v>0</v>
          </cell>
          <cell r="AD20">
            <v>7.1999999999999998E-3</v>
          </cell>
          <cell r="AE20">
            <v>2.2000000000000001E-3</v>
          </cell>
          <cell r="AF20">
            <v>3.4700000000000002E-2</v>
          </cell>
        </row>
        <row r="21">
          <cell r="A21">
            <v>36923</v>
          </cell>
          <cell r="B21">
            <v>1.55E-2</v>
          </cell>
          <cell r="C21">
            <v>0</v>
          </cell>
          <cell r="F21">
            <v>7.1999999999999998E-3</v>
          </cell>
          <cell r="G21">
            <v>2.2000000000000001E-3</v>
          </cell>
          <cell r="H21">
            <v>2.4899999999999999E-2</v>
          </cell>
          <cell r="J21">
            <v>1.9400000000000001E-2</v>
          </cell>
          <cell r="K21">
            <v>0</v>
          </cell>
          <cell r="N21">
            <v>7.1999999999999998E-3</v>
          </cell>
          <cell r="O21">
            <v>2.2000000000000001E-3</v>
          </cell>
          <cell r="P21">
            <v>2.8799999999999999E-2</v>
          </cell>
          <cell r="R21">
            <v>2.1999999999999999E-2</v>
          </cell>
          <cell r="S21">
            <v>0</v>
          </cell>
          <cell r="V21">
            <v>7.1999999999999998E-3</v>
          </cell>
          <cell r="W21">
            <v>2.2000000000000001E-3</v>
          </cell>
          <cell r="X21">
            <v>3.1399999999999997E-2</v>
          </cell>
          <cell r="Z21">
            <v>1.7899999999999999E-2</v>
          </cell>
          <cell r="AA21">
            <v>0</v>
          </cell>
          <cell r="AD21">
            <v>7.1999999999999998E-3</v>
          </cell>
          <cell r="AE21">
            <v>2.2000000000000001E-3</v>
          </cell>
          <cell r="AF21">
            <v>2.7299999999999998E-2</v>
          </cell>
        </row>
        <row r="22">
          <cell r="A22">
            <v>37196</v>
          </cell>
          <cell r="B22">
            <v>1.55E-2</v>
          </cell>
          <cell r="C22">
            <v>0</v>
          </cell>
          <cell r="F22">
            <v>7.0000000000000001E-3</v>
          </cell>
          <cell r="G22">
            <v>2.2000000000000001E-3</v>
          </cell>
          <cell r="H22">
            <v>2.47E-2</v>
          </cell>
          <cell r="J22">
            <v>1.9400000000000001E-2</v>
          </cell>
          <cell r="K22">
            <v>0</v>
          </cell>
          <cell r="N22">
            <v>7.0000000000000001E-3</v>
          </cell>
          <cell r="O22">
            <v>2.2000000000000001E-3</v>
          </cell>
          <cell r="P22">
            <v>2.86E-2</v>
          </cell>
          <cell r="R22">
            <v>2.1999999999999999E-2</v>
          </cell>
          <cell r="S22">
            <v>0</v>
          </cell>
          <cell r="V22">
            <v>7.0000000000000001E-3</v>
          </cell>
          <cell r="W22">
            <v>2.2000000000000001E-3</v>
          </cell>
          <cell r="X22">
            <v>3.1199999999999999E-2</v>
          </cell>
          <cell r="Z22">
            <v>1.7899999999999999E-2</v>
          </cell>
          <cell r="AA22">
            <v>0</v>
          </cell>
          <cell r="AD22">
            <v>7.0000000000000001E-3</v>
          </cell>
          <cell r="AE22">
            <v>2.2000000000000001E-3</v>
          </cell>
          <cell r="AF22">
            <v>2.7099999999999999E-2</v>
          </cell>
        </row>
        <row r="23">
          <cell r="A23">
            <v>37561</v>
          </cell>
          <cell r="B23">
            <v>3.5499999999999997E-2</v>
          </cell>
          <cell r="C23">
            <v>0</v>
          </cell>
          <cell r="F23">
            <v>5.4999999999999997E-3</v>
          </cell>
          <cell r="G23">
            <v>2.0999999999999999E-3</v>
          </cell>
          <cell r="H23">
            <v>4.3099999999999992E-2</v>
          </cell>
          <cell r="J23">
            <v>4.5900000000000003E-2</v>
          </cell>
          <cell r="K23">
            <v>0</v>
          </cell>
          <cell r="N23">
            <v>5.4999999999999997E-3</v>
          </cell>
          <cell r="O23">
            <v>2.0999999999999999E-3</v>
          </cell>
          <cell r="P23">
            <v>5.3499999999999999E-2</v>
          </cell>
          <cell r="R23">
            <v>5.1799999999999999E-2</v>
          </cell>
          <cell r="S23">
            <v>0</v>
          </cell>
          <cell r="V23">
            <v>5.4999999999999997E-3</v>
          </cell>
          <cell r="W23">
            <v>2.0999999999999999E-3</v>
          </cell>
          <cell r="X23">
            <v>5.9399999999999994E-2</v>
          </cell>
          <cell r="Z23">
            <v>4.1799999999999997E-2</v>
          </cell>
          <cell r="AA23">
            <v>0</v>
          </cell>
          <cell r="AD23">
            <v>5.4999999999999997E-3</v>
          </cell>
          <cell r="AE23">
            <v>2.0999999999999999E-3</v>
          </cell>
          <cell r="AF23">
            <v>4.9399999999999993E-2</v>
          </cell>
        </row>
        <row r="24">
          <cell r="A24">
            <v>37834</v>
          </cell>
          <cell r="B24">
            <v>3.5400000000000001E-2</v>
          </cell>
          <cell r="C24">
            <v>0</v>
          </cell>
          <cell r="F24">
            <v>4.0000000000000001E-3</v>
          </cell>
          <cell r="G24">
            <v>2.0999999999999999E-3</v>
          </cell>
          <cell r="H24">
            <v>4.1500000000000002E-2</v>
          </cell>
          <cell r="J24">
            <v>4.58E-2</v>
          </cell>
          <cell r="K24">
            <v>0</v>
          </cell>
          <cell r="N24">
            <v>4.0000000000000001E-3</v>
          </cell>
          <cell r="O24">
            <v>2.0999999999999999E-3</v>
          </cell>
          <cell r="P24">
            <v>5.1899999999999995E-2</v>
          </cell>
          <cell r="R24">
            <v>5.1700000000000003E-2</v>
          </cell>
          <cell r="S24">
            <v>0</v>
          </cell>
          <cell r="V24">
            <v>4.0000000000000001E-3</v>
          </cell>
          <cell r="W24">
            <v>2.0999999999999999E-3</v>
          </cell>
          <cell r="X24">
            <v>5.7799999999999997E-2</v>
          </cell>
          <cell r="Z24">
            <v>4.1700000000000001E-2</v>
          </cell>
          <cell r="AA24">
            <v>0</v>
          </cell>
          <cell r="AD24">
            <v>4.0000000000000001E-3</v>
          </cell>
          <cell r="AE24">
            <v>2.0999999999999999E-3</v>
          </cell>
          <cell r="AF24">
            <v>4.7800000000000002E-2</v>
          </cell>
        </row>
        <row r="25">
          <cell r="A25">
            <v>38200</v>
          </cell>
          <cell r="B25">
            <v>3.5400000000000001E-2</v>
          </cell>
          <cell r="F25">
            <v>0</v>
          </cell>
          <cell r="G25">
            <v>2.0999999999999999E-3</v>
          </cell>
          <cell r="H25">
            <v>3.7499999999999999E-2</v>
          </cell>
          <cell r="J25">
            <v>4.58E-2</v>
          </cell>
          <cell r="N25">
            <v>0</v>
          </cell>
          <cell r="O25">
            <v>2.0999999999999999E-3</v>
          </cell>
          <cell r="P25">
            <v>4.7899999999999998E-2</v>
          </cell>
          <cell r="R25">
            <v>5.1700000000000003E-2</v>
          </cell>
          <cell r="V25">
            <v>0</v>
          </cell>
          <cell r="W25">
            <v>2.0999999999999999E-3</v>
          </cell>
          <cell r="X25">
            <v>5.3800000000000001E-2</v>
          </cell>
          <cell r="Z25">
            <v>4.1700000000000001E-2</v>
          </cell>
          <cell r="AD25">
            <v>0</v>
          </cell>
          <cell r="AE25">
            <v>2.0999999999999999E-3</v>
          </cell>
          <cell r="AF25">
            <v>4.3799999999999999E-2</v>
          </cell>
        </row>
        <row r="26">
          <cell r="A26">
            <v>38384</v>
          </cell>
          <cell r="B26">
            <v>3.5400000000000001E-2</v>
          </cell>
          <cell r="F26">
            <v>0</v>
          </cell>
          <cell r="G26">
            <v>1.9E-3</v>
          </cell>
          <cell r="H26">
            <v>3.73E-2</v>
          </cell>
          <cell r="J26">
            <v>4.58E-2</v>
          </cell>
          <cell r="N26">
            <v>0</v>
          </cell>
          <cell r="O26">
            <v>1.9E-3</v>
          </cell>
          <cell r="P26">
            <v>4.7699999999999999E-2</v>
          </cell>
          <cell r="R26">
            <v>5.1700000000000003E-2</v>
          </cell>
          <cell r="V26">
            <v>0</v>
          </cell>
          <cell r="W26">
            <v>1.9E-3</v>
          </cell>
          <cell r="X26">
            <v>5.3600000000000002E-2</v>
          </cell>
          <cell r="Z26">
            <v>4.1700000000000001E-2</v>
          </cell>
          <cell r="AD26">
            <v>0</v>
          </cell>
          <cell r="AE26">
            <v>1.9E-3</v>
          </cell>
          <cell r="AF26">
            <v>4.36E-2</v>
          </cell>
        </row>
        <row r="27">
          <cell r="A27">
            <v>38473</v>
          </cell>
          <cell r="B27">
            <v>3.5400000000000001E-2</v>
          </cell>
          <cell r="F27">
            <v>0</v>
          </cell>
          <cell r="G27">
            <v>1.9E-3</v>
          </cell>
          <cell r="H27">
            <v>3.73E-2</v>
          </cell>
          <cell r="J27">
            <v>4.58E-2</v>
          </cell>
          <cell r="N27">
            <v>0</v>
          </cell>
          <cell r="O27">
            <v>1.9E-3</v>
          </cell>
          <cell r="P27">
            <v>4.7699999999999999E-2</v>
          </cell>
          <cell r="R27">
            <v>5.1700000000000003E-2</v>
          </cell>
          <cell r="V27">
            <v>0</v>
          </cell>
          <cell r="W27">
            <v>1.9E-3</v>
          </cell>
          <cell r="X27">
            <v>5.3600000000000002E-2</v>
          </cell>
          <cell r="Z27">
            <v>4.1700000000000001E-2</v>
          </cell>
          <cell r="AD27">
            <v>0</v>
          </cell>
          <cell r="AE27">
            <v>1.9E-3</v>
          </cell>
          <cell r="AF27">
            <v>4.36E-2</v>
          </cell>
        </row>
        <row r="28">
          <cell r="A28">
            <v>38687</v>
          </cell>
          <cell r="B28">
            <v>4.36E-2</v>
          </cell>
          <cell r="F28">
            <v>0</v>
          </cell>
          <cell r="G28">
            <v>1.8E-3</v>
          </cell>
          <cell r="H28">
            <v>4.5400000000000003E-2</v>
          </cell>
          <cell r="J28">
            <v>4.9700000000000001E-2</v>
          </cell>
          <cell r="N28">
            <v>0</v>
          </cell>
          <cell r="O28">
            <v>1.8E-3</v>
          </cell>
          <cell r="P28">
            <v>5.1500000000000004E-2</v>
          </cell>
          <cell r="R28">
            <v>5.7200000000000001E-2</v>
          </cell>
          <cell r="V28">
            <v>0</v>
          </cell>
          <cell r="W28">
            <v>1.8E-3</v>
          </cell>
          <cell r="X28">
            <v>5.9000000000000004E-2</v>
          </cell>
          <cell r="Z28">
            <v>4.6600000000000003E-2</v>
          </cell>
          <cell r="AD28">
            <v>0</v>
          </cell>
          <cell r="AE28">
            <v>1.8E-3</v>
          </cell>
          <cell r="AF28">
            <v>4.8400000000000006E-2</v>
          </cell>
        </row>
        <row r="29">
          <cell r="A29">
            <v>38838</v>
          </cell>
          <cell r="B29">
            <v>3.9899999999999998E-2</v>
          </cell>
          <cell r="F29">
            <v>0</v>
          </cell>
          <cell r="G29">
            <v>1.8E-3</v>
          </cell>
          <cell r="H29">
            <v>4.1700000000000001E-2</v>
          </cell>
          <cell r="J29">
            <v>4.4499999999999998E-2</v>
          </cell>
          <cell r="N29">
            <v>0</v>
          </cell>
          <cell r="O29">
            <v>1.8E-3</v>
          </cell>
          <cell r="P29">
            <v>4.6300000000000001E-2</v>
          </cell>
          <cell r="R29">
            <v>5.28E-2</v>
          </cell>
          <cell r="V29">
            <v>0</v>
          </cell>
          <cell r="W29">
            <v>1.8E-3</v>
          </cell>
          <cell r="X29">
            <v>5.4600000000000003E-2</v>
          </cell>
          <cell r="Z29">
            <v>4.2200000000000001E-2</v>
          </cell>
          <cell r="AD29">
            <v>0</v>
          </cell>
          <cell r="AE29">
            <v>1.8E-3</v>
          </cell>
          <cell r="AF29">
            <v>4.4000000000000004E-2</v>
          </cell>
        </row>
        <row r="30">
          <cell r="A30">
            <v>39114</v>
          </cell>
          <cell r="B30">
            <v>3.9899999999999998E-2</v>
          </cell>
          <cell r="F30">
            <v>0</v>
          </cell>
          <cell r="G30">
            <v>1.6000000000000001E-3</v>
          </cell>
          <cell r="H30">
            <v>4.1499999999999995E-2</v>
          </cell>
          <cell r="J30">
            <v>4.4499999999999998E-2</v>
          </cell>
          <cell r="N30">
            <v>0</v>
          </cell>
          <cell r="O30">
            <v>1.6000000000000001E-3</v>
          </cell>
          <cell r="P30">
            <v>4.6099999999999995E-2</v>
          </cell>
          <cell r="R30">
            <v>5.28E-2</v>
          </cell>
          <cell r="V30">
            <v>0</v>
          </cell>
          <cell r="W30">
            <v>1.6000000000000001E-3</v>
          </cell>
          <cell r="X30">
            <v>5.4399999999999997E-2</v>
          </cell>
          <cell r="Z30">
            <v>4.2200000000000001E-2</v>
          </cell>
          <cell r="AD30">
            <v>0</v>
          </cell>
          <cell r="AE30">
            <v>1.6000000000000001E-3</v>
          </cell>
          <cell r="AF30">
            <v>4.3799999999999999E-2</v>
          </cell>
        </row>
        <row r="31">
          <cell r="A31">
            <v>54789</v>
          </cell>
        </row>
      </sheetData>
      <sheetData sheetId="69">
        <row r="10">
          <cell r="A10">
            <v>35004</v>
          </cell>
          <cell r="B10">
            <v>3.2399999999999998E-2</v>
          </cell>
          <cell r="C10">
            <v>1.72E-2</v>
          </cell>
          <cell r="D10">
            <v>2.6700000000000002E-2</v>
          </cell>
          <cell r="E10">
            <v>2.35E-2</v>
          </cell>
          <cell r="G10">
            <v>4.5100000000000001E-2</v>
          </cell>
          <cell r="H10">
            <v>2.18E-2</v>
          </cell>
          <cell r="I10">
            <v>3.7100000000000001E-2</v>
          </cell>
          <cell r="J10">
            <v>3.1800000000000002E-2</v>
          </cell>
          <cell r="L10">
            <v>5.6500000000000002E-2</v>
          </cell>
          <cell r="M10">
            <v>2.63E-2</v>
          </cell>
          <cell r="N10">
            <v>4.1700000000000001E-2</v>
          </cell>
          <cell r="O10">
            <v>2.7200000000000002E-2</v>
          </cell>
        </row>
        <row r="11">
          <cell r="A11">
            <v>35370</v>
          </cell>
          <cell r="B11">
            <v>2.6200000000000001E-2</v>
          </cell>
          <cell r="C11">
            <v>2.9100000000000001E-2</v>
          </cell>
          <cell r="D11">
            <v>2.6499999999999999E-2</v>
          </cell>
          <cell r="E11">
            <v>2.69E-2</v>
          </cell>
          <cell r="G11">
            <v>4.5600000000000002E-2</v>
          </cell>
          <cell r="H11">
            <v>2.6100000000000002E-2</v>
          </cell>
          <cell r="I11">
            <v>3.7699999999999997E-2</v>
          </cell>
          <cell r="J11">
            <v>3.32E-2</v>
          </cell>
          <cell r="L11">
            <v>5.9900000000000002E-2</v>
          </cell>
          <cell r="M11">
            <v>2.01E-2</v>
          </cell>
          <cell r="N11">
            <v>3.6200000000000003E-2</v>
          </cell>
          <cell r="O11">
            <v>3.9600000000000003E-2</v>
          </cell>
        </row>
        <row r="12">
          <cell r="A12">
            <v>35735</v>
          </cell>
          <cell r="B12">
            <v>2.4E-2</v>
          </cell>
          <cell r="C12">
            <v>3.0200000000000001E-2</v>
          </cell>
          <cell r="D12">
            <v>2.1100000000000001E-2</v>
          </cell>
          <cell r="E12">
            <v>2.63E-2</v>
          </cell>
          <cell r="G12">
            <v>3.0300000000000001E-2</v>
          </cell>
          <cell r="H12">
            <v>3.1199999999999999E-2</v>
          </cell>
          <cell r="I12">
            <v>2.6499999999999999E-2</v>
          </cell>
          <cell r="J12">
            <v>2.7799999999999998E-2</v>
          </cell>
          <cell r="L12">
            <v>4.2599999999999999E-2</v>
          </cell>
          <cell r="M12">
            <v>2.29E-2</v>
          </cell>
          <cell r="N12">
            <v>3.0300000000000001E-2</v>
          </cell>
          <cell r="O12">
            <v>3.9E-2</v>
          </cell>
        </row>
        <row r="13">
          <cell r="A13">
            <v>36465</v>
          </cell>
          <cell r="B13">
            <v>2.7099999999999999E-2</v>
          </cell>
          <cell r="C13">
            <v>1.9E-2</v>
          </cell>
          <cell r="D13">
            <v>2.23E-2</v>
          </cell>
          <cell r="E13">
            <v>2.0799999999999999E-2</v>
          </cell>
          <cell r="G13">
            <v>3.3300000000000003E-2</v>
          </cell>
          <cell r="H13">
            <v>2.1399999999999999E-2</v>
          </cell>
          <cell r="I13">
            <v>2.93E-2</v>
          </cell>
          <cell r="J13">
            <v>2.6599999999999999E-2</v>
          </cell>
          <cell r="L13">
            <v>4.3099999999999999E-2</v>
          </cell>
          <cell r="M13">
            <v>2.9100000000000001E-2</v>
          </cell>
          <cell r="N13">
            <v>3.3700000000000001E-2</v>
          </cell>
          <cell r="O13">
            <v>2.6800000000000001E-2</v>
          </cell>
        </row>
        <row r="14">
          <cell r="A14">
            <v>36831</v>
          </cell>
          <cell r="B14">
            <v>2.7099999999999999E-2</v>
          </cell>
          <cell r="C14">
            <v>1.9E-2</v>
          </cell>
          <cell r="D14">
            <v>2.23E-2</v>
          </cell>
          <cell r="E14">
            <v>2.0799999999999999E-2</v>
          </cell>
          <cell r="G14">
            <v>3.3300000000000003E-2</v>
          </cell>
          <cell r="H14">
            <v>2.1399999999999999E-2</v>
          </cell>
          <cell r="I14">
            <v>2.93E-2</v>
          </cell>
          <cell r="J14">
            <v>2.6599999999999999E-2</v>
          </cell>
          <cell r="L14">
            <v>4.3099999999999999E-2</v>
          </cell>
          <cell r="M14">
            <v>2.9100000000000001E-2</v>
          </cell>
          <cell r="N14">
            <v>3.3700000000000001E-2</v>
          </cell>
          <cell r="O14">
            <v>2.6800000000000001E-2</v>
          </cell>
        </row>
        <row r="15">
          <cell r="A15">
            <v>37196</v>
          </cell>
          <cell r="B15">
            <v>1.8200000000000001E-2</v>
          </cell>
          <cell r="C15">
            <v>2.4500000000000001E-2</v>
          </cell>
          <cell r="D15">
            <v>2.29E-2</v>
          </cell>
          <cell r="E15">
            <v>2.2800000000000001E-2</v>
          </cell>
          <cell r="G15">
            <v>2.75E-2</v>
          </cell>
          <cell r="H15">
            <v>2.69E-2</v>
          </cell>
          <cell r="I15">
            <v>2.8000000000000001E-2</v>
          </cell>
          <cell r="J15">
            <v>2.5000000000000001E-2</v>
          </cell>
          <cell r="L15">
            <v>3.1800000000000002E-2</v>
          </cell>
          <cell r="M15">
            <v>3.1899999999999998E-2</v>
          </cell>
          <cell r="N15">
            <v>3.27E-2</v>
          </cell>
          <cell r="O15">
            <v>2.9600000000000001E-2</v>
          </cell>
        </row>
        <row r="16">
          <cell r="A16">
            <v>37561</v>
          </cell>
          <cell r="B16">
            <v>3.27E-2</v>
          </cell>
          <cell r="C16">
            <v>3.1300000000000001E-2</v>
          </cell>
          <cell r="D16">
            <v>2.07E-2</v>
          </cell>
          <cell r="E16">
            <v>2.3800000000000002E-2</v>
          </cell>
          <cell r="G16">
            <v>3.32E-2</v>
          </cell>
          <cell r="H16">
            <v>3.3099999999999997E-2</v>
          </cell>
          <cell r="I16">
            <v>2.76E-2</v>
          </cell>
          <cell r="J16">
            <v>3.0200000000000001E-2</v>
          </cell>
          <cell r="L16">
            <v>3.8899999999999997E-2</v>
          </cell>
          <cell r="M16">
            <v>3.6999999999999998E-2</v>
          </cell>
          <cell r="N16">
            <v>3.1699999999999999E-2</v>
          </cell>
          <cell r="O16">
            <v>3.49E-2</v>
          </cell>
        </row>
        <row r="17">
          <cell r="A17">
            <v>37926</v>
          </cell>
          <cell r="B17">
            <v>2.3099999999999999E-2</v>
          </cell>
          <cell r="C17">
            <v>2.5700000000000001E-2</v>
          </cell>
          <cell r="D17">
            <v>2.1399999999999999E-2</v>
          </cell>
          <cell r="E17">
            <v>2.18E-2</v>
          </cell>
          <cell r="G17">
            <v>2.98E-2</v>
          </cell>
          <cell r="H17">
            <v>3.4500000000000003E-2</v>
          </cell>
          <cell r="I17">
            <v>2.8400000000000002E-2</v>
          </cell>
          <cell r="J17">
            <v>3.2399999999999998E-2</v>
          </cell>
          <cell r="L17">
            <v>3.8699999999999998E-2</v>
          </cell>
          <cell r="M17">
            <v>3.6900000000000002E-2</v>
          </cell>
          <cell r="N17">
            <v>3.2899999999999999E-2</v>
          </cell>
          <cell r="O17">
            <v>3.7400000000000003E-2</v>
          </cell>
        </row>
        <row r="18">
          <cell r="A18">
            <v>38292</v>
          </cell>
          <cell r="B18">
            <v>1.9599999999999999E-2</v>
          </cell>
          <cell r="C18">
            <v>1.4500000000000001E-2</v>
          </cell>
          <cell r="D18">
            <v>1.6E-2</v>
          </cell>
          <cell r="E18">
            <v>1.2500000000000001E-2</v>
          </cell>
          <cell r="G18">
            <v>2.7699999999999999E-2</v>
          </cell>
          <cell r="H18">
            <v>2.23E-2</v>
          </cell>
          <cell r="I18">
            <v>2.12E-2</v>
          </cell>
          <cell r="J18">
            <v>1.89E-2</v>
          </cell>
          <cell r="L18">
            <v>3.44E-2</v>
          </cell>
          <cell r="M18">
            <v>2.35E-2</v>
          </cell>
          <cell r="N18">
            <v>2.86E-2</v>
          </cell>
          <cell r="O18">
            <v>2.2700000000000001E-2</v>
          </cell>
        </row>
        <row r="19">
          <cell r="A19">
            <v>38384</v>
          </cell>
          <cell r="B19">
            <v>2.4299999999999999E-2</v>
          </cell>
          <cell r="C19">
            <v>2.01E-2</v>
          </cell>
          <cell r="D19">
            <v>1.9199999999999998E-2</v>
          </cell>
          <cell r="E19">
            <v>1.0699999999999999E-2</v>
          </cell>
          <cell r="G19">
            <v>2.7300000000000001E-2</v>
          </cell>
          <cell r="H19">
            <v>2.1499999999999998E-2</v>
          </cell>
          <cell r="I19">
            <v>2.8400000000000002E-2</v>
          </cell>
          <cell r="J19">
            <v>1.9400000000000001E-2</v>
          </cell>
          <cell r="L19">
            <v>3.0200000000000001E-2</v>
          </cell>
          <cell r="M19">
            <v>2.1499999999999998E-2</v>
          </cell>
          <cell r="N19">
            <v>2.9000000000000001E-2</v>
          </cell>
          <cell r="O19">
            <v>2.5600000000000001E-2</v>
          </cell>
        </row>
        <row r="20">
          <cell r="A20">
            <v>38473</v>
          </cell>
          <cell r="B20">
            <v>2.4299999999999999E-2</v>
          </cell>
          <cell r="C20">
            <v>2.01E-2</v>
          </cell>
          <cell r="D20">
            <v>1.9199999999999998E-2</v>
          </cell>
          <cell r="E20">
            <v>1.0699999999999999E-2</v>
          </cell>
          <cell r="G20">
            <v>2.7300000000000001E-2</v>
          </cell>
          <cell r="H20">
            <v>2.1499999999999998E-2</v>
          </cell>
          <cell r="I20">
            <v>2.8400000000000002E-2</v>
          </cell>
          <cell r="J20">
            <v>1.9400000000000001E-2</v>
          </cell>
          <cell r="L20">
            <v>3.0200000000000001E-2</v>
          </cell>
          <cell r="M20">
            <v>2.1499999999999998E-2</v>
          </cell>
          <cell r="N20">
            <v>2.9000000000000001E-2</v>
          </cell>
          <cell r="O20">
            <v>2.5600000000000001E-2</v>
          </cell>
        </row>
        <row r="21">
          <cell r="A21">
            <v>39022</v>
          </cell>
          <cell r="B21">
            <v>2.07E-2</v>
          </cell>
          <cell r="C21">
            <v>2.7099999999999999E-2</v>
          </cell>
          <cell r="D21">
            <v>1.06E-2</v>
          </cell>
          <cell r="E21">
            <v>1.6199999999999999E-2</v>
          </cell>
          <cell r="G21">
            <v>2.0500000000000001E-2</v>
          </cell>
          <cell r="H21">
            <v>2.5600000000000001E-2</v>
          </cell>
          <cell r="I21">
            <v>2.1000000000000001E-2</v>
          </cell>
          <cell r="J21">
            <v>2.3E-2</v>
          </cell>
          <cell r="L21">
            <v>3.61E-2</v>
          </cell>
          <cell r="M21">
            <v>3.2300000000000002E-2</v>
          </cell>
          <cell r="N21">
            <v>2.4400000000000002E-2</v>
          </cell>
          <cell r="O21">
            <v>3.0800000000000001E-2</v>
          </cell>
        </row>
        <row r="22">
          <cell r="A22">
            <v>39114</v>
          </cell>
          <cell r="B22">
            <v>2.7E-2</v>
          </cell>
          <cell r="C22">
            <v>2.3599999999999999E-2</v>
          </cell>
          <cell r="D22">
            <v>1.5599999999999999E-2</v>
          </cell>
          <cell r="E22">
            <v>1.8700000000000001E-2</v>
          </cell>
          <cell r="G22">
            <v>3.1699999999999999E-2</v>
          </cell>
          <cell r="H22">
            <v>3.2300000000000002E-2</v>
          </cell>
          <cell r="I22">
            <v>1.7299999999999999E-2</v>
          </cell>
          <cell r="J22">
            <v>2.01E-2</v>
          </cell>
          <cell r="L22">
            <v>3.9600000000000003E-2</v>
          </cell>
          <cell r="M22">
            <v>0.03</v>
          </cell>
          <cell r="N22">
            <v>2.4899999999999999E-2</v>
          </cell>
          <cell r="O22">
            <v>2.2200000000000001E-2</v>
          </cell>
        </row>
        <row r="23">
          <cell r="A23">
            <v>54789</v>
          </cell>
        </row>
      </sheetData>
      <sheetData sheetId="70">
        <row r="10">
          <cell r="A10">
            <v>34912</v>
          </cell>
          <cell r="B10">
            <v>1.4259999999999999</v>
          </cell>
        </row>
        <row r="11">
          <cell r="A11">
            <v>34943</v>
          </cell>
          <cell r="B11">
            <v>1.605</v>
          </cell>
        </row>
        <row r="12">
          <cell r="A12">
            <v>34973</v>
          </cell>
          <cell r="B12">
            <v>1.6890000000000001</v>
          </cell>
        </row>
        <row r="13">
          <cell r="A13">
            <v>35004</v>
          </cell>
          <cell r="B13">
            <v>1.8169999999999999</v>
          </cell>
        </row>
        <row r="14">
          <cell r="A14">
            <v>35034</v>
          </cell>
          <cell r="B14">
            <v>2.2749999999999999</v>
          </cell>
        </row>
        <row r="15">
          <cell r="A15">
            <v>35065</v>
          </cell>
          <cell r="B15">
            <v>3.2410000000000001</v>
          </cell>
        </row>
        <row r="16">
          <cell r="A16">
            <v>35096</v>
          </cell>
          <cell r="B16">
            <v>3.82</v>
          </cell>
        </row>
        <row r="17">
          <cell r="A17">
            <v>35125</v>
          </cell>
          <cell r="B17">
            <v>2.839</v>
          </cell>
        </row>
        <row r="18">
          <cell r="A18">
            <v>35156</v>
          </cell>
          <cell r="B18">
            <v>2.536</v>
          </cell>
        </row>
        <row r="19">
          <cell r="A19">
            <v>35186</v>
          </cell>
          <cell r="B19">
            <v>2.198</v>
          </cell>
        </row>
        <row r="20">
          <cell r="A20">
            <v>35217</v>
          </cell>
          <cell r="B20">
            <v>2.339</v>
          </cell>
        </row>
        <row r="21">
          <cell r="A21">
            <v>35247</v>
          </cell>
          <cell r="B21">
            <v>2.61</v>
          </cell>
        </row>
        <row r="22">
          <cell r="A22">
            <v>35278</v>
          </cell>
          <cell r="B22">
            <v>2.2570000000000001</v>
          </cell>
        </row>
        <row r="23">
          <cell r="A23">
            <v>35309</v>
          </cell>
          <cell r="B23">
            <v>1.8280000000000001</v>
          </cell>
        </row>
        <row r="24">
          <cell r="A24">
            <v>35339</v>
          </cell>
          <cell r="B24">
            <v>2.0449999999999999</v>
          </cell>
        </row>
        <row r="25">
          <cell r="A25">
            <v>35370</v>
          </cell>
          <cell r="B25">
            <v>2.63</v>
          </cell>
        </row>
        <row r="26">
          <cell r="A26">
            <v>35400</v>
          </cell>
          <cell r="B26">
            <v>3.355</v>
          </cell>
        </row>
        <row r="27">
          <cell r="A27">
            <v>35431</v>
          </cell>
          <cell r="B27">
            <v>3.851</v>
          </cell>
        </row>
        <row r="28">
          <cell r="A28">
            <v>35462</v>
          </cell>
          <cell r="B28">
            <v>2.669</v>
          </cell>
        </row>
        <row r="29">
          <cell r="A29">
            <v>35490</v>
          </cell>
          <cell r="B29">
            <v>1.8540000000000001</v>
          </cell>
        </row>
        <row r="30">
          <cell r="A30">
            <v>35521</v>
          </cell>
          <cell r="B30">
            <v>1.893</v>
          </cell>
        </row>
        <row r="31">
          <cell r="A31">
            <v>35551</v>
          </cell>
          <cell r="B31">
            <v>2.1459999999999999</v>
          </cell>
        </row>
        <row r="32">
          <cell r="A32">
            <v>35582</v>
          </cell>
          <cell r="B32">
            <v>2.1930000000000001</v>
          </cell>
        </row>
        <row r="33">
          <cell r="A33">
            <v>35612</v>
          </cell>
          <cell r="B33">
            <v>2.1800000000000002</v>
          </cell>
        </row>
        <row r="34">
          <cell r="A34">
            <v>35643</v>
          </cell>
          <cell r="B34">
            <v>2.306</v>
          </cell>
        </row>
        <row r="35">
          <cell r="A35">
            <v>35674</v>
          </cell>
          <cell r="B35">
            <v>2.629</v>
          </cell>
        </row>
        <row r="36">
          <cell r="A36">
            <v>35704</v>
          </cell>
          <cell r="B36">
            <v>2.899</v>
          </cell>
        </row>
        <row r="37">
          <cell r="A37">
            <v>35735</v>
          </cell>
          <cell r="B37">
            <v>3.1789999999999998</v>
          </cell>
        </row>
        <row r="38">
          <cell r="A38">
            <v>35765</v>
          </cell>
          <cell r="B38">
            <v>2.3759999999999999</v>
          </cell>
        </row>
        <row r="39">
          <cell r="A39">
            <v>35796</v>
          </cell>
          <cell r="B39">
            <v>2.1139999999999999</v>
          </cell>
        </row>
        <row r="40">
          <cell r="A40">
            <v>35827</v>
          </cell>
          <cell r="B40">
            <v>2.169</v>
          </cell>
        </row>
        <row r="41">
          <cell r="A41">
            <v>35855</v>
          </cell>
          <cell r="B41">
            <v>2.2149999999999999</v>
          </cell>
        </row>
        <row r="42">
          <cell r="A42">
            <v>35886</v>
          </cell>
          <cell r="B42">
            <v>2.448</v>
          </cell>
        </row>
        <row r="43">
          <cell r="A43">
            <v>35916</v>
          </cell>
          <cell r="B43">
            <v>2.19</v>
          </cell>
        </row>
        <row r="44">
          <cell r="A44">
            <v>35947</v>
          </cell>
          <cell r="B44">
            <v>2.1320000000000001</v>
          </cell>
        </row>
        <row r="45">
          <cell r="A45">
            <v>35977</v>
          </cell>
          <cell r="B45">
            <v>2.2509999999999999</v>
          </cell>
        </row>
        <row r="46">
          <cell r="A46">
            <v>36008</v>
          </cell>
          <cell r="B46">
            <v>1.883</v>
          </cell>
        </row>
        <row r="47">
          <cell r="A47">
            <v>36039</v>
          </cell>
          <cell r="B47">
            <v>1.919</v>
          </cell>
        </row>
        <row r="48">
          <cell r="A48">
            <v>36069</v>
          </cell>
          <cell r="B48">
            <v>1.9590000000000001</v>
          </cell>
        </row>
        <row r="49">
          <cell r="A49">
            <v>36100</v>
          </cell>
          <cell r="B49">
            <v>2.0680000000000001</v>
          </cell>
        </row>
        <row r="50">
          <cell r="A50">
            <v>36130</v>
          </cell>
          <cell r="B50">
            <v>1.7330000000000001</v>
          </cell>
        </row>
        <row r="51">
          <cell r="A51">
            <v>36161</v>
          </cell>
          <cell r="B51">
            <v>1.855</v>
          </cell>
        </row>
        <row r="52">
          <cell r="A52">
            <v>36192</v>
          </cell>
          <cell r="B52">
            <v>1.7749999999999999</v>
          </cell>
        </row>
        <row r="53">
          <cell r="A53">
            <v>36220</v>
          </cell>
          <cell r="B53">
            <v>1.754</v>
          </cell>
        </row>
        <row r="54">
          <cell r="A54">
            <v>36251</v>
          </cell>
          <cell r="B54">
            <v>2.0430000000000001</v>
          </cell>
        </row>
        <row r="55">
          <cell r="A55">
            <v>36281</v>
          </cell>
          <cell r="B55">
            <v>2.2589999999999999</v>
          </cell>
        </row>
        <row r="56">
          <cell r="A56">
            <v>36312</v>
          </cell>
          <cell r="B56">
            <v>2.2789999999999999</v>
          </cell>
        </row>
        <row r="57">
          <cell r="A57">
            <v>36342</v>
          </cell>
          <cell r="B57">
            <v>2.2210000000000001</v>
          </cell>
        </row>
        <row r="58">
          <cell r="A58">
            <v>36373</v>
          </cell>
          <cell r="B58">
            <v>2.738</v>
          </cell>
        </row>
        <row r="59">
          <cell r="A59">
            <v>36404</v>
          </cell>
          <cell r="B59">
            <v>2.605</v>
          </cell>
        </row>
        <row r="60">
          <cell r="A60">
            <v>36434</v>
          </cell>
          <cell r="B60">
            <v>2.625</v>
          </cell>
        </row>
        <row r="61">
          <cell r="A61">
            <v>36465</v>
          </cell>
          <cell r="B61">
            <v>2.4700000000000002</v>
          </cell>
        </row>
        <row r="62">
          <cell r="A62">
            <v>36495</v>
          </cell>
          <cell r="B62">
            <v>2.3450000000000002</v>
          </cell>
        </row>
        <row r="63">
          <cell r="A63">
            <v>36526</v>
          </cell>
          <cell r="B63">
            <v>2.375</v>
          </cell>
        </row>
        <row r="64">
          <cell r="A64">
            <v>36557</v>
          </cell>
          <cell r="B64">
            <v>2.6389999999999998</v>
          </cell>
        </row>
        <row r="65">
          <cell r="A65">
            <v>36586</v>
          </cell>
          <cell r="B65">
            <v>2.7389999999999999</v>
          </cell>
        </row>
        <row r="66">
          <cell r="A66">
            <v>36617</v>
          </cell>
          <cell r="B66">
            <v>2.9849999999999999</v>
          </cell>
        </row>
        <row r="67">
          <cell r="A67">
            <v>36647</v>
          </cell>
          <cell r="B67">
            <v>3.411</v>
          </cell>
        </row>
        <row r="68">
          <cell r="A68">
            <v>36678</v>
          </cell>
          <cell r="B68">
            <v>4.2709999999999999</v>
          </cell>
        </row>
        <row r="69">
          <cell r="A69">
            <v>36708</v>
          </cell>
          <cell r="B69">
            <v>4.0659999999999998</v>
          </cell>
        </row>
        <row r="70">
          <cell r="A70">
            <v>36739</v>
          </cell>
          <cell r="B70">
            <v>4.3289999999999997</v>
          </cell>
        </row>
        <row r="71">
          <cell r="A71">
            <v>36770</v>
          </cell>
          <cell r="B71">
            <v>4.9189999999999996</v>
          </cell>
        </row>
        <row r="72">
          <cell r="A72">
            <v>36800</v>
          </cell>
          <cell r="B72">
            <v>5.101</v>
          </cell>
        </row>
        <row r="73">
          <cell r="A73">
            <v>36831</v>
          </cell>
          <cell r="B73">
            <v>5.3540000000000001</v>
          </cell>
        </row>
        <row r="74">
          <cell r="A74">
            <v>36861</v>
          </cell>
          <cell r="B74">
            <v>8.0909999999999993</v>
          </cell>
        </row>
        <row r="75">
          <cell r="A75">
            <v>36892</v>
          </cell>
          <cell r="B75">
            <v>8.8379999999999992</v>
          </cell>
        </row>
        <row r="76">
          <cell r="A76">
            <v>36923</v>
          </cell>
          <cell r="B76">
            <v>5.6980000000000004</v>
          </cell>
        </row>
        <row r="77">
          <cell r="A77">
            <v>36951</v>
          </cell>
          <cell r="B77">
            <v>5.1150000000000002</v>
          </cell>
        </row>
        <row r="78">
          <cell r="A78">
            <v>36982</v>
          </cell>
          <cell r="B78">
            <v>5.24</v>
          </cell>
        </row>
        <row r="79">
          <cell r="A79">
            <v>37012</v>
          </cell>
          <cell r="B79">
            <v>4.2759999999999998</v>
          </cell>
        </row>
        <row r="80">
          <cell r="A80">
            <v>37043</v>
          </cell>
          <cell r="B80">
            <v>3.835</v>
          </cell>
        </row>
        <row r="81">
          <cell r="A81">
            <v>37073</v>
          </cell>
          <cell r="B81">
            <v>3.1309999999999998</v>
          </cell>
        </row>
        <row r="82">
          <cell r="A82">
            <v>37104</v>
          </cell>
          <cell r="B82">
            <v>3.11</v>
          </cell>
        </row>
        <row r="83">
          <cell r="A83">
            <v>37135</v>
          </cell>
          <cell r="B83">
            <v>2.2989999999999999</v>
          </cell>
        </row>
        <row r="84">
          <cell r="A84">
            <v>37165</v>
          </cell>
          <cell r="B84">
            <v>2.4020000000000001</v>
          </cell>
        </row>
        <row r="85">
          <cell r="A85">
            <v>37196</v>
          </cell>
          <cell r="B85">
            <v>2.411</v>
          </cell>
        </row>
        <row r="86">
          <cell r="A86">
            <v>37226</v>
          </cell>
          <cell r="B86">
            <v>2.387</v>
          </cell>
        </row>
        <row r="87">
          <cell r="A87">
            <v>37257</v>
          </cell>
          <cell r="B87">
            <v>2.274</v>
          </cell>
        </row>
        <row r="88">
          <cell r="A88">
            <v>37288</v>
          </cell>
          <cell r="B88">
            <v>2.2690000000000001</v>
          </cell>
        </row>
        <row r="89">
          <cell r="A89">
            <v>37316</v>
          </cell>
          <cell r="B89">
            <v>2.9329999999999998</v>
          </cell>
        </row>
        <row r="90">
          <cell r="A90">
            <v>37347</v>
          </cell>
          <cell r="B90">
            <v>3.448</v>
          </cell>
        </row>
        <row r="91">
          <cell r="A91">
            <v>37377</v>
          </cell>
          <cell r="B91">
            <v>3.4830000000000001</v>
          </cell>
        </row>
        <row r="92">
          <cell r="A92">
            <v>37408</v>
          </cell>
          <cell r="B92">
            <v>3.23</v>
          </cell>
        </row>
        <row r="93">
          <cell r="A93">
            <v>37438</v>
          </cell>
          <cell r="B93">
            <v>3.05</v>
          </cell>
        </row>
        <row r="94">
          <cell r="A94">
            <v>37469</v>
          </cell>
          <cell r="B94">
            <v>3.07</v>
          </cell>
        </row>
        <row r="95">
          <cell r="A95">
            <v>37500</v>
          </cell>
          <cell r="B95">
            <v>3.4910000000000001</v>
          </cell>
        </row>
        <row r="96">
          <cell r="A96">
            <v>37530</v>
          </cell>
          <cell r="B96">
            <v>4.0830000000000002</v>
          </cell>
        </row>
        <row r="97">
          <cell r="A97">
            <v>37561</v>
          </cell>
          <cell r="B97">
            <v>4.0709999999999997</v>
          </cell>
        </row>
        <row r="98">
          <cell r="A98">
            <v>37591</v>
          </cell>
          <cell r="B98">
            <v>4.6379999999999999</v>
          </cell>
        </row>
        <row r="99">
          <cell r="A99">
            <v>37622</v>
          </cell>
          <cell r="B99">
            <v>5.3529999999999998</v>
          </cell>
        </row>
        <row r="100">
          <cell r="A100">
            <v>37653</v>
          </cell>
          <cell r="B100">
            <v>7.2919999999999998</v>
          </cell>
        </row>
        <row r="101">
          <cell r="A101">
            <v>37681</v>
          </cell>
          <cell r="B101">
            <v>6.8330000000000002</v>
          </cell>
        </row>
        <row r="102">
          <cell r="A102">
            <v>37712</v>
          </cell>
          <cell r="B102">
            <v>5.2460000000000004</v>
          </cell>
        </row>
        <row r="103">
          <cell r="A103">
            <v>37742</v>
          </cell>
          <cell r="B103">
            <v>5.6470000000000002</v>
          </cell>
        </row>
        <row r="104">
          <cell r="A104">
            <v>37773</v>
          </cell>
          <cell r="B104">
            <v>5.16</v>
          </cell>
        </row>
        <row r="105">
          <cell r="A105">
            <v>37803</v>
          </cell>
          <cell r="B105">
            <v>5.0190000000000001</v>
          </cell>
        </row>
        <row r="106">
          <cell r="A106">
            <v>37834</v>
          </cell>
          <cell r="B106">
            <v>4.8330000000000002</v>
          </cell>
        </row>
        <row r="107">
          <cell r="A107">
            <v>37865</v>
          </cell>
          <cell r="B107">
            <v>4.5819999999999999</v>
          </cell>
        </row>
        <row r="108">
          <cell r="A108">
            <v>37895</v>
          </cell>
          <cell r="B108">
            <v>4.6130000000000004</v>
          </cell>
        </row>
        <row r="109">
          <cell r="A109">
            <v>37926</v>
          </cell>
          <cell r="B109">
            <v>4.4539999999999997</v>
          </cell>
        </row>
        <row r="110">
          <cell r="A110">
            <v>37956</v>
          </cell>
          <cell r="B110">
            <v>5.7830000000000004</v>
          </cell>
        </row>
        <row r="111">
          <cell r="A111">
            <v>37987</v>
          </cell>
          <cell r="B111">
            <v>6.0380000000000003</v>
          </cell>
        </row>
        <row r="112">
          <cell r="A112">
            <v>38018</v>
          </cell>
          <cell r="B112">
            <v>5.4539999999999997</v>
          </cell>
        </row>
        <row r="113">
          <cell r="A113">
            <v>38047</v>
          </cell>
          <cell r="B113">
            <v>5.34</v>
          </cell>
        </row>
        <row r="114">
          <cell r="A114">
            <v>38078</v>
          </cell>
          <cell r="B114">
            <v>5.6509999999999998</v>
          </cell>
        </row>
        <row r="115">
          <cell r="A115">
            <v>38108</v>
          </cell>
          <cell r="B115">
            <v>6.218</v>
          </cell>
        </row>
        <row r="116">
          <cell r="A116">
            <v>38139</v>
          </cell>
          <cell r="B116">
            <v>6.2080000000000002</v>
          </cell>
        </row>
        <row r="117">
          <cell r="A117">
            <v>38169</v>
          </cell>
          <cell r="B117">
            <v>5.915</v>
          </cell>
        </row>
        <row r="118">
          <cell r="A118">
            <v>38200</v>
          </cell>
          <cell r="B118">
            <v>5.34</v>
          </cell>
        </row>
        <row r="119">
          <cell r="A119">
            <v>38231</v>
          </cell>
          <cell r="B119">
            <v>5.0149999999999997</v>
          </cell>
        </row>
        <row r="120">
          <cell r="A120">
            <v>38261</v>
          </cell>
          <cell r="B120">
            <v>6.14</v>
          </cell>
        </row>
        <row r="121">
          <cell r="A121">
            <v>38292</v>
          </cell>
          <cell r="B121">
            <v>6.1580000000000004</v>
          </cell>
        </row>
        <row r="122">
          <cell r="A122">
            <v>38322</v>
          </cell>
          <cell r="B122">
            <v>6.5860000000000003</v>
          </cell>
        </row>
        <row r="123">
          <cell r="A123">
            <v>38353</v>
          </cell>
          <cell r="B123">
            <v>6.181</v>
          </cell>
        </row>
        <row r="124">
          <cell r="A124">
            <v>38384</v>
          </cell>
          <cell r="B124">
            <v>6.1609999999999996</v>
          </cell>
        </row>
        <row r="125">
          <cell r="A125">
            <v>38412</v>
          </cell>
          <cell r="B125">
            <v>6.1609999999999996</v>
          </cell>
        </row>
        <row r="126">
          <cell r="A126">
            <v>38443</v>
          </cell>
          <cell r="B126">
            <v>7.0960000000000001</v>
          </cell>
        </row>
        <row r="127">
          <cell r="A127">
            <v>38473</v>
          </cell>
          <cell r="B127">
            <v>6.508</v>
          </cell>
        </row>
        <row r="128">
          <cell r="A128">
            <v>38504</v>
          </cell>
          <cell r="B128">
            <v>7.0880000000000001</v>
          </cell>
        </row>
        <row r="129">
          <cell r="A129">
            <v>38534</v>
          </cell>
          <cell r="B129">
            <v>7.5519999999999996</v>
          </cell>
        </row>
        <row r="130">
          <cell r="A130">
            <v>38565</v>
          </cell>
          <cell r="B130">
            <v>9.343</v>
          </cell>
        </row>
        <row r="131">
          <cell r="A131">
            <v>38596</v>
          </cell>
          <cell r="B131">
            <v>12.372</v>
          </cell>
        </row>
        <row r="132">
          <cell r="A132">
            <v>38626</v>
          </cell>
          <cell r="B132">
            <v>12.823</v>
          </cell>
        </row>
        <row r="133">
          <cell r="A133">
            <v>38657</v>
          </cell>
          <cell r="B133">
            <v>9.8360000000000003</v>
          </cell>
        </row>
        <row r="134">
          <cell r="A134">
            <v>38930</v>
          </cell>
          <cell r="B134">
            <v>6.99</v>
          </cell>
        </row>
        <row r="135">
          <cell r="A135">
            <v>39022</v>
          </cell>
          <cell r="B135">
            <v>7.3879999999999999</v>
          </cell>
        </row>
        <row r="136">
          <cell r="A136">
            <v>43831</v>
          </cell>
        </row>
      </sheetData>
      <sheetData sheetId="71"/>
      <sheetData sheetId="72">
        <row r="8">
          <cell r="A8" t="str">
            <v>Effective</v>
          </cell>
          <cell r="B8" t="str">
            <v>Base</v>
          </cell>
          <cell r="C8" t="str">
            <v>ACA</v>
          </cell>
          <cell r="D8" t="str">
            <v>GRI</v>
          </cell>
          <cell r="E8" t="str">
            <v>GSR</v>
          </cell>
          <cell r="F8" t="str">
            <v>CDT</v>
          </cell>
          <cell r="G8" t="str">
            <v>TCRA</v>
          </cell>
          <cell r="H8" t="str">
            <v>TCSM</v>
          </cell>
          <cell r="I8" t="str">
            <v>PCB Adj</v>
          </cell>
          <cell r="J8" t="str">
            <v>Settlemnt</v>
          </cell>
          <cell r="K8" t="str">
            <v xml:space="preserve">Total </v>
          </cell>
          <cell r="M8" t="str">
            <v>Base</v>
          </cell>
          <cell r="N8" t="str">
            <v>ACA</v>
          </cell>
          <cell r="O8" t="str">
            <v>GRI</v>
          </cell>
          <cell r="P8" t="str">
            <v>GSR</v>
          </cell>
          <cell r="Q8" t="str">
            <v>CDT</v>
          </cell>
          <cell r="R8" t="str">
            <v>TCRA</v>
          </cell>
          <cell r="S8" t="str">
            <v>TCSM</v>
          </cell>
          <cell r="T8" t="str">
            <v>PCB Adj</v>
          </cell>
          <cell r="U8" t="str">
            <v>Settlemnt</v>
          </cell>
          <cell r="V8" t="str">
            <v xml:space="preserve">Total </v>
          </cell>
        </row>
        <row r="9">
          <cell r="A9">
            <v>34881</v>
          </cell>
          <cell r="B9">
            <v>0.73680000000000001</v>
          </cell>
          <cell r="C9">
            <v>2.2000000000000001E-3</v>
          </cell>
          <cell r="D9">
            <v>0.02</v>
          </cell>
          <cell r="E9">
            <v>0.1244</v>
          </cell>
          <cell r="F9">
            <v>4.8999999999999998E-3</v>
          </cell>
          <cell r="G9">
            <v>2.41E-2</v>
          </cell>
          <cell r="H9">
            <v>3.1E-2</v>
          </cell>
          <cell r="K9">
            <v>0.94340000000000002</v>
          </cell>
          <cell r="M9">
            <v>0.62409999999999999</v>
          </cell>
          <cell r="N9">
            <v>2.2000000000000001E-3</v>
          </cell>
          <cell r="O9">
            <v>0.02</v>
          </cell>
          <cell r="P9">
            <v>0.1244</v>
          </cell>
          <cell r="Q9">
            <v>4.8999999999999998E-3</v>
          </cell>
          <cell r="R9">
            <v>2.41E-2</v>
          </cell>
          <cell r="S9">
            <v>3.1E-2</v>
          </cell>
          <cell r="V9">
            <v>0.83069999999999999</v>
          </cell>
        </row>
        <row r="10">
          <cell r="A10">
            <v>35004</v>
          </cell>
          <cell r="B10">
            <v>0.73680000000000001</v>
          </cell>
          <cell r="C10">
            <v>2.2000000000000001E-3</v>
          </cell>
          <cell r="D10">
            <v>0.02</v>
          </cell>
          <cell r="E10">
            <v>0.10630000000000001</v>
          </cell>
          <cell r="F10">
            <v>2.7000000000000001E-3</v>
          </cell>
          <cell r="G10">
            <v>2.41E-2</v>
          </cell>
          <cell r="H10">
            <v>3.1E-2</v>
          </cell>
          <cell r="K10">
            <v>0.92310000000000003</v>
          </cell>
          <cell r="M10">
            <v>0.62409999999999999</v>
          </cell>
          <cell r="N10">
            <v>2.2000000000000001E-3</v>
          </cell>
          <cell r="O10">
            <v>0.02</v>
          </cell>
          <cell r="P10">
            <v>0.10630000000000001</v>
          </cell>
          <cell r="Q10">
            <v>2.7000000000000001E-3</v>
          </cell>
          <cell r="R10">
            <v>2.41E-2</v>
          </cell>
          <cell r="S10">
            <v>3.1E-2</v>
          </cell>
          <cell r="V10">
            <v>0.81040000000000001</v>
          </cell>
        </row>
        <row r="11">
          <cell r="A11">
            <v>35096</v>
          </cell>
          <cell r="B11">
            <v>0.73680000000000001</v>
          </cell>
          <cell r="C11">
            <v>2.2000000000000001E-3</v>
          </cell>
          <cell r="D11">
            <v>0.02</v>
          </cell>
          <cell r="E11">
            <v>0.1024</v>
          </cell>
          <cell r="F11">
            <v>2.7000000000000001E-3</v>
          </cell>
          <cell r="G11">
            <v>1.4800000000000001E-2</v>
          </cell>
          <cell r="H11">
            <v>0</v>
          </cell>
          <cell r="K11">
            <v>0.87890000000000013</v>
          </cell>
          <cell r="M11">
            <v>0.62409999999999999</v>
          </cell>
          <cell r="N11">
            <v>2.2000000000000001E-3</v>
          </cell>
          <cell r="O11">
            <v>0.02</v>
          </cell>
          <cell r="P11">
            <v>0.1024</v>
          </cell>
          <cell r="Q11">
            <v>2.7000000000000001E-3</v>
          </cell>
          <cell r="R11">
            <v>1.4800000000000001E-2</v>
          </cell>
          <cell r="S11">
            <v>0</v>
          </cell>
          <cell r="V11">
            <v>0.7662000000000001</v>
          </cell>
        </row>
        <row r="12">
          <cell r="A12">
            <v>35186</v>
          </cell>
          <cell r="B12">
            <v>0.71760000000000002</v>
          </cell>
          <cell r="C12">
            <v>2.2000000000000001E-3</v>
          </cell>
          <cell r="D12">
            <v>0.02</v>
          </cell>
          <cell r="E12">
            <v>0.1145</v>
          </cell>
          <cell r="F12">
            <v>0</v>
          </cell>
          <cell r="G12">
            <v>1.4800000000000001E-2</v>
          </cell>
          <cell r="H12">
            <v>0</v>
          </cell>
          <cell r="K12">
            <v>0.86910000000000009</v>
          </cell>
          <cell r="M12">
            <v>0.60709999999999997</v>
          </cell>
          <cell r="N12">
            <v>2.2000000000000001E-3</v>
          </cell>
          <cell r="O12">
            <v>0.02</v>
          </cell>
          <cell r="P12">
            <v>0.1145</v>
          </cell>
          <cell r="Q12">
            <v>0</v>
          </cell>
          <cell r="R12">
            <v>1.4800000000000001E-2</v>
          </cell>
          <cell r="S12">
            <v>0</v>
          </cell>
          <cell r="V12">
            <v>0.75860000000000005</v>
          </cell>
        </row>
        <row r="13">
          <cell r="A13">
            <v>35278</v>
          </cell>
          <cell r="B13">
            <v>0.71760000000000002</v>
          </cell>
          <cell r="C13">
            <v>2.2000000000000001E-3</v>
          </cell>
          <cell r="D13">
            <v>0.02</v>
          </cell>
          <cell r="E13">
            <v>0.1419</v>
          </cell>
          <cell r="F13">
            <v>0</v>
          </cell>
          <cell r="G13">
            <v>1.4800000000000001E-2</v>
          </cell>
          <cell r="H13">
            <v>0</v>
          </cell>
          <cell r="K13">
            <v>0.89650000000000007</v>
          </cell>
          <cell r="M13">
            <v>0.60709999999999997</v>
          </cell>
          <cell r="N13">
            <v>2.2000000000000001E-3</v>
          </cell>
          <cell r="O13">
            <v>0.02</v>
          </cell>
          <cell r="P13">
            <v>0.1419</v>
          </cell>
          <cell r="Q13">
            <v>0</v>
          </cell>
          <cell r="R13">
            <v>1.4800000000000001E-2</v>
          </cell>
          <cell r="S13">
            <v>0</v>
          </cell>
          <cell r="V13">
            <v>0.78600000000000003</v>
          </cell>
        </row>
        <row r="14">
          <cell r="A14">
            <v>35400</v>
          </cell>
          <cell r="B14">
            <v>0.71760000000000002</v>
          </cell>
          <cell r="C14">
            <v>1.9E-3</v>
          </cell>
          <cell r="D14">
            <v>0.02</v>
          </cell>
          <cell r="E14">
            <v>0.22070000000000001</v>
          </cell>
          <cell r="F14">
            <v>0</v>
          </cell>
          <cell r="G14">
            <v>1.4800000000000001E-2</v>
          </cell>
          <cell r="H14">
            <v>0</v>
          </cell>
          <cell r="K14">
            <v>0.97500000000000009</v>
          </cell>
          <cell r="M14">
            <v>0.60709999999999997</v>
          </cell>
          <cell r="N14">
            <v>1.9E-3</v>
          </cell>
          <cell r="O14">
            <v>0.02</v>
          </cell>
          <cell r="P14">
            <v>0.22070000000000001</v>
          </cell>
          <cell r="Q14">
            <v>0</v>
          </cell>
          <cell r="R14">
            <v>1.4800000000000001E-2</v>
          </cell>
          <cell r="S14">
            <v>0</v>
          </cell>
          <cell r="V14">
            <v>0.86450000000000005</v>
          </cell>
        </row>
        <row r="15">
          <cell r="A15">
            <v>35462</v>
          </cell>
          <cell r="B15">
            <v>0.71760000000000002</v>
          </cell>
          <cell r="C15">
            <v>1.9E-3</v>
          </cell>
          <cell r="D15">
            <v>0.02</v>
          </cell>
          <cell r="E15">
            <v>0.22070000000000001</v>
          </cell>
          <cell r="F15">
            <v>0</v>
          </cell>
          <cell r="G15">
            <v>1.37E-2</v>
          </cell>
          <cell r="H15">
            <v>0</v>
          </cell>
          <cell r="K15">
            <v>0.9739000000000001</v>
          </cell>
          <cell r="M15">
            <v>0.60709999999999997</v>
          </cell>
          <cell r="N15">
            <v>1.9E-3</v>
          </cell>
          <cell r="O15">
            <v>0.02</v>
          </cell>
          <cell r="P15">
            <v>0.22070000000000001</v>
          </cell>
          <cell r="Q15">
            <v>0</v>
          </cell>
          <cell r="R15">
            <v>1.37E-2</v>
          </cell>
          <cell r="S15">
            <v>0</v>
          </cell>
          <cell r="V15">
            <v>0.86340000000000006</v>
          </cell>
        </row>
        <row r="16">
          <cell r="A16">
            <v>35490</v>
          </cell>
          <cell r="B16">
            <v>0.58560000000000001</v>
          </cell>
          <cell r="C16">
            <v>1.9E-3</v>
          </cell>
          <cell r="D16">
            <v>0.02</v>
          </cell>
          <cell r="E16">
            <v>0.22070000000000001</v>
          </cell>
          <cell r="F16">
            <v>0</v>
          </cell>
          <cell r="G16">
            <v>1.37E-2</v>
          </cell>
          <cell r="H16">
            <v>0</v>
          </cell>
          <cell r="K16">
            <v>0.84190000000000009</v>
          </cell>
          <cell r="M16">
            <v>0.49569999999999997</v>
          </cell>
          <cell r="N16">
            <v>1.9E-3</v>
          </cell>
          <cell r="O16">
            <v>0.02</v>
          </cell>
          <cell r="P16">
            <v>0.22070000000000001</v>
          </cell>
          <cell r="Q16">
            <v>0</v>
          </cell>
          <cell r="R16">
            <v>1.37E-2</v>
          </cell>
          <cell r="S16">
            <v>0</v>
          </cell>
          <cell r="V16">
            <v>0.752</v>
          </cell>
        </row>
        <row r="17">
          <cell r="A17">
            <v>35551</v>
          </cell>
          <cell r="B17">
            <v>0.58560000000000001</v>
          </cell>
          <cell r="C17">
            <v>1.9E-3</v>
          </cell>
          <cell r="D17">
            <v>0.02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1.9199999999999998E-2</v>
          </cell>
          <cell r="J17">
            <v>8.9300000000000004E-2</v>
          </cell>
          <cell r="K17">
            <v>0.71600000000000008</v>
          </cell>
          <cell r="M17">
            <v>0.49569999999999997</v>
          </cell>
          <cell r="N17">
            <v>1.9E-3</v>
          </cell>
          <cell r="O17">
            <v>0.02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1.7000000000000001E-2</v>
          </cell>
          <cell r="U17">
            <v>8.9300000000000004E-2</v>
          </cell>
          <cell r="V17">
            <v>0.62390000000000001</v>
          </cell>
        </row>
        <row r="18">
          <cell r="A18">
            <v>35704</v>
          </cell>
          <cell r="B18">
            <v>0.58560000000000001</v>
          </cell>
          <cell r="C18">
            <v>2.2000000000000001E-3</v>
          </cell>
          <cell r="D18">
            <v>0.02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1.9199999999999998E-2</v>
          </cell>
          <cell r="J18">
            <v>8.9300000000000004E-2</v>
          </cell>
          <cell r="K18">
            <v>0.71630000000000005</v>
          </cell>
          <cell r="M18">
            <v>0.49569999999999997</v>
          </cell>
          <cell r="N18">
            <v>2.2000000000000001E-3</v>
          </cell>
          <cell r="O18">
            <v>0.02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1.7000000000000001E-2</v>
          </cell>
          <cell r="U18">
            <v>8.9300000000000004E-2</v>
          </cell>
          <cell r="V18">
            <v>0.62419999999999998</v>
          </cell>
        </row>
        <row r="19">
          <cell r="A19">
            <v>36281</v>
          </cell>
          <cell r="B19">
            <v>0.58440000000000003</v>
          </cell>
          <cell r="C19">
            <v>2.2000000000000001E-3</v>
          </cell>
          <cell r="D19">
            <v>1.7999999999999999E-2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1.9199999999999998E-2</v>
          </cell>
          <cell r="J19">
            <v>0</v>
          </cell>
          <cell r="K19">
            <v>0.62380000000000002</v>
          </cell>
          <cell r="M19">
            <v>0.49509999999999998</v>
          </cell>
          <cell r="N19">
            <v>2.2000000000000001E-3</v>
          </cell>
          <cell r="O19">
            <v>1.7999999999999999E-2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1.7000000000000001E-2</v>
          </cell>
          <cell r="U19">
            <v>0</v>
          </cell>
          <cell r="V19">
            <v>0.5323</v>
          </cell>
        </row>
        <row r="20">
          <cell r="A20">
            <v>36831</v>
          </cell>
          <cell r="B20">
            <v>0.58440000000000003</v>
          </cell>
          <cell r="C20">
            <v>2.2000000000000001E-3</v>
          </cell>
          <cell r="D20">
            <v>1.6E-2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0.60260000000000002</v>
          </cell>
          <cell r="M20">
            <v>0.49509999999999998</v>
          </cell>
          <cell r="N20">
            <v>2.2000000000000001E-3</v>
          </cell>
          <cell r="O20">
            <v>1.6E-2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0.51329999999999998</v>
          </cell>
        </row>
        <row r="21">
          <cell r="A21">
            <v>37043</v>
          </cell>
          <cell r="B21">
            <v>0.58440000000000003</v>
          </cell>
          <cell r="C21">
            <v>2.2000000000000001E-3</v>
          </cell>
          <cell r="D21">
            <v>1.0999999999999999E-2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0.59760000000000002</v>
          </cell>
          <cell r="M21">
            <v>0.49509999999999998</v>
          </cell>
          <cell r="N21">
            <v>2.2000000000000001E-3</v>
          </cell>
          <cell r="O21">
            <v>1.0999999999999999E-2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0.50829999999999997</v>
          </cell>
        </row>
        <row r="22">
          <cell r="A22">
            <v>37561</v>
          </cell>
          <cell r="B22">
            <v>0.58440000000000003</v>
          </cell>
          <cell r="C22">
            <v>2.0999999999999999E-3</v>
          </cell>
          <cell r="D22">
            <v>8.8000000000000005E-3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0.59530000000000005</v>
          </cell>
          <cell r="M22">
            <v>0.49509999999999998</v>
          </cell>
          <cell r="N22">
            <v>2.0999999999999999E-3</v>
          </cell>
          <cell r="O22">
            <v>8.8000000000000005E-3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0.50600000000000001</v>
          </cell>
        </row>
        <row r="23">
          <cell r="A23">
            <v>37834</v>
          </cell>
          <cell r="B23">
            <v>0.58440000000000003</v>
          </cell>
          <cell r="C23">
            <v>2.0999999999999999E-3</v>
          </cell>
          <cell r="D23">
            <v>6.0000000000000001E-3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0.59250000000000003</v>
          </cell>
          <cell r="M23">
            <v>0.49509999999999998</v>
          </cell>
          <cell r="N23">
            <v>2.0999999999999999E-3</v>
          </cell>
          <cell r="O23">
            <v>6.0000000000000001E-3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0.50319999999999998</v>
          </cell>
        </row>
        <row r="24">
          <cell r="A24">
            <v>38200</v>
          </cell>
          <cell r="B24">
            <v>0.58440000000000003</v>
          </cell>
          <cell r="C24">
            <v>2.0999999999999999E-3</v>
          </cell>
          <cell r="D24">
            <v>0</v>
          </cell>
          <cell r="E24" t="str">
            <v/>
          </cell>
          <cell r="F24">
            <v>0</v>
          </cell>
          <cell r="K24">
            <v>0.58650000000000002</v>
          </cell>
          <cell r="M24">
            <v>0.49509999999999998</v>
          </cell>
          <cell r="N24">
            <v>2.0999999999999999E-3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0.49719999999999998</v>
          </cell>
        </row>
        <row r="25">
          <cell r="A25">
            <v>38384</v>
          </cell>
          <cell r="B25">
            <v>0.58440000000000003</v>
          </cell>
          <cell r="C25">
            <v>1.9E-3</v>
          </cell>
          <cell r="D25">
            <v>0</v>
          </cell>
          <cell r="E25" t="str">
            <v/>
          </cell>
          <cell r="F25">
            <v>0</v>
          </cell>
          <cell r="K25">
            <v>0.58630000000000004</v>
          </cell>
          <cell r="M25">
            <v>0.49509999999999998</v>
          </cell>
          <cell r="N25">
            <v>1.9E-3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0.497</v>
          </cell>
        </row>
        <row r="26">
          <cell r="A26">
            <v>38473</v>
          </cell>
          <cell r="B26">
            <v>0.58440000000000003</v>
          </cell>
          <cell r="C26">
            <v>1.9E-3</v>
          </cell>
          <cell r="D26">
            <v>0</v>
          </cell>
          <cell r="E26" t="str">
            <v/>
          </cell>
          <cell r="F26">
            <v>0</v>
          </cell>
          <cell r="K26">
            <v>0.58630000000000004</v>
          </cell>
          <cell r="M26">
            <v>0.49509999999999998</v>
          </cell>
          <cell r="N26">
            <v>1.9E-3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0.497</v>
          </cell>
        </row>
        <row r="27">
          <cell r="A27">
            <v>38687</v>
          </cell>
          <cell r="B27">
            <v>0.58440000000000003</v>
          </cell>
          <cell r="C27">
            <v>1.8E-3</v>
          </cell>
          <cell r="D27">
            <v>0</v>
          </cell>
          <cell r="E27" t="str">
            <v/>
          </cell>
          <cell r="F27">
            <v>0</v>
          </cell>
          <cell r="K27">
            <v>0.58620000000000005</v>
          </cell>
          <cell r="M27">
            <v>0.49509999999999998</v>
          </cell>
          <cell r="N27">
            <v>1.8E-3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0.49690000000000001</v>
          </cell>
        </row>
        <row r="28">
          <cell r="A28">
            <v>39114</v>
          </cell>
          <cell r="B28">
            <v>0.58440000000000003</v>
          </cell>
          <cell r="C28">
            <v>1.6000000000000001E-3</v>
          </cell>
          <cell r="D28">
            <v>0</v>
          </cell>
          <cell r="E28" t="str">
            <v/>
          </cell>
          <cell r="F28">
            <v>0</v>
          </cell>
          <cell r="K28">
            <v>0.58600000000000008</v>
          </cell>
          <cell r="M28">
            <v>0.49509999999999998</v>
          </cell>
          <cell r="N28">
            <v>1.6000000000000001E-3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0.49669999999999997</v>
          </cell>
        </row>
        <row r="29">
          <cell r="A29">
            <v>54789</v>
          </cell>
        </row>
      </sheetData>
      <sheetData sheetId="73">
        <row r="9">
          <cell r="A9">
            <v>35490</v>
          </cell>
          <cell r="B9">
            <v>1.61E-2</v>
          </cell>
          <cell r="C9">
            <v>1.9E-3</v>
          </cell>
          <cell r="D9">
            <v>8.8000000000000005E-3</v>
          </cell>
          <cell r="E9">
            <v>2.6799999999999997E-2</v>
          </cell>
        </row>
        <row r="10">
          <cell r="A10">
            <v>35704</v>
          </cell>
          <cell r="B10">
            <v>1.61E-2</v>
          </cell>
          <cell r="C10">
            <v>2.2000000000000001E-3</v>
          </cell>
          <cell r="D10">
            <v>8.8000000000000005E-3</v>
          </cell>
          <cell r="E10">
            <v>2.7099999999999999E-2</v>
          </cell>
        </row>
        <row r="11">
          <cell r="A11">
            <v>36281</v>
          </cell>
          <cell r="B11">
            <v>1.61E-2</v>
          </cell>
          <cell r="C11">
            <v>2.2000000000000001E-3</v>
          </cell>
          <cell r="D11">
            <v>7.4999999999999997E-3</v>
          </cell>
          <cell r="E11">
            <v>2.58E-2</v>
          </cell>
        </row>
        <row r="12">
          <cell r="A12">
            <v>36831</v>
          </cell>
          <cell r="B12">
            <v>1.61E-2</v>
          </cell>
          <cell r="C12">
            <v>2.2000000000000001E-3</v>
          </cell>
          <cell r="D12">
            <v>7.1999999999999998E-3</v>
          </cell>
          <cell r="E12">
            <v>2.5500000000000002E-2</v>
          </cell>
        </row>
        <row r="13">
          <cell r="A13">
            <v>37043</v>
          </cell>
          <cell r="B13">
            <v>1.61E-2</v>
          </cell>
          <cell r="C13">
            <v>2.2000000000000001E-3</v>
          </cell>
          <cell r="D13">
            <v>7.0000000000000001E-3</v>
          </cell>
          <cell r="E13">
            <v>2.53E-2</v>
          </cell>
        </row>
        <row r="14">
          <cell r="A14">
            <v>37165</v>
          </cell>
          <cell r="B14">
            <v>1.61E-2</v>
          </cell>
          <cell r="C14">
            <v>2.0999999999999999E-3</v>
          </cell>
          <cell r="D14">
            <v>7.0000000000000001E-3</v>
          </cell>
          <cell r="E14">
            <v>2.52E-2</v>
          </cell>
        </row>
        <row r="15">
          <cell r="A15">
            <v>37561</v>
          </cell>
          <cell r="B15">
            <v>1.61E-2</v>
          </cell>
          <cell r="C15">
            <v>2.0999999999999999E-3</v>
          </cell>
          <cell r="D15">
            <v>5.4999999999999997E-3</v>
          </cell>
          <cell r="E15">
            <v>2.3699999999999999E-2</v>
          </cell>
        </row>
        <row r="16">
          <cell r="A16">
            <v>37834</v>
          </cell>
          <cell r="B16">
            <v>1.61E-2</v>
          </cell>
          <cell r="C16">
            <v>2.0999999999999999E-3</v>
          </cell>
          <cell r="D16">
            <v>4.0000000000000001E-3</v>
          </cell>
          <cell r="E16">
            <v>2.2200000000000001E-2</v>
          </cell>
        </row>
        <row r="17">
          <cell r="A17">
            <v>38292</v>
          </cell>
          <cell r="B17">
            <v>1.61E-2</v>
          </cell>
          <cell r="C17">
            <v>2.0999999999999999E-3</v>
          </cell>
          <cell r="D17">
            <v>0</v>
          </cell>
          <cell r="E17">
            <v>1.8200000000000001E-2</v>
          </cell>
        </row>
        <row r="18">
          <cell r="A18">
            <v>38384</v>
          </cell>
          <cell r="B18">
            <v>1.61E-2</v>
          </cell>
          <cell r="C18">
            <v>1.9E-3</v>
          </cell>
          <cell r="D18">
            <v>0</v>
          </cell>
          <cell r="E18">
            <v>1.7999999999999999E-2</v>
          </cell>
        </row>
        <row r="19">
          <cell r="A19">
            <v>38473</v>
          </cell>
          <cell r="B19">
            <v>1.61E-2</v>
          </cell>
          <cell r="C19">
            <v>1.9E-3</v>
          </cell>
          <cell r="D19">
            <v>0</v>
          </cell>
          <cell r="E19">
            <v>1.7999999999999999E-2</v>
          </cell>
        </row>
        <row r="20">
          <cell r="A20">
            <v>38687</v>
          </cell>
          <cell r="B20">
            <v>1.61E-2</v>
          </cell>
          <cell r="C20">
            <v>1.8E-3</v>
          </cell>
          <cell r="D20">
            <v>0</v>
          </cell>
          <cell r="E20">
            <v>1.7899999999999999E-2</v>
          </cell>
        </row>
        <row r="21">
          <cell r="A21">
            <v>39114</v>
          </cell>
          <cell r="B21">
            <v>1.61E-2</v>
          </cell>
          <cell r="C21">
            <v>1.6000000000000001E-3</v>
          </cell>
          <cell r="D21">
            <v>0</v>
          </cell>
          <cell r="E21">
            <v>1.77E-2</v>
          </cell>
        </row>
        <row r="22">
          <cell r="A22">
            <v>54789</v>
          </cell>
        </row>
      </sheetData>
      <sheetData sheetId="74">
        <row r="9">
          <cell r="A9" t="str">
            <v>Effective</v>
          </cell>
          <cell r="B9" t="str">
            <v>Base</v>
          </cell>
          <cell r="C9" t="str">
            <v>GSR</v>
          </cell>
          <cell r="D9" t="str">
            <v>CDT</v>
          </cell>
          <cell r="E9" t="str">
            <v>PCB Adj</v>
          </cell>
          <cell r="F9" t="str">
            <v>TCRA</v>
          </cell>
          <cell r="G9" t="str">
            <v>Settlemnt</v>
          </cell>
          <cell r="H9" t="str">
            <v xml:space="preserve">Total </v>
          </cell>
          <cell r="J9" t="str">
            <v>Base</v>
          </cell>
          <cell r="K9" t="str">
            <v>GSR</v>
          </cell>
          <cell r="L9" t="str">
            <v>CDT</v>
          </cell>
          <cell r="M9" t="str">
            <v>PCB Adj</v>
          </cell>
          <cell r="N9" t="str">
            <v>TCRA</v>
          </cell>
          <cell r="O9" t="str">
            <v>Settlemnt</v>
          </cell>
          <cell r="P9" t="str">
            <v xml:space="preserve">Total </v>
          </cell>
        </row>
        <row r="10">
          <cell r="A10">
            <v>34973</v>
          </cell>
          <cell r="B10">
            <v>13.15</v>
          </cell>
          <cell r="C10">
            <v>2.27</v>
          </cell>
          <cell r="D10">
            <v>0.09</v>
          </cell>
          <cell r="F10">
            <v>0.44</v>
          </cell>
          <cell r="H10">
            <v>15.95</v>
          </cell>
          <cell r="J10">
            <v>11.15</v>
          </cell>
          <cell r="K10">
            <v>2.27</v>
          </cell>
          <cell r="L10">
            <v>0.09</v>
          </cell>
          <cell r="N10">
            <v>0.44</v>
          </cell>
          <cell r="P10">
            <v>13.95</v>
          </cell>
        </row>
        <row r="11">
          <cell r="A11">
            <v>35004.056410256409</v>
          </cell>
          <cell r="B11">
            <v>13.15</v>
          </cell>
          <cell r="C11">
            <v>1.94</v>
          </cell>
          <cell r="D11">
            <v>0.05</v>
          </cell>
          <cell r="F11">
            <v>0.44</v>
          </cell>
          <cell r="H11">
            <v>15.58</v>
          </cell>
          <cell r="J11">
            <v>11.15</v>
          </cell>
          <cell r="K11">
            <v>1.94</v>
          </cell>
          <cell r="L11">
            <v>0.05</v>
          </cell>
          <cell r="N11">
            <v>0.44</v>
          </cell>
          <cell r="P11">
            <v>13.58</v>
          </cell>
        </row>
        <row r="12">
          <cell r="A12">
            <v>35096</v>
          </cell>
          <cell r="B12">
            <v>13.15</v>
          </cell>
          <cell r="C12">
            <v>1.87</v>
          </cell>
          <cell r="D12">
            <v>0.05</v>
          </cell>
          <cell r="F12">
            <v>0.27</v>
          </cell>
          <cell r="H12">
            <v>15.34</v>
          </cell>
          <cell r="J12">
            <v>11.15</v>
          </cell>
          <cell r="K12">
            <v>1.87</v>
          </cell>
          <cell r="L12">
            <v>0.05</v>
          </cell>
          <cell r="N12">
            <v>0.27</v>
          </cell>
          <cell r="P12">
            <v>13.34</v>
          </cell>
        </row>
        <row r="13">
          <cell r="A13">
            <v>35186</v>
          </cell>
          <cell r="B13">
            <v>12.8</v>
          </cell>
          <cell r="C13">
            <v>2.09</v>
          </cell>
          <cell r="D13">
            <v>0</v>
          </cell>
          <cell r="F13">
            <v>0.27</v>
          </cell>
          <cell r="H13">
            <v>15.16</v>
          </cell>
          <cell r="J13">
            <v>10.84</v>
          </cell>
          <cell r="K13">
            <v>2.09</v>
          </cell>
          <cell r="L13">
            <v>0</v>
          </cell>
          <cell r="N13">
            <v>0.27</v>
          </cell>
          <cell r="P13">
            <v>13.2</v>
          </cell>
        </row>
        <row r="14">
          <cell r="A14">
            <v>35278</v>
          </cell>
          <cell r="B14">
            <v>12.8</v>
          </cell>
          <cell r="C14">
            <v>2.59</v>
          </cell>
          <cell r="D14">
            <v>0</v>
          </cell>
          <cell r="E14">
            <v>0.35</v>
          </cell>
          <cell r="F14">
            <v>0.27</v>
          </cell>
          <cell r="H14">
            <v>16.010000000000002</v>
          </cell>
          <cell r="J14">
            <v>10.84</v>
          </cell>
          <cell r="K14">
            <v>2.59</v>
          </cell>
          <cell r="L14">
            <v>0</v>
          </cell>
          <cell r="M14">
            <v>0.31</v>
          </cell>
          <cell r="N14">
            <v>0.27</v>
          </cell>
          <cell r="P14">
            <v>14.01</v>
          </cell>
        </row>
        <row r="15">
          <cell r="A15">
            <v>35400</v>
          </cell>
          <cell r="B15">
            <v>12.8</v>
          </cell>
          <cell r="C15">
            <v>4.03</v>
          </cell>
          <cell r="D15">
            <v>0</v>
          </cell>
          <cell r="E15">
            <v>0.35</v>
          </cell>
          <cell r="F15">
            <v>0.27</v>
          </cell>
          <cell r="H15">
            <v>17.450000000000003</v>
          </cell>
          <cell r="J15">
            <v>10.84</v>
          </cell>
          <cell r="K15">
            <v>4.03</v>
          </cell>
          <cell r="L15">
            <v>0</v>
          </cell>
          <cell r="M15">
            <v>0.31</v>
          </cell>
          <cell r="N15">
            <v>0.27</v>
          </cell>
          <cell r="P15">
            <v>15.450000000000001</v>
          </cell>
        </row>
        <row r="16">
          <cell r="A16">
            <v>35462</v>
          </cell>
          <cell r="B16">
            <v>12.8</v>
          </cell>
          <cell r="C16">
            <v>4.03</v>
          </cell>
          <cell r="D16">
            <v>0</v>
          </cell>
          <cell r="E16">
            <v>0.35</v>
          </cell>
          <cell r="F16">
            <v>0.25</v>
          </cell>
          <cell r="H16">
            <v>17.430000000000003</v>
          </cell>
          <cell r="J16">
            <v>10.84</v>
          </cell>
          <cell r="K16">
            <v>4.03</v>
          </cell>
          <cell r="L16">
            <v>0</v>
          </cell>
          <cell r="M16">
            <v>0.31</v>
          </cell>
          <cell r="N16">
            <v>0.25</v>
          </cell>
          <cell r="P16">
            <v>15.430000000000001</v>
          </cell>
        </row>
        <row r="17">
          <cell r="A17">
            <v>35490</v>
          </cell>
          <cell r="B17">
            <v>9.08</v>
          </cell>
          <cell r="C17">
            <v>4.03</v>
          </cell>
          <cell r="D17">
            <v>0</v>
          </cell>
          <cell r="E17">
            <v>0.35</v>
          </cell>
          <cell r="F17">
            <v>0.25</v>
          </cell>
          <cell r="H17">
            <v>13.709999999999999</v>
          </cell>
          <cell r="J17">
            <v>7.63</v>
          </cell>
          <cell r="K17">
            <v>4.03</v>
          </cell>
          <cell r="L17">
            <v>0</v>
          </cell>
          <cell r="M17">
            <v>0.31</v>
          </cell>
          <cell r="N17">
            <v>0.25</v>
          </cell>
          <cell r="P17">
            <v>12.22</v>
          </cell>
        </row>
        <row r="18">
          <cell r="A18">
            <v>35551</v>
          </cell>
          <cell r="B18">
            <v>9.08</v>
          </cell>
          <cell r="C18">
            <v>0</v>
          </cell>
          <cell r="D18">
            <v>0</v>
          </cell>
          <cell r="E18">
            <v>0.35</v>
          </cell>
          <cell r="F18">
            <v>0</v>
          </cell>
          <cell r="G18">
            <v>1.63</v>
          </cell>
          <cell r="H18">
            <v>11.059999999999999</v>
          </cell>
          <cell r="J18">
            <v>7.63</v>
          </cell>
          <cell r="K18">
            <v>0</v>
          </cell>
          <cell r="L18">
            <v>0</v>
          </cell>
          <cell r="M18">
            <v>0.31</v>
          </cell>
          <cell r="N18">
            <v>0</v>
          </cell>
          <cell r="O18">
            <v>1.63</v>
          </cell>
          <cell r="P18">
            <v>9.57</v>
          </cell>
        </row>
        <row r="19">
          <cell r="A19">
            <v>36281</v>
          </cell>
          <cell r="B19">
            <v>9.06</v>
          </cell>
          <cell r="C19">
            <v>0</v>
          </cell>
          <cell r="D19">
            <v>0</v>
          </cell>
          <cell r="E19">
            <v>0.35</v>
          </cell>
          <cell r="F19">
            <v>0</v>
          </cell>
          <cell r="G19">
            <v>0</v>
          </cell>
          <cell r="H19">
            <v>9.41</v>
          </cell>
          <cell r="J19">
            <v>7.62</v>
          </cell>
          <cell r="K19">
            <v>0</v>
          </cell>
          <cell r="L19">
            <v>0</v>
          </cell>
          <cell r="M19">
            <v>0.31</v>
          </cell>
          <cell r="N19">
            <v>0</v>
          </cell>
          <cell r="O19">
            <v>0</v>
          </cell>
          <cell r="P19">
            <v>7.93</v>
          </cell>
        </row>
        <row r="20">
          <cell r="A20">
            <v>36831</v>
          </cell>
          <cell r="B20">
            <v>9.06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9.06</v>
          </cell>
          <cell r="J20">
            <v>7.62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7.62</v>
          </cell>
        </row>
        <row r="21">
          <cell r="A21">
            <v>37561</v>
          </cell>
          <cell r="B21">
            <v>9.06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9.06</v>
          </cell>
          <cell r="J21">
            <v>7.62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7.62</v>
          </cell>
        </row>
        <row r="22">
          <cell r="A22">
            <v>37834</v>
          </cell>
          <cell r="B22">
            <v>9.06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9.06</v>
          </cell>
          <cell r="J22">
            <v>7.62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7.62</v>
          </cell>
        </row>
        <row r="23">
          <cell r="A23">
            <v>38200</v>
          </cell>
          <cell r="B23">
            <v>9.06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9.06</v>
          </cell>
          <cell r="J23">
            <v>7.62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7.62</v>
          </cell>
        </row>
        <row r="24">
          <cell r="A24">
            <v>38384</v>
          </cell>
          <cell r="B24">
            <v>9.06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9.06</v>
          </cell>
          <cell r="J24">
            <v>7.62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7.62</v>
          </cell>
        </row>
        <row r="25">
          <cell r="A25">
            <v>38473</v>
          </cell>
          <cell r="B25">
            <v>9.06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9.06</v>
          </cell>
          <cell r="J25">
            <v>7.62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7.62</v>
          </cell>
        </row>
        <row r="26">
          <cell r="A26">
            <v>39114</v>
          </cell>
          <cell r="B26">
            <v>9.06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9.06</v>
          </cell>
          <cell r="J26">
            <v>7.62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7.62</v>
          </cell>
        </row>
        <row r="27">
          <cell r="A27">
            <v>54789</v>
          </cell>
        </row>
      </sheetData>
      <sheetData sheetId="75">
        <row r="9">
          <cell r="A9">
            <v>34881</v>
          </cell>
          <cell r="B9">
            <v>1.6199999999999999E-2</v>
          </cell>
          <cell r="C9">
            <v>2.2000000000000001E-3</v>
          </cell>
          <cell r="D9">
            <v>0.02</v>
          </cell>
          <cell r="E9">
            <v>3.1E-2</v>
          </cell>
          <cell r="F9">
            <v>6.9400000000000003E-2</v>
          </cell>
          <cell r="H9">
            <v>1.3000000000000001E-2</v>
          </cell>
          <cell r="I9">
            <v>2.2000000000000001E-3</v>
          </cell>
          <cell r="J9">
            <v>0.02</v>
          </cell>
          <cell r="K9">
            <v>3.1E-2</v>
          </cell>
          <cell r="L9">
            <v>6.6200000000000009E-2</v>
          </cell>
        </row>
        <row r="10">
          <cell r="A10">
            <v>35004</v>
          </cell>
          <cell r="B10">
            <v>1.6199999999999999E-2</v>
          </cell>
          <cell r="C10">
            <v>2.2000000000000001E-3</v>
          </cell>
          <cell r="D10">
            <v>0.02</v>
          </cell>
          <cell r="E10">
            <v>3.1E-2</v>
          </cell>
          <cell r="F10">
            <v>6.9400000000000003E-2</v>
          </cell>
          <cell r="H10">
            <v>1.3000000000000001E-2</v>
          </cell>
          <cell r="I10">
            <v>2.2000000000000001E-3</v>
          </cell>
          <cell r="J10">
            <v>0.02</v>
          </cell>
          <cell r="K10">
            <v>3.1E-2</v>
          </cell>
          <cell r="L10">
            <v>6.6200000000000009E-2</v>
          </cell>
        </row>
        <row r="11">
          <cell r="A11">
            <v>35096</v>
          </cell>
          <cell r="B11">
            <v>1.6199999999999999E-2</v>
          </cell>
          <cell r="C11">
            <v>2.2000000000000001E-3</v>
          </cell>
          <cell r="D11">
            <v>0.02</v>
          </cell>
          <cell r="E11">
            <v>0</v>
          </cell>
          <cell r="F11">
            <v>3.8400000000000004E-2</v>
          </cell>
          <cell r="H11">
            <v>1.3000000000000001E-2</v>
          </cell>
          <cell r="I11">
            <v>2.2000000000000001E-3</v>
          </cell>
          <cell r="J11">
            <v>0.02</v>
          </cell>
          <cell r="K11">
            <v>0</v>
          </cell>
          <cell r="L11">
            <v>3.5200000000000002E-2</v>
          </cell>
        </row>
        <row r="12">
          <cell r="A12">
            <v>35339</v>
          </cell>
          <cell r="B12">
            <v>1.6199999999999999E-2</v>
          </cell>
          <cell r="C12">
            <v>1.9E-3</v>
          </cell>
          <cell r="D12">
            <v>0.02</v>
          </cell>
          <cell r="E12">
            <v>2.2499999999999999E-2</v>
          </cell>
          <cell r="F12">
            <v>6.0599999999999994E-2</v>
          </cell>
          <cell r="H12">
            <v>1.3000000000000001E-2</v>
          </cell>
          <cell r="I12">
            <v>1.9E-3</v>
          </cell>
          <cell r="J12">
            <v>0.02</v>
          </cell>
          <cell r="K12">
            <v>2.2499999999999999E-2</v>
          </cell>
          <cell r="L12">
            <v>5.74E-2</v>
          </cell>
        </row>
        <row r="13">
          <cell r="A13">
            <v>35490</v>
          </cell>
          <cell r="B13">
            <v>8.8099999999999998E-2</v>
          </cell>
          <cell r="C13">
            <v>1.9E-3</v>
          </cell>
          <cell r="D13">
            <v>0.02</v>
          </cell>
          <cell r="E13">
            <v>2.2499999999999999E-2</v>
          </cell>
          <cell r="F13">
            <v>0.13250000000000001</v>
          </cell>
          <cell r="H13">
            <v>7.7600000000000002E-2</v>
          </cell>
          <cell r="I13">
            <v>1.9E-3</v>
          </cell>
          <cell r="J13">
            <v>0.02</v>
          </cell>
          <cell r="K13">
            <v>2.2499999999999999E-2</v>
          </cell>
          <cell r="L13">
            <v>0.122</v>
          </cell>
        </row>
        <row r="14">
          <cell r="A14">
            <v>35704</v>
          </cell>
          <cell r="B14">
            <v>8.8099999999999998E-2</v>
          </cell>
          <cell r="C14">
            <v>2.2000000000000001E-3</v>
          </cell>
          <cell r="D14">
            <v>0.02</v>
          </cell>
          <cell r="E14">
            <v>2.2499999999999999E-2</v>
          </cell>
          <cell r="F14">
            <v>0.1328</v>
          </cell>
          <cell r="H14">
            <v>7.7600000000000002E-2</v>
          </cell>
          <cell r="I14">
            <v>2.2000000000000001E-3</v>
          </cell>
          <cell r="J14">
            <v>0.02</v>
          </cell>
          <cell r="K14">
            <v>2.2499999999999999E-2</v>
          </cell>
          <cell r="L14">
            <v>0.12229999999999999</v>
          </cell>
        </row>
        <row r="15">
          <cell r="A15">
            <v>36281</v>
          </cell>
          <cell r="B15">
            <v>8.7999999999999995E-2</v>
          </cell>
          <cell r="C15">
            <v>2.2000000000000001E-3</v>
          </cell>
          <cell r="D15">
            <v>1.7999999999999999E-2</v>
          </cell>
          <cell r="E15">
            <v>2.2499999999999999E-2</v>
          </cell>
          <cell r="F15">
            <v>0.13069999999999998</v>
          </cell>
          <cell r="H15">
            <v>7.7600000000000002E-2</v>
          </cell>
          <cell r="I15">
            <v>2.2000000000000001E-3</v>
          </cell>
          <cell r="J15">
            <v>1.7999999999999999E-2</v>
          </cell>
          <cell r="K15">
            <v>2.2499999999999999E-2</v>
          </cell>
          <cell r="L15">
            <v>0.12029999999999999</v>
          </cell>
        </row>
        <row r="16">
          <cell r="A16">
            <v>36831</v>
          </cell>
          <cell r="B16">
            <v>8.7999999999999995E-2</v>
          </cell>
          <cell r="C16">
            <v>2.2000000000000001E-3</v>
          </cell>
          <cell r="D16">
            <v>1.6E-2</v>
          </cell>
          <cell r="E16">
            <v>2.2499999999999999E-2</v>
          </cell>
          <cell r="F16">
            <v>0.12869999999999998</v>
          </cell>
          <cell r="H16">
            <v>7.7600000000000002E-2</v>
          </cell>
          <cell r="I16">
            <v>2.2000000000000001E-3</v>
          </cell>
          <cell r="J16">
            <v>1.6E-2</v>
          </cell>
          <cell r="K16">
            <v>2.2499999999999999E-2</v>
          </cell>
          <cell r="L16">
            <v>0.11829999999999999</v>
          </cell>
        </row>
        <row r="17">
          <cell r="A17">
            <v>37043</v>
          </cell>
          <cell r="B17">
            <v>8.7999999999999995E-2</v>
          </cell>
          <cell r="C17">
            <v>2.2000000000000001E-3</v>
          </cell>
          <cell r="D17">
            <v>1.0999999999999999E-2</v>
          </cell>
          <cell r="E17">
            <v>2.2499999999999999E-2</v>
          </cell>
          <cell r="F17">
            <v>0.12369999999999998</v>
          </cell>
          <cell r="H17">
            <v>7.7600000000000002E-2</v>
          </cell>
          <cell r="I17">
            <v>2.2000000000000001E-3</v>
          </cell>
          <cell r="J17">
            <v>1.0999999999999999E-2</v>
          </cell>
          <cell r="K17">
            <v>2.2499999999999999E-2</v>
          </cell>
          <cell r="L17">
            <v>0.11329999999999998</v>
          </cell>
        </row>
        <row r="18">
          <cell r="A18">
            <v>37043</v>
          </cell>
          <cell r="B18">
            <v>8.7999999999999995E-2</v>
          </cell>
          <cell r="C18">
            <v>2.0999999999999999E-3</v>
          </cell>
          <cell r="D18">
            <v>8.8000000000000005E-3</v>
          </cell>
          <cell r="E18">
            <v>2.2499999999999999E-2</v>
          </cell>
          <cell r="F18">
            <v>0.12140000000000001</v>
          </cell>
          <cell r="H18">
            <v>7.7600000000000002E-2</v>
          </cell>
          <cell r="I18">
            <v>2.0999999999999999E-3</v>
          </cell>
          <cell r="J18">
            <v>8.8000000000000005E-3</v>
          </cell>
          <cell r="K18">
            <v>2.2499999999999999E-2</v>
          </cell>
          <cell r="L18">
            <v>0.11100000000000002</v>
          </cell>
        </row>
        <row r="19">
          <cell r="A19">
            <v>37834</v>
          </cell>
          <cell r="B19">
            <v>8.7999999999999995E-2</v>
          </cell>
          <cell r="C19">
            <v>2.0999999999999999E-3</v>
          </cell>
          <cell r="D19">
            <v>6.0000000000000001E-3</v>
          </cell>
          <cell r="E19">
            <v>2.2499999999999999E-2</v>
          </cell>
          <cell r="F19">
            <v>0.11860000000000001</v>
          </cell>
          <cell r="H19">
            <v>7.7600000000000002E-2</v>
          </cell>
          <cell r="I19">
            <v>2.0999999999999999E-3</v>
          </cell>
          <cell r="J19">
            <v>6.0000000000000001E-3</v>
          </cell>
          <cell r="K19">
            <v>2.2499999999999999E-2</v>
          </cell>
          <cell r="L19">
            <v>0.10820000000000002</v>
          </cell>
        </row>
        <row r="20">
          <cell r="A20">
            <v>38200</v>
          </cell>
          <cell r="B20">
            <v>8.7999999999999995E-2</v>
          </cell>
          <cell r="C20">
            <v>2.0999999999999999E-3</v>
          </cell>
          <cell r="D20">
            <v>0</v>
          </cell>
          <cell r="E20">
            <v>0</v>
          </cell>
          <cell r="F20">
            <v>9.01E-2</v>
          </cell>
          <cell r="H20">
            <v>7.7600000000000002E-2</v>
          </cell>
          <cell r="I20">
            <v>2.0999999999999999E-3</v>
          </cell>
          <cell r="J20">
            <v>0</v>
          </cell>
          <cell r="K20">
            <v>0</v>
          </cell>
          <cell r="L20">
            <v>7.9700000000000007E-2</v>
          </cell>
        </row>
        <row r="21">
          <cell r="A21">
            <v>38384</v>
          </cell>
          <cell r="B21">
            <v>8.7999999999999995E-2</v>
          </cell>
          <cell r="C21">
            <v>1.9E-3</v>
          </cell>
          <cell r="D21">
            <v>0</v>
          </cell>
          <cell r="E21">
            <v>0</v>
          </cell>
          <cell r="F21">
            <v>8.9899999999999994E-2</v>
          </cell>
          <cell r="H21">
            <v>7.7600000000000002E-2</v>
          </cell>
          <cell r="I21">
            <v>1.9E-3</v>
          </cell>
          <cell r="J21">
            <v>0</v>
          </cell>
          <cell r="K21">
            <v>0</v>
          </cell>
          <cell r="L21">
            <v>7.9500000000000001E-2</v>
          </cell>
        </row>
        <row r="22">
          <cell r="A22">
            <v>38473</v>
          </cell>
          <cell r="B22">
            <v>8.7999999999999995E-2</v>
          </cell>
          <cell r="C22">
            <v>1.9E-3</v>
          </cell>
          <cell r="D22">
            <v>0</v>
          </cell>
          <cell r="E22">
            <v>0</v>
          </cell>
          <cell r="F22">
            <v>8.9899999999999994E-2</v>
          </cell>
          <cell r="H22">
            <v>7.7600000000000002E-2</v>
          </cell>
          <cell r="I22">
            <v>1.9E-3</v>
          </cell>
          <cell r="J22">
            <v>0</v>
          </cell>
          <cell r="K22">
            <v>0</v>
          </cell>
          <cell r="L22">
            <v>7.9500000000000001E-2</v>
          </cell>
        </row>
        <row r="23">
          <cell r="A23">
            <v>38687</v>
          </cell>
          <cell r="B23">
            <v>8.7999999999999995E-2</v>
          </cell>
          <cell r="C23">
            <v>1.8E-3</v>
          </cell>
          <cell r="D23">
            <v>0</v>
          </cell>
          <cell r="E23">
            <v>0</v>
          </cell>
          <cell r="F23">
            <v>8.9799999999999991E-2</v>
          </cell>
          <cell r="H23">
            <v>7.7600000000000002E-2</v>
          </cell>
          <cell r="I23">
            <v>1.8E-3</v>
          </cell>
          <cell r="J23">
            <v>0</v>
          </cell>
          <cell r="K23">
            <v>0</v>
          </cell>
          <cell r="L23">
            <v>7.9399999999999998E-2</v>
          </cell>
        </row>
        <row r="24">
          <cell r="A24">
            <v>39114</v>
          </cell>
          <cell r="B24">
            <v>8.7999999999999995E-2</v>
          </cell>
          <cell r="C24">
            <v>1.6000000000000001E-3</v>
          </cell>
          <cell r="D24">
            <v>0</v>
          </cell>
          <cell r="E24">
            <v>0</v>
          </cell>
          <cell r="F24">
            <v>8.9599999999999999E-2</v>
          </cell>
          <cell r="H24">
            <v>7.7600000000000002E-2</v>
          </cell>
          <cell r="I24">
            <v>1.6000000000000001E-3</v>
          </cell>
          <cell r="J24">
            <v>0</v>
          </cell>
          <cell r="K24">
            <v>0</v>
          </cell>
          <cell r="L24">
            <v>7.9200000000000007E-2</v>
          </cell>
        </row>
        <row r="25">
          <cell r="A25">
            <v>54789</v>
          </cell>
        </row>
      </sheetData>
      <sheetData sheetId="76">
        <row r="10">
          <cell r="A10">
            <v>35004</v>
          </cell>
          <cell r="B10">
            <v>2.0299999999999998</v>
          </cell>
          <cell r="C10">
            <v>2.4900000000000002E-2</v>
          </cell>
          <cell r="D10">
            <v>5.3E-3</v>
          </cell>
          <cell r="E10">
            <v>5.3E-3</v>
          </cell>
          <cell r="F10">
            <v>1.49E-2</v>
          </cell>
          <cell r="H10">
            <v>1.61</v>
          </cell>
          <cell r="I10">
            <v>2.3700000000000002E-2</v>
          </cell>
          <cell r="J10">
            <v>1.18E-2</v>
          </cell>
          <cell r="K10">
            <v>1.18E-2</v>
          </cell>
          <cell r="L10">
            <v>1.49E-2</v>
          </cell>
        </row>
        <row r="11">
          <cell r="A11">
            <v>35339</v>
          </cell>
          <cell r="B11">
            <v>2.0299999999999998</v>
          </cell>
          <cell r="C11">
            <v>2.4900000000000002E-2</v>
          </cell>
          <cell r="D11">
            <v>5.3E-3</v>
          </cell>
          <cell r="E11">
            <v>5.3E-3</v>
          </cell>
          <cell r="F11">
            <v>1.49E-2</v>
          </cell>
          <cell r="H11">
            <v>1.61</v>
          </cell>
          <cell r="I11">
            <v>2.3700000000000002E-2</v>
          </cell>
          <cell r="J11">
            <v>1.18E-2</v>
          </cell>
          <cell r="K11">
            <v>1.18E-2</v>
          </cell>
          <cell r="L11">
            <v>1.49E-2</v>
          </cell>
        </row>
        <row r="12">
          <cell r="A12">
            <v>35490</v>
          </cell>
          <cell r="B12">
            <v>2.02</v>
          </cell>
          <cell r="C12">
            <v>2.4799999999999999E-2</v>
          </cell>
          <cell r="D12">
            <v>5.3E-3</v>
          </cell>
          <cell r="E12">
            <v>5.3E-3</v>
          </cell>
          <cell r="F12">
            <v>1.49E-2</v>
          </cell>
          <cell r="H12">
            <v>1.17</v>
          </cell>
          <cell r="I12">
            <v>1.8700000000000001E-2</v>
          </cell>
          <cell r="J12">
            <v>1.0200000000000001E-2</v>
          </cell>
          <cell r="K12">
            <v>1.0200000000000001E-2</v>
          </cell>
          <cell r="L12">
            <v>1.49E-2</v>
          </cell>
        </row>
        <row r="13">
          <cell r="A13">
            <v>35704</v>
          </cell>
          <cell r="B13">
            <v>2.02</v>
          </cell>
          <cell r="C13">
            <v>2.4799999999999999E-2</v>
          </cell>
          <cell r="D13">
            <v>5.3E-3</v>
          </cell>
          <cell r="E13">
            <v>5.3E-3</v>
          </cell>
          <cell r="F13">
            <v>1.49E-2</v>
          </cell>
          <cell r="H13">
            <v>1.17</v>
          </cell>
          <cell r="I13">
            <v>1.8700000000000001E-2</v>
          </cell>
          <cell r="J13">
            <v>1.0200000000000001E-2</v>
          </cell>
          <cell r="K13">
            <v>1.0200000000000001E-2</v>
          </cell>
          <cell r="L13">
            <v>1.49E-2</v>
          </cell>
        </row>
        <row r="14">
          <cell r="A14">
            <v>36281</v>
          </cell>
          <cell r="B14">
            <v>2.02</v>
          </cell>
          <cell r="C14">
            <v>2.4799999999999999E-2</v>
          </cell>
          <cell r="D14">
            <v>5.3E-3</v>
          </cell>
          <cell r="E14">
            <v>5.3E-3</v>
          </cell>
          <cell r="F14">
            <v>1.49E-2</v>
          </cell>
          <cell r="H14">
            <v>1.17</v>
          </cell>
          <cell r="I14">
            <v>1.8700000000000001E-2</v>
          </cell>
          <cell r="J14">
            <v>1.0200000000000001E-2</v>
          </cell>
          <cell r="K14">
            <v>1.0200000000000001E-2</v>
          </cell>
          <cell r="L14">
            <v>1.49E-2</v>
          </cell>
        </row>
        <row r="15">
          <cell r="A15">
            <v>36831</v>
          </cell>
          <cell r="B15">
            <v>2.02</v>
          </cell>
          <cell r="C15">
            <v>2.4799999999999999E-2</v>
          </cell>
          <cell r="D15">
            <v>5.3E-3</v>
          </cell>
          <cell r="E15">
            <v>5.3E-3</v>
          </cell>
          <cell r="F15">
            <v>1.49E-2</v>
          </cell>
          <cell r="H15">
            <v>1.1499999999999999</v>
          </cell>
          <cell r="I15">
            <v>1.8499999999999999E-2</v>
          </cell>
          <cell r="J15">
            <v>1.0200000000000001E-2</v>
          </cell>
          <cell r="K15">
            <v>1.0200000000000001E-2</v>
          </cell>
          <cell r="L15">
            <v>1.49E-2</v>
          </cell>
        </row>
        <row r="16">
          <cell r="A16">
            <v>37561</v>
          </cell>
          <cell r="B16">
            <v>2.02</v>
          </cell>
          <cell r="C16">
            <v>2.4799999999999999E-2</v>
          </cell>
          <cell r="D16">
            <v>5.3E-3</v>
          </cell>
          <cell r="E16">
            <v>5.3E-3</v>
          </cell>
          <cell r="F16">
            <v>1.49E-2</v>
          </cell>
          <cell r="H16">
            <v>1.1499999999999999</v>
          </cell>
          <cell r="I16">
            <v>1.8499999999999999E-2</v>
          </cell>
          <cell r="J16">
            <v>1.0200000000000001E-2</v>
          </cell>
          <cell r="K16">
            <v>1.0200000000000001E-2</v>
          </cell>
          <cell r="L16">
            <v>1.49E-2</v>
          </cell>
        </row>
        <row r="17">
          <cell r="A17">
            <v>37834</v>
          </cell>
          <cell r="B17">
            <v>2.02</v>
          </cell>
          <cell r="C17">
            <v>2.4799999999999999E-2</v>
          </cell>
          <cell r="D17">
            <v>5.3E-3</v>
          </cell>
          <cell r="E17">
            <v>5.3E-3</v>
          </cell>
          <cell r="F17">
            <v>1.49E-2</v>
          </cell>
          <cell r="H17">
            <v>1.1499999999999999</v>
          </cell>
          <cell r="I17">
            <v>1.8499999999999999E-2</v>
          </cell>
          <cell r="J17">
            <v>1.0200000000000001E-2</v>
          </cell>
          <cell r="K17">
            <v>1.0200000000000001E-2</v>
          </cell>
          <cell r="L17">
            <v>1.49E-2</v>
          </cell>
        </row>
        <row r="18">
          <cell r="A18">
            <v>38200</v>
          </cell>
          <cell r="B18">
            <v>2.02</v>
          </cell>
          <cell r="C18">
            <v>2.4799999999999999E-2</v>
          </cell>
          <cell r="D18">
            <v>5.3E-3</v>
          </cell>
          <cell r="E18">
            <v>5.3E-3</v>
          </cell>
          <cell r="F18">
            <v>1.49E-2</v>
          </cell>
          <cell r="H18">
            <v>1.1499999999999999</v>
          </cell>
          <cell r="I18">
            <v>1.8499999999999999E-2</v>
          </cell>
          <cell r="J18">
            <v>1.0200000000000001E-2</v>
          </cell>
          <cell r="K18">
            <v>1.0200000000000001E-2</v>
          </cell>
          <cell r="L18">
            <v>1.49E-2</v>
          </cell>
        </row>
        <row r="19">
          <cell r="A19">
            <v>38384</v>
          </cell>
          <cell r="B19">
            <v>2.02</v>
          </cell>
          <cell r="C19">
            <v>2.4799999999999999E-2</v>
          </cell>
          <cell r="D19">
            <v>5.3E-3</v>
          </cell>
          <cell r="E19">
            <v>5.3E-3</v>
          </cell>
          <cell r="F19">
            <v>1.49E-2</v>
          </cell>
          <cell r="H19">
            <v>1.1499999999999999</v>
          </cell>
          <cell r="I19">
            <v>1.8499999999999999E-2</v>
          </cell>
          <cell r="J19">
            <v>1.0200000000000001E-2</v>
          </cell>
          <cell r="K19">
            <v>1.0200000000000001E-2</v>
          </cell>
          <cell r="L19">
            <v>1.49E-2</v>
          </cell>
        </row>
        <row r="20">
          <cell r="A20">
            <v>38473</v>
          </cell>
          <cell r="B20">
            <v>2.02</v>
          </cell>
          <cell r="C20">
            <v>2.4799999999999999E-2</v>
          </cell>
          <cell r="D20">
            <v>5.3E-3</v>
          </cell>
          <cell r="E20">
            <v>5.3E-3</v>
          </cell>
          <cell r="F20">
            <v>1.49E-2</v>
          </cell>
          <cell r="H20">
            <v>1.1499999999999999</v>
          </cell>
          <cell r="I20">
            <v>1.8499999999999999E-2</v>
          </cell>
          <cell r="J20">
            <v>1.0200000000000001E-2</v>
          </cell>
          <cell r="K20">
            <v>1.0200000000000001E-2</v>
          </cell>
          <cell r="L20">
            <v>1.49E-2</v>
          </cell>
        </row>
        <row r="21">
          <cell r="A21">
            <v>39114</v>
          </cell>
          <cell r="B21">
            <v>2.02</v>
          </cell>
          <cell r="C21">
            <v>2.4799999999999999E-2</v>
          </cell>
          <cell r="D21">
            <v>5.3E-3</v>
          </cell>
          <cell r="E21">
            <v>5.3E-3</v>
          </cell>
          <cell r="F21">
            <v>1.49E-2</v>
          </cell>
          <cell r="H21">
            <v>1.1499999999999999</v>
          </cell>
          <cell r="I21">
            <v>1.8499999999999999E-2</v>
          </cell>
          <cell r="J21">
            <v>1.0200000000000001E-2</v>
          </cell>
          <cell r="K21">
            <v>1.0200000000000001E-2</v>
          </cell>
          <cell r="L21">
            <v>1.49E-2</v>
          </cell>
        </row>
        <row r="22">
          <cell r="A22">
            <v>54789</v>
          </cell>
        </row>
      </sheetData>
      <sheetData sheetId="77">
        <row r="10">
          <cell r="A10">
            <v>34213</v>
          </cell>
          <cell r="B10">
            <v>5.16E-2</v>
          </cell>
          <cell r="E10">
            <v>4.2800000000000005E-2</v>
          </cell>
        </row>
        <row r="11">
          <cell r="A11">
            <v>35490</v>
          </cell>
          <cell r="B11">
            <v>5.16E-2</v>
          </cell>
          <cell r="C11">
            <v>4.4299999999999999E-2</v>
          </cell>
          <cell r="E11">
            <v>4.2799999999999998E-2</v>
          </cell>
          <cell r="F11">
            <v>3.6900000000000002E-2</v>
          </cell>
        </row>
        <row r="12">
          <cell r="A12">
            <v>37561</v>
          </cell>
          <cell r="B12">
            <v>5.16E-2</v>
          </cell>
          <cell r="C12">
            <v>4.4299999999999999E-2</v>
          </cell>
          <cell r="E12">
            <v>4.2799999999999998E-2</v>
          </cell>
          <cell r="F12">
            <v>3.6900000000000002E-2</v>
          </cell>
        </row>
        <row r="13">
          <cell r="A13">
            <v>37834</v>
          </cell>
          <cell r="B13">
            <v>5.16E-2</v>
          </cell>
          <cell r="C13">
            <v>4.4299999999999999E-2</v>
          </cell>
          <cell r="E13">
            <v>4.2799999999999998E-2</v>
          </cell>
          <cell r="F13">
            <v>3.6900000000000002E-2</v>
          </cell>
        </row>
        <row r="14">
          <cell r="A14">
            <v>38200</v>
          </cell>
          <cell r="B14">
            <v>5.16E-2</v>
          </cell>
          <cell r="C14">
            <v>4.4299999999999999E-2</v>
          </cell>
          <cell r="E14">
            <v>4.2799999999999998E-2</v>
          </cell>
          <cell r="F14">
            <v>3.6900000000000002E-2</v>
          </cell>
        </row>
        <row r="15">
          <cell r="A15">
            <v>38384</v>
          </cell>
          <cell r="B15">
            <v>5.16E-2</v>
          </cell>
          <cell r="C15">
            <v>4.4299999999999999E-2</v>
          </cell>
          <cell r="E15">
            <v>4.2799999999999998E-2</v>
          </cell>
          <cell r="F15">
            <v>3.6900000000000002E-2</v>
          </cell>
        </row>
        <row r="16">
          <cell r="A16">
            <v>38473</v>
          </cell>
          <cell r="B16">
            <v>5.16E-2</v>
          </cell>
          <cell r="C16">
            <v>4.4299999999999999E-2</v>
          </cell>
          <cell r="E16">
            <v>4.2799999999999998E-2</v>
          </cell>
          <cell r="F16">
            <v>3.6900000000000002E-2</v>
          </cell>
        </row>
        <row r="17">
          <cell r="A17">
            <v>39114</v>
          </cell>
          <cell r="B17">
            <v>5.16E-2</v>
          </cell>
          <cell r="C17">
            <v>4.4299999999999999E-2</v>
          </cell>
          <cell r="E17">
            <v>4.2799999999999998E-2</v>
          </cell>
          <cell r="F17">
            <v>3.6900000000000002E-2</v>
          </cell>
        </row>
        <row r="18">
          <cell r="A18">
            <v>54789</v>
          </cell>
        </row>
      </sheetData>
      <sheetData sheetId="78">
        <row r="9">
          <cell r="A9" t="str">
            <v>Effective</v>
          </cell>
          <cell r="B9" t="str">
            <v>Cash Out</v>
          </cell>
        </row>
        <row r="10">
          <cell r="A10">
            <v>34912</v>
          </cell>
        </row>
        <row r="11">
          <cell r="A11">
            <v>34943</v>
          </cell>
        </row>
        <row r="12">
          <cell r="A12">
            <v>34973</v>
          </cell>
          <cell r="B12">
            <v>1.6419999999999999</v>
          </cell>
        </row>
        <row r="13">
          <cell r="A13">
            <v>35004</v>
          </cell>
          <cell r="B13">
            <v>1.7897000000000001</v>
          </cell>
        </row>
        <row r="14">
          <cell r="A14">
            <v>35034</v>
          </cell>
          <cell r="B14">
            <v>2.2010000000000001</v>
          </cell>
        </row>
        <row r="15">
          <cell r="A15">
            <v>35065</v>
          </cell>
          <cell r="B15">
            <v>2.6886999999999999</v>
          </cell>
        </row>
        <row r="16">
          <cell r="A16">
            <v>35096</v>
          </cell>
          <cell r="B16">
            <v>3.5771999999999999</v>
          </cell>
        </row>
        <row r="17">
          <cell r="A17">
            <v>35125</v>
          </cell>
          <cell r="B17">
            <v>2.5855000000000001</v>
          </cell>
        </row>
        <row r="18">
          <cell r="A18">
            <v>35156</v>
          </cell>
          <cell r="B18">
            <v>2.3755000000000002</v>
          </cell>
        </row>
        <row r="19">
          <cell r="A19">
            <v>35186</v>
          </cell>
          <cell r="B19">
            <v>2.15</v>
          </cell>
        </row>
        <row r="20">
          <cell r="A20">
            <v>35217</v>
          </cell>
          <cell r="B20">
            <v>2.3054000000000001</v>
          </cell>
        </row>
        <row r="21">
          <cell r="A21">
            <v>35247</v>
          </cell>
          <cell r="B21">
            <v>2.5177</v>
          </cell>
        </row>
        <row r="22">
          <cell r="A22">
            <v>35278</v>
          </cell>
          <cell r="B22">
            <v>2.0493000000000001</v>
          </cell>
        </row>
        <row r="23">
          <cell r="A23">
            <v>35309</v>
          </cell>
          <cell r="B23">
            <v>1.7801</v>
          </cell>
        </row>
        <row r="24">
          <cell r="A24">
            <v>35339</v>
          </cell>
          <cell r="B24">
            <v>2.2141000000000002</v>
          </cell>
        </row>
        <row r="25">
          <cell r="A25">
            <v>35370</v>
          </cell>
          <cell r="B25">
            <v>2.7025000000000001</v>
          </cell>
        </row>
        <row r="26">
          <cell r="A26">
            <v>35400</v>
          </cell>
          <cell r="B26">
            <v>3.6999</v>
          </cell>
        </row>
        <row r="27">
          <cell r="A27">
            <v>35431</v>
          </cell>
          <cell r="B27">
            <v>3.5116000000000001</v>
          </cell>
        </row>
        <row r="28">
          <cell r="A28">
            <v>35462</v>
          </cell>
          <cell r="B28">
            <v>2.3454999999999999</v>
          </cell>
        </row>
        <row r="29">
          <cell r="A29">
            <v>35490</v>
          </cell>
          <cell r="B29">
            <v>1.8333999999999999</v>
          </cell>
        </row>
        <row r="30">
          <cell r="A30">
            <v>35521</v>
          </cell>
          <cell r="B30">
            <v>1.9518</v>
          </cell>
        </row>
        <row r="31">
          <cell r="A31">
            <v>35551</v>
          </cell>
          <cell r="B31">
            <v>2.1631999999999998</v>
          </cell>
        </row>
        <row r="32">
          <cell r="A32">
            <v>35582</v>
          </cell>
          <cell r="B32">
            <v>2.1663000000000001</v>
          </cell>
        </row>
        <row r="33">
          <cell r="A33">
            <v>35612</v>
          </cell>
          <cell r="B33">
            <v>2.1326000000000001</v>
          </cell>
        </row>
        <row r="34">
          <cell r="A34">
            <v>35643</v>
          </cell>
          <cell r="B34">
            <v>2.3487</v>
          </cell>
        </row>
        <row r="35">
          <cell r="A35">
            <v>35674</v>
          </cell>
          <cell r="B35">
            <v>2.7269999999999999</v>
          </cell>
        </row>
        <row r="36">
          <cell r="A36">
            <v>35704</v>
          </cell>
          <cell r="B36">
            <v>2.9215</v>
          </cell>
        </row>
        <row r="37">
          <cell r="A37">
            <v>35735</v>
          </cell>
          <cell r="B37">
            <v>3.1263000000000001</v>
          </cell>
        </row>
        <row r="38">
          <cell r="A38">
            <v>35765</v>
          </cell>
          <cell r="B38">
            <v>2.3241999999999998</v>
          </cell>
        </row>
        <row r="39">
          <cell r="A39">
            <v>35796</v>
          </cell>
          <cell r="B39">
            <v>2.0831</v>
          </cell>
        </row>
        <row r="40">
          <cell r="A40">
            <v>35827</v>
          </cell>
          <cell r="B40">
            <v>2.1312000000000002</v>
          </cell>
        </row>
        <row r="41">
          <cell r="A41">
            <v>35855</v>
          </cell>
          <cell r="B41">
            <v>2.1817000000000002</v>
          </cell>
        </row>
        <row r="42">
          <cell r="A42">
            <v>35886</v>
          </cell>
          <cell r="B42">
            <v>2.4077999999999999</v>
          </cell>
        </row>
        <row r="43">
          <cell r="A43">
            <v>35916</v>
          </cell>
          <cell r="B43">
            <v>2.1581999999999999</v>
          </cell>
        </row>
        <row r="44">
          <cell r="A44">
            <v>35947</v>
          </cell>
          <cell r="B44">
            <v>2.0954000000000002</v>
          </cell>
        </row>
        <row r="45">
          <cell r="A45">
            <v>35977</v>
          </cell>
          <cell r="B45">
            <v>2.2130999999999998</v>
          </cell>
        </row>
        <row r="46">
          <cell r="A46">
            <v>36008</v>
          </cell>
          <cell r="B46">
            <v>1.8603000000000001</v>
          </cell>
        </row>
        <row r="47">
          <cell r="A47">
            <v>36039</v>
          </cell>
          <cell r="B47">
            <v>1.8957999999999999</v>
          </cell>
        </row>
        <row r="48">
          <cell r="A48">
            <v>36069</v>
          </cell>
          <cell r="B48">
            <v>1.9327000000000001</v>
          </cell>
        </row>
      </sheetData>
      <sheetData sheetId="79"/>
      <sheetData sheetId="80"/>
      <sheetData sheetId="81"/>
      <sheetData sheetId="82"/>
      <sheetData sheetId="83">
        <row r="1">
          <cell r="A1" t="str">
            <v>Atmos Energy Corporation</v>
          </cell>
          <cell r="L1" t="str">
            <v>Exhibit A</v>
          </cell>
        </row>
        <row r="2">
          <cell r="A2" t="str">
            <v xml:space="preserve">Comparison of Current and Previous Cases </v>
          </cell>
          <cell r="L2" t="str">
            <v>Page 1 of 5</v>
          </cell>
        </row>
        <row r="3">
          <cell r="A3" t="str">
            <v>Firm Sales Service</v>
          </cell>
        </row>
        <row r="6">
          <cell r="A6" t="str">
            <v>Line</v>
          </cell>
          <cell r="H6" t="str">
            <v>Case No.</v>
          </cell>
        </row>
        <row r="7">
          <cell r="A7" t="str">
            <v>No.</v>
          </cell>
          <cell r="C7" t="str">
            <v>Description</v>
          </cell>
          <cell r="H7" t="str">
            <v>2006-00428</v>
          </cell>
          <cell r="J7" t="str">
            <v>2006-00000</v>
          </cell>
          <cell r="L7" t="str">
            <v>Difference</v>
          </cell>
        </row>
        <row r="8">
          <cell r="H8" t="str">
            <v>$/Mcf</v>
          </cell>
          <cell r="J8" t="str">
            <v>$/Mcf</v>
          </cell>
          <cell r="L8" t="str">
            <v>$/Mcf</v>
          </cell>
        </row>
        <row r="9">
          <cell r="A9">
            <v>1</v>
          </cell>
          <cell r="C9" t="str">
            <v>G-1</v>
          </cell>
        </row>
        <row r="10">
          <cell r="A10">
            <v>2</v>
          </cell>
        </row>
        <row r="11">
          <cell r="A11">
            <v>3</v>
          </cell>
          <cell r="C11" t="str">
            <v>Commodity Charge (Base Rate per Case No. 99-070):</v>
          </cell>
        </row>
        <row r="12">
          <cell r="A12">
            <v>4</v>
          </cell>
          <cell r="C12" t="str">
            <v xml:space="preserve">  First</v>
          </cell>
          <cell r="D12">
            <v>300</v>
          </cell>
          <cell r="E12" t="str">
            <v>Mcf</v>
          </cell>
          <cell r="H12">
            <v>1.19</v>
          </cell>
          <cell r="J12">
            <v>1.19</v>
          </cell>
          <cell r="L12">
            <v>0</v>
          </cell>
        </row>
        <row r="13">
          <cell r="A13">
            <v>5</v>
          </cell>
          <cell r="C13" t="str">
            <v xml:space="preserve">  Next</v>
          </cell>
          <cell r="D13">
            <v>14700</v>
          </cell>
          <cell r="E13" t="str">
            <v>Mcf</v>
          </cell>
          <cell r="H13">
            <v>0.65900000000000003</v>
          </cell>
          <cell r="J13">
            <v>0.65900000000000003</v>
          </cell>
          <cell r="L13">
            <v>0</v>
          </cell>
        </row>
        <row r="14">
          <cell r="A14">
            <v>6</v>
          </cell>
          <cell r="C14" t="str">
            <v xml:space="preserve">  Over</v>
          </cell>
          <cell r="D14">
            <v>15000</v>
          </cell>
          <cell r="E14" t="str">
            <v>Mcf</v>
          </cell>
          <cell r="H14">
            <v>0.43</v>
          </cell>
          <cell r="J14">
            <v>0.43</v>
          </cell>
          <cell r="L14">
            <v>0</v>
          </cell>
        </row>
        <row r="15">
          <cell r="A15">
            <v>7</v>
          </cell>
        </row>
        <row r="16">
          <cell r="A16">
            <v>8</v>
          </cell>
          <cell r="C16" t="str">
            <v>Gas Cost Adjustment Components</v>
          </cell>
        </row>
        <row r="17">
          <cell r="A17">
            <v>9</v>
          </cell>
          <cell r="C17" t="str">
            <v xml:space="preserve">  EGC (Expected Gas Cost):</v>
          </cell>
        </row>
        <row r="18">
          <cell r="A18">
            <v>10</v>
          </cell>
          <cell r="C18" t="str">
            <v xml:space="preserve">    Commodity</v>
          </cell>
          <cell r="H18">
            <v>8.0540000000000003</v>
          </cell>
          <cell r="J18">
            <v>7.4814999999999996</v>
          </cell>
          <cell r="L18">
            <v>-0.57250000000000068</v>
          </cell>
        </row>
        <row r="19">
          <cell r="A19">
            <v>11</v>
          </cell>
          <cell r="C19" t="str">
            <v xml:space="preserve">    Demand</v>
          </cell>
          <cell r="H19">
            <v>1.0571999999999999</v>
          </cell>
          <cell r="J19">
            <v>1.0571999999999999</v>
          </cell>
          <cell r="L19">
            <v>0</v>
          </cell>
        </row>
        <row r="20">
          <cell r="A20">
            <v>12</v>
          </cell>
          <cell r="C20" t="str">
            <v xml:space="preserve">    Take-Or-Pay</v>
          </cell>
          <cell r="H20">
            <v>0</v>
          </cell>
          <cell r="J20">
            <v>0</v>
          </cell>
          <cell r="L20">
            <v>0</v>
          </cell>
        </row>
        <row r="21">
          <cell r="A21">
            <v>13</v>
          </cell>
          <cell r="C21" t="str">
            <v xml:space="preserve">    Transition Costs</v>
          </cell>
          <cell r="H21">
            <v>0</v>
          </cell>
          <cell r="J21">
            <v>0</v>
          </cell>
          <cell r="L21">
            <v>0</v>
          </cell>
        </row>
        <row r="22">
          <cell r="A22">
            <v>14</v>
          </cell>
          <cell r="C22" t="str">
            <v xml:space="preserve">  Total EGC</v>
          </cell>
          <cell r="H22">
            <v>9.1112000000000002</v>
          </cell>
          <cell r="J22">
            <v>8.5386999999999986</v>
          </cell>
          <cell r="L22">
            <v>-0.57250000000000156</v>
          </cell>
        </row>
        <row r="23">
          <cell r="A23">
            <v>15</v>
          </cell>
          <cell r="C23" t="str">
            <v xml:space="preserve">  Less: BCOG (Base Cost of Gas)</v>
          </cell>
          <cell r="H23">
            <v>0</v>
          </cell>
          <cell r="J23">
            <v>0</v>
          </cell>
          <cell r="L23">
            <v>0</v>
          </cell>
        </row>
        <row r="24">
          <cell r="A24">
            <v>16</v>
          </cell>
          <cell r="C24" t="str">
            <v xml:space="preserve">  CF (Correction Factor)</v>
          </cell>
          <cell r="H24">
            <v>-0.30880000000000002</v>
          </cell>
          <cell r="J24">
            <v>5.5100000000000003E-2</v>
          </cell>
          <cell r="L24">
            <v>0.3639</v>
          </cell>
        </row>
        <row r="25">
          <cell r="A25">
            <v>17</v>
          </cell>
          <cell r="C25" t="str">
            <v xml:space="preserve">  RF (Refund Adjustment)</v>
          </cell>
          <cell r="H25">
            <v>-5.5399999999999998E-2</v>
          </cell>
          <cell r="J25">
            <v>-5.5399999999999998E-2</v>
          </cell>
          <cell r="L25">
            <v>0</v>
          </cell>
        </row>
        <row r="26">
          <cell r="A26">
            <v>18</v>
          </cell>
          <cell r="C26" t="str">
            <v xml:space="preserve">  PBRRF (Performance Based Rate Recovery Factor)</v>
          </cell>
          <cell r="H26">
            <v>3.9899999999999998E-2</v>
          </cell>
          <cell r="J26">
            <v>5.0099999999999999E-2</v>
          </cell>
          <cell r="L26">
            <v>1.0200000000000001E-2</v>
          </cell>
        </row>
        <row r="27">
          <cell r="A27">
            <v>19</v>
          </cell>
          <cell r="C27" t="str">
            <v xml:space="preserve">  GCA (Gas Cost Adjustment)</v>
          </cell>
          <cell r="H27">
            <v>8.7868999999999993</v>
          </cell>
          <cell r="J27">
            <v>8.588499999999998</v>
          </cell>
          <cell r="L27">
            <v>-0.19840000000000124</v>
          </cell>
        </row>
        <row r="28">
          <cell r="A28">
            <v>20</v>
          </cell>
          <cell r="C28" t="str">
            <v xml:space="preserve">  Total Billing Cost of Gas</v>
          </cell>
          <cell r="H28">
            <v>8.7868999999999993</v>
          </cell>
          <cell r="J28">
            <v>8.588499999999998</v>
          </cell>
          <cell r="L28">
            <v>-0.19840000000000124</v>
          </cell>
        </row>
        <row r="29">
          <cell r="A29">
            <v>21</v>
          </cell>
        </row>
        <row r="30">
          <cell r="A30">
            <v>22</v>
          </cell>
          <cell r="C30" t="str">
            <v>Commodity Charge (GCA included):</v>
          </cell>
        </row>
        <row r="31">
          <cell r="A31">
            <v>23</v>
          </cell>
          <cell r="C31" t="str">
            <v xml:space="preserve">  First</v>
          </cell>
          <cell r="D31">
            <v>300</v>
          </cell>
          <cell r="E31" t="str">
            <v>Mcf</v>
          </cell>
          <cell r="H31">
            <v>9.9768999999999988</v>
          </cell>
          <cell r="J31">
            <v>9.7784999999999975</v>
          </cell>
          <cell r="L31">
            <v>-0.19840000000000124</v>
          </cell>
        </row>
        <row r="32">
          <cell r="A32">
            <v>24</v>
          </cell>
          <cell r="C32" t="str">
            <v xml:space="preserve">  Next</v>
          </cell>
          <cell r="D32">
            <v>14700</v>
          </cell>
          <cell r="E32" t="str">
            <v>Mcf</v>
          </cell>
          <cell r="H32">
            <v>9.4459</v>
          </cell>
          <cell r="J32">
            <v>9.2474999999999987</v>
          </cell>
          <cell r="L32">
            <v>-0.19840000000000124</v>
          </cell>
        </row>
        <row r="33">
          <cell r="A33">
            <v>25</v>
          </cell>
          <cell r="C33" t="str">
            <v xml:space="preserve">  Over</v>
          </cell>
          <cell r="D33">
            <v>15000</v>
          </cell>
          <cell r="E33" t="str">
            <v>Mcf</v>
          </cell>
          <cell r="H33">
            <v>9.216899999999999</v>
          </cell>
          <cell r="J33">
            <v>9.0184999999999977</v>
          </cell>
          <cell r="L33">
            <v>-0.19840000000000124</v>
          </cell>
        </row>
        <row r="34">
          <cell r="A34">
            <v>26</v>
          </cell>
        </row>
        <row r="35">
          <cell r="A35">
            <v>27</v>
          </cell>
          <cell r="C35" t="str">
            <v>HLF (High Load Factor)</v>
          </cell>
        </row>
        <row r="36">
          <cell r="A36">
            <v>28</v>
          </cell>
        </row>
        <row r="37">
          <cell r="A37">
            <v>29</v>
          </cell>
          <cell r="C37" t="str">
            <v>Commodity Charge (Base Rate per Case No. 99-070):</v>
          </cell>
        </row>
        <row r="38">
          <cell r="A38">
            <v>30</v>
          </cell>
          <cell r="C38" t="str">
            <v xml:space="preserve">  First</v>
          </cell>
          <cell r="D38">
            <v>300</v>
          </cell>
          <cell r="E38" t="str">
            <v>Mcf</v>
          </cell>
          <cell r="H38">
            <v>1.19</v>
          </cell>
          <cell r="J38">
            <v>1.19</v>
          </cell>
          <cell r="L38">
            <v>0</v>
          </cell>
        </row>
        <row r="39">
          <cell r="A39">
            <v>31</v>
          </cell>
          <cell r="C39" t="str">
            <v xml:space="preserve">  Next</v>
          </cell>
          <cell r="D39">
            <v>14700</v>
          </cell>
          <cell r="E39" t="str">
            <v>Mcf</v>
          </cell>
          <cell r="H39">
            <v>0.65900000000000003</v>
          </cell>
          <cell r="J39">
            <v>0.65900000000000003</v>
          </cell>
          <cell r="L39">
            <v>0</v>
          </cell>
        </row>
        <row r="40">
          <cell r="A40">
            <v>32</v>
          </cell>
          <cell r="C40" t="str">
            <v xml:space="preserve">  Over</v>
          </cell>
          <cell r="D40">
            <v>15000</v>
          </cell>
          <cell r="E40" t="str">
            <v>Mcf</v>
          </cell>
          <cell r="H40">
            <v>0.43</v>
          </cell>
          <cell r="J40">
            <v>0.43</v>
          </cell>
          <cell r="L40">
            <v>0</v>
          </cell>
        </row>
        <row r="41">
          <cell r="A41">
            <v>33</v>
          </cell>
        </row>
        <row r="42">
          <cell r="A42">
            <v>34</v>
          </cell>
          <cell r="C42" t="str">
            <v>Gas Cost Adjustment Components</v>
          </cell>
        </row>
        <row r="43">
          <cell r="A43">
            <v>35</v>
          </cell>
          <cell r="C43" t="str">
            <v xml:space="preserve">  EGC (Expected Gas Cost):</v>
          </cell>
        </row>
        <row r="44">
          <cell r="A44">
            <v>36</v>
          </cell>
          <cell r="C44" t="str">
            <v xml:space="preserve">    Commodity</v>
          </cell>
          <cell r="H44">
            <v>8.0540000000000003</v>
          </cell>
          <cell r="J44">
            <v>7.4814999999999996</v>
          </cell>
          <cell r="L44">
            <v>-0.57250000000000068</v>
          </cell>
        </row>
        <row r="45">
          <cell r="A45">
            <v>37</v>
          </cell>
          <cell r="C45" t="str">
            <v xml:space="preserve">    Demand</v>
          </cell>
          <cell r="H45">
            <v>0.18390000000000001</v>
          </cell>
          <cell r="J45">
            <v>0.18390000000000001</v>
          </cell>
          <cell r="L45">
            <v>0</v>
          </cell>
        </row>
        <row r="46">
          <cell r="A46">
            <v>38</v>
          </cell>
          <cell r="C46" t="str">
            <v xml:space="preserve">    Take-Or-Pay</v>
          </cell>
          <cell r="H46">
            <v>0</v>
          </cell>
          <cell r="J46">
            <v>0</v>
          </cell>
          <cell r="L46">
            <v>0</v>
          </cell>
        </row>
        <row r="47">
          <cell r="A47">
            <v>39</v>
          </cell>
          <cell r="C47" t="str">
            <v xml:space="preserve">    Transition Costs</v>
          </cell>
          <cell r="H47">
            <v>0</v>
          </cell>
          <cell r="J47">
            <v>0</v>
          </cell>
          <cell r="L47">
            <v>0</v>
          </cell>
        </row>
        <row r="48">
          <cell r="A48">
            <v>40</v>
          </cell>
          <cell r="C48" t="str">
            <v xml:space="preserve">  Total EGC</v>
          </cell>
          <cell r="H48">
            <v>8.2378999999999998</v>
          </cell>
          <cell r="J48">
            <v>7.6654</v>
          </cell>
          <cell r="L48">
            <v>-0.57249999999999979</v>
          </cell>
        </row>
        <row r="49">
          <cell r="A49">
            <v>41</v>
          </cell>
          <cell r="C49" t="str">
            <v xml:space="preserve">  Less: BCOG (Base Cost of Gas)</v>
          </cell>
          <cell r="H49">
            <v>0</v>
          </cell>
          <cell r="J49">
            <v>0</v>
          </cell>
          <cell r="L49">
            <v>0</v>
          </cell>
        </row>
        <row r="50">
          <cell r="A50">
            <v>42</v>
          </cell>
          <cell r="C50" t="str">
            <v xml:space="preserve">  CF (Correction Factor)</v>
          </cell>
          <cell r="H50">
            <v>-0.30880000000000002</v>
          </cell>
          <cell r="J50">
            <v>5.5100000000000003E-2</v>
          </cell>
          <cell r="L50">
            <v>0.3639</v>
          </cell>
        </row>
        <row r="51">
          <cell r="A51">
            <v>43</v>
          </cell>
          <cell r="C51" t="str">
            <v xml:space="preserve">  RF (Refund Adjustment)</v>
          </cell>
          <cell r="H51">
            <v>-5.5399999999999998E-2</v>
          </cell>
          <cell r="J51">
            <v>-5.5399999999999998E-2</v>
          </cell>
          <cell r="L51">
            <v>0</v>
          </cell>
        </row>
        <row r="52">
          <cell r="A52">
            <v>44</v>
          </cell>
          <cell r="C52" t="str">
            <v xml:space="preserve">  PBRRF (Performance Based Rate Recovery Factor)</v>
          </cell>
          <cell r="H52">
            <v>3.9899999999999998E-2</v>
          </cell>
          <cell r="J52">
            <v>5.0099999999999999E-2</v>
          </cell>
          <cell r="L52">
            <v>1.0200000000000001E-2</v>
          </cell>
        </row>
        <row r="53">
          <cell r="A53">
            <v>45</v>
          </cell>
          <cell r="C53" t="str">
            <v xml:space="preserve">  GCA (Gas Cost Adjustment)</v>
          </cell>
          <cell r="H53">
            <v>7.9136000000000006</v>
          </cell>
          <cell r="J53">
            <v>7.7152000000000003</v>
          </cell>
          <cell r="L53">
            <v>-0.19840000000000035</v>
          </cell>
        </row>
        <row r="54">
          <cell r="A54">
            <v>46</v>
          </cell>
          <cell r="C54" t="str">
            <v xml:space="preserve">  Total Cost of Gas to Bill (excludes MDQ Demand)</v>
          </cell>
          <cell r="H54">
            <v>7.9136000000000006</v>
          </cell>
          <cell r="J54">
            <v>7.7152000000000003</v>
          </cell>
          <cell r="L54">
            <v>-0.19840000000000035</v>
          </cell>
        </row>
        <row r="55">
          <cell r="A55">
            <v>47</v>
          </cell>
        </row>
        <row r="56">
          <cell r="A56">
            <v>48</v>
          </cell>
          <cell r="C56" t="str">
            <v>Commodity Charge (GCA included):</v>
          </cell>
        </row>
        <row r="57">
          <cell r="A57">
            <v>49</v>
          </cell>
          <cell r="C57" t="str">
            <v xml:space="preserve">  First</v>
          </cell>
          <cell r="D57">
            <v>300</v>
          </cell>
          <cell r="E57" t="str">
            <v>Mcf</v>
          </cell>
          <cell r="H57">
            <v>9.1036000000000001</v>
          </cell>
          <cell r="J57">
            <v>8.9052000000000007</v>
          </cell>
          <cell r="L57">
            <v>-0.19839999999999947</v>
          </cell>
        </row>
        <row r="58">
          <cell r="A58">
            <v>50</v>
          </cell>
          <cell r="C58" t="str">
            <v xml:space="preserve">  Next</v>
          </cell>
          <cell r="D58">
            <v>14700</v>
          </cell>
          <cell r="E58" t="str">
            <v>Mcf</v>
          </cell>
          <cell r="H58">
            <v>8.5726000000000013</v>
          </cell>
          <cell r="J58">
            <v>8.3742000000000001</v>
          </cell>
          <cell r="L58">
            <v>-0.19840000000000124</v>
          </cell>
        </row>
        <row r="59">
          <cell r="A59">
            <v>51</v>
          </cell>
          <cell r="C59" t="str">
            <v xml:space="preserve">  Over</v>
          </cell>
          <cell r="D59">
            <v>15000</v>
          </cell>
          <cell r="E59" t="str">
            <v>Mcf</v>
          </cell>
          <cell r="H59">
            <v>8.3436000000000003</v>
          </cell>
          <cell r="J59">
            <v>8.1452000000000009</v>
          </cell>
          <cell r="L59">
            <v>-0.19839999999999947</v>
          </cell>
        </row>
        <row r="60">
          <cell r="A60">
            <v>52</v>
          </cell>
        </row>
        <row r="61">
          <cell r="A61">
            <v>53</v>
          </cell>
          <cell r="C61" t="str">
            <v>HLF Demand</v>
          </cell>
        </row>
        <row r="62">
          <cell r="A62">
            <v>54</v>
          </cell>
          <cell r="C62" t="str">
            <v xml:space="preserve">  Contract Demand Factor</v>
          </cell>
          <cell r="H62">
            <v>4.5575999999999999</v>
          </cell>
          <cell r="J62">
            <v>4.5575999999999999</v>
          </cell>
          <cell r="L62">
            <v>0</v>
          </cell>
        </row>
      </sheetData>
      <sheetData sheetId="84">
        <row r="1">
          <cell r="A1" t="str">
            <v>Atmos Energy Corporation</v>
          </cell>
          <cell r="L1" t="str">
            <v>Exhibit A</v>
          </cell>
        </row>
        <row r="2">
          <cell r="A2" t="str">
            <v xml:space="preserve">Comparison of Current and Previous Cases </v>
          </cell>
          <cell r="L2" t="str">
            <v>Page 2 of 5</v>
          </cell>
        </row>
        <row r="3">
          <cell r="A3" t="str">
            <v>Interruptible Sales Service</v>
          </cell>
        </row>
        <row r="6">
          <cell r="A6" t="str">
            <v>Line</v>
          </cell>
          <cell r="H6" t="str">
            <v>Case No.</v>
          </cell>
        </row>
        <row r="7">
          <cell r="A7" t="str">
            <v>No.</v>
          </cell>
          <cell r="C7" t="str">
            <v>Description</v>
          </cell>
          <cell r="H7" t="str">
            <v>2006-00428</v>
          </cell>
          <cell r="J7" t="str">
            <v>2006-00000</v>
          </cell>
          <cell r="L7" t="str">
            <v>Difference</v>
          </cell>
        </row>
        <row r="8">
          <cell r="H8" t="str">
            <v>$/Mcf</v>
          </cell>
          <cell r="J8" t="str">
            <v>$/Mcf</v>
          </cell>
          <cell r="L8" t="str">
            <v>$/Mcf</v>
          </cell>
        </row>
        <row r="9">
          <cell r="A9">
            <v>1</v>
          </cell>
          <cell r="C9" t="str">
            <v>G-2</v>
          </cell>
        </row>
        <row r="10">
          <cell r="A10">
            <v>2</v>
          </cell>
        </row>
        <row r="11">
          <cell r="A11">
            <v>3</v>
          </cell>
          <cell r="C11" t="str">
            <v>Commodity Charge (Base Rate per Case No. 99-070):</v>
          </cell>
        </row>
        <row r="12">
          <cell r="A12">
            <v>4</v>
          </cell>
          <cell r="C12" t="str">
            <v xml:space="preserve">  First</v>
          </cell>
          <cell r="D12">
            <v>15000</v>
          </cell>
          <cell r="E12" t="str">
            <v>Mcf</v>
          </cell>
          <cell r="H12">
            <v>0.53</v>
          </cell>
          <cell r="J12">
            <v>0.53</v>
          </cell>
          <cell r="L12">
            <v>0</v>
          </cell>
        </row>
        <row r="13">
          <cell r="A13">
            <v>5</v>
          </cell>
          <cell r="C13" t="str">
            <v xml:space="preserve">  Over</v>
          </cell>
          <cell r="D13">
            <v>15000</v>
          </cell>
          <cell r="E13" t="str">
            <v>Mcf</v>
          </cell>
          <cell r="H13">
            <v>0.35909999999999997</v>
          </cell>
          <cell r="J13">
            <v>0.35909999999999997</v>
          </cell>
          <cell r="L13">
            <v>0</v>
          </cell>
        </row>
        <row r="14">
          <cell r="A14">
            <v>6</v>
          </cell>
        </row>
        <row r="15">
          <cell r="A15">
            <v>7</v>
          </cell>
          <cell r="C15" t="str">
            <v>Gas Cost Adjustment Components</v>
          </cell>
        </row>
        <row r="16">
          <cell r="A16">
            <v>8</v>
          </cell>
          <cell r="C16" t="str">
            <v xml:space="preserve">  Expected Gas Cost (EGC):</v>
          </cell>
        </row>
        <row r="17">
          <cell r="A17">
            <v>9</v>
          </cell>
          <cell r="C17" t="str">
            <v xml:space="preserve">    Commodity</v>
          </cell>
          <cell r="H17">
            <v>8.0540000000000003</v>
          </cell>
          <cell r="J17">
            <v>7.4814999999999996</v>
          </cell>
          <cell r="L17">
            <v>-0.57250000000000068</v>
          </cell>
        </row>
        <row r="18">
          <cell r="A18">
            <v>10</v>
          </cell>
          <cell r="C18" t="str">
            <v xml:space="preserve">    Demand</v>
          </cell>
          <cell r="H18">
            <v>0.18390000000000001</v>
          </cell>
          <cell r="J18">
            <v>0.18390000000000001</v>
          </cell>
          <cell r="L18">
            <v>0</v>
          </cell>
        </row>
        <row r="19">
          <cell r="A19">
            <v>11</v>
          </cell>
          <cell r="C19" t="str">
            <v xml:space="preserve">    Take-Or-Pay</v>
          </cell>
          <cell r="H19">
            <v>0</v>
          </cell>
          <cell r="J19">
            <v>0</v>
          </cell>
          <cell r="L19">
            <v>0</v>
          </cell>
        </row>
        <row r="20">
          <cell r="A20">
            <v>12</v>
          </cell>
          <cell r="C20" t="str">
            <v xml:space="preserve">    Transition Costs</v>
          </cell>
          <cell r="H20">
            <v>0</v>
          </cell>
          <cell r="J20">
            <v>0</v>
          </cell>
          <cell r="L20">
            <v>0</v>
          </cell>
        </row>
        <row r="21">
          <cell r="A21">
            <v>13</v>
          </cell>
          <cell r="C21" t="str">
            <v xml:space="preserve">  Total EGC</v>
          </cell>
          <cell r="H21">
            <v>8.2378999999999998</v>
          </cell>
          <cell r="J21">
            <v>7.6654</v>
          </cell>
          <cell r="L21">
            <v>-0.57249999999999979</v>
          </cell>
        </row>
        <row r="22">
          <cell r="A22">
            <v>14</v>
          </cell>
          <cell r="C22" t="str">
            <v xml:space="preserve">  Less: Base Cost of Gas (BCOG)</v>
          </cell>
          <cell r="H22">
            <v>0</v>
          </cell>
          <cell r="J22">
            <v>0</v>
          </cell>
          <cell r="L22">
            <v>0</v>
          </cell>
        </row>
        <row r="23">
          <cell r="A23">
            <v>15</v>
          </cell>
          <cell r="C23" t="str">
            <v xml:space="preserve">  Correction Factor  (CF)</v>
          </cell>
          <cell r="H23">
            <v>-0.30880000000000002</v>
          </cell>
          <cell r="J23">
            <v>5.5100000000000003E-2</v>
          </cell>
          <cell r="L23">
            <v>0.3639</v>
          </cell>
        </row>
        <row r="24">
          <cell r="A24">
            <v>16</v>
          </cell>
          <cell r="C24" t="str">
            <v xml:space="preserve">  Refund Adjustment (RF)</v>
          </cell>
          <cell r="H24">
            <v>-5.5399999999999998E-2</v>
          </cell>
          <cell r="J24">
            <v>-5.5399999999999998E-2</v>
          </cell>
          <cell r="L24">
            <v>0</v>
          </cell>
        </row>
        <row r="25">
          <cell r="A25">
            <v>17</v>
          </cell>
          <cell r="C25" t="str">
            <v xml:space="preserve">  Performance Based Rate Recovery Factor (PBRRF)</v>
          </cell>
          <cell r="H25">
            <v>3.9899999999999998E-2</v>
          </cell>
          <cell r="J25">
            <v>5.0099999999999999E-2</v>
          </cell>
          <cell r="L25">
            <v>1.0200000000000001E-2</v>
          </cell>
        </row>
        <row r="26">
          <cell r="A26">
            <v>18</v>
          </cell>
          <cell r="C26" t="str">
            <v xml:space="preserve">  Gas Cost Adjustment (GCA)</v>
          </cell>
          <cell r="H26">
            <v>7.9136000000000006</v>
          </cell>
          <cell r="J26">
            <v>7.7152000000000003</v>
          </cell>
          <cell r="L26">
            <v>-0.19840000000000035</v>
          </cell>
        </row>
        <row r="27">
          <cell r="A27">
            <v>19</v>
          </cell>
          <cell r="C27" t="str">
            <v xml:space="preserve">  Total Cost of Gas to Bill</v>
          </cell>
          <cell r="H27">
            <v>7.9136000000000006</v>
          </cell>
          <cell r="J27">
            <v>7.7152000000000003</v>
          </cell>
          <cell r="L27">
            <v>-0.19840000000000035</v>
          </cell>
        </row>
        <row r="28">
          <cell r="A28">
            <v>20</v>
          </cell>
        </row>
        <row r="29">
          <cell r="A29">
            <v>21</v>
          </cell>
          <cell r="C29" t="str">
            <v>Commodity Charge (GCA included):</v>
          </cell>
        </row>
        <row r="30">
          <cell r="A30">
            <v>22</v>
          </cell>
          <cell r="C30" t="str">
            <v xml:space="preserve">  First</v>
          </cell>
          <cell r="D30">
            <v>15000</v>
          </cell>
          <cell r="E30" t="str">
            <v>Mcf</v>
          </cell>
          <cell r="H30">
            <v>8.4436</v>
          </cell>
          <cell r="J30">
            <v>8.2452000000000005</v>
          </cell>
          <cell r="L30">
            <v>-0.19839999999999947</v>
          </cell>
        </row>
        <row r="31">
          <cell r="A31">
            <v>23</v>
          </cell>
          <cell r="C31" t="str">
            <v xml:space="preserve">  Over</v>
          </cell>
          <cell r="D31">
            <v>15000</v>
          </cell>
          <cell r="E31" t="str">
            <v>Mcf</v>
          </cell>
          <cell r="H31">
            <v>8.2727000000000004</v>
          </cell>
          <cell r="J31">
            <v>8.0743000000000009</v>
          </cell>
          <cell r="L31">
            <v>-0.19839999999999947</v>
          </cell>
        </row>
        <row r="32">
          <cell r="A32">
            <v>24</v>
          </cell>
        </row>
        <row r="33">
          <cell r="A33">
            <v>25</v>
          </cell>
        </row>
      </sheetData>
      <sheetData sheetId="85">
        <row r="1">
          <cell r="A1" t="str">
            <v>Atmos Energy Corporation</v>
          </cell>
          <cell r="L1" t="str">
            <v>Exhibit A</v>
          </cell>
        </row>
        <row r="2">
          <cell r="A2" t="str">
            <v xml:space="preserve">Comparison of Current and Previous Cases </v>
          </cell>
          <cell r="L2" t="str">
            <v>Page 3 of 5</v>
          </cell>
        </row>
        <row r="3">
          <cell r="A3" t="str">
            <v>Firm Transportation Service</v>
          </cell>
        </row>
        <row r="6">
          <cell r="A6" t="str">
            <v>Line</v>
          </cell>
          <cell r="H6" t="str">
            <v>Case No.</v>
          </cell>
        </row>
        <row r="7">
          <cell r="A7" t="str">
            <v>No.</v>
          </cell>
          <cell r="C7" t="str">
            <v>Description</v>
          </cell>
          <cell r="H7" t="str">
            <v>2006-00428</v>
          </cell>
          <cell r="J7" t="str">
            <v>2006-00000</v>
          </cell>
          <cell r="L7" t="str">
            <v>Difference</v>
          </cell>
        </row>
        <row r="8">
          <cell r="H8" t="str">
            <v>$/Mcf</v>
          </cell>
          <cell r="J8" t="str">
            <v>$/Mcf</v>
          </cell>
          <cell r="L8" t="str">
            <v>$/Mcf</v>
          </cell>
        </row>
        <row r="9">
          <cell r="A9">
            <v>1</v>
          </cell>
          <cell r="C9" t="str">
            <v>T-2 \ G-1</v>
          </cell>
        </row>
        <row r="10">
          <cell r="A10">
            <v>2</v>
          </cell>
        </row>
        <row r="11">
          <cell r="A11">
            <v>3</v>
          </cell>
          <cell r="C11" t="str">
            <v/>
          </cell>
        </row>
        <row r="12">
          <cell r="A12">
            <v>4</v>
          </cell>
          <cell r="D12" t="str">
            <v>Simple Margin (Base Rate per Case No. 99-070):</v>
          </cell>
        </row>
        <row r="13">
          <cell r="A13">
            <v>5</v>
          </cell>
          <cell r="D13" t="str">
            <v xml:space="preserve">  First</v>
          </cell>
          <cell r="E13">
            <v>300</v>
          </cell>
          <cell r="F13" t="str">
            <v>Mcf</v>
          </cell>
          <cell r="H13">
            <v>1.19</v>
          </cell>
          <cell r="J13">
            <v>1.19</v>
          </cell>
          <cell r="L13">
            <v>0</v>
          </cell>
        </row>
        <row r="14">
          <cell r="A14">
            <v>6</v>
          </cell>
          <cell r="D14" t="str">
            <v xml:space="preserve">  Next</v>
          </cell>
          <cell r="E14">
            <v>14700</v>
          </cell>
          <cell r="F14" t="str">
            <v>Mcf</v>
          </cell>
          <cell r="H14">
            <v>0.65900000000000003</v>
          </cell>
          <cell r="J14">
            <v>0.65900000000000003</v>
          </cell>
          <cell r="L14">
            <v>0</v>
          </cell>
        </row>
        <row r="15">
          <cell r="A15">
            <v>7</v>
          </cell>
          <cell r="D15" t="str">
            <v xml:space="preserve">  Over</v>
          </cell>
          <cell r="E15">
            <v>15000</v>
          </cell>
          <cell r="F15" t="str">
            <v>Mcf</v>
          </cell>
          <cell r="H15">
            <v>0.43</v>
          </cell>
          <cell r="J15">
            <v>0.43</v>
          </cell>
          <cell r="L15">
            <v>0</v>
          </cell>
        </row>
        <row r="16">
          <cell r="A16">
            <v>8</v>
          </cell>
        </row>
        <row r="17">
          <cell r="A17">
            <v>9</v>
          </cell>
          <cell r="D17" t="str">
            <v>Non-Commodity Components:</v>
          </cell>
        </row>
        <row r="18">
          <cell r="A18">
            <v>10</v>
          </cell>
          <cell r="D18" t="str">
            <v xml:space="preserve">  Demand</v>
          </cell>
          <cell r="H18">
            <v>1.0571999999999999</v>
          </cell>
          <cell r="J18">
            <v>1.0571999999999999</v>
          </cell>
          <cell r="L18">
            <v>0</v>
          </cell>
        </row>
        <row r="19">
          <cell r="A19">
            <v>11</v>
          </cell>
          <cell r="D19" t="str">
            <v xml:space="preserve">  Take-Or-Pay</v>
          </cell>
          <cell r="H19">
            <v>0</v>
          </cell>
          <cell r="J19">
            <v>0</v>
          </cell>
          <cell r="L19">
            <v>0</v>
          </cell>
        </row>
        <row r="20">
          <cell r="A20">
            <v>12</v>
          </cell>
          <cell r="D20" t="str">
            <v xml:space="preserve">  Transition Costs</v>
          </cell>
          <cell r="H20">
            <v>0</v>
          </cell>
          <cell r="J20">
            <v>0</v>
          </cell>
          <cell r="L20">
            <v>0</v>
          </cell>
        </row>
        <row r="21">
          <cell r="A21">
            <v>13</v>
          </cell>
          <cell r="D21" t="str">
            <v xml:space="preserve">  RF (Refund Adjustment)</v>
          </cell>
          <cell r="H21">
            <v>0</v>
          </cell>
          <cell r="J21">
            <v>0</v>
          </cell>
          <cell r="L21">
            <v>0</v>
          </cell>
        </row>
        <row r="22">
          <cell r="A22">
            <v>14</v>
          </cell>
          <cell r="D22" t="str">
            <v xml:space="preserve">  Total</v>
          </cell>
          <cell r="H22">
            <v>1.0571999999999999</v>
          </cell>
          <cell r="J22">
            <v>1.0571999999999999</v>
          </cell>
          <cell r="L22">
            <v>0</v>
          </cell>
        </row>
        <row r="23">
          <cell r="A23">
            <v>15</v>
          </cell>
        </row>
        <row r="24">
          <cell r="A24">
            <v>16</v>
          </cell>
          <cell r="D24" t="str">
            <v>Gross Margin:</v>
          </cell>
        </row>
        <row r="25">
          <cell r="A25">
            <v>17</v>
          </cell>
          <cell r="D25" t="str">
            <v xml:space="preserve">  First</v>
          </cell>
          <cell r="E25">
            <v>300</v>
          </cell>
          <cell r="F25" t="str">
            <v>Mcf</v>
          </cell>
          <cell r="H25">
            <v>2.2471999999999999</v>
          </cell>
          <cell r="J25">
            <v>2.2471999999999999</v>
          </cell>
          <cell r="L25">
            <v>0</v>
          </cell>
        </row>
        <row r="26">
          <cell r="A26">
            <v>18</v>
          </cell>
          <cell r="D26" t="str">
            <v xml:space="preserve">  Next</v>
          </cell>
          <cell r="E26">
            <v>14700</v>
          </cell>
          <cell r="F26" t="str">
            <v>Mcf</v>
          </cell>
          <cell r="H26">
            <v>1.7161999999999999</v>
          </cell>
          <cell r="J26">
            <v>1.7161999999999999</v>
          </cell>
          <cell r="L26">
            <v>0</v>
          </cell>
        </row>
        <row r="27">
          <cell r="A27">
            <v>19</v>
          </cell>
          <cell r="D27" t="str">
            <v xml:space="preserve">  Over</v>
          </cell>
          <cell r="E27">
            <v>15000</v>
          </cell>
          <cell r="F27" t="str">
            <v>Mcf</v>
          </cell>
          <cell r="H27">
            <v>1.4871999999999999</v>
          </cell>
          <cell r="J27">
            <v>1.4871999999999999</v>
          </cell>
          <cell r="L27">
            <v>0</v>
          </cell>
        </row>
        <row r="28">
          <cell r="A28">
            <v>20</v>
          </cell>
        </row>
        <row r="29">
          <cell r="A29">
            <v>21</v>
          </cell>
          <cell r="C29" t="str">
            <v>T-2\G-1\HLF</v>
          </cell>
        </row>
        <row r="30">
          <cell r="A30">
            <v>22</v>
          </cell>
        </row>
        <row r="31">
          <cell r="A31">
            <v>23</v>
          </cell>
          <cell r="D31" t="str">
            <v>Simple Margin (Base Rate per Case No. 99-070):</v>
          </cell>
        </row>
        <row r="32">
          <cell r="A32">
            <v>24</v>
          </cell>
          <cell r="D32" t="str">
            <v xml:space="preserve">  First</v>
          </cell>
          <cell r="E32">
            <v>300</v>
          </cell>
          <cell r="F32" t="str">
            <v>Mcf</v>
          </cell>
          <cell r="H32">
            <v>1.19</v>
          </cell>
          <cell r="J32">
            <v>1.19</v>
          </cell>
          <cell r="L32">
            <v>0</v>
          </cell>
        </row>
        <row r="33">
          <cell r="A33">
            <v>25</v>
          </cell>
          <cell r="D33" t="str">
            <v xml:space="preserve">  Next</v>
          </cell>
          <cell r="E33">
            <v>14700</v>
          </cell>
          <cell r="F33" t="str">
            <v>Mcf</v>
          </cell>
          <cell r="H33">
            <v>0.65900000000000003</v>
          </cell>
          <cell r="J33">
            <v>0.65900000000000003</v>
          </cell>
          <cell r="L33">
            <v>0</v>
          </cell>
        </row>
        <row r="34">
          <cell r="A34">
            <v>26</v>
          </cell>
          <cell r="D34" t="str">
            <v xml:space="preserve">  Over</v>
          </cell>
          <cell r="E34">
            <v>15000</v>
          </cell>
          <cell r="F34" t="str">
            <v>Mcf</v>
          </cell>
          <cell r="H34">
            <v>0.43</v>
          </cell>
          <cell r="J34">
            <v>0.43</v>
          </cell>
          <cell r="L34">
            <v>0</v>
          </cell>
        </row>
        <row r="35">
          <cell r="A35">
            <v>27</v>
          </cell>
        </row>
        <row r="36">
          <cell r="A36">
            <v>28</v>
          </cell>
          <cell r="D36" t="str">
            <v>Non-Commodity Components:</v>
          </cell>
        </row>
        <row r="37">
          <cell r="A37">
            <v>29</v>
          </cell>
          <cell r="D37" t="str">
            <v xml:space="preserve">  Demand</v>
          </cell>
          <cell r="H37">
            <v>0.18390000000000001</v>
          </cell>
          <cell r="J37">
            <v>0.18390000000000001</v>
          </cell>
          <cell r="L37">
            <v>0</v>
          </cell>
        </row>
        <row r="38">
          <cell r="A38">
            <v>30</v>
          </cell>
          <cell r="D38" t="str">
            <v xml:space="preserve">  Take-Or-Pay</v>
          </cell>
          <cell r="H38">
            <v>0</v>
          </cell>
          <cell r="J38">
            <v>0</v>
          </cell>
          <cell r="L38">
            <v>0</v>
          </cell>
        </row>
        <row r="39">
          <cell r="A39">
            <v>31</v>
          </cell>
          <cell r="D39" t="str">
            <v xml:space="preserve">  Transition Costs</v>
          </cell>
          <cell r="H39">
            <v>0</v>
          </cell>
          <cell r="J39">
            <v>0</v>
          </cell>
          <cell r="L39">
            <v>0</v>
          </cell>
        </row>
        <row r="40">
          <cell r="A40">
            <v>32</v>
          </cell>
          <cell r="D40" t="str">
            <v xml:space="preserve">  RF (Refund Adjustment)</v>
          </cell>
          <cell r="H40">
            <v>0</v>
          </cell>
          <cell r="J40">
            <v>0</v>
          </cell>
          <cell r="L40">
            <v>0</v>
          </cell>
        </row>
        <row r="41">
          <cell r="A41">
            <v>33</v>
          </cell>
          <cell r="D41" t="str">
            <v xml:space="preserve">  Total</v>
          </cell>
          <cell r="H41">
            <v>0.18390000000000001</v>
          </cell>
          <cell r="J41">
            <v>0.18390000000000001</v>
          </cell>
          <cell r="L41">
            <v>0</v>
          </cell>
        </row>
        <row r="42">
          <cell r="A42">
            <v>34</v>
          </cell>
        </row>
        <row r="43">
          <cell r="A43">
            <v>35</v>
          </cell>
          <cell r="D43" t="str">
            <v>Gross Margin (Excluding HLF Demand):</v>
          </cell>
        </row>
        <row r="44">
          <cell r="A44">
            <v>36</v>
          </cell>
          <cell r="D44" t="str">
            <v xml:space="preserve">  First</v>
          </cell>
          <cell r="E44">
            <v>300</v>
          </cell>
          <cell r="F44" t="str">
            <v>Mcf</v>
          </cell>
          <cell r="H44">
            <v>1.3738999999999999</v>
          </cell>
          <cell r="J44">
            <v>1.3738999999999999</v>
          </cell>
          <cell r="L44">
            <v>0</v>
          </cell>
        </row>
        <row r="45">
          <cell r="A45">
            <v>37</v>
          </cell>
          <cell r="D45" t="str">
            <v xml:space="preserve">  Next</v>
          </cell>
          <cell r="E45">
            <v>14700</v>
          </cell>
          <cell r="F45" t="str">
            <v>Mcf</v>
          </cell>
          <cell r="H45">
            <v>0.84289999999999998</v>
          </cell>
          <cell r="J45">
            <v>0.84289999999999998</v>
          </cell>
          <cell r="L45">
            <v>0</v>
          </cell>
        </row>
        <row r="46">
          <cell r="A46">
            <v>38</v>
          </cell>
          <cell r="D46" t="str">
            <v xml:space="preserve">  Over</v>
          </cell>
          <cell r="E46">
            <v>15000</v>
          </cell>
          <cell r="F46" t="str">
            <v>Mcf</v>
          </cell>
          <cell r="H46">
            <v>0.6139</v>
          </cell>
          <cell r="J46">
            <v>0.6139</v>
          </cell>
          <cell r="L46">
            <v>0</v>
          </cell>
        </row>
        <row r="47">
          <cell r="A47">
            <v>39</v>
          </cell>
        </row>
        <row r="48">
          <cell r="A48">
            <v>40</v>
          </cell>
          <cell r="D48" t="str">
            <v>HLF Demand</v>
          </cell>
        </row>
        <row r="49">
          <cell r="A49">
            <v>41</v>
          </cell>
          <cell r="D49" t="str">
            <v xml:space="preserve">  Contract Demand Factor</v>
          </cell>
          <cell r="H49">
            <v>4.5575999999999999</v>
          </cell>
          <cell r="J49">
            <v>4.5575999999999999</v>
          </cell>
          <cell r="L49">
            <v>0</v>
          </cell>
        </row>
      </sheetData>
      <sheetData sheetId="86">
        <row r="1">
          <cell r="A1" t="str">
            <v>Atmos Energy Corporation</v>
          </cell>
          <cell r="L1" t="str">
            <v>Exhibit A</v>
          </cell>
        </row>
        <row r="2">
          <cell r="A2" t="str">
            <v xml:space="preserve">Comparison of Current and Previous Cases </v>
          </cell>
          <cell r="L2" t="str">
            <v>Page 4 of 5</v>
          </cell>
        </row>
        <row r="3">
          <cell r="A3" t="str">
            <v>Firm Transportation Service</v>
          </cell>
        </row>
        <row r="6">
          <cell r="A6" t="str">
            <v>Line</v>
          </cell>
          <cell r="H6" t="str">
            <v>Case No.</v>
          </cell>
        </row>
        <row r="7">
          <cell r="A7" t="str">
            <v>No.</v>
          </cell>
          <cell r="C7" t="str">
            <v>Description</v>
          </cell>
          <cell r="H7" t="str">
            <v>2006-00428</v>
          </cell>
          <cell r="J7" t="str">
            <v>2006-00000</v>
          </cell>
          <cell r="L7" t="str">
            <v>Difference</v>
          </cell>
        </row>
        <row r="8">
          <cell r="H8" t="str">
            <v>$/Mcf</v>
          </cell>
          <cell r="J8" t="str">
            <v>$/Mcf</v>
          </cell>
          <cell r="L8" t="str">
            <v>$/Mcf</v>
          </cell>
        </row>
        <row r="9">
          <cell r="A9">
            <v>1</v>
          </cell>
          <cell r="C9" t="str">
            <v>Carriage Service</v>
          </cell>
        </row>
        <row r="10">
          <cell r="A10">
            <v>2</v>
          </cell>
        </row>
        <row r="11">
          <cell r="A11">
            <v>3</v>
          </cell>
          <cell r="C11" t="str">
            <v>Firm Service (T-4)</v>
          </cell>
        </row>
        <row r="12">
          <cell r="A12">
            <v>4</v>
          </cell>
          <cell r="D12" t="str">
            <v>Simple Margin (Base Rate per Case No. 99-070):</v>
          </cell>
        </row>
        <row r="13">
          <cell r="A13">
            <v>5</v>
          </cell>
          <cell r="D13" t="str">
            <v xml:space="preserve">  First</v>
          </cell>
          <cell r="E13">
            <v>300</v>
          </cell>
          <cell r="F13" t="str">
            <v>Mcf</v>
          </cell>
          <cell r="H13">
            <v>1.19</v>
          </cell>
          <cell r="J13">
            <v>1.19</v>
          </cell>
          <cell r="L13">
            <v>0</v>
          </cell>
        </row>
        <row r="14">
          <cell r="A14">
            <v>6</v>
          </cell>
          <cell r="D14" t="str">
            <v xml:space="preserve">  Next</v>
          </cell>
          <cell r="E14">
            <v>14700</v>
          </cell>
          <cell r="F14" t="str">
            <v>Mcf</v>
          </cell>
          <cell r="H14">
            <v>0.65900000000000003</v>
          </cell>
          <cell r="J14">
            <v>0.65900000000000003</v>
          </cell>
          <cell r="L14">
            <v>0</v>
          </cell>
        </row>
        <row r="15">
          <cell r="A15">
            <v>7</v>
          </cell>
          <cell r="D15" t="str">
            <v xml:space="preserve">  Over</v>
          </cell>
          <cell r="E15">
            <v>15000</v>
          </cell>
          <cell r="F15" t="str">
            <v>Mcf</v>
          </cell>
          <cell r="H15">
            <v>0.43</v>
          </cell>
          <cell r="J15">
            <v>0.43</v>
          </cell>
          <cell r="L15">
            <v>0</v>
          </cell>
        </row>
        <row r="16">
          <cell r="A16">
            <v>8</v>
          </cell>
        </row>
        <row r="17">
          <cell r="A17">
            <v>9</v>
          </cell>
          <cell r="D17" t="str">
            <v>Non-Commodity Components:</v>
          </cell>
        </row>
        <row r="18">
          <cell r="A18">
            <v>11</v>
          </cell>
          <cell r="D18" t="str">
            <v xml:space="preserve">  Take-Or-Pay</v>
          </cell>
          <cell r="H18">
            <v>0</v>
          </cell>
          <cell r="J18">
            <v>0</v>
          </cell>
          <cell r="L18">
            <v>0</v>
          </cell>
        </row>
        <row r="19">
          <cell r="A19">
            <v>13</v>
          </cell>
          <cell r="D19" t="str">
            <v xml:space="preserve">  RF (Refund Adjustment)</v>
          </cell>
          <cell r="H19">
            <v>0</v>
          </cell>
          <cell r="J19">
            <v>0</v>
          </cell>
          <cell r="L19">
            <v>0</v>
          </cell>
        </row>
        <row r="20">
          <cell r="A20">
            <v>14</v>
          </cell>
          <cell r="D20" t="str">
            <v xml:space="preserve">  Total</v>
          </cell>
          <cell r="H20">
            <v>0</v>
          </cell>
          <cell r="J20">
            <v>0</v>
          </cell>
          <cell r="L20">
            <v>0</v>
          </cell>
        </row>
        <row r="21">
          <cell r="A21">
            <v>15</v>
          </cell>
        </row>
        <row r="22">
          <cell r="A22">
            <v>16</v>
          </cell>
          <cell r="D22" t="str">
            <v>Gross Margin:</v>
          </cell>
        </row>
        <row r="23">
          <cell r="A23">
            <v>17</v>
          </cell>
          <cell r="D23" t="str">
            <v xml:space="preserve">  First</v>
          </cell>
          <cell r="E23">
            <v>300</v>
          </cell>
          <cell r="F23" t="str">
            <v>Mcf</v>
          </cell>
          <cell r="H23">
            <v>1.19</v>
          </cell>
          <cell r="J23">
            <v>1.19</v>
          </cell>
          <cell r="L23">
            <v>0</v>
          </cell>
        </row>
        <row r="24">
          <cell r="A24">
            <v>18</v>
          </cell>
          <cell r="D24" t="str">
            <v xml:space="preserve">  Next</v>
          </cell>
          <cell r="E24">
            <v>14700</v>
          </cell>
          <cell r="F24" t="str">
            <v>Mcf</v>
          </cell>
          <cell r="H24">
            <v>0.65900000000000003</v>
          </cell>
          <cell r="J24">
            <v>0.65900000000000003</v>
          </cell>
          <cell r="L24">
            <v>0</v>
          </cell>
        </row>
        <row r="25">
          <cell r="A25">
            <v>19</v>
          </cell>
          <cell r="D25" t="str">
            <v xml:space="preserve">  Over</v>
          </cell>
          <cell r="E25">
            <v>15000</v>
          </cell>
          <cell r="F25" t="str">
            <v>Mcf</v>
          </cell>
          <cell r="H25">
            <v>0.43</v>
          </cell>
          <cell r="J25">
            <v>0.43</v>
          </cell>
          <cell r="L25">
            <v>0</v>
          </cell>
        </row>
        <row r="26">
          <cell r="A26">
            <v>20</v>
          </cell>
        </row>
      </sheetData>
      <sheetData sheetId="87">
        <row r="1">
          <cell r="A1" t="str">
            <v xml:space="preserve"> </v>
          </cell>
          <cell r="L1" t="str">
            <v>Exhibit A</v>
          </cell>
        </row>
        <row r="2">
          <cell r="A2" t="str">
            <v xml:space="preserve">Comparison of Current and Previous Cases </v>
          </cell>
          <cell r="L2" t="str">
            <v>Page 5 of 5</v>
          </cell>
        </row>
        <row r="3">
          <cell r="A3" t="str">
            <v>Interruptible Transportation and Carriage Service</v>
          </cell>
        </row>
        <row r="6">
          <cell r="A6" t="str">
            <v>Line</v>
          </cell>
          <cell r="H6" t="str">
            <v>Case No.</v>
          </cell>
        </row>
        <row r="7">
          <cell r="A7" t="str">
            <v>No.</v>
          </cell>
          <cell r="C7" t="str">
            <v>Description</v>
          </cell>
          <cell r="H7" t="str">
            <v>2006-00428</v>
          </cell>
          <cell r="J7" t="str">
            <v>2006-00000</v>
          </cell>
          <cell r="L7" t="str">
            <v>Difference</v>
          </cell>
        </row>
        <row r="8">
          <cell r="H8" t="str">
            <v>$/Mcf</v>
          </cell>
          <cell r="J8" t="str">
            <v>$/Mcf</v>
          </cell>
          <cell r="L8" t="str">
            <v>$/Mcf</v>
          </cell>
        </row>
        <row r="9">
          <cell r="A9">
            <v>1</v>
          </cell>
          <cell r="C9" t="str">
            <v>General Transporation (T-2)</v>
          </cell>
        </row>
        <row r="10">
          <cell r="A10">
            <v>2</v>
          </cell>
        </row>
        <row r="11">
          <cell r="A11">
            <v>3</v>
          </cell>
          <cell r="C11" t="str">
            <v>Interruptible Service (G-2)</v>
          </cell>
        </row>
        <row r="12">
          <cell r="A12">
            <v>4</v>
          </cell>
          <cell r="D12" t="str">
            <v>Simple Margin (Base Rate per Case No. 99-070):</v>
          </cell>
        </row>
        <row r="13">
          <cell r="A13">
            <v>5</v>
          </cell>
          <cell r="D13" t="str">
            <v xml:space="preserve">  First</v>
          </cell>
          <cell r="E13">
            <v>15000</v>
          </cell>
          <cell r="F13" t="str">
            <v>Mcf</v>
          </cell>
          <cell r="H13">
            <v>0.53</v>
          </cell>
          <cell r="J13">
            <v>0.53</v>
          </cell>
          <cell r="L13">
            <v>0</v>
          </cell>
        </row>
        <row r="14">
          <cell r="A14">
            <v>6</v>
          </cell>
          <cell r="D14" t="str">
            <v xml:space="preserve">  Over</v>
          </cell>
          <cell r="E14">
            <v>15000</v>
          </cell>
          <cell r="F14" t="str">
            <v>Mcf</v>
          </cell>
          <cell r="H14">
            <v>0.35909999999999997</v>
          </cell>
          <cell r="J14">
            <v>0.35909999999999997</v>
          </cell>
          <cell r="L14">
            <v>0</v>
          </cell>
        </row>
        <row r="15">
          <cell r="A15">
            <v>7</v>
          </cell>
        </row>
        <row r="16">
          <cell r="A16">
            <v>8</v>
          </cell>
          <cell r="D16" t="str">
            <v>Non-Commodity Components:</v>
          </cell>
        </row>
        <row r="17">
          <cell r="A17">
            <v>9</v>
          </cell>
          <cell r="D17" t="str">
            <v xml:space="preserve">  Demand</v>
          </cell>
          <cell r="H17">
            <v>0.18390000000000001</v>
          </cell>
          <cell r="J17">
            <v>0.18390000000000001</v>
          </cell>
          <cell r="L17">
            <v>0</v>
          </cell>
        </row>
        <row r="18">
          <cell r="A18">
            <v>10</v>
          </cell>
          <cell r="D18" t="str">
            <v xml:space="preserve">  Take-Or-Pay</v>
          </cell>
          <cell r="H18">
            <v>0</v>
          </cell>
          <cell r="J18">
            <v>0</v>
          </cell>
          <cell r="L18">
            <v>0</v>
          </cell>
        </row>
        <row r="19">
          <cell r="A19">
            <v>11</v>
          </cell>
          <cell r="D19" t="str">
            <v xml:space="preserve">  Transition Costs</v>
          </cell>
          <cell r="H19">
            <v>0</v>
          </cell>
          <cell r="J19">
            <v>0</v>
          </cell>
          <cell r="L19">
            <v>0</v>
          </cell>
        </row>
        <row r="20">
          <cell r="A20">
            <v>12</v>
          </cell>
          <cell r="D20" t="str">
            <v xml:space="preserve">  RF (Refund Adjustment)</v>
          </cell>
          <cell r="H20">
            <v>0</v>
          </cell>
          <cell r="J20">
            <v>0</v>
          </cell>
          <cell r="L20">
            <v>0</v>
          </cell>
        </row>
        <row r="21">
          <cell r="A21">
            <v>13</v>
          </cell>
          <cell r="D21" t="str">
            <v xml:space="preserve">  Total</v>
          </cell>
          <cell r="H21">
            <v>0.18390000000000001</v>
          </cell>
          <cell r="J21">
            <v>0.18390000000000001</v>
          </cell>
          <cell r="L21">
            <v>0</v>
          </cell>
        </row>
        <row r="22">
          <cell r="A22">
            <v>14</v>
          </cell>
        </row>
        <row r="23">
          <cell r="A23">
            <v>15</v>
          </cell>
          <cell r="D23" t="str">
            <v>Gross Margin:</v>
          </cell>
        </row>
        <row r="24">
          <cell r="A24">
            <v>16</v>
          </cell>
          <cell r="D24" t="str">
            <v xml:space="preserve">  First</v>
          </cell>
          <cell r="E24">
            <v>15000</v>
          </cell>
          <cell r="F24" t="str">
            <v>Mcf</v>
          </cell>
          <cell r="H24">
            <v>0.71389999999999998</v>
          </cell>
          <cell r="J24">
            <v>0.71389999999999998</v>
          </cell>
          <cell r="L24">
            <v>0</v>
          </cell>
        </row>
        <row r="25">
          <cell r="A25">
            <v>17</v>
          </cell>
          <cell r="D25" t="str">
            <v xml:space="preserve">  Over</v>
          </cell>
          <cell r="E25">
            <v>15000</v>
          </cell>
          <cell r="F25" t="str">
            <v>Mcf</v>
          </cell>
          <cell r="H25">
            <v>0.54299999999999993</v>
          </cell>
          <cell r="J25">
            <v>0.54299999999999993</v>
          </cell>
          <cell r="L25">
            <v>0</v>
          </cell>
        </row>
        <row r="26">
          <cell r="A26">
            <v>18</v>
          </cell>
        </row>
        <row r="27">
          <cell r="A27">
            <v>19</v>
          </cell>
          <cell r="C27" t="str">
            <v>Carriage Service</v>
          </cell>
        </row>
        <row r="28">
          <cell r="A28">
            <v>20</v>
          </cell>
        </row>
        <row r="29">
          <cell r="A29">
            <v>21</v>
          </cell>
          <cell r="C29" t="str">
            <v>Carriage Service (T-3)</v>
          </cell>
        </row>
        <row r="30">
          <cell r="A30">
            <v>22</v>
          </cell>
          <cell r="D30" t="str">
            <v>Simple Margin (Base Rate per Case No. 99-070):</v>
          </cell>
        </row>
        <row r="31">
          <cell r="A31">
            <v>23</v>
          </cell>
          <cell r="D31" t="str">
            <v xml:space="preserve">  First</v>
          </cell>
          <cell r="E31">
            <v>15000</v>
          </cell>
          <cell r="F31" t="str">
            <v>Mcf</v>
          </cell>
          <cell r="H31">
            <v>0.53</v>
          </cell>
          <cell r="J31">
            <v>0.53</v>
          </cell>
          <cell r="L31">
            <v>0</v>
          </cell>
        </row>
        <row r="32">
          <cell r="A32">
            <v>24</v>
          </cell>
          <cell r="D32" t="str">
            <v xml:space="preserve">  Over</v>
          </cell>
          <cell r="E32">
            <v>15000</v>
          </cell>
          <cell r="F32" t="str">
            <v>Mcf</v>
          </cell>
          <cell r="H32">
            <v>0.35909999999999997</v>
          </cell>
          <cell r="J32">
            <v>0.35909999999999997</v>
          </cell>
          <cell r="L32">
            <v>0</v>
          </cell>
        </row>
        <row r="33">
          <cell r="A33">
            <v>25</v>
          </cell>
        </row>
        <row r="34">
          <cell r="A34">
            <v>26</v>
          </cell>
          <cell r="D34" t="str">
            <v>Non-Commodity Components:</v>
          </cell>
        </row>
        <row r="35">
          <cell r="A35">
            <v>28</v>
          </cell>
          <cell r="D35" t="str">
            <v xml:space="preserve">  Take-Or-Pay</v>
          </cell>
          <cell r="H35">
            <v>0</v>
          </cell>
          <cell r="J35">
            <v>0</v>
          </cell>
          <cell r="L35">
            <v>0</v>
          </cell>
        </row>
        <row r="36">
          <cell r="A36">
            <v>30</v>
          </cell>
          <cell r="D36" t="str">
            <v xml:space="preserve">  RF (Refund Adjustment)</v>
          </cell>
          <cell r="H36">
            <v>0</v>
          </cell>
          <cell r="J36">
            <v>0</v>
          </cell>
          <cell r="L36">
            <v>0</v>
          </cell>
        </row>
        <row r="37">
          <cell r="A37">
            <v>31</v>
          </cell>
          <cell r="D37" t="str">
            <v xml:space="preserve">  Total</v>
          </cell>
          <cell r="H37">
            <v>0</v>
          </cell>
          <cell r="J37">
            <v>0</v>
          </cell>
          <cell r="L37">
            <v>0</v>
          </cell>
        </row>
        <row r="38">
          <cell r="A38">
            <v>32</v>
          </cell>
        </row>
        <row r="39">
          <cell r="A39">
            <v>33</v>
          </cell>
          <cell r="D39" t="str">
            <v>Gross Margin:</v>
          </cell>
        </row>
        <row r="40">
          <cell r="A40">
            <v>34</v>
          </cell>
          <cell r="D40" t="str">
            <v xml:space="preserve">  First</v>
          </cell>
          <cell r="E40">
            <v>15000</v>
          </cell>
          <cell r="F40" t="str">
            <v>Mcf</v>
          </cell>
          <cell r="H40">
            <v>0.53</v>
          </cell>
          <cell r="J40">
            <v>0.53</v>
          </cell>
          <cell r="L40">
            <v>0</v>
          </cell>
        </row>
        <row r="41">
          <cell r="A41">
            <v>35</v>
          </cell>
          <cell r="D41" t="str">
            <v xml:space="preserve">  Over</v>
          </cell>
          <cell r="E41">
            <v>15000</v>
          </cell>
          <cell r="F41" t="str">
            <v>Mcf</v>
          </cell>
          <cell r="H41">
            <v>0.35909999999999997</v>
          </cell>
          <cell r="J41">
            <v>0.35909999999999997</v>
          </cell>
          <cell r="L41">
            <v>0</v>
          </cell>
        </row>
      </sheetData>
      <sheetData sheetId="88">
        <row r="1">
          <cell r="A1" t="str">
            <v>Atmos Energy Corporation</v>
          </cell>
          <cell r="K1" t="str">
            <v>Exhibit B</v>
          </cell>
        </row>
        <row r="2">
          <cell r="A2" t="str">
            <v>Expected Gas Cost - Non Commodity</v>
          </cell>
          <cell r="K2" t="str">
            <v>Page 1 of  11</v>
          </cell>
        </row>
        <row r="3">
          <cell r="A3" t="str">
            <v>Texas Gas</v>
          </cell>
        </row>
        <row r="5">
          <cell r="E5" t="str">
            <v>(1)</v>
          </cell>
          <cell r="F5" t="str">
            <v>(2)</v>
          </cell>
          <cell r="G5" t="str">
            <v>(3)</v>
          </cell>
          <cell r="I5" t="str">
            <v>(4)</v>
          </cell>
          <cell r="K5" t="str">
            <v>(5)</v>
          </cell>
        </row>
        <row r="6">
          <cell r="G6" t="str">
            <v>Non-Commodity</v>
          </cell>
        </row>
        <row r="7">
          <cell r="A7" t="str">
            <v>Line</v>
          </cell>
          <cell r="D7" t="str">
            <v>Tariff</v>
          </cell>
          <cell r="E7" t="str">
            <v>Annual</v>
          </cell>
          <cell r="K7" t="str">
            <v>Transition</v>
          </cell>
        </row>
        <row r="8">
          <cell r="A8" t="str">
            <v>No.</v>
          </cell>
          <cell r="B8" t="str">
            <v>Description</v>
          </cell>
          <cell r="D8" t="str">
            <v>Sheet No.</v>
          </cell>
          <cell r="E8" t="str">
            <v>Units</v>
          </cell>
          <cell r="F8" t="str">
            <v>Rate</v>
          </cell>
          <cell r="G8" t="str">
            <v>Total</v>
          </cell>
          <cell r="I8" t="str">
            <v>Demand</v>
          </cell>
          <cell r="K8" t="str">
            <v>Costs</v>
          </cell>
        </row>
        <row r="9">
          <cell r="E9" t="str">
            <v>MMbtu</v>
          </cell>
          <cell r="F9" t="str">
            <v>$/MMbtu</v>
          </cell>
          <cell r="G9" t="str">
            <v>$</v>
          </cell>
          <cell r="I9" t="str">
            <v>$</v>
          </cell>
          <cell r="K9" t="str">
            <v>$</v>
          </cell>
        </row>
        <row r="10">
          <cell r="A10">
            <v>1</v>
          </cell>
          <cell r="B10" t="str">
            <v>SL to Zone 2</v>
          </cell>
        </row>
        <row r="11">
          <cell r="A11">
            <v>2</v>
          </cell>
          <cell r="B11" t="str">
            <v xml:space="preserve">  NNS Contract #</v>
          </cell>
          <cell r="C11" t="str">
            <v>N0210</v>
          </cell>
          <cell r="E11">
            <v>12617673</v>
          </cell>
        </row>
        <row r="12">
          <cell r="A12">
            <v>3</v>
          </cell>
          <cell r="B12" t="str">
            <v xml:space="preserve">   Base Rate </v>
          </cell>
          <cell r="D12">
            <v>20</v>
          </cell>
          <cell r="F12">
            <v>0.30880000000000002</v>
          </cell>
          <cell r="G12">
            <v>3896336</v>
          </cell>
          <cell r="I12">
            <v>3896336</v>
          </cell>
        </row>
        <row r="13">
          <cell r="A13">
            <v>4</v>
          </cell>
          <cell r="B13" t="str">
            <v xml:space="preserve">   GSR </v>
          </cell>
          <cell r="D13">
            <v>20</v>
          </cell>
          <cell r="F13">
            <v>0</v>
          </cell>
          <cell r="G13">
            <v>0</v>
          </cell>
          <cell r="K13">
            <v>0</v>
          </cell>
        </row>
        <row r="14">
          <cell r="A14">
            <v>5</v>
          </cell>
          <cell r="B14" t="str">
            <v xml:space="preserve">   TCA Adjustment</v>
          </cell>
          <cell r="D14">
            <v>20</v>
          </cell>
          <cell r="F14">
            <v>0</v>
          </cell>
          <cell r="G14">
            <v>0</v>
          </cell>
          <cell r="I14">
            <v>0</v>
          </cell>
        </row>
        <row r="15">
          <cell r="A15">
            <v>6</v>
          </cell>
          <cell r="B15" t="str">
            <v xml:space="preserve">   Unrec TCA Surch</v>
          </cell>
          <cell r="D15">
            <v>20</v>
          </cell>
          <cell r="F15">
            <v>0</v>
          </cell>
          <cell r="G15">
            <v>0</v>
          </cell>
          <cell r="I15">
            <v>0</v>
          </cell>
        </row>
        <row r="16">
          <cell r="A16">
            <v>7</v>
          </cell>
          <cell r="B16" t="str">
            <v xml:space="preserve">   ISS Credit</v>
          </cell>
          <cell r="D16">
            <v>20</v>
          </cell>
          <cell r="F16">
            <v>0</v>
          </cell>
          <cell r="G16">
            <v>0</v>
          </cell>
          <cell r="I16">
            <v>0</v>
          </cell>
        </row>
        <row r="17">
          <cell r="A17">
            <v>8</v>
          </cell>
          <cell r="B17" t="str">
            <v xml:space="preserve">   Misc Rev Cr Adj</v>
          </cell>
          <cell r="D17">
            <v>20</v>
          </cell>
          <cell r="F17">
            <v>0</v>
          </cell>
          <cell r="G17">
            <v>0</v>
          </cell>
          <cell r="I17">
            <v>0</v>
          </cell>
        </row>
        <row r="18">
          <cell r="A18">
            <v>9</v>
          </cell>
          <cell r="B18" t="str">
            <v xml:space="preserve">   GRI </v>
          </cell>
          <cell r="D18">
            <v>20</v>
          </cell>
          <cell r="F18">
            <v>0</v>
          </cell>
          <cell r="G18">
            <v>0</v>
          </cell>
          <cell r="I18">
            <v>0</v>
          </cell>
        </row>
        <row r="19">
          <cell r="A19">
            <v>6</v>
          </cell>
        </row>
        <row r="20">
          <cell r="A20">
            <v>7</v>
          </cell>
          <cell r="B20" t="str">
            <v>Total SL to Zone 2</v>
          </cell>
          <cell r="E20">
            <v>12617673</v>
          </cell>
          <cell r="G20">
            <v>3896336</v>
          </cell>
          <cell r="I20">
            <v>3896336</v>
          </cell>
          <cell r="K20">
            <v>0</v>
          </cell>
        </row>
        <row r="21">
          <cell r="A21">
            <v>8</v>
          </cell>
        </row>
        <row r="22">
          <cell r="A22">
            <v>9</v>
          </cell>
          <cell r="B22" t="str">
            <v>SL to Zone 3</v>
          </cell>
        </row>
        <row r="23">
          <cell r="A23">
            <v>10</v>
          </cell>
          <cell r="B23" t="str">
            <v xml:space="preserve">  NNS Contract #</v>
          </cell>
          <cell r="C23" t="str">
            <v>N0340</v>
          </cell>
          <cell r="E23">
            <v>27480375</v>
          </cell>
        </row>
        <row r="24">
          <cell r="A24">
            <v>11</v>
          </cell>
          <cell r="B24" t="str">
            <v xml:space="preserve">   Base Rate</v>
          </cell>
          <cell r="D24">
            <v>20</v>
          </cell>
          <cell r="F24">
            <v>0.3543</v>
          </cell>
          <cell r="G24">
            <v>9736297</v>
          </cell>
          <cell r="I24">
            <v>9736297</v>
          </cell>
        </row>
        <row r="25">
          <cell r="A25">
            <v>12</v>
          </cell>
          <cell r="B25" t="str">
            <v xml:space="preserve">   GSR</v>
          </cell>
          <cell r="D25">
            <v>20</v>
          </cell>
          <cell r="F25">
            <v>0</v>
          </cell>
          <cell r="G25">
            <v>0</v>
          </cell>
          <cell r="K25">
            <v>0</v>
          </cell>
        </row>
        <row r="26">
          <cell r="A26">
            <v>13</v>
          </cell>
          <cell r="B26" t="str">
            <v xml:space="preserve">   TCA Adjustment</v>
          </cell>
          <cell r="D26">
            <v>20</v>
          </cell>
          <cell r="F26">
            <v>0</v>
          </cell>
          <cell r="G26">
            <v>0</v>
          </cell>
          <cell r="I26">
            <v>0</v>
          </cell>
        </row>
        <row r="27">
          <cell r="A27">
            <v>14</v>
          </cell>
          <cell r="B27" t="str">
            <v xml:space="preserve">   Unrec TCA Surch</v>
          </cell>
          <cell r="D27">
            <v>20</v>
          </cell>
          <cell r="F27">
            <v>0</v>
          </cell>
          <cell r="G27">
            <v>0</v>
          </cell>
          <cell r="I27">
            <v>0</v>
          </cell>
        </row>
        <row r="28">
          <cell r="A28">
            <v>15</v>
          </cell>
          <cell r="B28" t="str">
            <v xml:space="preserve">   ISS Credit</v>
          </cell>
          <cell r="D28">
            <v>20</v>
          </cell>
          <cell r="F28">
            <v>0</v>
          </cell>
          <cell r="G28">
            <v>0</v>
          </cell>
          <cell r="I28">
            <v>0</v>
          </cell>
        </row>
        <row r="29">
          <cell r="A29">
            <v>16</v>
          </cell>
          <cell r="B29" t="str">
            <v xml:space="preserve">   Misc Rev Cr Adj</v>
          </cell>
          <cell r="D29">
            <v>20</v>
          </cell>
          <cell r="F29">
            <v>0</v>
          </cell>
          <cell r="G29">
            <v>0</v>
          </cell>
          <cell r="I29">
            <v>0</v>
          </cell>
        </row>
        <row r="30">
          <cell r="A30">
            <v>17</v>
          </cell>
          <cell r="B30" t="str">
            <v xml:space="preserve">   GRI</v>
          </cell>
          <cell r="D30">
            <v>20</v>
          </cell>
          <cell r="F30">
            <v>0</v>
          </cell>
          <cell r="G30">
            <v>0</v>
          </cell>
          <cell r="I30">
            <v>0</v>
          </cell>
        </row>
        <row r="31">
          <cell r="A31">
            <v>18</v>
          </cell>
        </row>
        <row r="32">
          <cell r="A32">
            <v>19</v>
          </cell>
          <cell r="B32" t="str">
            <v xml:space="preserve">  FT Contract #</v>
          </cell>
          <cell r="C32" t="str">
            <v>3355</v>
          </cell>
          <cell r="E32">
            <v>3130605</v>
          </cell>
        </row>
        <row r="33">
          <cell r="A33">
            <v>20</v>
          </cell>
          <cell r="B33" t="str">
            <v xml:space="preserve">   Base Rate</v>
          </cell>
          <cell r="C33" t="str">
            <v>(Capacity Released)</v>
          </cell>
          <cell r="D33">
            <v>24</v>
          </cell>
          <cell r="F33">
            <v>0.24940000000000001</v>
          </cell>
          <cell r="G33">
            <v>780773</v>
          </cell>
          <cell r="I33">
            <v>780773</v>
          </cell>
        </row>
        <row r="34">
          <cell r="A34">
            <v>21</v>
          </cell>
          <cell r="B34" t="str">
            <v xml:space="preserve">   GSR</v>
          </cell>
          <cell r="D34">
            <v>24</v>
          </cell>
          <cell r="F34">
            <v>0</v>
          </cell>
          <cell r="G34">
            <v>0</v>
          </cell>
          <cell r="K34">
            <v>0</v>
          </cell>
        </row>
        <row r="35">
          <cell r="A35">
            <v>22</v>
          </cell>
          <cell r="B35" t="str">
            <v xml:space="preserve">   TCA Adjustment</v>
          </cell>
          <cell r="D35">
            <v>24</v>
          </cell>
          <cell r="F35">
            <v>0</v>
          </cell>
          <cell r="G35">
            <v>0</v>
          </cell>
          <cell r="I35">
            <v>0</v>
          </cell>
        </row>
        <row r="36">
          <cell r="A36">
            <v>23</v>
          </cell>
          <cell r="B36" t="str">
            <v xml:space="preserve">   Unrec TCA Surch</v>
          </cell>
          <cell r="D36">
            <v>24</v>
          </cell>
          <cell r="F36">
            <v>0</v>
          </cell>
          <cell r="G36">
            <v>0</v>
          </cell>
          <cell r="I36">
            <v>0</v>
          </cell>
        </row>
        <row r="37">
          <cell r="A37">
            <v>24</v>
          </cell>
          <cell r="B37" t="str">
            <v xml:space="preserve">   ISS Credit</v>
          </cell>
          <cell r="D37">
            <v>24</v>
          </cell>
          <cell r="F37">
            <v>0</v>
          </cell>
          <cell r="G37">
            <v>0</v>
          </cell>
          <cell r="I37">
            <v>0</v>
          </cell>
        </row>
        <row r="38">
          <cell r="A38">
            <v>25</v>
          </cell>
          <cell r="B38" t="str">
            <v xml:space="preserve">   Misc Rev Cr Adj</v>
          </cell>
          <cell r="D38">
            <v>24</v>
          </cell>
          <cell r="F38">
            <v>0</v>
          </cell>
          <cell r="G38">
            <v>0</v>
          </cell>
          <cell r="I38">
            <v>0</v>
          </cell>
        </row>
        <row r="39">
          <cell r="A39">
            <v>26</v>
          </cell>
          <cell r="B39" t="str">
            <v xml:space="preserve">   GRI</v>
          </cell>
          <cell r="D39">
            <v>24</v>
          </cell>
          <cell r="F39">
            <v>0</v>
          </cell>
          <cell r="G39">
            <v>0</v>
          </cell>
          <cell r="I39">
            <v>0</v>
          </cell>
        </row>
        <row r="40">
          <cell r="A40">
            <v>27</v>
          </cell>
        </row>
        <row r="41">
          <cell r="A41">
            <v>28</v>
          </cell>
        </row>
        <row r="42">
          <cell r="A42">
            <v>29</v>
          </cell>
          <cell r="B42" t="str">
            <v>Total SL to Zone 3</v>
          </cell>
          <cell r="E42">
            <v>30610980</v>
          </cell>
          <cell r="G42">
            <v>10517070</v>
          </cell>
          <cell r="I42">
            <v>10517070</v>
          </cell>
          <cell r="K42">
            <v>0</v>
          </cell>
        </row>
        <row r="43">
          <cell r="A43">
            <v>30</v>
          </cell>
        </row>
        <row r="44">
          <cell r="A44">
            <v>31</v>
          </cell>
        </row>
        <row r="45">
          <cell r="A45">
            <v>32</v>
          </cell>
        </row>
        <row r="46">
          <cell r="A46">
            <v>33</v>
          </cell>
        </row>
        <row r="47">
          <cell r="A47">
            <v>34</v>
          </cell>
        </row>
        <row r="48">
          <cell r="A48">
            <v>35</v>
          </cell>
        </row>
        <row r="49">
          <cell r="A49">
            <v>36</v>
          </cell>
        </row>
        <row r="50">
          <cell r="A50">
            <v>37</v>
          </cell>
        </row>
        <row r="51">
          <cell r="A51">
            <v>38</v>
          </cell>
        </row>
        <row r="52">
          <cell r="A52">
            <v>39</v>
          </cell>
        </row>
        <row r="53">
          <cell r="A53">
            <v>40</v>
          </cell>
        </row>
      </sheetData>
      <sheetData sheetId="89"/>
      <sheetData sheetId="90">
        <row r="1">
          <cell r="A1" t="str">
            <v>Atmos Energy Corporation</v>
          </cell>
          <cell r="K1" t="str">
            <v>Exhibit B</v>
          </cell>
        </row>
        <row r="2">
          <cell r="A2" t="str">
            <v>Expected Gas Cost - Non Commodity</v>
          </cell>
          <cell r="K2" t="str">
            <v>Page 3 of 11</v>
          </cell>
        </row>
        <row r="3">
          <cell r="A3" t="str">
            <v>Tennessee Gas</v>
          </cell>
        </row>
        <row r="5">
          <cell r="E5" t="str">
            <v>(1)</v>
          </cell>
          <cell r="F5" t="str">
            <v>(2)</v>
          </cell>
          <cell r="G5" t="str">
            <v>(3)</v>
          </cell>
          <cell r="I5" t="str">
            <v>(4)</v>
          </cell>
          <cell r="K5" t="str">
            <v>(5)</v>
          </cell>
        </row>
        <row r="6">
          <cell r="G6" t="str">
            <v>Non-Commodity</v>
          </cell>
        </row>
        <row r="7">
          <cell r="A7" t="str">
            <v>Line</v>
          </cell>
          <cell r="D7" t="str">
            <v>Tariff</v>
          </cell>
          <cell r="E7" t="str">
            <v>Annual</v>
          </cell>
          <cell r="K7" t="str">
            <v>Transition</v>
          </cell>
        </row>
        <row r="8">
          <cell r="A8" t="str">
            <v>No.</v>
          </cell>
          <cell r="B8" t="str">
            <v>Description</v>
          </cell>
          <cell r="D8" t="str">
            <v>Sheet No.</v>
          </cell>
          <cell r="E8" t="str">
            <v>Units</v>
          </cell>
          <cell r="F8" t="str">
            <v>Rate</v>
          </cell>
          <cell r="G8" t="str">
            <v>Total</v>
          </cell>
          <cell r="I8" t="str">
            <v>Demand</v>
          </cell>
          <cell r="K8" t="str">
            <v>Costs</v>
          </cell>
        </row>
        <row r="9">
          <cell r="E9" t="str">
            <v>MMbtu</v>
          </cell>
          <cell r="F9" t="str">
            <v>$/MMbtu</v>
          </cell>
          <cell r="G9" t="str">
            <v>$</v>
          </cell>
          <cell r="I9" t="str">
            <v>$</v>
          </cell>
          <cell r="K9" t="str">
            <v>$</v>
          </cell>
        </row>
        <row r="11">
          <cell r="A11">
            <v>1</v>
          </cell>
          <cell r="B11" t="str">
            <v>0 to Zone 2</v>
          </cell>
        </row>
        <row r="12">
          <cell r="A12">
            <v>2</v>
          </cell>
          <cell r="B12" t="str">
            <v xml:space="preserve">  FT-G  Contract #</v>
          </cell>
          <cell r="C12" t="str">
            <v>2546.1</v>
          </cell>
          <cell r="E12">
            <v>12844</v>
          </cell>
          <cell r="F12">
            <v>9.06</v>
          </cell>
        </row>
        <row r="13">
          <cell r="A13">
            <v>3</v>
          </cell>
          <cell r="B13" t="str">
            <v xml:space="preserve">   Base Rate</v>
          </cell>
          <cell r="D13" t="str">
            <v>23B</v>
          </cell>
          <cell r="F13">
            <v>9.06</v>
          </cell>
          <cell r="G13">
            <v>116367</v>
          </cell>
          <cell r="I13">
            <v>116367</v>
          </cell>
        </row>
        <row r="14">
          <cell r="A14">
            <v>4</v>
          </cell>
          <cell r="B14" t="str">
            <v xml:space="preserve">   Settlement Surcharge</v>
          </cell>
          <cell r="D14" t="str">
            <v>23B</v>
          </cell>
          <cell r="F14">
            <v>0</v>
          </cell>
          <cell r="G14">
            <v>0</v>
          </cell>
          <cell r="K14">
            <v>0</v>
          </cell>
        </row>
        <row r="15">
          <cell r="A15">
            <v>5</v>
          </cell>
          <cell r="B15" t="str">
            <v xml:space="preserve">   PCB Adjustment</v>
          </cell>
          <cell r="D15" t="str">
            <v>23B</v>
          </cell>
          <cell r="F15">
            <v>0</v>
          </cell>
          <cell r="G15">
            <v>0</v>
          </cell>
          <cell r="K15">
            <v>0</v>
          </cell>
        </row>
        <row r="16">
          <cell r="A16">
            <v>6</v>
          </cell>
        </row>
        <row r="17">
          <cell r="A17">
            <v>7</v>
          </cell>
          <cell r="B17" t="str">
            <v xml:space="preserve">  FT-G  Contract #</v>
          </cell>
          <cell r="C17" t="str">
            <v>2548.1</v>
          </cell>
          <cell r="E17">
            <v>4363</v>
          </cell>
          <cell r="F17">
            <v>9.06</v>
          </cell>
        </row>
        <row r="18">
          <cell r="A18">
            <v>8</v>
          </cell>
          <cell r="B18" t="str">
            <v xml:space="preserve">   Base Rate</v>
          </cell>
          <cell r="D18" t="str">
            <v>23B</v>
          </cell>
          <cell r="F18">
            <v>9.06</v>
          </cell>
          <cell r="G18">
            <v>39529</v>
          </cell>
          <cell r="I18">
            <v>39529</v>
          </cell>
        </row>
        <row r="19">
          <cell r="A19">
            <v>9</v>
          </cell>
          <cell r="B19" t="str">
            <v xml:space="preserve">   Settlement Surcharge</v>
          </cell>
          <cell r="D19" t="str">
            <v>23B</v>
          </cell>
          <cell r="F19">
            <v>0</v>
          </cell>
          <cell r="G19">
            <v>0</v>
          </cell>
          <cell r="K19">
            <v>0</v>
          </cell>
        </row>
        <row r="20">
          <cell r="A20">
            <v>10</v>
          </cell>
          <cell r="B20" t="str">
            <v xml:space="preserve">   PCB Adjustment</v>
          </cell>
          <cell r="D20" t="str">
            <v>23B</v>
          </cell>
          <cell r="F20">
            <v>0</v>
          </cell>
          <cell r="G20">
            <v>0</v>
          </cell>
          <cell r="K20">
            <v>0</v>
          </cell>
        </row>
        <row r="21">
          <cell r="A21">
            <v>11</v>
          </cell>
        </row>
        <row r="22">
          <cell r="A22">
            <v>12</v>
          </cell>
          <cell r="B22" t="str">
            <v xml:space="preserve">  FT-G  Contract #</v>
          </cell>
          <cell r="C22" t="str">
            <v>2550.1</v>
          </cell>
          <cell r="E22">
            <v>5739</v>
          </cell>
          <cell r="F22">
            <v>9.06</v>
          </cell>
        </row>
        <row r="23">
          <cell r="A23">
            <v>13</v>
          </cell>
          <cell r="B23" t="str">
            <v xml:space="preserve">   Base Rate</v>
          </cell>
          <cell r="D23" t="str">
            <v>23B</v>
          </cell>
          <cell r="F23">
            <v>9.06</v>
          </cell>
          <cell r="G23">
            <v>51995</v>
          </cell>
          <cell r="I23">
            <v>51995</v>
          </cell>
        </row>
        <row r="24">
          <cell r="A24">
            <v>14</v>
          </cell>
          <cell r="B24" t="str">
            <v xml:space="preserve">   Settlement Surcharge</v>
          </cell>
          <cell r="D24" t="str">
            <v>23B</v>
          </cell>
          <cell r="F24">
            <v>0</v>
          </cell>
          <cell r="G24">
            <v>0</v>
          </cell>
          <cell r="K24">
            <v>0</v>
          </cell>
        </row>
        <row r="25">
          <cell r="A25">
            <v>15</v>
          </cell>
          <cell r="B25" t="str">
            <v xml:space="preserve">   PCB Adjustment</v>
          </cell>
          <cell r="D25" t="str">
            <v>23B</v>
          </cell>
          <cell r="F25">
            <v>0</v>
          </cell>
          <cell r="G25">
            <v>0</v>
          </cell>
          <cell r="K25">
            <v>0</v>
          </cell>
        </row>
        <row r="26">
          <cell r="A26">
            <v>16</v>
          </cell>
        </row>
        <row r="27">
          <cell r="A27">
            <v>17</v>
          </cell>
          <cell r="B27" t="str">
            <v xml:space="preserve">  FT-G  Contract #</v>
          </cell>
          <cell r="C27" t="str">
            <v>2551.1</v>
          </cell>
          <cell r="E27">
            <v>4447</v>
          </cell>
          <cell r="F27">
            <v>9.06</v>
          </cell>
        </row>
        <row r="28">
          <cell r="A28">
            <v>18</v>
          </cell>
          <cell r="B28" t="str">
            <v xml:space="preserve">   Base Rate</v>
          </cell>
          <cell r="D28" t="str">
            <v>23B</v>
          </cell>
          <cell r="F28">
            <v>9.06</v>
          </cell>
          <cell r="G28">
            <v>40290</v>
          </cell>
          <cell r="I28">
            <v>40290</v>
          </cell>
        </row>
        <row r="29">
          <cell r="A29">
            <v>19</v>
          </cell>
          <cell r="B29" t="str">
            <v xml:space="preserve">   Settlement Surcharge</v>
          </cell>
          <cell r="D29" t="str">
            <v>23B</v>
          </cell>
          <cell r="F29">
            <v>0</v>
          </cell>
          <cell r="G29">
            <v>0</v>
          </cell>
          <cell r="K29">
            <v>0</v>
          </cell>
        </row>
        <row r="30">
          <cell r="A30">
            <v>20</v>
          </cell>
          <cell r="B30" t="str">
            <v xml:space="preserve">   PCB Adjustment</v>
          </cell>
          <cell r="D30" t="str">
            <v>23B</v>
          </cell>
          <cell r="F30">
            <v>0</v>
          </cell>
          <cell r="G30">
            <v>0</v>
          </cell>
          <cell r="K30">
            <v>0</v>
          </cell>
        </row>
        <row r="31">
          <cell r="A31">
            <v>21</v>
          </cell>
        </row>
        <row r="32">
          <cell r="A32">
            <v>22</v>
          </cell>
        </row>
        <row r="33">
          <cell r="A33">
            <v>23</v>
          </cell>
          <cell r="B33" t="str">
            <v>Total Zone 0 to 2</v>
          </cell>
          <cell r="E33">
            <v>27393</v>
          </cell>
          <cell r="G33">
            <v>248181</v>
          </cell>
          <cell r="I33">
            <v>248181</v>
          </cell>
          <cell r="K33">
            <v>0</v>
          </cell>
        </row>
        <row r="34">
          <cell r="A34">
            <v>24</v>
          </cell>
        </row>
        <row r="35">
          <cell r="A35">
            <v>25</v>
          </cell>
        </row>
        <row r="36">
          <cell r="A36">
            <v>26</v>
          </cell>
        </row>
        <row r="37">
          <cell r="A37">
            <v>27</v>
          </cell>
        </row>
        <row r="38">
          <cell r="A38">
            <v>28</v>
          </cell>
        </row>
      </sheetData>
      <sheetData sheetId="91">
        <row r="1">
          <cell r="A1" t="str">
            <v>Atmos Energy Corporation</v>
          </cell>
          <cell r="K1" t="str">
            <v>Exhibit B</v>
          </cell>
        </row>
        <row r="2">
          <cell r="A2" t="str">
            <v>Expected Gas Cost - Non Commodity</v>
          </cell>
          <cell r="K2" t="str">
            <v>Page 4 of  11</v>
          </cell>
        </row>
        <row r="3">
          <cell r="A3" t="str">
            <v>Tennessee Gas</v>
          </cell>
        </row>
        <row r="5">
          <cell r="E5" t="str">
            <v>(1)</v>
          </cell>
          <cell r="F5" t="str">
            <v>(2)</v>
          </cell>
          <cell r="G5" t="str">
            <v>(3)</v>
          </cell>
          <cell r="I5" t="str">
            <v>(4)</v>
          </cell>
          <cell r="K5" t="str">
            <v>(5)</v>
          </cell>
        </row>
        <row r="6">
          <cell r="G6" t="str">
            <v>Non-Commodity</v>
          </cell>
        </row>
        <row r="7">
          <cell r="A7" t="str">
            <v>Line</v>
          </cell>
          <cell r="D7" t="str">
            <v>Tariff</v>
          </cell>
          <cell r="E7" t="str">
            <v>Annual</v>
          </cell>
          <cell r="K7" t="str">
            <v>Transition</v>
          </cell>
        </row>
        <row r="8">
          <cell r="A8" t="str">
            <v>No.</v>
          </cell>
          <cell r="B8" t="str">
            <v>Description</v>
          </cell>
          <cell r="D8" t="str">
            <v>Sheet No.</v>
          </cell>
          <cell r="E8" t="str">
            <v>Units</v>
          </cell>
          <cell r="F8" t="str">
            <v>Rate</v>
          </cell>
          <cell r="G8" t="str">
            <v>Total</v>
          </cell>
          <cell r="I8" t="str">
            <v>Demand</v>
          </cell>
          <cell r="K8" t="str">
            <v>Costs</v>
          </cell>
        </row>
        <row r="9">
          <cell r="E9" t="str">
            <v>MMbtu</v>
          </cell>
          <cell r="F9" t="str">
            <v>$/MMbtu</v>
          </cell>
          <cell r="G9" t="str">
            <v>$</v>
          </cell>
          <cell r="I9" t="str">
            <v>$</v>
          </cell>
          <cell r="K9" t="str">
            <v>$</v>
          </cell>
        </row>
        <row r="11">
          <cell r="A11">
            <v>1</v>
          </cell>
          <cell r="B11" t="str">
            <v>1 to Zone 2</v>
          </cell>
        </row>
        <row r="12">
          <cell r="A12">
            <v>2</v>
          </cell>
          <cell r="B12" t="str">
            <v xml:space="preserve">  FT-G  Contract #</v>
          </cell>
          <cell r="C12" t="str">
            <v>2546</v>
          </cell>
          <cell r="E12">
            <v>114156</v>
          </cell>
          <cell r="F12">
            <v>7.62</v>
          </cell>
        </row>
        <row r="13">
          <cell r="A13">
            <v>3</v>
          </cell>
          <cell r="B13" t="str">
            <v xml:space="preserve">   Base Rate</v>
          </cell>
          <cell r="D13" t="str">
            <v>23B</v>
          </cell>
          <cell r="F13">
            <v>7.62</v>
          </cell>
          <cell r="G13">
            <v>869869</v>
          </cell>
          <cell r="I13">
            <v>869869</v>
          </cell>
        </row>
        <row r="14">
          <cell r="A14">
            <v>4</v>
          </cell>
          <cell r="B14" t="str">
            <v xml:space="preserve">   Settlement Surcharge</v>
          </cell>
          <cell r="D14" t="str">
            <v>23B</v>
          </cell>
          <cell r="F14">
            <v>0</v>
          </cell>
          <cell r="G14">
            <v>0</v>
          </cell>
          <cell r="K14">
            <v>0</v>
          </cell>
        </row>
        <row r="15">
          <cell r="A15">
            <v>5</v>
          </cell>
          <cell r="B15" t="str">
            <v xml:space="preserve">   PCB Adjustment</v>
          </cell>
          <cell r="D15" t="str">
            <v>23B</v>
          </cell>
          <cell r="F15">
            <v>0</v>
          </cell>
          <cell r="G15">
            <v>0</v>
          </cell>
          <cell r="K15">
            <v>0</v>
          </cell>
        </row>
        <row r="16">
          <cell r="A16">
            <v>6</v>
          </cell>
        </row>
        <row r="17">
          <cell r="A17">
            <v>7</v>
          </cell>
          <cell r="B17" t="str">
            <v xml:space="preserve">  FT-G  Contract #</v>
          </cell>
          <cell r="C17" t="str">
            <v>2548</v>
          </cell>
          <cell r="E17">
            <v>44997</v>
          </cell>
          <cell r="F17">
            <v>7.62</v>
          </cell>
        </row>
        <row r="18">
          <cell r="A18">
            <v>8</v>
          </cell>
          <cell r="B18" t="str">
            <v xml:space="preserve">   Base Rate</v>
          </cell>
          <cell r="D18" t="str">
            <v>23B</v>
          </cell>
          <cell r="F18">
            <v>7.62</v>
          </cell>
          <cell r="G18">
            <v>342877</v>
          </cell>
          <cell r="I18">
            <v>342877</v>
          </cell>
        </row>
        <row r="19">
          <cell r="A19">
            <v>9</v>
          </cell>
          <cell r="B19" t="str">
            <v xml:space="preserve">   Settlement Surcharge</v>
          </cell>
          <cell r="D19" t="str">
            <v>23B</v>
          </cell>
          <cell r="F19">
            <v>0</v>
          </cell>
          <cell r="G19">
            <v>0</v>
          </cell>
          <cell r="K19">
            <v>0</v>
          </cell>
        </row>
        <row r="20">
          <cell r="A20">
            <v>10</v>
          </cell>
          <cell r="B20" t="str">
            <v xml:space="preserve">   PCB Adjustment</v>
          </cell>
          <cell r="D20" t="str">
            <v>23B</v>
          </cell>
          <cell r="F20">
            <v>0</v>
          </cell>
          <cell r="G20">
            <v>0</v>
          </cell>
          <cell r="K20">
            <v>0</v>
          </cell>
        </row>
        <row r="21">
          <cell r="A21">
            <v>11</v>
          </cell>
        </row>
        <row r="22">
          <cell r="A22">
            <v>12</v>
          </cell>
          <cell r="B22" t="str">
            <v xml:space="preserve">  FT-G  Contract #</v>
          </cell>
          <cell r="C22" t="str">
            <v>2550</v>
          </cell>
          <cell r="E22">
            <v>59741</v>
          </cell>
          <cell r="F22">
            <v>7.62</v>
          </cell>
        </row>
        <row r="23">
          <cell r="A23">
            <v>13</v>
          </cell>
          <cell r="B23" t="str">
            <v xml:space="preserve">   Base Rate</v>
          </cell>
          <cell r="D23" t="str">
            <v>23B</v>
          </cell>
          <cell r="F23">
            <v>7.62</v>
          </cell>
          <cell r="G23">
            <v>455226</v>
          </cell>
          <cell r="I23">
            <v>455226</v>
          </cell>
        </row>
        <row r="24">
          <cell r="A24">
            <v>14</v>
          </cell>
          <cell r="B24" t="str">
            <v xml:space="preserve">   Settlement Surcharge</v>
          </cell>
          <cell r="D24" t="str">
            <v>23B</v>
          </cell>
          <cell r="F24">
            <v>0</v>
          </cell>
          <cell r="G24">
            <v>0</v>
          </cell>
          <cell r="K24">
            <v>0</v>
          </cell>
        </row>
        <row r="25">
          <cell r="A25">
            <v>15</v>
          </cell>
          <cell r="B25" t="str">
            <v xml:space="preserve">   PCB Adjustment</v>
          </cell>
          <cell r="D25" t="str">
            <v>23B</v>
          </cell>
          <cell r="F25">
            <v>0</v>
          </cell>
          <cell r="G25">
            <v>0</v>
          </cell>
          <cell r="K25">
            <v>0</v>
          </cell>
        </row>
        <row r="26">
          <cell r="A26">
            <v>16</v>
          </cell>
        </row>
        <row r="27">
          <cell r="A27">
            <v>17</v>
          </cell>
          <cell r="B27" t="str">
            <v xml:space="preserve">  FT-G  Contract #</v>
          </cell>
          <cell r="C27" t="str">
            <v>2551</v>
          </cell>
          <cell r="E27">
            <v>45058</v>
          </cell>
          <cell r="F27">
            <v>7.62</v>
          </cell>
        </row>
        <row r="28">
          <cell r="A28">
            <v>18</v>
          </cell>
          <cell r="B28" t="str">
            <v xml:space="preserve">   Base Rate</v>
          </cell>
          <cell r="D28" t="str">
            <v>23B</v>
          </cell>
          <cell r="F28">
            <v>7.62</v>
          </cell>
          <cell r="G28">
            <v>343342</v>
          </cell>
          <cell r="I28">
            <v>343342</v>
          </cell>
        </row>
        <row r="29">
          <cell r="A29">
            <v>19</v>
          </cell>
          <cell r="B29" t="str">
            <v xml:space="preserve">   Settlement Surcharge</v>
          </cell>
          <cell r="D29" t="str">
            <v>23B</v>
          </cell>
          <cell r="F29">
            <v>0</v>
          </cell>
          <cell r="G29">
            <v>0</v>
          </cell>
          <cell r="K29">
            <v>0</v>
          </cell>
        </row>
        <row r="30">
          <cell r="A30">
            <v>20</v>
          </cell>
          <cell r="B30" t="str">
            <v xml:space="preserve">   PCB Adjustment</v>
          </cell>
          <cell r="D30" t="str">
            <v>23B</v>
          </cell>
          <cell r="F30">
            <v>0</v>
          </cell>
          <cell r="G30">
            <v>0</v>
          </cell>
          <cell r="K30">
            <v>0</v>
          </cell>
        </row>
        <row r="31">
          <cell r="A31">
            <v>21</v>
          </cell>
        </row>
        <row r="32">
          <cell r="A32">
            <v>22</v>
          </cell>
          <cell r="B32" t="str">
            <v>Total Zone 1 to 2</v>
          </cell>
          <cell r="E32">
            <v>263952</v>
          </cell>
          <cell r="G32">
            <v>2011314</v>
          </cell>
          <cell r="I32">
            <v>2011314</v>
          </cell>
          <cell r="K32">
            <v>0</v>
          </cell>
        </row>
        <row r="33">
          <cell r="A33">
            <v>23</v>
          </cell>
        </row>
        <row r="34">
          <cell r="A34">
            <v>24</v>
          </cell>
          <cell r="B34" t="str">
            <v>Total Zone 0 to 2</v>
          </cell>
          <cell r="E34">
            <v>27393</v>
          </cell>
          <cell r="G34">
            <v>248181</v>
          </cell>
          <cell r="I34">
            <v>248181</v>
          </cell>
          <cell r="K34">
            <v>0</v>
          </cell>
        </row>
        <row r="35">
          <cell r="A35">
            <v>25</v>
          </cell>
        </row>
        <row r="36">
          <cell r="A36">
            <v>26</v>
          </cell>
          <cell r="B36" t="str">
            <v>Total Zone 1 to 2 and Zone 0 to 2</v>
          </cell>
          <cell r="E36">
            <v>291345</v>
          </cell>
          <cell r="G36">
            <v>2259495</v>
          </cell>
          <cell r="I36">
            <v>2259495</v>
          </cell>
          <cell r="K36">
            <v>0</v>
          </cell>
        </row>
        <row r="37">
          <cell r="A37">
            <v>27</v>
          </cell>
        </row>
        <row r="38">
          <cell r="A38">
            <v>28</v>
          </cell>
          <cell r="B38" t="str">
            <v>Gas Storage</v>
          </cell>
        </row>
        <row r="39">
          <cell r="A39">
            <v>29</v>
          </cell>
          <cell r="B39" t="str">
            <v xml:space="preserve">  Production Area:</v>
          </cell>
        </row>
        <row r="40">
          <cell r="A40">
            <v>30</v>
          </cell>
          <cell r="B40" t="str">
            <v xml:space="preserve">    Demand</v>
          </cell>
          <cell r="C40" t="str">
            <v>(need table, Poole will</v>
          </cell>
          <cell r="D40">
            <v>27</v>
          </cell>
          <cell r="E40">
            <v>34968</v>
          </cell>
          <cell r="F40">
            <v>2.02</v>
          </cell>
          <cell r="G40">
            <v>70635</v>
          </cell>
          <cell r="I40">
            <v>70635</v>
          </cell>
        </row>
        <row r="41">
          <cell r="A41">
            <v>31</v>
          </cell>
          <cell r="B41" t="str">
            <v xml:space="preserve">    Space Charge</v>
          </cell>
          <cell r="C41" t="str">
            <v>provide numbers)</v>
          </cell>
          <cell r="D41">
            <v>27</v>
          </cell>
          <cell r="E41">
            <v>4916148</v>
          </cell>
          <cell r="F41">
            <v>2.4799999999999999E-2</v>
          </cell>
          <cell r="G41">
            <v>121920</v>
          </cell>
          <cell r="I41">
            <v>121920</v>
          </cell>
        </row>
        <row r="42">
          <cell r="A42">
            <v>32</v>
          </cell>
          <cell r="B42" t="str">
            <v xml:space="preserve">  Market Area:</v>
          </cell>
        </row>
        <row r="43">
          <cell r="A43">
            <v>33</v>
          </cell>
          <cell r="B43" t="str">
            <v xml:space="preserve">    Demand</v>
          </cell>
          <cell r="D43">
            <v>27</v>
          </cell>
          <cell r="E43">
            <v>237408</v>
          </cell>
          <cell r="F43">
            <v>1.1499999999999999</v>
          </cell>
          <cell r="G43">
            <v>273019</v>
          </cell>
          <cell r="I43">
            <v>273019</v>
          </cell>
        </row>
        <row r="44">
          <cell r="A44">
            <v>34</v>
          </cell>
          <cell r="B44" t="str">
            <v xml:space="preserve">    Space Charge</v>
          </cell>
          <cell r="D44">
            <v>27</v>
          </cell>
          <cell r="E44">
            <v>10846308</v>
          </cell>
          <cell r="F44">
            <v>1.8499999999999999E-2</v>
          </cell>
          <cell r="G44">
            <v>200657</v>
          </cell>
          <cell r="I44">
            <v>200657</v>
          </cell>
        </row>
        <row r="45">
          <cell r="A45">
            <v>35</v>
          </cell>
          <cell r="B45" t="str">
            <v xml:space="preserve">  Total Storage</v>
          </cell>
          <cell r="G45">
            <v>666231</v>
          </cell>
          <cell r="I45">
            <v>666231</v>
          </cell>
        </row>
        <row r="46">
          <cell r="A46">
            <v>36</v>
          </cell>
        </row>
        <row r="47">
          <cell r="A47">
            <v>37</v>
          </cell>
          <cell r="B47" t="str">
            <v>Vendor Reservation Fees (Fixed)</v>
          </cell>
          <cell r="G47">
            <v>0</v>
          </cell>
          <cell r="I47">
            <v>0</v>
          </cell>
        </row>
        <row r="48">
          <cell r="A48">
            <v>38</v>
          </cell>
        </row>
        <row r="49">
          <cell r="A49">
            <v>39</v>
          </cell>
          <cell r="B49" t="str">
            <v>TOP &amp; Direct Billed Transition costs</v>
          </cell>
          <cell r="G49">
            <v>0</v>
          </cell>
          <cell r="I49">
            <v>0</v>
          </cell>
          <cell r="K49">
            <v>0</v>
          </cell>
        </row>
        <row r="50">
          <cell r="A50">
            <v>40</v>
          </cell>
        </row>
        <row r="51">
          <cell r="A51">
            <v>41</v>
          </cell>
          <cell r="B51" t="str">
            <v>Total Tennessee Gas Area FT-G Non-Commodity</v>
          </cell>
          <cell r="G51">
            <v>2925726</v>
          </cell>
          <cell r="I51">
            <v>2925726</v>
          </cell>
          <cell r="K51">
            <v>0</v>
          </cell>
        </row>
        <row r="52">
          <cell r="A52">
            <v>42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45</v>
          </cell>
        </row>
        <row r="56">
          <cell r="A56">
            <v>46</v>
          </cell>
        </row>
      </sheetData>
      <sheetData sheetId="92">
        <row r="1">
          <cell r="A1" t="str">
            <v>Atmos Energy Corporation</v>
          </cell>
          <cell r="I1" t="str">
            <v>Exhibit B</v>
          </cell>
        </row>
        <row r="2">
          <cell r="A2" t="str">
            <v>Expected Gas Cost - Commodity</v>
          </cell>
          <cell r="I2" t="str">
            <v>Page 5 of 11</v>
          </cell>
        </row>
        <row r="3">
          <cell r="A3" t="str">
            <v>Purchases in Texas Gas Service Area</v>
          </cell>
        </row>
        <row r="5">
          <cell r="F5" t="str">
            <v>(1)</v>
          </cell>
          <cell r="G5" t="str">
            <v>(2)</v>
          </cell>
          <cell r="H5" t="str">
            <v>(3)</v>
          </cell>
          <cell r="I5" t="str">
            <v>(4)</v>
          </cell>
        </row>
        <row r="7">
          <cell r="A7" t="str">
            <v>Line</v>
          </cell>
          <cell r="D7" t="str">
            <v>Tariff</v>
          </cell>
        </row>
        <row r="8">
          <cell r="A8" t="str">
            <v>No.</v>
          </cell>
          <cell r="B8" t="str">
            <v>Description</v>
          </cell>
          <cell r="D8" t="str">
            <v>Sheet No.</v>
          </cell>
          <cell r="F8" t="str">
            <v>Purchases</v>
          </cell>
          <cell r="H8" t="str">
            <v>Rate</v>
          </cell>
          <cell r="I8" t="str">
            <v>Total</v>
          </cell>
        </row>
        <row r="9">
          <cell r="F9" t="str">
            <v>Mcf</v>
          </cell>
          <cell r="G9" t="str">
            <v>MMbtu</v>
          </cell>
          <cell r="H9" t="str">
            <v>$/MMbtu</v>
          </cell>
          <cell r="I9" t="str">
            <v>$</v>
          </cell>
        </row>
        <row r="11">
          <cell r="A11" t="str">
            <v>1</v>
          </cell>
          <cell r="B11" t="str">
            <v xml:space="preserve"> No Notice Service</v>
          </cell>
          <cell r="G11">
            <v>0</v>
          </cell>
        </row>
        <row r="12">
          <cell r="A12" t="str">
            <v>2</v>
          </cell>
          <cell r="B12" t="str">
            <v xml:space="preserve">  Indexed Gas Cost (Texas Gas Payback)</v>
          </cell>
          <cell r="H12">
            <v>7.7009999999999996</v>
          </cell>
          <cell r="I12">
            <v>0</v>
          </cell>
        </row>
        <row r="13">
          <cell r="A13" t="str">
            <v>3</v>
          </cell>
          <cell r="B13" t="str">
            <v xml:space="preserve">  Commodity</v>
          </cell>
          <cell r="D13">
            <v>20</v>
          </cell>
          <cell r="H13">
            <v>5.0599999999999999E-2</v>
          </cell>
          <cell r="I13">
            <v>0</v>
          </cell>
        </row>
        <row r="14">
          <cell r="A14" t="str">
            <v>4</v>
          </cell>
          <cell r="B14" t="str">
            <v xml:space="preserve">  Fuel and Loss Retention @</v>
          </cell>
          <cell r="D14">
            <v>36</v>
          </cell>
          <cell r="E14">
            <v>3.1699999999999999E-2</v>
          </cell>
          <cell r="H14">
            <v>0.25209999999999999</v>
          </cell>
          <cell r="I14">
            <v>0</v>
          </cell>
        </row>
        <row r="15">
          <cell r="A15" t="str">
            <v>5</v>
          </cell>
          <cell r="H15">
            <v>8.0037000000000003</v>
          </cell>
          <cell r="I15">
            <v>0</v>
          </cell>
        </row>
        <row r="16">
          <cell r="A16" t="str">
            <v>6</v>
          </cell>
        </row>
        <row r="17">
          <cell r="A17" t="str">
            <v>7</v>
          </cell>
          <cell r="B17" t="str">
            <v xml:space="preserve"> Firm Transportation</v>
          </cell>
          <cell r="G17">
            <v>91000</v>
          </cell>
        </row>
        <row r="18">
          <cell r="A18" t="str">
            <v>8</v>
          </cell>
          <cell r="B18" t="str">
            <v xml:space="preserve">  Indexed Gas Cost</v>
          </cell>
          <cell r="H18">
            <v>6.5910000000000002</v>
          </cell>
          <cell r="I18">
            <v>599781</v>
          </cell>
        </row>
        <row r="19">
          <cell r="A19" t="str">
            <v>9</v>
          </cell>
          <cell r="B19" t="str">
            <v xml:space="preserve">  Base (Weighted on MDQs)</v>
          </cell>
          <cell r="D19">
            <v>25</v>
          </cell>
          <cell r="H19">
            <v>4.3900000000000002E-2</v>
          </cell>
          <cell r="I19">
            <v>3995</v>
          </cell>
        </row>
        <row r="20">
          <cell r="A20" t="str">
            <v>10</v>
          </cell>
          <cell r="B20" t="str">
            <v xml:space="preserve">   TCA Adjustment</v>
          </cell>
          <cell r="D20">
            <v>25</v>
          </cell>
          <cell r="H20">
            <v>0</v>
          </cell>
          <cell r="I20">
            <v>0</v>
          </cell>
        </row>
        <row r="21">
          <cell r="A21" t="str">
            <v>11</v>
          </cell>
          <cell r="B21" t="str">
            <v xml:space="preserve">   Unrecovered TCA Surcharge</v>
          </cell>
          <cell r="D21">
            <v>25</v>
          </cell>
          <cell r="H21">
            <v>0</v>
          </cell>
          <cell r="I21">
            <v>0</v>
          </cell>
        </row>
        <row r="22">
          <cell r="A22" t="str">
            <v>12</v>
          </cell>
          <cell r="B22" t="str">
            <v xml:space="preserve">   Cash-out Adjustment</v>
          </cell>
          <cell r="D22">
            <v>25</v>
          </cell>
          <cell r="H22">
            <v>0</v>
          </cell>
          <cell r="I22">
            <v>0</v>
          </cell>
        </row>
        <row r="23">
          <cell r="A23" t="str">
            <v>13</v>
          </cell>
          <cell r="B23" t="str">
            <v xml:space="preserve">  GRI</v>
          </cell>
          <cell r="D23">
            <v>25</v>
          </cell>
          <cell r="H23">
            <v>0</v>
          </cell>
          <cell r="I23">
            <v>0</v>
          </cell>
        </row>
        <row r="24">
          <cell r="A24" t="str">
            <v>14</v>
          </cell>
          <cell r="B24" t="str">
            <v xml:space="preserve">  ACA</v>
          </cell>
          <cell r="D24">
            <v>25</v>
          </cell>
          <cell r="H24">
            <v>1.6000000000000001E-3</v>
          </cell>
          <cell r="I24">
            <v>146</v>
          </cell>
        </row>
        <row r="25">
          <cell r="A25" t="str">
            <v>15</v>
          </cell>
          <cell r="B25" t="str">
            <v xml:space="preserve">  Fuel and Loss Retention @</v>
          </cell>
          <cell r="D25">
            <v>36</v>
          </cell>
          <cell r="E25">
            <v>1.7299999999999999E-2</v>
          </cell>
          <cell r="H25">
            <v>0.11600000000000001</v>
          </cell>
          <cell r="I25">
            <v>10556</v>
          </cell>
        </row>
        <row r="26">
          <cell r="A26" t="str">
            <v>16</v>
          </cell>
          <cell r="H26">
            <v>6.7524999999999995</v>
          </cell>
          <cell r="I26">
            <v>614478</v>
          </cell>
        </row>
        <row r="27">
          <cell r="A27" t="str">
            <v>17</v>
          </cell>
          <cell r="B27" t="str">
            <v>No Notice Storage</v>
          </cell>
        </row>
        <row r="28">
          <cell r="A28" t="str">
            <v>18</v>
          </cell>
          <cell r="B28" t="str">
            <v>Net (Injections)/Withdrawals</v>
          </cell>
          <cell r="G28">
            <v>340681</v>
          </cell>
        </row>
        <row r="29">
          <cell r="A29" t="str">
            <v>19</v>
          </cell>
          <cell r="B29" t="str">
            <v xml:space="preserve">  Indexed Gas Cost</v>
          </cell>
          <cell r="H29">
            <v>6.5910000000000002</v>
          </cell>
          <cell r="I29">
            <v>2245428</v>
          </cell>
        </row>
        <row r="30">
          <cell r="A30" t="str">
            <v>20</v>
          </cell>
          <cell r="B30" t="str">
            <v xml:space="preserve">  Commodity (Zone 3)</v>
          </cell>
          <cell r="D30">
            <v>20</v>
          </cell>
          <cell r="H30">
            <v>5.0599999999999999E-2</v>
          </cell>
          <cell r="I30">
            <v>17238</v>
          </cell>
        </row>
        <row r="31">
          <cell r="A31" t="str">
            <v>21</v>
          </cell>
          <cell r="B31" t="str">
            <v xml:space="preserve">  Fuel and Loss Retention @</v>
          </cell>
          <cell r="D31">
            <v>36</v>
          </cell>
          <cell r="E31">
            <v>3.1699999999999999E-2</v>
          </cell>
          <cell r="H31">
            <v>0.21579999999999999</v>
          </cell>
          <cell r="I31">
            <v>73519</v>
          </cell>
        </row>
        <row r="32">
          <cell r="A32" t="str">
            <v>22</v>
          </cell>
          <cell r="H32">
            <v>6.8574000000000002</v>
          </cell>
          <cell r="I32">
            <v>2336185</v>
          </cell>
        </row>
        <row r="33">
          <cell r="A33" t="str">
            <v>23</v>
          </cell>
        </row>
        <row r="34">
          <cell r="A34" t="str">
            <v>24</v>
          </cell>
        </row>
        <row r="35">
          <cell r="A35" t="str">
            <v>25</v>
          </cell>
          <cell r="B35" t="str">
            <v xml:space="preserve"> Total Purchases in Texas Area</v>
          </cell>
          <cell r="G35">
            <v>431681</v>
          </cell>
          <cell r="H35">
            <v>6.8353000000000002</v>
          </cell>
          <cell r="I35">
            <v>2950663</v>
          </cell>
        </row>
        <row r="36">
          <cell r="A36" t="str">
            <v>26</v>
          </cell>
        </row>
      </sheetData>
      <sheetData sheetId="93">
        <row r="1">
          <cell r="A1" t="str">
            <v>Atmos Energy Corporation</v>
          </cell>
          <cell r="J1" t="str">
            <v>Exhibit B</v>
          </cell>
        </row>
        <row r="2">
          <cell r="A2" t="str">
            <v>Expected Gas Cost - Commodity</v>
          </cell>
          <cell r="J2" t="str">
            <v>Page 6  of  11</v>
          </cell>
        </row>
        <row r="3">
          <cell r="A3" t="str">
            <v>Purchases in Tennessee Gas Service Area</v>
          </cell>
        </row>
        <row r="5">
          <cell r="G5" t="str">
            <v>(1)</v>
          </cell>
          <cell r="H5" t="str">
            <v>(2)</v>
          </cell>
          <cell r="I5" t="str">
            <v>(3)</v>
          </cell>
          <cell r="J5" t="str">
            <v>(4)</v>
          </cell>
        </row>
        <row r="7">
          <cell r="A7" t="str">
            <v>Line</v>
          </cell>
          <cell r="E7" t="str">
            <v>Tariff</v>
          </cell>
        </row>
        <row r="8">
          <cell r="A8" t="str">
            <v>No.</v>
          </cell>
          <cell r="B8" t="str">
            <v>Description</v>
          </cell>
          <cell r="E8" t="str">
            <v>Sheet No.</v>
          </cell>
          <cell r="G8" t="str">
            <v>Purchases</v>
          </cell>
          <cell r="I8" t="str">
            <v>Rate</v>
          </cell>
          <cell r="J8" t="str">
            <v>Total</v>
          </cell>
        </row>
        <row r="9">
          <cell r="G9" t="str">
            <v>Mcf</v>
          </cell>
          <cell r="H9" t="str">
            <v>MMbtu</v>
          </cell>
          <cell r="I9" t="str">
            <v>$/MMbtu</v>
          </cell>
          <cell r="J9" t="str">
            <v>$</v>
          </cell>
        </row>
        <row r="11">
          <cell r="A11">
            <v>1</v>
          </cell>
          <cell r="B11" t="str">
            <v xml:space="preserve"> FT-A and FT-G </v>
          </cell>
          <cell r="H11">
            <v>659675</v>
          </cell>
        </row>
        <row r="12">
          <cell r="A12">
            <v>2</v>
          </cell>
          <cell r="B12" t="str">
            <v xml:space="preserve">  Indexed Gas Cost</v>
          </cell>
          <cell r="I12">
            <v>6.5910000000000002</v>
          </cell>
          <cell r="J12">
            <v>4347918</v>
          </cell>
        </row>
        <row r="13">
          <cell r="A13">
            <v>3</v>
          </cell>
          <cell r="B13" t="str">
            <v xml:space="preserve">  Base Commodity (Weighted on MDQs)</v>
          </cell>
          <cell r="I13">
            <v>7.8600000000000003E-2</v>
          </cell>
          <cell r="J13">
            <v>51850</v>
          </cell>
        </row>
        <row r="14">
          <cell r="A14">
            <v>4</v>
          </cell>
          <cell r="B14" t="str">
            <v xml:space="preserve">  GRI</v>
          </cell>
          <cell r="E14" t="str">
            <v>23C</v>
          </cell>
          <cell r="I14">
            <v>0</v>
          </cell>
          <cell r="J14">
            <v>0</v>
          </cell>
        </row>
        <row r="15">
          <cell r="A15">
            <v>5</v>
          </cell>
          <cell r="B15" t="str">
            <v xml:space="preserve">  ACA</v>
          </cell>
          <cell r="E15" t="str">
            <v>23C</v>
          </cell>
          <cell r="I15">
            <v>1.6000000000000001E-3</v>
          </cell>
          <cell r="J15">
            <v>1055</v>
          </cell>
        </row>
        <row r="16">
          <cell r="A16">
            <v>6</v>
          </cell>
          <cell r="B16" t="str">
            <v xml:space="preserve">  Transition Cost</v>
          </cell>
          <cell r="E16" t="str">
            <v>23C</v>
          </cell>
          <cell r="I16">
            <v>0</v>
          </cell>
          <cell r="J16">
            <v>0</v>
          </cell>
        </row>
        <row r="17">
          <cell r="A17">
            <v>7</v>
          </cell>
          <cell r="B17" t="str">
            <v xml:space="preserve">  Fuel and Loss Retention</v>
          </cell>
          <cell r="E17">
            <v>29</v>
          </cell>
          <cell r="F17">
            <v>4.2799999999999998E-2</v>
          </cell>
          <cell r="I17">
            <v>0.29470000000000002</v>
          </cell>
          <cell r="J17">
            <v>194406</v>
          </cell>
        </row>
        <row r="18">
          <cell r="A18">
            <v>8</v>
          </cell>
          <cell r="I18">
            <v>6.9658999999999995</v>
          </cell>
          <cell r="J18">
            <v>4595229</v>
          </cell>
        </row>
        <row r="19">
          <cell r="A19">
            <v>9</v>
          </cell>
        </row>
        <row r="20">
          <cell r="A20">
            <v>10</v>
          </cell>
        </row>
        <row r="21">
          <cell r="A21">
            <v>11</v>
          </cell>
          <cell r="B21" t="str">
            <v xml:space="preserve"> FT-GS </v>
          </cell>
          <cell r="H21">
            <v>120440</v>
          </cell>
        </row>
        <row r="22">
          <cell r="A22">
            <v>12</v>
          </cell>
          <cell r="B22" t="str">
            <v xml:space="preserve">  Indexed Gas Cost</v>
          </cell>
          <cell r="I22">
            <v>6.5910000000000002</v>
          </cell>
          <cell r="J22">
            <v>793820</v>
          </cell>
        </row>
        <row r="23">
          <cell r="A23">
            <v>13</v>
          </cell>
          <cell r="B23" t="str">
            <v xml:space="preserve">  Base Rate</v>
          </cell>
          <cell r="E23">
            <v>20</v>
          </cell>
          <cell r="I23">
            <v>0.58440000000000003</v>
          </cell>
          <cell r="J23">
            <v>70385</v>
          </cell>
        </row>
        <row r="24">
          <cell r="A24">
            <v>14</v>
          </cell>
          <cell r="B24" t="str">
            <v xml:space="preserve">  GRI</v>
          </cell>
          <cell r="E24">
            <v>20</v>
          </cell>
          <cell r="I24">
            <v>0</v>
          </cell>
          <cell r="J24">
            <v>0</v>
          </cell>
        </row>
        <row r="25">
          <cell r="A25">
            <v>15</v>
          </cell>
          <cell r="B25" t="str">
            <v xml:space="preserve">  ACA</v>
          </cell>
          <cell r="E25">
            <v>20</v>
          </cell>
          <cell r="I25">
            <v>1.6000000000000001E-3</v>
          </cell>
          <cell r="J25">
            <v>193</v>
          </cell>
        </row>
        <row r="26">
          <cell r="A26">
            <v>16</v>
          </cell>
          <cell r="B26" t="str">
            <v xml:space="preserve">  PCB Adjustment</v>
          </cell>
          <cell r="E26">
            <v>20</v>
          </cell>
          <cell r="I26">
            <v>0</v>
          </cell>
          <cell r="J26">
            <v>0</v>
          </cell>
        </row>
        <row r="27">
          <cell r="A27">
            <v>17</v>
          </cell>
          <cell r="B27" t="str">
            <v xml:space="preserve">  Settlement Surcharge</v>
          </cell>
          <cell r="E27">
            <v>20</v>
          </cell>
          <cell r="I27">
            <v>0</v>
          </cell>
          <cell r="J27">
            <v>0</v>
          </cell>
        </row>
        <row r="28">
          <cell r="A28">
            <v>18</v>
          </cell>
          <cell r="B28" t="str">
            <v xml:space="preserve">  Fuel and Loss Retention</v>
          </cell>
          <cell r="E28">
            <v>29</v>
          </cell>
          <cell r="F28">
            <v>4.2799999999999998E-2</v>
          </cell>
          <cell r="I28">
            <v>0.29470000000000002</v>
          </cell>
          <cell r="J28">
            <v>35494</v>
          </cell>
        </row>
        <row r="29">
          <cell r="A29">
            <v>19</v>
          </cell>
          <cell r="I29">
            <v>7.4716999999999993</v>
          </cell>
          <cell r="J29">
            <v>899892</v>
          </cell>
        </row>
        <row r="30">
          <cell r="A30">
            <v>20</v>
          </cell>
        </row>
        <row r="31">
          <cell r="A31">
            <v>21</v>
          </cell>
        </row>
        <row r="32">
          <cell r="A32">
            <v>22</v>
          </cell>
          <cell r="B32" t="str">
            <v>Gas Storage</v>
          </cell>
        </row>
        <row r="33">
          <cell r="A33">
            <v>23</v>
          </cell>
          <cell r="B33" t="str">
            <v xml:space="preserve">  FT-A &amp; FT-G Market Area (Injections)/Withdrawals</v>
          </cell>
          <cell r="H33">
            <v>215385</v>
          </cell>
        </row>
        <row r="34">
          <cell r="A34">
            <v>24</v>
          </cell>
          <cell r="B34" t="str">
            <v xml:space="preserve">  Indexed Gas Cost/Storage</v>
          </cell>
          <cell r="I34">
            <v>6.54</v>
          </cell>
          <cell r="J34">
            <v>1408618</v>
          </cell>
        </row>
        <row r="35">
          <cell r="A35">
            <v>25</v>
          </cell>
          <cell r="B35" t="str">
            <v xml:space="preserve">  Injection Rate</v>
          </cell>
          <cell r="E35">
            <v>27</v>
          </cell>
          <cell r="I35">
            <v>1.0200000000000001E-2</v>
          </cell>
          <cell r="J35">
            <v>2197</v>
          </cell>
        </row>
        <row r="36">
          <cell r="A36">
            <v>26</v>
          </cell>
          <cell r="B36" t="str">
            <v xml:space="preserve">  Fuel and Loss Retention</v>
          </cell>
          <cell r="E36">
            <v>27</v>
          </cell>
          <cell r="F36">
            <v>1.49E-2</v>
          </cell>
          <cell r="I36">
            <v>9.8900000000000002E-2</v>
          </cell>
          <cell r="J36">
            <v>21302</v>
          </cell>
        </row>
        <row r="37">
          <cell r="A37">
            <v>27</v>
          </cell>
          <cell r="B37" t="str">
            <v xml:space="preserve">  Total</v>
          </cell>
          <cell r="I37">
            <v>6.6491000000000007</v>
          </cell>
          <cell r="J37">
            <v>1432117</v>
          </cell>
        </row>
        <row r="38">
          <cell r="A38">
            <v>28</v>
          </cell>
        </row>
        <row r="39">
          <cell r="A39">
            <v>29</v>
          </cell>
        </row>
        <row r="40">
          <cell r="A40">
            <v>30</v>
          </cell>
          <cell r="B40" t="str">
            <v xml:space="preserve">  FT-GS Market Area (Injections)/Withdrawals</v>
          </cell>
          <cell r="H40">
            <v>0</v>
          </cell>
        </row>
        <row r="41">
          <cell r="A41">
            <v>31</v>
          </cell>
          <cell r="B41" t="str">
            <v xml:space="preserve">  Indexed Gas Cost/Storage</v>
          </cell>
          <cell r="I41">
            <v>6.5910000000000002</v>
          </cell>
          <cell r="J41">
            <v>0</v>
          </cell>
        </row>
        <row r="42">
          <cell r="A42">
            <v>32</v>
          </cell>
          <cell r="B42" t="str">
            <v xml:space="preserve">  Injection Rate</v>
          </cell>
          <cell r="E42">
            <v>27</v>
          </cell>
          <cell r="I42">
            <v>1.0200000000000001E-2</v>
          </cell>
          <cell r="J42">
            <v>0</v>
          </cell>
        </row>
        <row r="43">
          <cell r="A43">
            <v>33</v>
          </cell>
          <cell r="B43" t="str">
            <v xml:space="preserve">  Fuel and Loss Retention</v>
          </cell>
          <cell r="E43">
            <v>27</v>
          </cell>
          <cell r="F43">
            <v>1.49E-2</v>
          </cell>
          <cell r="I43">
            <v>9.9699999999999997E-2</v>
          </cell>
          <cell r="J43">
            <v>0</v>
          </cell>
        </row>
        <row r="44">
          <cell r="A44">
            <v>34</v>
          </cell>
          <cell r="B44" t="str">
            <v xml:space="preserve">  Total</v>
          </cell>
          <cell r="I44">
            <v>6.7009000000000007</v>
          </cell>
          <cell r="J44">
            <v>0</v>
          </cell>
        </row>
        <row r="45">
          <cell r="A45">
            <v>35</v>
          </cell>
        </row>
        <row r="46">
          <cell r="A46">
            <v>36</v>
          </cell>
        </row>
        <row r="47">
          <cell r="A47">
            <v>37</v>
          </cell>
          <cell r="B47" t="str">
            <v>Total Tennessee Gas Zones</v>
          </cell>
          <cell r="H47">
            <v>995500</v>
          </cell>
          <cell r="I47">
            <v>6.9585999999999997</v>
          </cell>
          <cell r="J47">
            <v>6927238</v>
          </cell>
        </row>
        <row r="48">
          <cell r="A48">
            <v>38</v>
          </cell>
        </row>
      </sheetData>
      <sheetData sheetId="94"/>
      <sheetData sheetId="95">
        <row r="1">
          <cell r="A1" t="str">
            <v>Atmos Energy Corporation</v>
          </cell>
          <cell r="J1" t="str">
            <v>Exhibit B</v>
          </cell>
        </row>
        <row r="2">
          <cell r="A2" t="str">
            <v>Demand Charge Calculation</v>
          </cell>
          <cell r="J2" t="str">
            <v>Page  8  of  11</v>
          </cell>
        </row>
        <row r="5">
          <cell r="A5" t="str">
            <v>Line</v>
          </cell>
        </row>
        <row r="6">
          <cell r="A6" t="str">
            <v>No.</v>
          </cell>
          <cell r="E6" t="str">
            <v>(1)</v>
          </cell>
          <cell r="F6" t="str">
            <v>(2)</v>
          </cell>
          <cell r="G6" t="str">
            <v>(3)</v>
          </cell>
          <cell r="H6" t="str">
            <v>(4)</v>
          </cell>
          <cell r="I6" t="str">
            <v>(5)</v>
          </cell>
          <cell r="J6" t="str">
            <v>(6)</v>
          </cell>
        </row>
        <row r="8">
          <cell r="A8">
            <v>1</v>
          </cell>
          <cell r="C8" t="str">
            <v>Total Demand Cost:</v>
          </cell>
        </row>
        <row r="9">
          <cell r="A9">
            <v>2</v>
          </cell>
          <cell r="C9" t="str">
            <v xml:space="preserve">  Texas Gas</v>
          </cell>
          <cell r="E9">
            <v>16720559</v>
          </cell>
        </row>
        <row r="10">
          <cell r="A10">
            <v>3</v>
          </cell>
          <cell r="C10" t="str">
            <v xml:space="preserve">  Midwestern</v>
          </cell>
          <cell r="E10">
            <v>0</v>
          </cell>
        </row>
        <row r="11">
          <cell r="A11">
            <v>4</v>
          </cell>
          <cell r="C11" t="str">
            <v xml:space="preserve">  Tennessee Gas</v>
          </cell>
          <cell r="E11">
            <v>2925726</v>
          </cell>
        </row>
        <row r="12">
          <cell r="A12">
            <v>5</v>
          </cell>
          <cell r="C12" t="str">
            <v xml:space="preserve">  Trunkline</v>
          </cell>
          <cell r="E12">
            <v>629820</v>
          </cell>
        </row>
        <row r="13">
          <cell r="A13">
            <v>6</v>
          </cell>
          <cell r="C13" t="str">
            <v xml:space="preserve">  Total</v>
          </cell>
          <cell r="E13">
            <v>20276105</v>
          </cell>
        </row>
        <row r="14">
          <cell r="A14">
            <v>7</v>
          </cell>
        </row>
        <row r="15">
          <cell r="A15">
            <v>8</v>
          </cell>
          <cell r="F15" t="str">
            <v>Allocated</v>
          </cell>
          <cell r="G15" t="str">
            <v>Related</v>
          </cell>
          <cell r="H15" t="str">
            <v>Monthly Demand Charge</v>
          </cell>
        </row>
        <row r="16">
          <cell r="A16">
            <v>9</v>
          </cell>
          <cell r="C16" t="str">
            <v>Demand Cost Allocation:</v>
          </cell>
          <cell r="E16" t="str">
            <v>Factors</v>
          </cell>
          <cell r="F16" t="str">
            <v>Demand</v>
          </cell>
          <cell r="G16" t="str">
            <v>Volumes</v>
          </cell>
          <cell r="H16" t="str">
            <v>Firm</v>
          </cell>
          <cell r="I16" t="str">
            <v>Interruptible</v>
          </cell>
          <cell r="J16" t="str">
            <v>HLF</v>
          </cell>
        </row>
        <row r="17">
          <cell r="A17">
            <v>10</v>
          </cell>
          <cell r="C17" t="str">
            <v xml:space="preserve">  All </v>
          </cell>
          <cell r="E17">
            <v>0.185</v>
          </cell>
          <cell r="F17">
            <v>3751079</v>
          </cell>
          <cell r="G17">
            <v>20401274</v>
          </cell>
          <cell r="H17">
            <v>0.18390000000000001</v>
          </cell>
          <cell r="I17">
            <v>0.18390000000000001</v>
          </cell>
          <cell r="J17">
            <v>0.18390000000000001</v>
          </cell>
        </row>
        <row r="18">
          <cell r="A18">
            <v>11</v>
          </cell>
          <cell r="C18" t="str">
            <v xml:space="preserve">  Firm</v>
          </cell>
          <cell r="E18">
            <v>0.81499999999999995</v>
          </cell>
          <cell r="F18">
            <v>16525026</v>
          </cell>
          <cell r="G18">
            <v>18923274</v>
          </cell>
          <cell r="H18">
            <v>0.87329999999999997</v>
          </cell>
          <cell r="I18" t="str">
            <v>NA</v>
          </cell>
          <cell r="J18" t="str">
            <v>NA</v>
          </cell>
        </row>
        <row r="19">
          <cell r="A19">
            <v>12</v>
          </cell>
          <cell r="C19" t="str">
            <v xml:space="preserve">  Total</v>
          </cell>
          <cell r="E19">
            <v>1</v>
          </cell>
          <cell r="F19">
            <v>20276105</v>
          </cell>
          <cell r="H19">
            <v>1.0571999999999999</v>
          </cell>
          <cell r="I19">
            <v>0.18390000000000001</v>
          </cell>
          <cell r="J19">
            <v>0.18390000000000001</v>
          </cell>
        </row>
        <row r="20">
          <cell r="A20">
            <v>13</v>
          </cell>
        </row>
        <row r="21">
          <cell r="A21">
            <v>14</v>
          </cell>
          <cell r="F21" t="str">
            <v>Volumetric Basis for</v>
          </cell>
        </row>
        <row r="22">
          <cell r="A22">
            <v>15</v>
          </cell>
          <cell r="E22" t="str">
            <v>Annualized</v>
          </cell>
          <cell r="F22" t="str">
            <v>Monthly  Demand Charge</v>
          </cell>
        </row>
        <row r="23">
          <cell r="A23">
            <v>16</v>
          </cell>
          <cell r="E23" t="str">
            <v>Mcf @14.65</v>
          </cell>
          <cell r="F23" t="str">
            <v>All</v>
          </cell>
          <cell r="G23" t="str">
            <v>Firm</v>
          </cell>
        </row>
        <row r="24">
          <cell r="A24">
            <v>17</v>
          </cell>
          <cell r="C24" t="str">
            <v>Firm Service</v>
          </cell>
        </row>
        <row r="25">
          <cell r="A25">
            <v>18</v>
          </cell>
          <cell r="C25" t="str">
            <v xml:space="preserve">  Sales:</v>
          </cell>
        </row>
        <row r="26">
          <cell r="A26">
            <v>19</v>
          </cell>
          <cell r="C26" t="str">
            <v xml:space="preserve">  G-1</v>
          </cell>
          <cell r="E26">
            <v>18887274</v>
          </cell>
          <cell r="F26">
            <v>18887274</v>
          </cell>
          <cell r="G26">
            <v>18887274</v>
          </cell>
          <cell r="H26">
            <v>1.0571999999999999</v>
          </cell>
        </row>
        <row r="27">
          <cell r="A27">
            <v>20</v>
          </cell>
          <cell r="C27" t="str">
            <v xml:space="preserve">  HLF</v>
          </cell>
          <cell r="E27">
            <v>60000</v>
          </cell>
          <cell r="F27">
            <v>60000</v>
          </cell>
          <cell r="H27">
            <v>0.18390000000000001</v>
          </cell>
          <cell r="I27" t="str">
            <v>+ HLF MDQ Demand</v>
          </cell>
        </row>
        <row r="28">
          <cell r="A28">
            <v>21</v>
          </cell>
          <cell r="C28" t="str">
            <v xml:space="preserve">  LVS-1</v>
          </cell>
          <cell r="E28">
            <v>0</v>
          </cell>
          <cell r="F28">
            <v>0</v>
          </cell>
          <cell r="G28">
            <v>0</v>
          </cell>
          <cell r="H28">
            <v>1.0571999999999999</v>
          </cell>
        </row>
        <row r="29">
          <cell r="A29">
            <v>22</v>
          </cell>
          <cell r="C29" t="str">
            <v xml:space="preserve">  Total Firm Sales</v>
          </cell>
          <cell r="E29">
            <v>18947274</v>
          </cell>
          <cell r="F29">
            <v>18947274</v>
          </cell>
          <cell r="G29">
            <v>18887274</v>
          </cell>
        </row>
        <row r="30">
          <cell r="A30">
            <v>23</v>
          </cell>
        </row>
        <row r="31">
          <cell r="A31">
            <v>24</v>
          </cell>
          <cell r="C31" t="str">
            <v xml:space="preserve">  Transportation:</v>
          </cell>
        </row>
        <row r="32">
          <cell r="A32">
            <v>25</v>
          </cell>
          <cell r="C32" t="str">
            <v xml:space="preserve">  T-2 \ G-1</v>
          </cell>
          <cell r="E32">
            <v>36000</v>
          </cell>
          <cell r="F32">
            <v>36000</v>
          </cell>
          <cell r="G32">
            <v>36000</v>
          </cell>
          <cell r="H32">
            <v>1.0571999999999999</v>
          </cell>
        </row>
        <row r="33">
          <cell r="A33">
            <v>26</v>
          </cell>
          <cell r="C33" t="str">
            <v xml:space="preserve">  HLF</v>
          </cell>
          <cell r="E33">
            <v>0</v>
          </cell>
          <cell r="F33">
            <v>0</v>
          </cell>
          <cell r="H33">
            <v>0.18390000000000001</v>
          </cell>
        </row>
        <row r="34">
          <cell r="A34">
            <v>27</v>
          </cell>
          <cell r="C34" t="str">
            <v xml:space="preserve">  Total Firm Service</v>
          </cell>
          <cell r="E34">
            <v>18983274</v>
          </cell>
          <cell r="F34">
            <v>18983274</v>
          </cell>
          <cell r="G34">
            <v>18923274</v>
          </cell>
        </row>
        <row r="35">
          <cell r="A35">
            <v>28</v>
          </cell>
        </row>
        <row r="36">
          <cell r="A36">
            <v>29</v>
          </cell>
          <cell r="C36" t="str">
            <v>Interruptible Service</v>
          </cell>
        </row>
        <row r="37">
          <cell r="A37">
            <v>30</v>
          </cell>
          <cell r="C37" t="str">
            <v xml:space="preserve">  Sales:</v>
          </cell>
        </row>
        <row r="38">
          <cell r="A38">
            <v>31</v>
          </cell>
          <cell r="C38" t="str">
            <v xml:space="preserve">  G-2</v>
          </cell>
          <cell r="E38">
            <v>684000</v>
          </cell>
          <cell r="F38">
            <v>684000</v>
          </cell>
          <cell r="H38">
            <v>1.0571999999999999</v>
          </cell>
          <cell r="I38">
            <v>0.18390000000000001</v>
          </cell>
        </row>
        <row r="39">
          <cell r="A39">
            <v>32</v>
          </cell>
          <cell r="C39" t="str">
            <v xml:space="preserve">  LVS-2</v>
          </cell>
          <cell r="E39">
            <v>154000</v>
          </cell>
          <cell r="F39">
            <v>154000</v>
          </cell>
          <cell r="H39">
            <v>1.0571999999999999</v>
          </cell>
          <cell r="I39">
            <v>0.18390000000000001</v>
          </cell>
        </row>
        <row r="40">
          <cell r="A40">
            <v>33</v>
          </cell>
          <cell r="C40" t="str">
            <v xml:space="preserve">  Total Sales</v>
          </cell>
          <cell r="E40">
            <v>838000</v>
          </cell>
          <cell r="F40">
            <v>838000</v>
          </cell>
        </row>
        <row r="41">
          <cell r="A41">
            <v>34</v>
          </cell>
        </row>
        <row r="42">
          <cell r="A42">
            <v>35</v>
          </cell>
          <cell r="C42" t="str">
            <v xml:space="preserve">  Transportation:</v>
          </cell>
        </row>
        <row r="43">
          <cell r="A43">
            <v>36</v>
          </cell>
          <cell r="C43" t="str">
            <v xml:space="preserve">  T-2 \ G-2</v>
          </cell>
          <cell r="E43">
            <v>580000</v>
          </cell>
          <cell r="F43">
            <v>580000</v>
          </cell>
          <cell r="H43">
            <v>1.0571999999999999</v>
          </cell>
          <cell r="I43">
            <v>0.18390000000000001</v>
          </cell>
        </row>
        <row r="44">
          <cell r="A44">
            <v>37</v>
          </cell>
        </row>
        <row r="45">
          <cell r="A45">
            <v>38</v>
          </cell>
          <cell r="C45" t="str">
            <v xml:space="preserve">  Total Interruptible Service</v>
          </cell>
          <cell r="E45">
            <v>1418000</v>
          </cell>
          <cell r="F45">
            <v>1418000</v>
          </cell>
        </row>
        <row r="46">
          <cell r="A46">
            <v>39</v>
          </cell>
        </row>
        <row r="47">
          <cell r="A47">
            <v>40</v>
          </cell>
          <cell r="C47" t="str">
            <v>Carriage Service</v>
          </cell>
        </row>
        <row r="48">
          <cell r="A48">
            <v>41</v>
          </cell>
          <cell r="C48" t="str">
            <v xml:space="preserve">  T-3 &amp; T-4</v>
          </cell>
          <cell r="E48">
            <v>23438000</v>
          </cell>
        </row>
        <row r="49">
          <cell r="A49">
            <v>42</v>
          </cell>
        </row>
        <row r="50">
          <cell r="A50">
            <v>43</v>
          </cell>
          <cell r="C50" t="str">
            <v>Total</v>
          </cell>
          <cell r="E50">
            <v>43839274</v>
          </cell>
          <cell r="F50">
            <v>20401274</v>
          </cell>
          <cell r="G50">
            <v>18923274</v>
          </cell>
        </row>
        <row r="51">
          <cell r="A51">
            <v>44</v>
          </cell>
        </row>
        <row r="52">
          <cell r="A52">
            <v>45</v>
          </cell>
          <cell r="C52" t="str">
            <v>HLF MDQ Demand</v>
          </cell>
        </row>
        <row r="53">
          <cell r="A53">
            <v>46</v>
          </cell>
          <cell r="C53" t="str">
            <v xml:space="preserve">  Firm Demand Cost</v>
          </cell>
          <cell r="F53">
            <v>16525026</v>
          </cell>
        </row>
        <row r="54">
          <cell r="A54">
            <v>47</v>
          </cell>
          <cell r="C54" t="str">
            <v xml:space="preserve">  Peak Day Thru-put</v>
          </cell>
          <cell r="F54">
            <v>302152</v>
          </cell>
          <cell r="G54" t="str">
            <v>Mcf/Peak Day</v>
          </cell>
        </row>
        <row r="55">
          <cell r="A55">
            <v>48</v>
          </cell>
          <cell r="C55" t="str">
            <v xml:space="preserve">  Times:</v>
          </cell>
          <cell r="F55">
            <v>12</v>
          </cell>
          <cell r="G55" t="str">
            <v>Months/Year</v>
          </cell>
        </row>
        <row r="56">
          <cell r="A56">
            <v>49</v>
          </cell>
          <cell r="C56" t="str">
            <v xml:space="preserve">  Total Annualized Peak Day Demand</v>
          </cell>
          <cell r="F56">
            <v>3625824</v>
          </cell>
        </row>
        <row r="57">
          <cell r="A57">
            <v>50</v>
          </cell>
          <cell r="C57" t="str">
            <v xml:space="preserve">  Demand Charge per MDQ</v>
          </cell>
          <cell r="F57">
            <v>4.5575999999999999</v>
          </cell>
          <cell r="G57" t="str">
            <v>/ MDQ of Customer's Contract</v>
          </cell>
        </row>
      </sheetData>
      <sheetData sheetId="96">
        <row r="1">
          <cell r="A1" t="str">
            <v>Atmos Energy Corporation</v>
          </cell>
          <cell r="J1" t="str">
            <v>Exhibit B</v>
          </cell>
        </row>
        <row r="2">
          <cell r="A2" t="str">
            <v>Take-or-Pay and Transition Charge Calculation</v>
          </cell>
          <cell r="J2" t="str">
            <v>Page  9 of   11</v>
          </cell>
        </row>
        <row r="5">
          <cell r="A5" t="str">
            <v>Line</v>
          </cell>
        </row>
        <row r="6">
          <cell r="A6" t="str">
            <v>No.</v>
          </cell>
          <cell r="E6" t="str">
            <v>(1)</v>
          </cell>
          <cell r="F6" t="str">
            <v>(2)</v>
          </cell>
          <cell r="G6" t="str">
            <v>(3)</v>
          </cell>
          <cell r="H6" t="str">
            <v>(4)</v>
          </cell>
          <cell r="I6" t="str">
            <v>(5)</v>
          </cell>
          <cell r="J6" t="str">
            <v>(6)</v>
          </cell>
        </row>
        <row r="9">
          <cell r="A9">
            <v>1</v>
          </cell>
          <cell r="C9" t="str">
            <v>Other Fixed Charges</v>
          </cell>
          <cell r="E9" t="str">
            <v>Take-or-Pay</v>
          </cell>
          <cell r="F9" t="str">
            <v>Transition</v>
          </cell>
        </row>
        <row r="10">
          <cell r="A10">
            <v>2</v>
          </cell>
          <cell r="C10" t="str">
            <v xml:space="preserve">    Texas Gas</v>
          </cell>
          <cell r="F10">
            <v>0</v>
          </cell>
        </row>
        <row r="11">
          <cell r="A11">
            <v>3</v>
          </cell>
          <cell r="C11" t="str">
            <v xml:space="preserve">    Tennessee Gas</v>
          </cell>
          <cell r="F11">
            <v>0</v>
          </cell>
        </row>
        <row r="12">
          <cell r="A12">
            <v>4</v>
          </cell>
          <cell r="C12" t="str">
            <v xml:space="preserve">    Total</v>
          </cell>
          <cell r="E12">
            <v>0</v>
          </cell>
          <cell r="F12">
            <v>0</v>
          </cell>
        </row>
        <row r="13">
          <cell r="A13">
            <v>5</v>
          </cell>
        </row>
        <row r="14">
          <cell r="A14">
            <v>6</v>
          </cell>
        </row>
        <row r="15">
          <cell r="A15">
            <v>7</v>
          </cell>
          <cell r="F15" t="str">
            <v>Related</v>
          </cell>
          <cell r="G15" t="str">
            <v>Charge</v>
          </cell>
        </row>
        <row r="16">
          <cell r="A16">
            <v>8</v>
          </cell>
          <cell r="C16" t="str">
            <v>Other Fixed Charges</v>
          </cell>
          <cell r="E16" t="str">
            <v>Amount</v>
          </cell>
          <cell r="F16" t="str">
            <v>Volumes</v>
          </cell>
          <cell r="G16" t="str">
            <v xml:space="preserve">  $/Mcf</v>
          </cell>
        </row>
        <row r="17">
          <cell r="A17">
            <v>9</v>
          </cell>
          <cell r="C17" t="str">
            <v xml:space="preserve">  Take-or-Pay</v>
          </cell>
          <cell r="E17">
            <v>0</v>
          </cell>
          <cell r="F17">
            <v>43839274</v>
          </cell>
          <cell r="G17">
            <v>0</v>
          </cell>
        </row>
        <row r="18">
          <cell r="A18">
            <v>10</v>
          </cell>
          <cell r="C18" t="str">
            <v xml:space="preserve">  Transition</v>
          </cell>
          <cell r="E18">
            <v>0</v>
          </cell>
          <cell r="F18">
            <v>20401274</v>
          </cell>
          <cell r="G18">
            <v>0</v>
          </cell>
        </row>
        <row r="19">
          <cell r="A19">
            <v>11</v>
          </cell>
          <cell r="C19" t="str">
            <v xml:space="preserve">  Total</v>
          </cell>
          <cell r="E19">
            <v>0</v>
          </cell>
          <cell r="G19">
            <v>0</v>
          </cell>
        </row>
        <row r="20">
          <cell r="A20">
            <v>12</v>
          </cell>
        </row>
        <row r="21">
          <cell r="A21">
            <v>13</v>
          </cell>
        </row>
        <row r="22">
          <cell r="A22">
            <v>14</v>
          </cell>
          <cell r="F22" t="str">
            <v>Volumetric Basis for</v>
          </cell>
        </row>
        <row r="23">
          <cell r="A23">
            <v>15</v>
          </cell>
          <cell r="E23" t="str">
            <v>Annual</v>
          </cell>
          <cell r="F23" t="str">
            <v>Other Fixed Charges</v>
          </cell>
          <cell r="I23" t="str">
            <v>Other Fixed Charges</v>
          </cell>
        </row>
        <row r="24">
          <cell r="A24">
            <v>16</v>
          </cell>
          <cell r="E24" t="str">
            <v>Expected Mcf</v>
          </cell>
          <cell r="F24" t="str">
            <v>Take-or-Pay</v>
          </cell>
          <cell r="G24" t="str">
            <v>Transition</v>
          </cell>
          <cell r="I24" t="str">
            <v>Take-or-Pay</v>
          </cell>
          <cell r="J24" t="str">
            <v xml:space="preserve">  Transition</v>
          </cell>
        </row>
        <row r="25">
          <cell r="A25">
            <v>17</v>
          </cell>
          <cell r="C25" t="str">
            <v>Firm Service</v>
          </cell>
        </row>
        <row r="26">
          <cell r="A26">
            <v>18</v>
          </cell>
          <cell r="C26" t="str">
            <v xml:space="preserve">  Sales:</v>
          </cell>
        </row>
        <row r="27">
          <cell r="A27">
            <v>19</v>
          </cell>
          <cell r="C27" t="str">
            <v xml:space="preserve">  G-1</v>
          </cell>
          <cell r="E27">
            <v>18887274</v>
          </cell>
          <cell r="F27">
            <v>18887274</v>
          </cell>
          <cell r="G27">
            <v>18887274</v>
          </cell>
          <cell r="J27">
            <v>0</v>
          </cell>
        </row>
        <row r="28">
          <cell r="A28">
            <v>20</v>
          </cell>
          <cell r="C28" t="str">
            <v xml:space="preserve">  HLF</v>
          </cell>
          <cell r="E28">
            <v>60000</v>
          </cell>
          <cell r="F28">
            <v>60000</v>
          </cell>
          <cell r="G28">
            <v>60000</v>
          </cell>
          <cell r="J28">
            <v>0</v>
          </cell>
        </row>
        <row r="29">
          <cell r="A29">
            <v>21</v>
          </cell>
          <cell r="C29" t="str">
            <v xml:space="preserve">  LVS-1</v>
          </cell>
          <cell r="E29">
            <v>0</v>
          </cell>
          <cell r="F29">
            <v>0</v>
          </cell>
          <cell r="G29">
            <v>0</v>
          </cell>
          <cell r="J29">
            <v>0</v>
          </cell>
        </row>
        <row r="30">
          <cell r="A30">
            <v>22</v>
          </cell>
          <cell r="C30" t="str">
            <v xml:space="preserve">  Total Firm Sales</v>
          </cell>
          <cell r="E30">
            <v>18947274</v>
          </cell>
          <cell r="F30">
            <v>18947274</v>
          </cell>
          <cell r="G30">
            <v>18947274</v>
          </cell>
        </row>
        <row r="31">
          <cell r="A31">
            <v>23</v>
          </cell>
        </row>
        <row r="32">
          <cell r="A32">
            <v>24</v>
          </cell>
          <cell r="C32" t="str">
            <v xml:space="preserve">  Transportation:</v>
          </cell>
        </row>
        <row r="33">
          <cell r="A33">
            <v>25</v>
          </cell>
          <cell r="C33" t="str">
            <v xml:space="preserve">  T-2 \ G-1</v>
          </cell>
          <cell r="E33">
            <v>36000</v>
          </cell>
          <cell r="F33">
            <v>36000</v>
          </cell>
          <cell r="G33">
            <v>36000</v>
          </cell>
          <cell r="J33">
            <v>0</v>
          </cell>
        </row>
        <row r="34">
          <cell r="A34">
            <v>26</v>
          </cell>
          <cell r="C34" t="str">
            <v xml:space="preserve">  T-2 \ G-1 \ HLF</v>
          </cell>
          <cell r="E34">
            <v>0</v>
          </cell>
          <cell r="J34">
            <v>0</v>
          </cell>
        </row>
        <row r="35">
          <cell r="A35">
            <v>27</v>
          </cell>
          <cell r="C35" t="str">
            <v xml:space="preserve">  Total Firm Service</v>
          </cell>
          <cell r="E35">
            <v>18983274</v>
          </cell>
          <cell r="F35">
            <v>18983274</v>
          </cell>
          <cell r="G35">
            <v>18983274</v>
          </cell>
        </row>
        <row r="36">
          <cell r="A36">
            <v>28</v>
          </cell>
        </row>
        <row r="37">
          <cell r="A37">
            <v>29</v>
          </cell>
          <cell r="C37" t="str">
            <v>Interruptible Service</v>
          </cell>
        </row>
        <row r="38">
          <cell r="A38">
            <v>30</v>
          </cell>
          <cell r="C38" t="str">
            <v xml:space="preserve">  Sales:</v>
          </cell>
        </row>
        <row r="39">
          <cell r="A39">
            <v>31</v>
          </cell>
          <cell r="C39" t="str">
            <v xml:space="preserve">  G-2</v>
          </cell>
          <cell r="E39">
            <v>684000</v>
          </cell>
          <cell r="F39">
            <v>684000</v>
          </cell>
          <cell r="G39">
            <v>684000</v>
          </cell>
          <cell r="J39">
            <v>0</v>
          </cell>
        </row>
        <row r="40">
          <cell r="A40">
            <v>32</v>
          </cell>
          <cell r="C40" t="str">
            <v xml:space="preserve">  LVS-2</v>
          </cell>
          <cell r="E40">
            <v>154000</v>
          </cell>
          <cell r="F40">
            <v>154000</v>
          </cell>
          <cell r="G40">
            <v>154000</v>
          </cell>
          <cell r="J40">
            <v>0</v>
          </cell>
        </row>
        <row r="41">
          <cell r="A41">
            <v>33</v>
          </cell>
          <cell r="C41" t="str">
            <v xml:space="preserve">  Total Sales</v>
          </cell>
          <cell r="E41">
            <v>838000</v>
          </cell>
          <cell r="F41">
            <v>838000</v>
          </cell>
          <cell r="G41">
            <v>838000</v>
          </cell>
        </row>
        <row r="42">
          <cell r="A42">
            <v>34</v>
          </cell>
        </row>
        <row r="43">
          <cell r="A43">
            <v>35</v>
          </cell>
          <cell r="C43" t="str">
            <v xml:space="preserve">  Transportation:</v>
          </cell>
        </row>
        <row r="44">
          <cell r="A44">
            <v>36</v>
          </cell>
          <cell r="C44" t="str">
            <v xml:space="preserve">  T-2 \ G-2</v>
          </cell>
          <cell r="E44">
            <v>580000</v>
          </cell>
          <cell r="F44">
            <v>580000</v>
          </cell>
          <cell r="G44">
            <v>580000</v>
          </cell>
          <cell r="J44">
            <v>0</v>
          </cell>
        </row>
        <row r="45">
          <cell r="A45">
            <v>37</v>
          </cell>
        </row>
        <row r="46">
          <cell r="A46">
            <v>38</v>
          </cell>
          <cell r="C46" t="str">
            <v xml:space="preserve">  Total Interruptible Service</v>
          </cell>
          <cell r="E46">
            <v>1418000</v>
          </cell>
          <cell r="F46">
            <v>1418000</v>
          </cell>
          <cell r="G46">
            <v>1418000</v>
          </cell>
        </row>
        <row r="47">
          <cell r="A47">
            <v>39</v>
          </cell>
        </row>
        <row r="48">
          <cell r="A48">
            <v>40</v>
          </cell>
          <cell r="C48" t="str">
            <v>Carriage Service</v>
          </cell>
        </row>
        <row r="49">
          <cell r="A49">
            <v>41</v>
          </cell>
          <cell r="C49" t="str">
            <v xml:space="preserve">  T-3 &amp; T-4</v>
          </cell>
          <cell r="E49">
            <v>23438000</v>
          </cell>
          <cell r="F49">
            <v>23438000</v>
          </cell>
          <cell r="G49" t="str">
            <v>NA</v>
          </cell>
        </row>
        <row r="50">
          <cell r="A50">
            <v>42</v>
          </cell>
        </row>
        <row r="51">
          <cell r="A51">
            <v>43</v>
          </cell>
          <cell r="C51" t="str">
            <v>Total</v>
          </cell>
          <cell r="E51">
            <v>43839274</v>
          </cell>
          <cell r="F51">
            <v>43839274</v>
          </cell>
          <cell r="G51">
            <v>20401274</v>
          </cell>
        </row>
      </sheetData>
      <sheetData sheetId="97">
        <row r="1">
          <cell r="A1" t="str">
            <v>Atmos Energy Corporation</v>
          </cell>
          <cell r="H1" t="str">
            <v>Exhibit B</v>
          </cell>
        </row>
        <row r="2">
          <cell r="A2" t="str">
            <v>Expected Gas Cost - Commodity</v>
          </cell>
          <cell r="H2" t="str">
            <v>Page  10  of  11</v>
          </cell>
        </row>
        <row r="3">
          <cell r="A3" t="str">
            <v>Total System</v>
          </cell>
        </row>
        <row r="5">
          <cell r="E5" t="str">
            <v>(1)</v>
          </cell>
          <cell r="F5" t="str">
            <v>(2)</v>
          </cell>
          <cell r="G5" t="str">
            <v>(3)</v>
          </cell>
          <cell r="H5" t="str">
            <v>(4)</v>
          </cell>
        </row>
        <row r="7">
          <cell r="A7" t="str">
            <v>Line</v>
          </cell>
        </row>
        <row r="8">
          <cell r="A8" t="str">
            <v>No.</v>
          </cell>
          <cell r="B8" t="str">
            <v>Description</v>
          </cell>
          <cell r="E8" t="str">
            <v>Purchases</v>
          </cell>
          <cell r="G8" t="str">
            <v>Rate</v>
          </cell>
          <cell r="H8" t="str">
            <v>Total</v>
          </cell>
        </row>
        <row r="9">
          <cell r="E9" t="str">
            <v>Mcf</v>
          </cell>
          <cell r="F9" t="str">
            <v>MMbtu</v>
          </cell>
          <cell r="G9" t="str">
            <v>$/MMbtu</v>
          </cell>
          <cell r="H9" t="str">
            <v>$</v>
          </cell>
        </row>
        <row r="11">
          <cell r="A11">
            <v>1</v>
          </cell>
          <cell r="B11" t="str">
            <v>Texas Gas Area</v>
          </cell>
        </row>
        <row r="12">
          <cell r="A12">
            <v>2</v>
          </cell>
          <cell r="B12" t="str">
            <v>No Notice Service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</row>
        <row r="13">
          <cell r="A13">
            <v>3</v>
          </cell>
          <cell r="B13" t="str">
            <v>Firm Transportation</v>
          </cell>
          <cell r="E13">
            <v>88780</v>
          </cell>
          <cell r="F13">
            <v>91000</v>
          </cell>
          <cell r="G13">
            <v>6.7525000000000004</v>
          </cell>
          <cell r="H13">
            <v>614478</v>
          </cell>
        </row>
        <row r="14">
          <cell r="A14">
            <v>4</v>
          </cell>
          <cell r="B14" t="str">
            <v>No Notice Storage</v>
          </cell>
          <cell r="E14">
            <v>332372</v>
          </cell>
          <cell r="F14">
            <v>340681</v>
          </cell>
          <cell r="G14">
            <v>6.8574000000000002</v>
          </cell>
          <cell r="H14">
            <v>2336185</v>
          </cell>
        </row>
        <row r="15">
          <cell r="A15">
            <v>5</v>
          </cell>
          <cell r="B15" t="str">
            <v>Total Texas Gas Area</v>
          </cell>
          <cell r="E15">
            <v>421152</v>
          </cell>
          <cell r="F15">
            <v>431681</v>
          </cell>
          <cell r="G15">
            <v>6.8353000000000002</v>
          </cell>
          <cell r="H15">
            <v>2950663</v>
          </cell>
        </row>
        <row r="16">
          <cell r="A16">
            <v>6</v>
          </cell>
        </row>
        <row r="17">
          <cell r="A17">
            <v>7</v>
          </cell>
          <cell r="B17" t="str">
            <v>Tennessee Gas Area</v>
          </cell>
        </row>
        <row r="18">
          <cell r="A18">
            <v>8</v>
          </cell>
          <cell r="B18" t="str">
            <v xml:space="preserve"> FT-A and FT-G </v>
          </cell>
          <cell r="E18">
            <v>634303</v>
          </cell>
          <cell r="F18">
            <v>659675</v>
          </cell>
          <cell r="G18">
            <v>6.9659000000000004</v>
          </cell>
          <cell r="H18">
            <v>4595229</v>
          </cell>
        </row>
        <row r="19">
          <cell r="A19">
            <v>9</v>
          </cell>
          <cell r="B19" t="str">
            <v xml:space="preserve"> FT-GS </v>
          </cell>
          <cell r="E19">
            <v>115808</v>
          </cell>
          <cell r="F19">
            <v>120440</v>
          </cell>
          <cell r="G19">
            <v>7.4717000000000002</v>
          </cell>
          <cell r="H19">
            <v>899892</v>
          </cell>
        </row>
        <row r="20">
          <cell r="A20">
            <v>10</v>
          </cell>
          <cell r="B20" t="str">
            <v xml:space="preserve"> Gas Storage</v>
          </cell>
        </row>
        <row r="21">
          <cell r="A21">
            <v>11</v>
          </cell>
          <cell r="B21" t="str">
            <v xml:space="preserve">  FT-A and FT-G Injections</v>
          </cell>
          <cell r="E21">
            <v>207101</v>
          </cell>
          <cell r="F21">
            <v>215385</v>
          </cell>
          <cell r="G21">
            <v>6.6490999999999998</v>
          </cell>
          <cell r="H21">
            <v>1432117</v>
          </cell>
        </row>
        <row r="22">
          <cell r="A22">
            <v>12</v>
          </cell>
          <cell r="B22" t="str">
            <v xml:space="preserve">  FT-GS Withdrawals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</row>
        <row r="23">
          <cell r="A23">
            <v>13</v>
          </cell>
          <cell r="E23">
            <v>957212</v>
          </cell>
          <cell r="F23">
            <v>995500</v>
          </cell>
          <cell r="G23">
            <v>6.9585999999999997</v>
          </cell>
          <cell r="H23">
            <v>6927238</v>
          </cell>
        </row>
        <row r="24">
          <cell r="A24">
            <v>14</v>
          </cell>
          <cell r="B24" t="str">
            <v>Trunkline Gas Area</v>
          </cell>
        </row>
        <row r="25">
          <cell r="A25">
            <v>15</v>
          </cell>
          <cell r="B25" t="str">
            <v>Firm Transportation</v>
          </cell>
          <cell r="E25">
            <v>212077.29468599035</v>
          </cell>
          <cell r="F25">
            <v>219500</v>
          </cell>
          <cell r="G25">
            <v>6.6224999999999996</v>
          </cell>
          <cell r="H25">
            <v>1453639</v>
          </cell>
        </row>
        <row r="26">
          <cell r="A26">
            <v>16</v>
          </cell>
        </row>
        <row r="27">
          <cell r="A27">
            <v>17</v>
          </cell>
        </row>
        <row r="28">
          <cell r="A28">
            <v>18</v>
          </cell>
          <cell r="B28" t="str">
            <v>WKG System Storage</v>
          </cell>
        </row>
        <row r="29">
          <cell r="A29">
            <v>19</v>
          </cell>
          <cell r="B29" t="str">
            <v>Injections</v>
          </cell>
          <cell r="E29">
            <v>-759591</v>
          </cell>
          <cell r="F29">
            <v>-778581</v>
          </cell>
          <cell r="G29">
            <v>6.4372857142857152</v>
          </cell>
          <cell r="H29">
            <v>-5011948</v>
          </cell>
        </row>
        <row r="30">
          <cell r="A30">
            <v>20</v>
          </cell>
          <cell r="B30" t="str">
            <v>Withdrawals</v>
          </cell>
          <cell r="E30">
            <v>3680000</v>
          </cell>
          <cell r="F30">
            <v>3772000</v>
          </cell>
          <cell r="G30">
            <v>7.1669999999999998</v>
          </cell>
          <cell r="H30">
            <v>27033924</v>
          </cell>
        </row>
        <row r="31">
          <cell r="A31">
            <v>21</v>
          </cell>
          <cell r="B31" t="str">
            <v>Net WKG Storage</v>
          </cell>
          <cell r="E31">
            <v>2920408.7804878051</v>
          </cell>
          <cell r="F31">
            <v>2993419</v>
          </cell>
          <cell r="G31">
            <v>7.3567999999999998</v>
          </cell>
          <cell r="H31">
            <v>22021976</v>
          </cell>
        </row>
        <row r="32">
          <cell r="A32">
            <v>22</v>
          </cell>
        </row>
        <row r="33">
          <cell r="A33">
            <v>23</v>
          </cell>
        </row>
        <row r="34">
          <cell r="A34">
            <v>24</v>
          </cell>
          <cell r="B34" t="str">
            <v>Local Production</v>
          </cell>
          <cell r="E34">
            <v>59512</v>
          </cell>
          <cell r="F34">
            <v>61000</v>
          </cell>
          <cell r="G34">
            <v>6.7525000000000004</v>
          </cell>
          <cell r="H34">
            <v>411903</v>
          </cell>
        </row>
        <row r="35">
          <cell r="A35">
            <v>25</v>
          </cell>
        </row>
        <row r="36">
          <cell r="A36">
            <v>26</v>
          </cell>
        </row>
        <row r="37">
          <cell r="A37">
            <v>27</v>
          </cell>
        </row>
        <row r="38">
          <cell r="A38">
            <v>28</v>
          </cell>
          <cell r="B38" t="str">
            <v xml:space="preserve"> Total Commodity Purchases</v>
          </cell>
          <cell r="E38">
            <v>4570362.0751737952</v>
          </cell>
          <cell r="F38">
            <v>4701100</v>
          </cell>
          <cell r="G38">
            <v>7.1825000000000001</v>
          </cell>
          <cell r="H38">
            <v>33765419</v>
          </cell>
        </row>
        <row r="39">
          <cell r="A39">
            <v>29</v>
          </cell>
        </row>
        <row r="40">
          <cell r="A40">
            <v>30</v>
          </cell>
          <cell r="B40" t="str">
            <v>Lost &amp; Unaccounted for  @</v>
          </cell>
          <cell r="D40">
            <v>1.38E-2</v>
          </cell>
          <cell r="E40">
            <v>63071</v>
          </cell>
          <cell r="F40">
            <v>64875</v>
          </cell>
        </row>
        <row r="41">
          <cell r="A41">
            <v>31</v>
          </cell>
        </row>
        <row r="42">
          <cell r="A42">
            <v>32</v>
          </cell>
          <cell r="B42" t="str">
            <v>Total Deliveries</v>
          </cell>
          <cell r="E42">
            <v>4507291.0751737952</v>
          </cell>
          <cell r="F42">
            <v>4636225</v>
          </cell>
          <cell r="G42">
            <v>7.2830000000000004</v>
          </cell>
          <cell r="H42">
            <v>33765419</v>
          </cell>
        </row>
        <row r="43">
          <cell r="A43">
            <v>33</v>
          </cell>
        </row>
        <row r="44">
          <cell r="A44">
            <v>34</v>
          </cell>
          <cell r="B44" t="str">
            <v>LVS Commodity Credit to System</v>
          </cell>
        </row>
        <row r="45">
          <cell r="A45">
            <v>35</v>
          </cell>
          <cell r="B45" t="str">
            <v>LVS Sales</v>
          </cell>
          <cell r="C45" t="str">
            <v>Need table of monthly =&gt;</v>
          </cell>
          <cell r="E45">
            <v>-20000</v>
          </cell>
          <cell r="F45">
            <v>-20572</v>
          </cell>
          <cell r="G45">
            <v>9.4163999999999994</v>
          </cell>
          <cell r="H45">
            <v>-193714</v>
          </cell>
        </row>
        <row r="46">
          <cell r="A46">
            <v>36</v>
          </cell>
        </row>
        <row r="47">
          <cell r="A47">
            <v>37</v>
          </cell>
        </row>
        <row r="48">
          <cell r="A48">
            <v>38</v>
          </cell>
          <cell r="B48" t="str">
            <v>Total Expected Commodity Cost</v>
          </cell>
          <cell r="E48">
            <v>4487291.0751737952</v>
          </cell>
          <cell r="F48">
            <v>4615653</v>
          </cell>
          <cell r="G48">
            <v>7.2733999999999996</v>
          </cell>
          <cell r="H48">
            <v>33571705</v>
          </cell>
        </row>
        <row r="50">
          <cell r="G50">
            <v>7.4814999999999996</v>
          </cell>
        </row>
      </sheetData>
      <sheetData sheetId="98"/>
      <sheetData sheetId="99"/>
      <sheetData sheetId="100">
        <row r="1">
          <cell r="A1" t="str">
            <v>Atmos Energy Corporation</v>
          </cell>
          <cell r="K1" t="str">
            <v>Exhibit C</v>
          </cell>
        </row>
        <row r="2">
          <cell r="A2" t="str">
            <v>Current "Cash-out" Prices</v>
          </cell>
          <cell r="K2" t="str">
            <v>Page 21 of 21</v>
          </cell>
        </row>
        <row r="3">
          <cell r="A3" t="str">
            <v>For the Month of November, 2006</v>
          </cell>
        </row>
        <row r="7">
          <cell r="G7" t="str">
            <v>Indexed 1</v>
          </cell>
          <cell r="K7" t="str">
            <v>WKG</v>
          </cell>
        </row>
        <row r="8">
          <cell r="G8" t="str">
            <v>Cash-out</v>
          </cell>
          <cell r="I8" t="str">
            <v>Transport</v>
          </cell>
          <cell r="K8" t="str">
            <v>Cash-out</v>
          </cell>
        </row>
        <row r="9">
          <cell r="A9" t="str">
            <v>For WKG customers served  in:</v>
          </cell>
          <cell r="G9" t="str">
            <v>Price</v>
          </cell>
          <cell r="I9" t="str">
            <v>Charge 2, 3</v>
          </cell>
          <cell r="K9" t="str">
            <v>Price</v>
          </cell>
        </row>
        <row r="11">
          <cell r="A11" t="str">
            <v>A.</v>
          </cell>
          <cell r="C11" t="str">
            <v>Texas Gas:</v>
          </cell>
        </row>
        <row r="12">
          <cell r="C12" t="str">
            <v>Zone 2 Area</v>
          </cell>
          <cell r="E12" t="str">
            <v>100% of Index Price</v>
          </cell>
          <cell r="G12">
            <v>7.3879999999999999</v>
          </cell>
          <cell r="H12" t="str">
            <v>+</v>
          </cell>
          <cell r="I12">
            <v>4.7800000000000002E-2</v>
          </cell>
          <cell r="J12" t="str">
            <v>=</v>
          </cell>
          <cell r="K12">
            <v>7.4357999999999995</v>
          </cell>
        </row>
        <row r="13">
          <cell r="E13" t="str">
            <v xml:space="preserve"> 90% of Index Price</v>
          </cell>
          <cell r="G13">
            <v>6.6492000000000004</v>
          </cell>
          <cell r="H13" t="str">
            <v>+</v>
          </cell>
          <cell r="I13">
            <v>4.7800000000000002E-2</v>
          </cell>
          <cell r="J13" t="str">
            <v>=</v>
          </cell>
          <cell r="K13">
            <v>6.6970000000000001</v>
          </cell>
        </row>
        <row r="14">
          <cell r="E14" t="str">
            <v xml:space="preserve"> 80% of Index Price</v>
          </cell>
          <cell r="G14">
            <v>5.9104000000000001</v>
          </cell>
          <cell r="H14" t="str">
            <v>+</v>
          </cell>
          <cell r="I14">
            <v>4.7800000000000002E-2</v>
          </cell>
          <cell r="J14" t="str">
            <v>=</v>
          </cell>
          <cell r="K14">
            <v>5.9581999999999997</v>
          </cell>
        </row>
        <row r="16">
          <cell r="C16" t="str">
            <v>Zone 3 Area</v>
          </cell>
          <cell r="E16" t="str">
            <v>100% of Index Price</v>
          </cell>
          <cell r="G16">
            <v>7.3879999999999999</v>
          </cell>
          <cell r="H16" t="str">
            <v>+</v>
          </cell>
          <cell r="I16">
            <v>5.0800000000000005E-2</v>
          </cell>
          <cell r="J16" t="str">
            <v>=</v>
          </cell>
          <cell r="K16">
            <v>7.4387999999999996</v>
          </cell>
        </row>
        <row r="17">
          <cell r="E17" t="str">
            <v xml:space="preserve"> 90% of Index Price</v>
          </cell>
          <cell r="G17">
            <v>6.6492000000000004</v>
          </cell>
          <cell r="H17" t="str">
            <v>+</v>
          </cell>
          <cell r="I17">
            <v>5.0800000000000005E-2</v>
          </cell>
          <cell r="J17" t="str">
            <v>=</v>
          </cell>
          <cell r="K17">
            <v>6.7</v>
          </cell>
        </row>
        <row r="18">
          <cell r="E18" t="str">
            <v xml:space="preserve"> 80% of Index Price</v>
          </cell>
          <cell r="G18">
            <v>5.9104000000000001</v>
          </cell>
          <cell r="H18" t="str">
            <v>+</v>
          </cell>
          <cell r="I18">
            <v>5.0800000000000005E-2</v>
          </cell>
          <cell r="J18" t="str">
            <v>=</v>
          </cell>
          <cell r="K18">
            <v>5.9611999999999998</v>
          </cell>
        </row>
        <row r="20">
          <cell r="C20" t="str">
            <v>Zone 4 Area</v>
          </cell>
          <cell r="E20" t="str">
            <v>100% of Index Price</v>
          </cell>
          <cell r="G20">
            <v>7.3879999999999999</v>
          </cell>
          <cell r="H20" t="str">
            <v>+</v>
          </cell>
          <cell r="I20">
            <v>6.3200000000000006E-2</v>
          </cell>
          <cell r="J20" t="str">
            <v>=</v>
          </cell>
          <cell r="K20">
            <v>7.4512</v>
          </cell>
        </row>
        <row r="21">
          <cell r="E21" t="str">
            <v xml:space="preserve"> 90% of Index Price</v>
          </cell>
          <cell r="G21">
            <v>6.6492000000000004</v>
          </cell>
          <cell r="H21" t="str">
            <v>+</v>
          </cell>
          <cell r="I21">
            <v>6.3200000000000006E-2</v>
          </cell>
          <cell r="J21" t="str">
            <v>=</v>
          </cell>
          <cell r="K21">
            <v>6.7124000000000006</v>
          </cell>
        </row>
        <row r="22">
          <cell r="E22" t="str">
            <v xml:space="preserve"> 80% of Index Price</v>
          </cell>
          <cell r="G22">
            <v>5.9104000000000001</v>
          </cell>
          <cell r="H22" t="str">
            <v>+</v>
          </cell>
          <cell r="I22">
            <v>6.3200000000000006E-2</v>
          </cell>
          <cell r="J22" t="str">
            <v>=</v>
          </cell>
          <cell r="K22">
            <v>5.9736000000000002</v>
          </cell>
        </row>
        <row r="24">
          <cell r="A24" t="str">
            <v>B.</v>
          </cell>
          <cell r="C24" t="str">
            <v>Tennessee Gas:</v>
          </cell>
        </row>
        <row r="25">
          <cell r="C25" t="str">
            <v>Zone 2 Area</v>
          </cell>
          <cell r="E25" t="str">
            <v>100% of Index Price</v>
          </cell>
          <cell r="G25">
            <v>7.1712999999999996</v>
          </cell>
          <cell r="H25" t="str">
            <v>+</v>
          </cell>
          <cell r="I25">
            <v>1.7899999999999999E-2</v>
          </cell>
          <cell r="J25" t="str">
            <v>=</v>
          </cell>
          <cell r="K25">
            <v>7.1891999999999996</v>
          </cell>
        </row>
        <row r="26">
          <cell r="E26" t="str">
            <v xml:space="preserve"> 90% of Index Price</v>
          </cell>
          <cell r="G26">
            <v>6.4542000000000002</v>
          </cell>
          <cell r="H26" t="str">
            <v>+</v>
          </cell>
          <cell r="I26">
            <v>1.7899999999999999E-2</v>
          </cell>
          <cell r="J26" t="str">
            <v>=</v>
          </cell>
          <cell r="K26">
            <v>6.4721000000000002</v>
          </cell>
        </row>
        <row r="27">
          <cell r="E27" t="str">
            <v xml:space="preserve"> 80% of Index Price</v>
          </cell>
          <cell r="G27">
            <v>5.7370000000000001</v>
          </cell>
          <cell r="H27" t="str">
            <v>+</v>
          </cell>
          <cell r="I27">
            <v>1.7899999999999999E-2</v>
          </cell>
          <cell r="J27" t="str">
            <v>=</v>
          </cell>
          <cell r="K27">
            <v>5.7549000000000001</v>
          </cell>
        </row>
        <row r="31">
          <cell r="A31" t="str">
            <v>1</v>
          </cell>
          <cell r="B31" t="str">
            <v>Indexed cash-out price is from the pipeline's Electronic Bulletin Board.</v>
          </cell>
        </row>
        <row r="33">
          <cell r="A33" t="str">
            <v>2</v>
          </cell>
          <cell r="B33" t="str">
            <v>Transport charge used for Texas Gas is its tariff sheet no. 20 commodity rate.</v>
          </cell>
        </row>
        <row r="35">
          <cell r="A35" t="str">
            <v>3</v>
          </cell>
          <cell r="B35" t="str">
            <v xml:space="preserve">Transport charge used for Tennessee Gas is its tariff sheet no. 23A maximum </v>
          </cell>
        </row>
        <row r="36">
          <cell r="B36" t="str">
            <v>commodity rate from zone 0 to zone 2.</v>
          </cell>
        </row>
      </sheetData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book Contents"/>
      <sheetName val="Directions"/>
      <sheetName val="Report"/>
      <sheetName val="Pipeline Cashout"/>
      <sheetName val="Texas"/>
      <sheetName val="Tenn"/>
      <sheetName val="2005-01 Texas 20"/>
      <sheetName val="2005-01 Tenn 23A"/>
      <sheetName val="Module1"/>
    </sheetNames>
    <sheetDataSet>
      <sheetData sheetId="0"/>
      <sheetData sheetId="1">
        <row r="5">
          <cell r="E5">
            <v>38353</v>
          </cell>
        </row>
      </sheetData>
      <sheetData sheetId="2"/>
      <sheetData sheetId="3">
        <row r="9">
          <cell r="A9">
            <v>34335</v>
          </cell>
          <cell r="B9">
            <v>2.1280000000000001</v>
          </cell>
          <cell r="C9">
            <v>2.1604000000000001</v>
          </cell>
        </row>
        <row r="10">
          <cell r="A10">
            <v>34366</v>
          </cell>
          <cell r="B10">
            <v>2.7789999999999999</v>
          </cell>
          <cell r="C10">
            <v>2.5708000000000002</v>
          </cell>
        </row>
        <row r="11">
          <cell r="A11">
            <v>34394</v>
          </cell>
          <cell r="B11">
            <v>2.331</v>
          </cell>
          <cell r="C11">
            <v>2.1343999999999999</v>
          </cell>
        </row>
        <row r="12">
          <cell r="A12">
            <v>34425</v>
          </cell>
          <cell r="B12">
            <v>1.9930000000000001</v>
          </cell>
          <cell r="C12">
            <v>1.9320999999999999</v>
          </cell>
        </row>
        <row r="13">
          <cell r="A13">
            <v>34455</v>
          </cell>
          <cell r="B13">
            <v>2.0059999999999998</v>
          </cell>
          <cell r="C13">
            <v>1.9036999999999999</v>
          </cell>
        </row>
        <row r="14">
          <cell r="A14">
            <v>34486</v>
          </cell>
          <cell r="B14">
            <v>1.8340000000000001</v>
          </cell>
          <cell r="C14">
            <v>1.8425</v>
          </cell>
        </row>
        <row r="15">
          <cell r="A15">
            <v>34516</v>
          </cell>
          <cell r="B15">
            <v>1.976</v>
          </cell>
          <cell r="C15">
            <v>1.9380999999999999</v>
          </cell>
        </row>
        <row r="16">
          <cell r="A16">
            <v>34547</v>
          </cell>
          <cell r="B16">
            <v>1.734</v>
          </cell>
          <cell r="C16">
            <v>1.6930000000000001</v>
          </cell>
        </row>
        <row r="17">
          <cell r="A17">
            <v>34578</v>
          </cell>
          <cell r="B17">
            <v>1.522</v>
          </cell>
          <cell r="C17">
            <v>1.4821</v>
          </cell>
        </row>
        <row r="18">
          <cell r="A18">
            <v>34608</v>
          </cell>
          <cell r="B18">
            <v>1.4550000000000001</v>
          </cell>
          <cell r="C18">
            <v>1.4267000000000001</v>
          </cell>
        </row>
        <row r="19">
          <cell r="A19">
            <v>34639</v>
          </cell>
          <cell r="B19">
            <v>1.57</v>
          </cell>
          <cell r="C19">
            <v>1.5388999999999999</v>
          </cell>
        </row>
        <row r="20">
          <cell r="A20">
            <v>34669</v>
          </cell>
          <cell r="B20">
            <v>1.6060000000000001</v>
          </cell>
          <cell r="C20">
            <v>1.6152</v>
          </cell>
        </row>
        <row r="21">
          <cell r="A21">
            <v>34700</v>
          </cell>
          <cell r="B21">
            <v>1.6240000000000001</v>
          </cell>
          <cell r="C21">
            <v>1.4823999999999999</v>
          </cell>
        </row>
        <row r="22">
          <cell r="A22">
            <v>34731</v>
          </cell>
          <cell r="B22">
            <v>1.474</v>
          </cell>
          <cell r="C22">
            <v>1.448</v>
          </cell>
        </row>
        <row r="23">
          <cell r="A23">
            <v>34759</v>
          </cell>
          <cell r="B23">
            <v>1.504</v>
          </cell>
          <cell r="C23">
            <v>1.4545999999999999</v>
          </cell>
        </row>
        <row r="24">
          <cell r="A24">
            <v>34790</v>
          </cell>
          <cell r="B24">
            <v>1.536</v>
          </cell>
          <cell r="C24">
            <v>1.4952000000000001</v>
          </cell>
        </row>
        <row r="25">
          <cell r="A25">
            <v>34820</v>
          </cell>
          <cell r="B25">
            <v>1.629</v>
          </cell>
          <cell r="C25">
            <v>1.5949</v>
          </cell>
        </row>
        <row r="26">
          <cell r="A26">
            <v>34851</v>
          </cell>
          <cell r="B26">
            <v>1.64</v>
          </cell>
          <cell r="C26">
            <v>1.6024</v>
          </cell>
        </row>
        <row r="27">
          <cell r="A27">
            <v>34881</v>
          </cell>
          <cell r="B27">
            <v>1.4770000000000001</v>
          </cell>
          <cell r="C27">
            <v>1.4017999999999999</v>
          </cell>
        </row>
        <row r="28">
          <cell r="A28">
            <v>34912</v>
          </cell>
          <cell r="B28">
            <v>1.4259999999999999</v>
          </cell>
          <cell r="C28">
            <v>1.4372</v>
          </cell>
        </row>
        <row r="29">
          <cell r="A29">
            <v>34943</v>
          </cell>
          <cell r="B29">
            <v>1.605</v>
          </cell>
          <cell r="C29">
            <v>1.5750999999999999</v>
          </cell>
        </row>
        <row r="30">
          <cell r="A30">
            <v>34973</v>
          </cell>
          <cell r="B30">
            <v>1.6890000000000001</v>
          </cell>
          <cell r="C30">
            <v>1.6419999999999999</v>
          </cell>
        </row>
        <row r="31">
          <cell r="A31">
            <v>35004</v>
          </cell>
          <cell r="B31">
            <v>1.8169999999999999</v>
          </cell>
          <cell r="C31">
            <v>1.7897000000000001</v>
          </cell>
        </row>
        <row r="32">
          <cell r="A32">
            <v>35034</v>
          </cell>
          <cell r="B32">
            <v>2.2749999999999999</v>
          </cell>
          <cell r="C32">
            <v>2.2010000000000001</v>
          </cell>
        </row>
        <row r="33">
          <cell r="A33">
            <v>35065</v>
          </cell>
          <cell r="B33">
            <v>3.2410000000000001</v>
          </cell>
          <cell r="C33">
            <v>2.6886999999999999</v>
          </cell>
        </row>
        <row r="34">
          <cell r="A34">
            <v>35096</v>
          </cell>
          <cell r="B34">
            <v>3.82</v>
          </cell>
          <cell r="C34">
            <v>3.5771999999999999</v>
          </cell>
        </row>
        <row r="35">
          <cell r="A35">
            <v>35125</v>
          </cell>
          <cell r="B35">
            <v>2.839</v>
          </cell>
          <cell r="C35">
            <v>2.5855000000000001</v>
          </cell>
        </row>
        <row r="36">
          <cell r="A36">
            <v>35156</v>
          </cell>
          <cell r="B36">
            <v>2.536</v>
          </cell>
          <cell r="C36">
            <v>2.3755000000000002</v>
          </cell>
        </row>
        <row r="37">
          <cell r="A37">
            <v>35186</v>
          </cell>
          <cell r="B37">
            <v>2.198</v>
          </cell>
          <cell r="C37">
            <v>2.15</v>
          </cell>
        </row>
        <row r="38">
          <cell r="A38">
            <v>35217</v>
          </cell>
          <cell r="B38">
            <v>2.339</v>
          </cell>
          <cell r="C38">
            <v>2.3054000000000001</v>
          </cell>
        </row>
        <row r="39">
          <cell r="A39">
            <v>35247</v>
          </cell>
          <cell r="B39">
            <v>2.61</v>
          </cell>
          <cell r="C39">
            <v>2.5177</v>
          </cell>
        </row>
        <row r="40">
          <cell r="A40">
            <v>35278</v>
          </cell>
          <cell r="B40">
            <v>2.2570000000000001</v>
          </cell>
          <cell r="C40">
            <v>2.0493000000000001</v>
          </cell>
        </row>
        <row r="41">
          <cell r="A41">
            <v>35309</v>
          </cell>
          <cell r="B41">
            <v>1.8280000000000001</v>
          </cell>
          <cell r="C41">
            <v>1.7801</v>
          </cell>
        </row>
        <row r="42">
          <cell r="A42">
            <v>35339</v>
          </cell>
          <cell r="B42">
            <v>2.0449999999999999</v>
          </cell>
          <cell r="C42">
            <v>2.2141000000000002</v>
          </cell>
        </row>
        <row r="43">
          <cell r="A43">
            <v>35370</v>
          </cell>
          <cell r="B43">
            <v>2.63</v>
          </cell>
          <cell r="C43">
            <v>2.7025000000000001</v>
          </cell>
        </row>
        <row r="44">
          <cell r="A44">
            <v>35400</v>
          </cell>
          <cell r="B44">
            <v>3.355</v>
          </cell>
          <cell r="C44">
            <v>3.6999</v>
          </cell>
        </row>
        <row r="45">
          <cell r="A45">
            <v>35431</v>
          </cell>
          <cell r="B45">
            <v>3.851</v>
          </cell>
          <cell r="C45">
            <v>3.5116000000000001</v>
          </cell>
        </row>
        <row r="46">
          <cell r="A46">
            <v>35462</v>
          </cell>
          <cell r="B46">
            <v>2.669</v>
          </cell>
          <cell r="C46">
            <v>2.3454999999999999</v>
          </cell>
        </row>
        <row r="47">
          <cell r="A47">
            <v>35490</v>
          </cell>
          <cell r="B47">
            <v>1.8540000000000001</v>
          </cell>
          <cell r="C47">
            <v>1.8333999999999999</v>
          </cell>
        </row>
        <row r="48">
          <cell r="A48">
            <v>35521</v>
          </cell>
          <cell r="B48">
            <v>1.893</v>
          </cell>
          <cell r="C48">
            <v>1.9518</v>
          </cell>
        </row>
        <row r="49">
          <cell r="A49">
            <v>35551</v>
          </cell>
          <cell r="B49">
            <v>2.1459999999999999</v>
          </cell>
          <cell r="C49">
            <v>2.1631999999999998</v>
          </cell>
        </row>
        <row r="50">
          <cell r="A50">
            <v>35582</v>
          </cell>
          <cell r="B50">
            <v>2.1930000000000001</v>
          </cell>
          <cell r="C50">
            <v>2.1663000000000001</v>
          </cell>
        </row>
        <row r="51">
          <cell r="A51">
            <v>35612</v>
          </cell>
          <cell r="B51">
            <v>2.1800000000000002</v>
          </cell>
          <cell r="C51">
            <v>2.1326000000000001</v>
          </cell>
        </row>
        <row r="52">
          <cell r="A52">
            <v>35643</v>
          </cell>
          <cell r="B52">
            <v>2.306</v>
          </cell>
          <cell r="C52">
            <v>2.3487</v>
          </cell>
        </row>
        <row r="53">
          <cell r="A53">
            <v>35674</v>
          </cell>
          <cell r="B53">
            <v>2.629</v>
          </cell>
          <cell r="C53">
            <v>2.7269999999999999</v>
          </cell>
        </row>
        <row r="54">
          <cell r="A54">
            <v>35704</v>
          </cell>
          <cell r="B54">
            <v>2.899</v>
          </cell>
          <cell r="C54">
            <v>2.9215</v>
          </cell>
        </row>
        <row r="55">
          <cell r="A55">
            <v>35735</v>
          </cell>
          <cell r="B55">
            <v>3.1789999999999998</v>
          </cell>
          <cell r="C55">
            <v>3.1263000000000001</v>
          </cell>
        </row>
        <row r="56">
          <cell r="A56">
            <v>35765</v>
          </cell>
          <cell r="B56">
            <v>2.3759999999999999</v>
          </cell>
          <cell r="C56">
            <v>2.3241999999999998</v>
          </cell>
        </row>
        <row r="57">
          <cell r="A57">
            <v>35796</v>
          </cell>
          <cell r="B57">
            <v>2.1139999999999999</v>
          </cell>
          <cell r="C57">
            <v>2.0831</v>
          </cell>
        </row>
        <row r="58">
          <cell r="A58">
            <v>35827</v>
          </cell>
          <cell r="B58">
            <v>2.169</v>
          </cell>
          <cell r="C58">
            <v>2.1312000000000002</v>
          </cell>
        </row>
        <row r="59">
          <cell r="A59">
            <v>35855</v>
          </cell>
          <cell r="B59">
            <v>2.2149999999999999</v>
          </cell>
          <cell r="C59">
            <v>2.1817000000000002</v>
          </cell>
        </row>
        <row r="60">
          <cell r="A60">
            <v>35886</v>
          </cell>
          <cell r="B60">
            <v>2.448</v>
          </cell>
          <cell r="C60">
            <v>2.4077999999999999</v>
          </cell>
        </row>
        <row r="61">
          <cell r="A61">
            <v>35916</v>
          </cell>
          <cell r="B61">
            <v>2.19</v>
          </cell>
          <cell r="C61">
            <v>2.1581999999999999</v>
          </cell>
        </row>
        <row r="62">
          <cell r="A62">
            <v>35947</v>
          </cell>
          <cell r="B62">
            <v>2.1320000000000001</v>
          </cell>
          <cell r="C62">
            <v>2.0954000000000002</v>
          </cell>
        </row>
        <row r="63">
          <cell r="A63">
            <v>35977</v>
          </cell>
          <cell r="B63">
            <v>2.2509999999999999</v>
          </cell>
          <cell r="C63">
            <v>2.2130999999999998</v>
          </cell>
        </row>
        <row r="64">
          <cell r="A64">
            <v>36008</v>
          </cell>
          <cell r="B64">
            <v>1.883</v>
          </cell>
          <cell r="C64">
            <v>1.8603000000000001</v>
          </cell>
        </row>
        <row r="65">
          <cell r="A65">
            <v>36039</v>
          </cell>
          <cell r="B65">
            <v>1.919</v>
          </cell>
          <cell r="C65">
            <v>1.8957999999999999</v>
          </cell>
        </row>
        <row r="66">
          <cell r="A66">
            <v>36069</v>
          </cell>
          <cell r="B66">
            <v>1.9590000000000001</v>
          </cell>
          <cell r="C66">
            <v>1.9327000000000001</v>
          </cell>
        </row>
        <row r="67">
          <cell r="A67">
            <v>36100</v>
          </cell>
          <cell r="B67">
            <v>2.0680000000000001</v>
          </cell>
          <cell r="C67">
            <v>2.0371000000000001</v>
          </cell>
        </row>
        <row r="68">
          <cell r="A68">
            <v>36130</v>
          </cell>
          <cell r="B68">
            <v>1.7330000000000001</v>
          </cell>
          <cell r="C68">
            <v>1.7156</v>
          </cell>
        </row>
        <row r="69">
          <cell r="A69">
            <v>36161</v>
          </cell>
          <cell r="B69">
            <v>1.855</v>
          </cell>
          <cell r="C69">
            <v>1.8351999999999999</v>
          </cell>
        </row>
        <row r="70">
          <cell r="A70">
            <v>36192</v>
          </cell>
          <cell r="B70">
            <v>1.7749999999999999</v>
          </cell>
          <cell r="C70">
            <v>1.7495000000000001</v>
          </cell>
        </row>
        <row r="71">
          <cell r="A71">
            <v>36220</v>
          </cell>
          <cell r="B71">
            <v>1.754</v>
          </cell>
          <cell r="C71">
            <v>1.7282999999999999</v>
          </cell>
        </row>
        <row r="72">
          <cell r="A72">
            <v>36251</v>
          </cell>
          <cell r="B72">
            <v>2.0430000000000001</v>
          </cell>
          <cell r="C72">
            <v>2.0179999999999998</v>
          </cell>
        </row>
        <row r="73">
          <cell r="A73">
            <v>36281</v>
          </cell>
          <cell r="B73">
            <v>2.2589999999999999</v>
          </cell>
          <cell r="C73">
            <v>2.2298</v>
          </cell>
        </row>
        <row r="74">
          <cell r="A74">
            <v>36312</v>
          </cell>
          <cell r="B74">
            <v>2.2789999999999999</v>
          </cell>
          <cell r="C74">
            <v>2.2530999999999999</v>
          </cell>
        </row>
        <row r="75">
          <cell r="A75">
            <v>36342</v>
          </cell>
          <cell r="B75">
            <v>2.2210000000000001</v>
          </cell>
          <cell r="C75">
            <v>2.2006999999999999</v>
          </cell>
        </row>
        <row r="76">
          <cell r="A76">
            <v>36373</v>
          </cell>
          <cell r="B76">
            <v>2.738</v>
          </cell>
          <cell r="C76">
            <v>2.7161</v>
          </cell>
        </row>
        <row r="77">
          <cell r="A77">
            <v>36404</v>
          </cell>
          <cell r="B77">
            <v>2.605</v>
          </cell>
          <cell r="C77">
            <v>2.5716000000000001</v>
          </cell>
        </row>
        <row r="78">
          <cell r="A78">
            <v>36434</v>
          </cell>
          <cell r="B78">
            <v>2.625</v>
          </cell>
          <cell r="C78">
            <v>2.6019000000000001</v>
          </cell>
        </row>
        <row r="79">
          <cell r="A79">
            <v>36465</v>
          </cell>
          <cell r="B79">
            <v>2.4700000000000002</v>
          </cell>
          <cell r="C79">
            <v>2.4413</v>
          </cell>
        </row>
        <row r="80">
          <cell r="A80">
            <v>36495</v>
          </cell>
          <cell r="B80">
            <v>2.3450000000000002</v>
          </cell>
          <cell r="C80">
            <v>2.3149999999999999</v>
          </cell>
        </row>
        <row r="81">
          <cell r="A81">
            <v>36526</v>
          </cell>
          <cell r="B81">
            <v>2.375</v>
          </cell>
          <cell r="C81">
            <v>2.3475000000000001</v>
          </cell>
        </row>
        <row r="82">
          <cell r="A82">
            <v>36557</v>
          </cell>
          <cell r="B82">
            <v>2.6389999999999998</v>
          </cell>
          <cell r="C82">
            <v>2.6040999999999999</v>
          </cell>
        </row>
        <row r="83">
          <cell r="A83">
            <v>36586</v>
          </cell>
          <cell r="B83">
            <v>2.7389999999999999</v>
          </cell>
          <cell r="C83">
            <v>2.7080000000000002</v>
          </cell>
        </row>
        <row r="84">
          <cell r="A84">
            <v>36617</v>
          </cell>
          <cell r="B84">
            <v>2.9849999999999999</v>
          </cell>
          <cell r="C84">
            <v>2.9456000000000002</v>
          </cell>
        </row>
        <row r="85">
          <cell r="A85">
            <v>36647</v>
          </cell>
          <cell r="B85">
            <v>3.411</v>
          </cell>
          <cell r="C85">
            <v>3.3708</v>
          </cell>
        </row>
        <row r="86">
          <cell r="A86">
            <v>36678</v>
          </cell>
          <cell r="B86">
            <v>4.2709999999999999</v>
          </cell>
          <cell r="C86">
            <v>4.2159000000000004</v>
          </cell>
        </row>
        <row r="87">
          <cell r="A87">
            <v>36708</v>
          </cell>
          <cell r="B87">
            <v>4.0659999999999998</v>
          </cell>
          <cell r="C87">
            <v>4.0281000000000002</v>
          </cell>
        </row>
        <row r="88">
          <cell r="A88">
            <v>36739</v>
          </cell>
          <cell r="B88">
            <v>4.3289999999999997</v>
          </cell>
          <cell r="C88">
            <v>4.282</v>
          </cell>
        </row>
        <row r="89">
          <cell r="A89">
            <v>36770</v>
          </cell>
          <cell r="B89">
            <v>4.9189999999999996</v>
          </cell>
          <cell r="C89">
            <v>4.8779000000000003</v>
          </cell>
        </row>
        <row r="90">
          <cell r="A90">
            <v>36800</v>
          </cell>
          <cell r="B90">
            <v>5.101</v>
          </cell>
          <cell r="C90">
            <v>5.0475000000000003</v>
          </cell>
        </row>
        <row r="91">
          <cell r="A91">
            <v>36831</v>
          </cell>
          <cell r="B91">
            <v>5.3540000000000001</v>
          </cell>
          <cell r="C91">
            <v>5.2946</v>
          </cell>
        </row>
        <row r="92">
          <cell r="A92">
            <v>36861</v>
          </cell>
          <cell r="B92">
            <v>8.0909999999999993</v>
          </cell>
          <cell r="C92">
            <v>8.0318000000000005</v>
          </cell>
        </row>
        <row r="93">
          <cell r="A93">
            <v>36892</v>
          </cell>
          <cell r="B93">
            <v>8.8379999999999992</v>
          </cell>
          <cell r="C93">
            <v>8.6751000000000005</v>
          </cell>
        </row>
        <row r="94">
          <cell r="A94">
            <v>36923</v>
          </cell>
          <cell r="B94">
            <v>5.6980000000000004</v>
          </cell>
          <cell r="C94">
            <v>5.5682999999999998</v>
          </cell>
        </row>
        <row r="95">
          <cell r="A95">
            <v>36951</v>
          </cell>
          <cell r="B95">
            <v>5.1150000000000002</v>
          </cell>
          <cell r="C95">
            <v>5.0426000000000002</v>
          </cell>
        </row>
        <row r="96">
          <cell r="A96">
            <v>36982</v>
          </cell>
          <cell r="B96">
            <v>5.24</v>
          </cell>
          <cell r="C96">
            <v>5.1776</v>
          </cell>
        </row>
        <row r="97">
          <cell r="A97">
            <v>37012</v>
          </cell>
          <cell r="B97">
            <v>4.2759999999999998</v>
          </cell>
          <cell r="C97">
            <v>4.2365000000000004</v>
          </cell>
        </row>
        <row r="98">
          <cell r="A98">
            <v>37043</v>
          </cell>
          <cell r="B98">
            <v>3.835</v>
          </cell>
          <cell r="C98">
            <v>3.7776999999999998</v>
          </cell>
        </row>
        <row r="99">
          <cell r="A99">
            <v>37073</v>
          </cell>
          <cell r="B99">
            <v>3.1309999999999998</v>
          </cell>
          <cell r="C99">
            <v>3.0878000000000001</v>
          </cell>
        </row>
        <row r="100">
          <cell r="A100">
            <v>37104</v>
          </cell>
          <cell r="B100">
            <v>3.11</v>
          </cell>
          <cell r="C100">
            <v>3.0716000000000001</v>
          </cell>
        </row>
        <row r="101">
          <cell r="A101">
            <v>37135</v>
          </cell>
          <cell r="B101">
            <v>2.2989999999999999</v>
          </cell>
          <cell r="C101">
            <v>2.2692000000000001</v>
          </cell>
        </row>
        <row r="102">
          <cell r="A102">
            <v>37165</v>
          </cell>
          <cell r="B102">
            <v>2.4020000000000001</v>
          </cell>
          <cell r="C102">
            <v>2.2201</v>
          </cell>
        </row>
        <row r="103">
          <cell r="A103">
            <v>37196</v>
          </cell>
          <cell r="B103">
            <v>2.411</v>
          </cell>
          <cell r="C103">
            <v>2.4853000000000001</v>
          </cell>
        </row>
        <row r="104">
          <cell r="A104">
            <v>37226</v>
          </cell>
          <cell r="B104">
            <v>2.387</v>
          </cell>
          <cell r="C104">
            <v>2.3001</v>
          </cell>
        </row>
        <row r="105">
          <cell r="A105">
            <v>37257</v>
          </cell>
          <cell r="B105">
            <v>2.274</v>
          </cell>
          <cell r="C105">
            <v>2.3105000000000002</v>
          </cell>
        </row>
        <row r="106">
          <cell r="A106">
            <v>37288</v>
          </cell>
          <cell r="B106">
            <v>2.2690000000000001</v>
          </cell>
          <cell r="C106">
            <v>2.1848999999999998</v>
          </cell>
        </row>
        <row r="107">
          <cell r="A107">
            <v>37316</v>
          </cell>
          <cell r="B107">
            <v>2.9329999999999998</v>
          </cell>
          <cell r="C107">
            <v>2.7780999999999998</v>
          </cell>
        </row>
        <row r="108">
          <cell r="A108">
            <v>37347</v>
          </cell>
          <cell r="B108">
            <v>3.448</v>
          </cell>
          <cell r="C108">
            <v>3.3567999999999998</v>
          </cell>
        </row>
        <row r="109">
          <cell r="A109">
            <v>37377</v>
          </cell>
          <cell r="B109">
            <v>3.4830000000000001</v>
          </cell>
          <cell r="C109">
            <v>3.4817999999999998</v>
          </cell>
        </row>
        <row r="110">
          <cell r="A110">
            <v>37408</v>
          </cell>
          <cell r="B110">
            <v>3.23</v>
          </cell>
          <cell r="C110">
            <v>3.1686000000000001</v>
          </cell>
        </row>
        <row r="111">
          <cell r="A111">
            <v>37438</v>
          </cell>
          <cell r="B111">
            <v>3.05</v>
          </cell>
          <cell r="C111">
            <v>3.0398999999999998</v>
          </cell>
        </row>
        <row r="112">
          <cell r="A112">
            <v>37469</v>
          </cell>
          <cell r="B112">
            <v>3.07</v>
          </cell>
          <cell r="C112">
            <v>2.9883000000000002</v>
          </cell>
        </row>
        <row r="113">
          <cell r="A113">
            <v>37500</v>
          </cell>
          <cell r="B113">
            <v>3.4910000000000001</v>
          </cell>
          <cell r="C113">
            <v>3.4297</v>
          </cell>
        </row>
        <row r="114">
          <cell r="A114">
            <v>37530</v>
          </cell>
          <cell r="B114">
            <v>4.0830000000000002</v>
          </cell>
          <cell r="C114">
            <v>4.0129000000000001</v>
          </cell>
        </row>
        <row r="115">
          <cell r="A115">
            <v>37561</v>
          </cell>
          <cell r="B115">
            <v>4.0709999999999997</v>
          </cell>
          <cell r="C115">
            <v>3.9729999999999999</v>
          </cell>
        </row>
        <row r="116">
          <cell r="A116">
            <v>37591</v>
          </cell>
          <cell r="B116">
            <v>4.6379999999999999</v>
          </cell>
          <cell r="C116">
            <v>4.5190999999999999</v>
          </cell>
        </row>
        <row r="117">
          <cell r="A117">
            <v>37622</v>
          </cell>
          <cell r="B117">
            <v>5.3529999999999998</v>
          </cell>
          <cell r="C117">
            <v>5.1736000000000004</v>
          </cell>
        </row>
        <row r="118">
          <cell r="A118">
            <v>37653</v>
          </cell>
          <cell r="B118">
            <v>7.2919999999999998</v>
          </cell>
          <cell r="C118">
            <v>5.9678000000000004</v>
          </cell>
        </row>
        <row r="119">
          <cell r="A119">
            <v>37681</v>
          </cell>
          <cell r="B119">
            <v>6.8330000000000002</v>
          </cell>
          <cell r="C119">
            <v>7.0857999999999999</v>
          </cell>
        </row>
        <row r="120">
          <cell r="A120">
            <v>37712</v>
          </cell>
          <cell r="B120">
            <v>5.2460000000000004</v>
          </cell>
          <cell r="C120">
            <v>5.1413000000000002</v>
          </cell>
        </row>
        <row r="121">
          <cell r="A121">
            <v>37742</v>
          </cell>
          <cell r="B121">
            <v>5.6470000000000002</v>
          </cell>
          <cell r="C121">
            <v>5.5896999999999997</v>
          </cell>
        </row>
        <row r="122">
          <cell r="A122">
            <v>37773</v>
          </cell>
          <cell r="B122">
            <v>5.16</v>
          </cell>
          <cell r="C122">
            <v>5.7409999999999997</v>
          </cell>
        </row>
        <row r="123">
          <cell r="A123">
            <v>37803</v>
          </cell>
          <cell r="B123">
            <v>5.0190000000000001</v>
          </cell>
          <cell r="C123">
            <v>5.0663999999999998</v>
          </cell>
        </row>
        <row r="124">
          <cell r="A124">
            <v>37834</v>
          </cell>
          <cell r="B124">
            <v>4.8330000000000002</v>
          </cell>
          <cell r="C124">
            <v>4.8818999999999999</v>
          </cell>
        </row>
        <row r="125">
          <cell r="A125">
            <v>37865</v>
          </cell>
          <cell r="B125">
            <v>4.5819999999999999</v>
          </cell>
          <cell r="C125">
            <v>4.6372999999999998</v>
          </cell>
        </row>
        <row r="126">
          <cell r="A126">
            <v>37895</v>
          </cell>
          <cell r="B126">
            <v>4.6130000000000004</v>
          </cell>
          <cell r="C126">
            <v>4.6317000000000004</v>
          </cell>
        </row>
        <row r="127">
          <cell r="A127">
            <v>37926</v>
          </cell>
          <cell r="B127">
            <v>4.4539999999999997</v>
          </cell>
          <cell r="C127">
            <v>4.3653000000000004</v>
          </cell>
        </row>
        <row r="128">
          <cell r="A128">
            <v>37956</v>
          </cell>
          <cell r="B128">
            <v>5.7830000000000004</v>
          </cell>
          <cell r="C128">
            <v>5.8990999999999998</v>
          </cell>
        </row>
        <row r="129">
          <cell r="A129">
            <v>37987</v>
          </cell>
          <cell r="B129">
            <v>6.0380000000000003</v>
          </cell>
          <cell r="C129">
            <v>5.8994999999999997</v>
          </cell>
        </row>
        <row r="130">
          <cell r="A130">
            <v>38018</v>
          </cell>
          <cell r="B130">
            <v>5.4539999999999997</v>
          </cell>
          <cell r="C130">
            <v>5.3875999999999999</v>
          </cell>
        </row>
        <row r="131">
          <cell r="A131">
            <v>38047</v>
          </cell>
          <cell r="B131">
            <v>5.34</v>
          </cell>
          <cell r="C131">
            <v>5.2321</v>
          </cell>
        </row>
        <row r="132">
          <cell r="A132">
            <v>38078</v>
          </cell>
          <cell r="B132">
            <v>5.6509999999999998</v>
          </cell>
          <cell r="C132">
            <v>5.5583</v>
          </cell>
        </row>
        <row r="133">
          <cell r="A133">
            <v>38108</v>
          </cell>
          <cell r="B133">
            <v>6.218</v>
          </cell>
          <cell r="C133">
            <v>6.1281999999999996</v>
          </cell>
        </row>
        <row r="134">
          <cell r="A134">
            <v>38139</v>
          </cell>
          <cell r="B134">
            <v>6.2080000000000002</v>
          </cell>
          <cell r="C134">
            <v>6.2229000000000001</v>
          </cell>
        </row>
        <row r="135">
          <cell r="A135">
            <v>38169</v>
          </cell>
          <cell r="B135">
            <v>5.915</v>
          </cell>
          <cell r="C135">
            <v>5.87</v>
          </cell>
        </row>
        <row r="136">
          <cell r="A136">
            <v>38200</v>
          </cell>
          <cell r="B136">
            <v>5.34</v>
          </cell>
          <cell r="C136">
            <v>5.5342000000000002</v>
          </cell>
        </row>
        <row r="137">
          <cell r="A137">
            <v>38231</v>
          </cell>
          <cell r="B137">
            <v>5.0149999999999997</v>
          </cell>
          <cell r="C137">
            <v>4.8259999999999996</v>
          </cell>
        </row>
        <row r="138">
          <cell r="A138">
            <v>38261</v>
          </cell>
          <cell r="B138">
            <v>6.14</v>
          </cell>
          <cell r="C138">
            <v>5.7835000000000001</v>
          </cell>
        </row>
        <row r="139">
          <cell r="A139">
            <v>38292</v>
          </cell>
          <cell r="B139">
            <v>6.1580000000000004</v>
          </cell>
          <cell r="C139">
            <v>6.0369000000000002</v>
          </cell>
        </row>
        <row r="140">
          <cell r="A140">
            <v>38322</v>
          </cell>
          <cell r="B140">
            <v>6.5860000000000003</v>
          </cell>
          <cell r="C140">
            <v>6.5636000000000001</v>
          </cell>
        </row>
      </sheetData>
      <sheetData sheetId="4">
        <row r="7">
          <cell r="A7">
            <v>34335</v>
          </cell>
          <cell r="C7">
            <v>5.5199999999999999E-2</v>
          </cell>
          <cell r="D7">
            <v>6.0400000000000002E-2</v>
          </cell>
          <cell r="E7">
            <v>6.4399999999999999E-2</v>
          </cell>
        </row>
        <row r="8">
          <cell r="A8">
            <v>34455</v>
          </cell>
          <cell r="C8">
            <v>4.48E-2</v>
          </cell>
          <cell r="D8">
            <v>4.9099999999999998E-2</v>
          </cell>
          <cell r="E8">
            <v>5.2900000000000003E-2</v>
          </cell>
        </row>
        <row r="9">
          <cell r="A9">
            <v>34578</v>
          </cell>
          <cell r="C9">
            <v>4.3099999999999999E-2</v>
          </cell>
          <cell r="D9">
            <v>4.7399999999999998E-2</v>
          </cell>
          <cell r="E9">
            <v>5.1200000000000002E-2</v>
          </cell>
        </row>
        <row r="10">
          <cell r="A10">
            <v>34608</v>
          </cell>
          <cell r="C10">
            <v>4.2799999999999998E-2</v>
          </cell>
          <cell r="D10">
            <v>4.7100000000000003E-2</v>
          </cell>
          <cell r="E10">
            <v>5.0900000000000001E-2</v>
          </cell>
        </row>
        <row r="11">
          <cell r="A11">
            <v>34639</v>
          </cell>
          <cell r="C11">
            <v>4.02E-2</v>
          </cell>
          <cell r="D11">
            <v>4.4400000000000002E-2</v>
          </cell>
          <cell r="E11">
            <v>4.7600000000000003E-2</v>
          </cell>
        </row>
        <row r="12">
          <cell r="A12">
            <v>34700</v>
          </cell>
          <cell r="C12">
            <v>4.41E-2</v>
          </cell>
          <cell r="D12">
            <v>4.8300000000000003E-2</v>
          </cell>
          <cell r="E12">
            <v>5.1499999999999997E-2</v>
          </cell>
        </row>
        <row r="13">
          <cell r="A13">
            <v>34790</v>
          </cell>
          <cell r="C13">
            <v>4.1000000000000002E-2</v>
          </cell>
          <cell r="D13">
            <v>4.6199999999999998E-2</v>
          </cell>
          <cell r="E13">
            <v>5.0500000000000003E-2</v>
          </cell>
        </row>
        <row r="14">
          <cell r="A14">
            <v>35004</v>
          </cell>
          <cell r="C14">
            <v>4.0899999999999999E-2</v>
          </cell>
          <cell r="D14">
            <v>4.6100000000000002E-2</v>
          </cell>
          <cell r="E14">
            <v>5.04E-2</v>
          </cell>
        </row>
        <row r="15">
          <cell r="A15">
            <v>35034</v>
          </cell>
          <cell r="C15">
            <v>4.02E-2</v>
          </cell>
          <cell r="D15">
            <v>4.4200000000000003E-2</v>
          </cell>
          <cell r="E15">
            <v>4.8300000000000003E-2</v>
          </cell>
        </row>
        <row r="16">
          <cell r="A16">
            <v>35065</v>
          </cell>
          <cell r="C16">
            <v>4.0500000000000001E-2</v>
          </cell>
          <cell r="D16">
            <v>4.4499999999999998E-2</v>
          </cell>
          <cell r="E16">
            <v>4.8599999999999997E-2</v>
          </cell>
        </row>
        <row r="17">
          <cell r="A17">
            <v>35125</v>
          </cell>
          <cell r="B17" t="str">
            <v>Fifteenth</v>
          </cell>
          <cell r="C17">
            <v>3.1199999999999999E-2</v>
          </cell>
          <cell r="D17">
            <v>3.5200000000000002E-2</v>
          </cell>
          <cell r="E17">
            <v>3.9300000000000002E-2</v>
          </cell>
        </row>
        <row r="18">
          <cell r="A18">
            <v>35247</v>
          </cell>
          <cell r="B18" t="str">
            <v>Sixteenth</v>
          </cell>
          <cell r="C18">
            <v>3.1199999999999999E-2</v>
          </cell>
          <cell r="D18">
            <v>3.5200000000000002E-2</v>
          </cell>
          <cell r="E18">
            <v>3.9300000000000002E-2</v>
          </cell>
        </row>
        <row r="19">
          <cell r="A19">
            <v>35309</v>
          </cell>
          <cell r="B19" t="str">
            <v>Seventeenth</v>
          </cell>
          <cell r="C19">
            <v>2.8299999999999999E-2</v>
          </cell>
          <cell r="D19">
            <v>3.2300000000000002E-2</v>
          </cell>
          <cell r="E19">
            <v>3.6400000000000002E-2</v>
          </cell>
        </row>
        <row r="20">
          <cell r="A20">
            <v>35339</v>
          </cell>
          <cell r="B20" t="str">
            <v>Eighteenth</v>
          </cell>
          <cell r="C20">
            <v>2.8000000000000001E-2</v>
          </cell>
          <cell r="D20">
            <v>3.2000000000000001E-2</v>
          </cell>
          <cell r="E20">
            <v>3.61E-2</v>
          </cell>
        </row>
        <row r="21">
          <cell r="A21">
            <v>35462</v>
          </cell>
          <cell r="B21" t="str">
            <v>Nineteenth</v>
          </cell>
          <cell r="C21">
            <v>2.8000000000000001E-2</v>
          </cell>
          <cell r="D21">
            <v>3.2000000000000001E-2</v>
          </cell>
          <cell r="E21">
            <v>3.61E-2</v>
          </cell>
        </row>
        <row r="22">
          <cell r="A22">
            <v>35490</v>
          </cell>
          <cell r="B22" t="str">
            <v>Twentieth</v>
          </cell>
          <cell r="C22">
            <v>3.3399999999999999E-2</v>
          </cell>
          <cell r="D22">
            <v>3.7400000000000003E-2</v>
          </cell>
          <cell r="E22">
            <v>4.1500000000000002E-2</v>
          </cell>
        </row>
        <row r="23">
          <cell r="A23">
            <v>35612</v>
          </cell>
          <cell r="B23" t="str">
            <v>Twenty-first</v>
          </cell>
          <cell r="C23">
            <v>3.3399999999999999E-2</v>
          </cell>
          <cell r="D23">
            <v>3.7400000000000003E-2</v>
          </cell>
          <cell r="E23">
            <v>4.1500000000000002E-2</v>
          </cell>
        </row>
        <row r="24">
          <cell r="A24">
            <v>35674</v>
          </cell>
          <cell r="B24" t="str">
            <v>Twenty-second</v>
          </cell>
          <cell r="C24">
            <v>3.7999999999999999E-2</v>
          </cell>
          <cell r="D24">
            <v>4.41E-2</v>
          </cell>
          <cell r="E24">
            <v>5.0999999999999997E-2</v>
          </cell>
        </row>
        <row r="25">
          <cell r="A25">
            <v>35735</v>
          </cell>
          <cell r="B25" t="str">
            <v>Sub Twenty-second</v>
          </cell>
          <cell r="C25">
            <v>3.7999999999999999E-2</v>
          </cell>
          <cell r="D25">
            <v>4.41E-2</v>
          </cell>
          <cell r="E25">
            <v>5.0999999999999997E-2</v>
          </cell>
        </row>
        <row r="26">
          <cell r="A26">
            <v>35765</v>
          </cell>
          <cell r="B26" t="str">
            <v>Twenty-third</v>
          </cell>
          <cell r="C26">
            <v>3.8399999999999997E-2</v>
          </cell>
          <cell r="D26">
            <v>4.4499999999999998E-2</v>
          </cell>
          <cell r="E26">
            <v>5.1299999999999998E-2</v>
          </cell>
        </row>
        <row r="27">
          <cell r="A27">
            <v>35827</v>
          </cell>
          <cell r="B27" t="str">
            <v>Twenty-fourth</v>
          </cell>
          <cell r="C27">
            <v>3.8399999999999997E-2</v>
          </cell>
          <cell r="D27">
            <v>4.4499999999999998E-2</v>
          </cell>
          <cell r="E27">
            <v>5.1299999999999998E-2</v>
          </cell>
        </row>
        <row r="28">
          <cell r="A28">
            <v>35977</v>
          </cell>
          <cell r="B28" t="str">
            <v>Twenty-seventh</v>
          </cell>
          <cell r="C28">
            <v>3.4500000000000003E-2</v>
          </cell>
          <cell r="D28">
            <v>3.9199999999999999E-2</v>
          </cell>
          <cell r="E28">
            <v>4.4299999999999999E-2</v>
          </cell>
        </row>
        <row r="29">
          <cell r="A29">
            <v>36192</v>
          </cell>
          <cell r="B29" t="str">
            <v>Thirtieth</v>
          </cell>
          <cell r="C29">
            <v>3.6499999999999998E-2</v>
          </cell>
          <cell r="D29">
            <v>4.1200000000000001E-2</v>
          </cell>
          <cell r="E29">
            <v>4.6300000000000001E-2</v>
          </cell>
        </row>
        <row r="30">
          <cell r="A30">
            <v>36831</v>
          </cell>
          <cell r="B30" t="str">
            <v>Thirty-first</v>
          </cell>
          <cell r="C30">
            <v>3.5299999999999998E-2</v>
          </cell>
          <cell r="D30">
            <v>0.04</v>
          </cell>
          <cell r="E30">
            <v>4.5100000000000001E-2</v>
          </cell>
        </row>
        <row r="31">
          <cell r="A31">
            <v>36923</v>
          </cell>
          <cell r="B31" t="str">
            <v>Thirty-fourth</v>
          </cell>
          <cell r="C31">
            <v>3.5200000000000002E-2</v>
          </cell>
          <cell r="D31">
            <v>3.4700000000000002E-2</v>
          </cell>
          <cell r="E31">
            <v>4.07E-2</v>
          </cell>
        </row>
        <row r="32">
          <cell r="A32">
            <v>37012</v>
          </cell>
          <cell r="B32" t="str">
            <v>Thirty-seventh</v>
          </cell>
          <cell r="C32">
            <v>3.5000000000000003E-2</v>
          </cell>
          <cell r="D32">
            <v>3.4500000000000003E-2</v>
          </cell>
          <cell r="E32">
            <v>4.0500000000000001E-2</v>
          </cell>
        </row>
        <row r="33">
          <cell r="A33">
            <v>37165</v>
          </cell>
          <cell r="B33" t="str">
            <v>Thirty-eighth</v>
          </cell>
          <cell r="C33">
            <v>3.49E-2</v>
          </cell>
          <cell r="D33">
            <v>3.44E-2</v>
          </cell>
          <cell r="E33">
            <v>4.0399999999999998E-2</v>
          </cell>
        </row>
        <row r="34">
          <cell r="A34">
            <v>37561</v>
          </cell>
          <cell r="B34" t="str">
            <v>Fortieth</v>
          </cell>
          <cell r="C34">
            <v>4.6899999999999997E-2</v>
          </cell>
          <cell r="D34">
            <v>5.7000000000000002E-2</v>
          </cell>
          <cell r="E34">
            <v>6.4600000000000005E-2</v>
          </cell>
        </row>
        <row r="35">
          <cell r="A35">
            <v>37834</v>
          </cell>
          <cell r="B35" t="str">
            <v>First</v>
          </cell>
          <cell r="C35">
            <v>4.53E-2</v>
          </cell>
          <cell r="D35">
            <v>5.5399999999999998E-2</v>
          </cell>
          <cell r="E35">
            <v>6.3E-2</v>
          </cell>
        </row>
        <row r="36">
          <cell r="A36">
            <v>38292</v>
          </cell>
          <cell r="B36" t="str">
            <v>Second</v>
          </cell>
          <cell r="C36">
            <v>4.1300000000000003E-2</v>
          </cell>
          <cell r="D36">
            <v>5.1400000000000001E-2</v>
          </cell>
          <cell r="E36">
            <v>5.8999999999999997E-2</v>
          </cell>
        </row>
        <row r="37">
          <cell r="A37">
            <v>38322</v>
          </cell>
          <cell r="B37" t="str">
            <v>Third</v>
          </cell>
          <cell r="C37">
            <v>4.1099999999999998E-2</v>
          </cell>
          <cell r="D37">
            <v>5.1200000000000002E-2</v>
          </cell>
          <cell r="E37">
            <v>5.8799999999999998E-2</v>
          </cell>
        </row>
      </sheetData>
      <sheetData sheetId="5">
        <row r="8">
          <cell r="A8">
            <v>34973</v>
          </cell>
          <cell r="B8">
            <v>1.6199999999999999E-2</v>
          </cell>
          <cell r="C8">
            <v>2.2000000000000001E-3</v>
          </cell>
          <cell r="D8">
            <v>0.02</v>
          </cell>
          <cell r="E8">
            <v>3.1E-2</v>
          </cell>
          <cell r="F8">
            <v>6.9400000000000003E-2</v>
          </cell>
        </row>
        <row r="9">
          <cell r="A9">
            <v>35004</v>
          </cell>
          <cell r="B9">
            <v>1.6199999999999999E-2</v>
          </cell>
          <cell r="C9">
            <v>2.2000000000000001E-3</v>
          </cell>
          <cell r="D9">
            <v>0.02</v>
          </cell>
          <cell r="E9">
            <v>0</v>
          </cell>
          <cell r="F9">
            <v>3.8400000000000004E-2</v>
          </cell>
        </row>
        <row r="10">
          <cell r="A10">
            <v>35096</v>
          </cell>
          <cell r="B10">
            <v>1.6199999999999999E-2</v>
          </cell>
          <cell r="C10">
            <v>2.2000000000000001E-3</v>
          </cell>
          <cell r="D10">
            <v>0.02</v>
          </cell>
          <cell r="E10">
            <v>0</v>
          </cell>
          <cell r="F10">
            <v>3.8400000000000004E-2</v>
          </cell>
        </row>
        <row r="11">
          <cell r="A11">
            <v>35339</v>
          </cell>
          <cell r="B11">
            <v>1.6199999999999999E-2</v>
          </cell>
          <cell r="C11">
            <v>1.9E-3</v>
          </cell>
          <cell r="D11">
            <v>8.8000000000000005E-3</v>
          </cell>
          <cell r="E11">
            <v>0</v>
          </cell>
          <cell r="F11">
            <v>2.69E-2</v>
          </cell>
        </row>
        <row r="12">
          <cell r="A12">
            <v>35490</v>
          </cell>
          <cell r="B12">
            <v>1.61E-2</v>
          </cell>
          <cell r="C12">
            <v>1.9E-3</v>
          </cell>
          <cell r="D12">
            <v>8.8000000000000005E-3</v>
          </cell>
          <cell r="E12">
            <v>0</v>
          </cell>
          <cell r="F12">
            <v>2.6799999999999997E-2</v>
          </cell>
        </row>
        <row r="13">
          <cell r="A13">
            <v>35704</v>
          </cell>
          <cell r="B13">
            <v>1.61E-2</v>
          </cell>
          <cell r="C13">
            <v>2.2000000000000001E-3</v>
          </cell>
          <cell r="D13">
            <v>8.8000000000000005E-3</v>
          </cell>
          <cell r="E13">
            <v>0</v>
          </cell>
          <cell r="F13">
            <v>2.7099999999999999E-2</v>
          </cell>
        </row>
        <row r="14">
          <cell r="A14">
            <v>36281</v>
          </cell>
          <cell r="B14">
            <v>1.61E-2</v>
          </cell>
          <cell r="C14">
            <v>2.2000000000000001E-3</v>
          </cell>
          <cell r="D14">
            <v>7.4999999999999997E-3</v>
          </cell>
          <cell r="E14">
            <v>0</v>
          </cell>
          <cell r="F14">
            <v>2.58E-2</v>
          </cell>
        </row>
        <row r="15">
          <cell r="A15">
            <v>36831</v>
          </cell>
          <cell r="B15">
            <v>1.61E-2</v>
          </cell>
          <cell r="C15">
            <v>2.2000000000000001E-3</v>
          </cell>
          <cell r="D15">
            <v>7.1999999999999998E-3</v>
          </cell>
          <cell r="E15">
            <v>0</v>
          </cell>
          <cell r="F15">
            <v>2.5500000000000002E-2</v>
          </cell>
        </row>
        <row r="16">
          <cell r="A16">
            <v>37043</v>
          </cell>
          <cell r="B16">
            <v>1.61E-2</v>
          </cell>
          <cell r="C16">
            <v>2.2000000000000001E-3</v>
          </cell>
          <cell r="D16">
            <v>7.0000000000000001E-3</v>
          </cell>
          <cell r="E16">
            <v>0</v>
          </cell>
          <cell r="F16">
            <v>2.53E-2</v>
          </cell>
        </row>
        <row r="17">
          <cell r="A17">
            <v>37165</v>
          </cell>
          <cell r="B17">
            <v>1.61E-2</v>
          </cell>
          <cell r="C17">
            <v>2.0999999999999999E-3</v>
          </cell>
          <cell r="D17">
            <v>7.0000000000000001E-3</v>
          </cell>
          <cell r="E17">
            <v>0</v>
          </cell>
          <cell r="F17">
            <v>2.52E-2</v>
          </cell>
        </row>
        <row r="18">
          <cell r="A18">
            <v>37561</v>
          </cell>
          <cell r="B18">
            <v>1.61E-2</v>
          </cell>
          <cell r="C18">
            <v>2.0999999999999999E-3</v>
          </cell>
          <cell r="D18">
            <v>5.4999999999999997E-3</v>
          </cell>
          <cell r="E18">
            <v>0</v>
          </cell>
          <cell r="F18">
            <v>2.3699999999999999E-2</v>
          </cell>
        </row>
        <row r="19">
          <cell r="A19">
            <v>37834</v>
          </cell>
          <cell r="B19">
            <v>1.61E-2</v>
          </cell>
          <cell r="C19">
            <v>2.0999999999999999E-3</v>
          </cell>
          <cell r="D19">
            <v>4.0000000000000001E-3</v>
          </cell>
          <cell r="E19">
            <v>0</v>
          </cell>
          <cell r="F19">
            <v>2.2200000000000001E-2</v>
          </cell>
        </row>
        <row r="20">
          <cell r="A20">
            <v>38200</v>
          </cell>
          <cell r="B20">
            <v>1.61E-2</v>
          </cell>
          <cell r="C20">
            <v>2.0999999999999999E-3</v>
          </cell>
          <cell r="D20">
            <v>0</v>
          </cell>
          <cell r="E20">
            <v>0</v>
          </cell>
          <cell r="F20">
            <v>1.8200000000000001E-2</v>
          </cell>
        </row>
        <row r="21">
          <cell r="A21">
            <v>38261</v>
          </cell>
          <cell r="B21">
            <v>1.61E-2</v>
          </cell>
          <cell r="C21">
            <v>1.9E-3</v>
          </cell>
          <cell r="D21">
            <v>0</v>
          </cell>
          <cell r="E21">
            <v>0</v>
          </cell>
          <cell r="F21">
            <v>1.7999999999999999E-2</v>
          </cell>
        </row>
        <row r="22">
          <cell r="A22">
            <v>38353</v>
          </cell>
          <cell r="B22">
            <v>1.61E-2</v>
          </cell>
          <cell r="C22">
            <v>1.9E-3</v>
          </cell>
          <cell r="D22">
            <v>0</v>
          </cell>
          <cell r="E22">
            <v>0</v>
          </cell>
          <cell r="F22">
            <v>1.7999999999999999E-2</v>
          </cell>
        </row>
      </sheetData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book Contents"/>
      <sheetName val="Directions"/>
      <sheetName val="Kentucky Tariff"/>
      <sheetName val="Texas Tariff Sheet 20"/>
      <sheetName val="Tenn Tariff Sheet 23A"/>
      <sheetName val="Cashout Schedule (Texas)"/>
      <sheetName val="Cashout Schedule (Tenn)"/>
      <sheetName val="tbl Pipeline Cashout"/>
      <sheetName val="tbl Texas"/>
      <sheetName val="tbl Tenn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8">
          <cell r="A8">
            <v>34335</v>
          </cell>
          <cell r="C8">
            <v>5.5199999999999999E-2</v>
          </cell>
          <cell r="D8">
            <v>6.0400000000000002E-2</v>
          </cell>
          <cell r="E8">
            <v>6.4399999999999999E-2</v>
          </cell>
        </row>
        <row r="9">
          <cell r="A9">
            <v>34455</v>
          </cell>
          <cell r="C9">
            <v>4.48E-2</v>
          </cell>
          <cell r="D9">
            <v>4.9099999999999998E-2</v>
          </cell>
          <cell r="E9">
            <v>5.2900000000000003E-2</v>
          </cell>
        </row>
        <row r="10">
          <cell r="A10">
            <v>34578</v>
          </cell>
          <cell r="C10">
            <v>4.3099999999999999E-2</v>
          </cell>
          <cell r="D10">
            <v>4.7399999999999998E-2</v>
          </cell>
          <cell r="E10">
            <v>5.1200000000000002E-2</v>
          </cell>
        </row>
        <row r="11">
          <cell r="A11">
            <v>34608</v>
          </cell>
          <cell r="C11">
            <v>4.2799999999999998E-2</v>
          </cell>
          <cell r="D11">
            <v>4.7100000000000003E-2</v>
          </cell>
          <cell r="E11">
            <v>5.0900000000000001E-2</v>
          </cell>
        </row>
        <row r="12">
          <cell r="A12">
            <v>34639</v>
          </cell>
          <cell r="C12">
            <v>4.02E-2</v>
          </cell>
          <cell r="D12">
            <v>4.4400000000000002E-2</v>
          </cell>
          <cell r="E12">
            <v>4.7600000000000003E-2</v>
          </cell>
        </row>
        <row r="13">
          <cell r="A13">
            <v>34700</v>
          </cell>
          <cell r="C13">
            <v>4.41E-2</v>
          </cell>
          <cell r="D13">
            <v>4.8300000000000003E-2</v>
          </cell>
          <cell r="E13">
            <v>5.1499999999999997E-2</v>
          </cell>
        </row>
        <row r="14">
          <cell r="A14">
            <v>34790</v>
          </cell>
          <cell r="C14">
            <v>4.1000000000000002E-2</v>
          </cell>
          <cell r="D14">
            <v>4.6199999999999998E-2</v>
          </cell>
          <cell r="E14">
            <v>5.0500000000000003E-2</v>
          </cell>
        </row>
        <row r="15">
          <cell r="A15">
            <v>35004</v>
          </cell>
          <cell r="C15">
            <v>4.0899999999999999E-2</v>
          </cell>
          <cell r="D15">
            <v>4.6100000000000002E-2</v>
          </cell>
          <cell r="E15">
            <v>5.04E-2</v>
          </cell>
        </row>
        <row r="16">
          <cell r="A16">
            <v>35034</v>
          </cell>
          <cell r="C16">
            <v>4.02E-2</v>
          </cell>
          <cell r="D16">
            <v>4.4200000000000003E-2</v>
          </cell>
          <cell r="E16">
            <v>4.8300000000000003E-2</v>
          </cell>
        </row>
        <row r="17">
          <cell r="A17">
            <v>35065</v>
          </cell>
          <cell r="C17">
            <v>4.0500000000000001E-2</v>
          </cell>
          <cell r="D17">
            <v>4.4499999999999998E-2</v>
          </cell>
          <cell r="E17">
            <v>4.8599999999999997E-2</v>
          </cell>
        </row>
        <row r="18">
          <cell r="A18">
            <v>35125</v>
          </cell>
          <cell r="B18" t="str">
            <v>Fifteenth</v>
          </cell>
          <cell r="C18">
            <v>3.1199999999999999E-2</v>
          </cell>
          <cell r="D18">
            <v>3.5200000000000002E-2</v>
          </cell>
          <cell r="E18">
            <v>3.9300000000000002E-2</v>
          </cell>
        </row>
        <row r="19">
          <cell r="A19">
            <v>35247</v>
          </cell>
          <cell r="B19" t="str">
            <v>Sixteenth</v>
          </cell>
          <cell r="C19">
            <v>3.1199999999999999E-2</v>
          </cell>
          <cell r="D19">
            <v>3.5200000000000002E-2</v>
          </cell>
          <cell r="E19">
            <v>3.9300000000000002E-2</v>
          </cell>
        </row>
        <row r="20">
          <cell r="A20">
            <v>35309</v>
          </cell>
          <cell r="B20" t="str">
            <v>Seventeenth</v>
          </cell>
          <cell r="C20">
            <v>2.8299999999999999E-2</v>
          </cell>
          <cell r="D20">
            <v>3.2300000000000002E-2</v>
          </cell>
          <cell r="E20">
            <v>3.6400000000000002E-2</v>
          </cell>
        </row>
        <row r="21">
          <cell r="A21">
            <v>35339</v>
          </cell>
          <cell r="B21" t="str">
            <v>Eighteenth</v>
          </cell>
          <cell r="C21">
            <v>2.8000000000000001E-2</v>
          </cell>
          <cell r="D21">
            <v>3.2000000000000001E-2</v>
          </cell>
          <cell r="E21">
            <v>3.61E-2</v>
          </cell>
        </row>
        <row r="22">
          <cell r="A22">
            <v>35462</v>
          </cell>
          <cell r="B22" t="str">
            <v>Nineteenth</v>
          </cell>
          <cell r="C22">
            <v>2.8000000000000001E-2</v>
          </cell>
          <cell r="D22">
            <v>3.2000000000000001E-2</v>
          </cell>
          <cell r="E22">
            <v>3.61E-2</v>
          </cell>
        </row>
        <row r="23">
          <cell r="A23">
            <v>35490</v>
          </cell>
          <cell r="B23" t="str">
            <v>Twentieth</v>
          </cell>
          <cell r="C23">
            <v>3.3399999999999999E-2</v>
          </cell>
          <cell r="D23">
            <v>3.7400000000000003E-2</v>
          </cell>
          <cell r="E23">
            <v>4.1500000000000002E-2</v>
          </cell>
        </row>
        <row r="24">
          <cell r="A24">
            <v>35612</v>
          </cell>
          <cell r="B24" t="str">
            <v>Twenty-first</v>
          </cell>
          <cell r="C24">
            <v>3.3399999999999999E-2</v>
          </cell>
          <cell r="D24">
            <v>3.7400000000000003E-2</v>
          </cell>
          <cell r="E24">
            <v>4.1500000000000002E-2</v>
          </cell>
        </row>
        <row r="25">
          <cell r="A25">
            <v>35674</v>
          </cell>
          <cell r="B25" t="str">
            <v>Twenty-second</v>
          </cell>
          <cell r="C25">
            <v>3.7999999999999999E-2</v>
          </cell>
          <cell r="D25">
            <v>4.41E-2</v>
          </cell>
          <cell r="E25">
            <v>5.0999999999999997E-2</v>
          </cell>
        </row>
        <row r="26">
          <cell r="A26">
            <v>35735</v>
          </cell>
          <cell r="B26" t="str">
            <v>Sub Twenty-second</v>
          </cell>
          <cell r="C26">
            <v>3.7999999999999999E-2</v>
          </cell>
          <cell r="D26">
            <v>4.41E-2</v>
          </cell>
          <cell r="E26">
            <v>5.0999999999999997E-2</v>
          </cell>
        </row>
        <row r="27">
          <cell r="A27">
            <v>35765</v>
          </cell>
          <cell r="B27" t="str">
            <v>Twenty-third</v>
          </cell>
          <cell r="C27">
            <v>3.8399999999999997E-2</v>
          </cell>
          <cell r="D27">
            <v>4.4499999999999998E-2</v>
          </cell>
          <cell r="E27">
            <v>5.1299999999999998E-2</v>
          </cell>
        </row>
        <row r="28">
          <cell r="A28">
            <v>35827</v>
          </cell>
          <cell r="B28" t="str">
            <v>Twenty-fourth</v>
          </cell>
          <cell r="C28">
            <v>3.8399999999999997E-2</v>
          </cell>
          <cell r="D28">
            <v>4.4499999999999998E-2</v>
          </cell>
          <cell r="E28">
            <v>5.1299999999999998E-2</v>
          </cell>
        </row>
        <row r="29">
          <cell r="A29">
            <v>35977</v>
          </cell>
          <cell r="B29" t="str">
            <v>Twenty-seventh</v>
          </cell>
          <cell r="C29">
            <v>3.4500000000000003E-2</v>
          </cell>
          <cell r="D29">
            <v>3.9199999999999999E-2</v>
          </cell>
          <cell r="E29">
            <v>4.4299999999999999E-2</v>
          </cell>
        </row>
        <row r="30">
          <cell r="A30">
            <v>36192</v>
          </cell>
          <cell r="B30" t="str">
            <v>Thirtieth</v>
          </cell>
          <cell r="C30">
            <v>3.6499999999999998E-2</v>
          </cell>
          <cell r="D30">
            <v>4.1200000000000001E-2</v>
          </cell>
          <cell r="E30">
            <v>4.6300000000000001E-2</v>
          </cell>
        </row>
        <row r="31">
          <cell r="A31">
            <v>36831</v>
          </cell>
          <cell r="B31" t="str">
            <v>Thirty-first</v>
          </cell>
          <cell r="C31">
            <v>3.5299999999999998E-2</v>
          </cell>
          <cell r="D31">
            <v>0.04</v>
          </cell>
          <cell r="E31">
            <v>4.5100000000000001E-2</v>
          </cell>
        </row>
        <row r="32">
          <cell r="A32">
            <v>36923</v>
          </cell>
          <cell r="B32" t="str">
            <v>Thirty-fourth</v>
          </cell>
          <cell r="C32">
            <v>3.5200000000000002E-2</v>
          </cell>
          <cell r="D32">
            <v>3.4700000000000002E-2</v>
          </cell>
          <cell r="E32">
            <v>4.07E-2</v>
          </cell>
        </row>
        <row r="33">
          <cell r="A33">
            <v>37012</v>
          </cell>
          <cell r="B33" t="str">
            <v>Thirty-seventh</v>
          </cell>
          <cell r="C33">
            <v>3.5000000000000003E-2</v>
          </cell>
          <cell r="D33">
            <v>3.4500000000000003E-2</v>
          </cell>
          <cell r="E33">
            <v>4.0500000000000001E-2</v>
          </cell>
        </row>
        <row r="34">
          <cell r="A34">
            <v>37165</v>
          </cell>
          <cell r="B34" t="str">
            <v>Thirty-eighth</v>
          </cell>
          <cell r="C34">
            <v>3.49E-2</v>
          </cell>
          <cell r="D34">
            <v>3.44E-2</v>
          </cell>
          <cell r="E34">
            <v>4.0399999999999998E-2</v>
          </cell>
        </row>
        <row r="35">
          <cell r="A35">
            <v>37561</v>
          </cell>
          <cell r="B35" t="str">
            <v>Fortieth</v>
          </cell>
          <cell r="C35">
            <v>4.6899999999999997E-2</v>
          </cell>
          <cell r="D35">
            <v>5.7000000000000002E-2</v>
          </cell>
          <cell r="E35">
            <v>6.4600000000000005E-2</v>
          </cell>
        </row>
        <row r="36">
          <cell r="A36">
            <v>37834</v>
          </cell>
          <cell r="B36" t="str">
            <v>First</v>
          </cell>
          <cell r="C36">
            <v>4.53E-2</v>
          </cell>
          <cell r="D36">
            <v>5.5399999999999998E-2</v>
          </cell>
          <cell r="E36">
            <v>6.3E-2</v>
          </cell>
        </row>
        <row r="37">
          <cell r="A37">
            <v>38292</v>
          </cell>
          <cell r="B37" t="str">
            <v>Second</v>
          </cell>
          <cell r="C37">
            <v>4.1300000000000003E-2</v>
          </cell>
          <cell r="D37">
            <v>5.1400000000000001E-2</v>
          </cell>
          <cell r="E37">
            <v>5.8999999999999997E-2</v>
          </cell>
        </row>
        <row r="38">
          <cell r="A38">
            <v>38322</v>
          </cell>
          <cell r="B38" t="str">
            <v>Third</v>
          </cell>
          <cell r="C38">
            <v>4.1099999999999998E-2</v>
          </cell>
          <cell r="D38">
            <v>5.1200000000000002E-2</v>
          </cell>
          <cell r="E38">
            <v>5.8799999999999998E-2</v>
          </cell>
        </row>
        <row r="39">
          <cell r="A39">
            <v>38353</v>
          </cell>
          <cell r="B39" t="str">
            <v>Third</v>
          </cell>
          <cell r="C39">
            <v>4.1099999999999998E-2</v>
          </cell>
          <cell r="D39">
            <v>5.1200000000000002E-2</v>
          </cell>
          <cell r="E39">
            <v>5.8799999999999998E-2</v>
          </cell>
        </row>
        <row r="40">
          <cell r="A40">
            <v>38443</v>
          </cell>
          <cell r="B40" t="str">
            <v>Fourth</v>
          </cell>
          <cell r="C40">
            <v>4.1099999999999998E-2</v>
          </cell>
          <cell r="D40">
            <v>5.1200000000000002E-2</v>
          </cell>
          <cell r="E40">
            <v>5.8799999999999998E-2</v>
          </cell>
        </row>
        <row r="41">
          <cell r="A41">
            <v>38596</v>
          </cell>
          <cell r="B41" t="str">
            <v>First Rev Fourth Rev Sheet No. 20 : Effective</v>
          </cell>
          <cell r="C41">
            <v>4.1000000000000002E-2</v>
          </cell>
          <cell r="D41">
            <v>5.11E-2</v>
          </cell>
          <cell r="E41">
            <v>5.8700000000000002E-2</v>
          </cell>
        </row>
        <row r="42">
          <cell r="A42">
            <v>38626</v>
          </cell>
          <cell r="B42" t="str">
            <v>Fifth Revised</v>
          </cell>
          <cell r="C42">
            <v>5.2999999999999999E-2</v>
          </cell>
          <cell r="D42">
            <v>5.6300000000000003E-2</v>
          </cell>
          <cell r="E42">
            <v>6.8500000000000005E-2</v>
          </cell>
        </row>
        <row r="43">
          <cell r="A43">
            <v>38657</v>
          </cell>
          <cell r="B43" t="str">
            <v>Sixth Revised</v>
          </cell>
          <cell r="C43">
            <v>5.2999999999999999E-2</v>
          </cell>
          <cell r="D43">
            <v>5.6300000000000003E-2</v>
          </cell>
          <cell r="E43">
            <v>6.8500000000000005E-2</v>
          </cell>
        </row>
        <row r="44">
          <cell r="A44">
            <v>38777</v>
          </cell>
          <cell r="B44" t="str">
            <v>Seventh Revised</v>
          </cell>
          <cell r="C44">
            <v>4.7800000000000002E-2</v>
          </cell>
          <cell r="D44">
            <v>5.0799999999999998E-2</v>
          </cell>
          <cell r="E44">
            <v>6.3200000000000006E-2</v>
          </cell>
        </row>
        <row r="45">
          <cell r="A45">
            <v>38899</v>
          </cell>
          <cell r="B45" t="str">
            <v>Substitute Seventh Revised</v>
          </cell>
          <cell r="C45">
            <v>4.7800000000000002E-2</v>
          </cell>
          <cell r="D45">
            <v>5.0799999999999998E-2</v>
          </cell>
          <cell r="E45">
            <v>6.3200000000000006E-2</v>
          </cell>
        </row>
        <row r="46">
          <cell r="A46">
            <v>38961</v>
          </cell>
          <cell r="B46" t="str">
            <v>Substitute Seventh Revised</v>
          </cell>
          <cell r="C46">
            <v>4.7600000000000003E-2</v>
          </cell>
          <cell r="D46">
            <v>5.0599999999999999E-2</v>
          </cell>
          <cell r="E46">
            <v>6.3E-2</v>
          </cell>
        </row>
        <row r="47">
          <cell r="A47">
            <v>39052</v>
          </cell>
          <cell r="B47" t="str">
            <v>Eighth Revised</v>
          </cell>
          <cell r="C47">
            <v>4.7600000000000003E-2</v>
          </cell>
          <cell r="D47">
            <v>5.0599999999999999E-2</v>
          </cell>
          <cell r="E47">
            <v>6.3E-2</v>
          </cell>
        </row>
        <row r="48">
          <cell r="A48">
            <v>39142</v>
          </cell>
          <cell r="B48" t="str">
            <v>Ninth Revised</v>
          </cell>
          <cell r="C48">
            <v>4.7500000000000001E-2</v>
          </cell>
          <cell r="D48">
            <v>5.0500000000000003E-2</v>
          </cell>
          <cell r="E48">
            <v>6.2899999999999998E-2</v>
          </cell>
        </row>
        <row r="49">
          <cell r="A49">
            <v>39326</v>
          </cell>
          <cell r="B49" t="str">
            <v>Tenth Revised</v>
          </cell>
          <cell r="C49">
            <v>4.7800000000000002E-2</v>
          </cell>
          <cell r="D49">
            <v>5.0799999999999998E-2</v>
          </cell>
          <cell r="E49">
            <v>6.3200000000000006E-2</v>
          </cell>
        </row>
        <row r="50">
          <cell r="A50">
            <v>39417</v>
          </cell>
          <cell r="B50" t="str">
            <v>Twelfth Revised</v>
          </cell>
          <cell r="C50">
            <v>4.7899999999999998E-2</v>
          </cell>
          <cell r="D50">
            <v>5.0900000000000001E-2</v>
          </cell>
          <cell r="E50">
            <v>6.3329999999999997E-2</v>
          </cell>
        </row>
        <row r="51">
          <cell r="A51">
            <v>39729</v>
          </cell>
          <cell r="B51" t="str">
            <v>Fourteenth Revised</v>
          </cell>
          <cell r="C51">
            <v>4.7699999999999999E-2</v>
          </cell>
          <cell r="D51">
            <v>5.0700000000000002E-2</v>
          </cell>
          <cell r="E51">
            <v>6.3100000000000003E-2</v>
          </cell>
        </row>
        <row r="52">
          <cell r="A52">
            <v>73050</v>
          </cell>
        </row>
      </sheetData>
      <sheetData sheetId="9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book Contents"/>
      <sheetName val="Macros"/>
      <sheetName val="Instructions"/>
      <sheetName val="Pipelines Tariffs"/>
      <sheetName val="Texas (21)"/>
      <sheetName val="Texas (21) New"/>
      <sheetName val="Texas (22)"/>
      <sheetName val="Texas (22) New"/>
      <sheetName val="Texas (26)"/>
      <sheetName val="Texas (26) New"/>
      <sheetName val="Texas (36)"/>
      <sheetName val="Texas (36) New"/>
      <sheetName val="Tenn (15)"/>
      <sheetName val="Tenn (15) New"/>
      <sheetName val="Tenn (23)"/>
      <sheetName val="Tenn (23) New"/>
      <sheetName val="Tenn (24)"/>
      <sheetName val="Tenn (24) New"/>
      <sheetName val="Tenn (26)"/>
      <sheetName val="Tenn (26) New"/>
      <sheetName val="Tenn (32)"/>
      <sheetName val="Tenn (61)"/>
      <sheetName val="Tenn (61) New"/>
      <sheetName val="Trunkline (10)"/>
      <sheetName val="Trunkline (10) New"/>
    </sheetNames>
    <sheetDataSet>
      <sheetData sheetId="0" refreshError="1"/>
      <sheetData sheetId="1">
        <row r="9">
          <cell r="D9">
            <v>41214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book Contents"/>
      <sheetName val="Directions"/>
      <sheetName val="LVS Rates"/>
      <sheetName val="Backup Page"/>
      <sheetName val="Additional Backup"/>
      <sheetName val="Additional Adjustments"/>
      <sheetName val="History"/>
      <sheetName val="Price History"/>
      <sheetName val="Module1"/>
    </sheetNames>
    <sheetDataSet>
      <sheetData sheetId="0"/>
      <sheetData sheetId="1">
        <row r="5">
          <cell r="E5">
            <v>38384</v>
          </cell>
        </row>
      </sheetData>
      <sheetData sheetId="2"/>
      <sheetData sheetId="3">
        <row r="17">
          <cell r="J17">
            <v>6.4271000000000003</v>
          </cell>
        </row>
        <row r="31">
          <cell r="F31">
            <v>-0.79859999999999953</v>
          </cell>
        </row>
      </sheetData>
      <sheetData sheetId="4">
        <row r="1">
          <cell r="B1">
            <v>36009</v>
          </cell>
          <cell r="J1">
            <v>0</v>
          </cell>
        </row>
        <row r="35">
          <cell r="F35">
            <v>9.8099999999999632E-2</v>
          </cell>
        </row>
        <row r="39">
          <cell r="B39">
            <v>35978</v>
          </cell>
        </row>
        <row r="73">
          <cell r="F73">
            <v>-1.5499999999999847E-2</v>
          </cell>
        </row>
      </sheetData>
      <sheetData sheetId="5"/>
      <sheetData sheetId="6">
        <row r="12">
          <cell r="A12">
            <v>34425</v>
          </cell>
          <cell r="B12">
            <v>11.6</v>
          </cell>
          <cell r="C12">
            <v>100</v>
          </cell>
          <cell r="D12" t="str">
            <v>Eighth</v>
          </cell>
          <cell r="F12">
            <v>0.94189999999999996</v>
          </cell>
          <cell r="G12">
            <v>0.79190000000000005</v>
          </cell>
          <cell r="H12">
            <v>0.64190000000000003</v>
          </cell>
          <cell r="I12">
            <v>0.47749999999999998</v>
          </cell>
          <cell r="J12">
            <v>0.32750000000000001</v>
          </cell>
          <cell r="L12">
            <v>0.93989999999999996</v>
          </cell>
          <cell r="N12">
            <v>0.35899999999999999</v>
          </cell>
        </row>
        <row r="13">
          <cell r="A13">
            <v>34455</v>
          </cell>
          <cell r="B13">
            <v>11.6</v>
          </cell>
          <cell r="C13">
            <v>100</v>
          </cell>
          <cell r="D13" t="str">
            <v>Ninth</v>
          </cell>
          <cell r="F13">
            <v>0.94189999999999996</v>
          </cell>
          <cell r="G13">
            <v>0.79190000000000005</v>
          </cell>
          <cell r="H13">
            <v>0.64190000000000003</v>
          </cell>
          <cell r="I13">
            <v>0.47749999999999998</v>
          </cell>
          <cell r="J13">
            <v>0.32750000000000001</v>
          </cell>
          <cell r="L13">
            <v>0.93869999999999998</v>
          </cell>
          <cell r="N13">
            <v>0.35780000000000001</v>
          </cell>
        </row>
        <row r="14">
          <cell r="A14">
            <v>34486</v>
          </cell>
          <cell r="B14">
            <v>11.6</v>
          </cell>
          <cell r="C14">
            <v>100</v>
          </cell>
          <cell r="D14" t="str">
            <v>Tenth</v>
          </cell>
          <cell r="F14">
            <v>0.94189999999999996</v>
          </cell>
          <cell r="G14">
            <v>0.79190000000000005</v>
          </cell>
          <cell r="H14">
            <v>0.64190000000000003</v>
          </cell>
          <cell r="I14">
            <v>0.47749999999999998</v>
          </cell>
          <cell r="J14">
            <v>0.32750000000000001</v>
          </cell>
          <cell r="L14">
            <v>0.92730000000000001</v>
          </cell>
          <cell r="N14">
            <v>0.34639999999999999</v>
          </cell>
        </row>
        <row r="15">
          <cell r="A15">
            <v>34516</v>
          </cell>
          <cell r="B15">
            <v>11.6</v>
          </cell>
          <cell r="C15">
            <v>100</v>
          </cell>
          <cell r="D15" t="str">
            <v>Eleventh</v>
          </cell>
          <cell r="F15">
            <v>0.94189999999999996</v>
          </cell>
          <cell r="G15">
            <v>0.79190000000000005</v>
          </cell>
          <cell r="H15">
            <v>0.64190000000000003</v>
          </cell>
          <cell r="I15">
            <v>0.47749999999999998</v>
          </cell>
          <cell r="J15">
            <v>0.32750000000000001</v>
          </cell>
          <cell r="L15">
            <v>0.90969999999999995</v>
          </cell>
          <cell r="N15">
            <v>0.34310000000000002</v>
          </cell>
        </row>
        <row r="16">
          <cell r="A16">
            <v>34547</v>
          </cell>
          <cell r="B16">
            <v>11.6</v>
          </cell>
          <cell r="C16">
            <v>100</v>
          </cell>
          <cell r="D16" t="str">
            <v>Twelth</v>
          </cell>
          <cell r="F16">
            <v>0.94189999999999996</v>
          </cell>
          <cell r="G16">
            <v>0.79190000000000005</v>
          </cell>
          <cell r="H16">
            <v>0.64190000000000003</v>
          </cell>
          <cell r="I16">
            <v>0.47749999999999998</v>
          </cell>
          <cell r="J16">
            <v>0.32750000000000001</v>
          </cell>
          <cell r="L16">
            <v>0.90449999999999997</v>
          </cell>
          <cell r="N16">
            <v>0.33789999999999998</v>
          </cell>
        </row>
        <row r="17">
          <cell r="A17">
            <v>34578</v>
          </cell>
          <cell r="B17">
            <v>11.6</v>
          </cell>
          <cell r="C17">
            <v>100</v>
          </cell>
          <cell r="D17" t="str">
            <v>Thirteenth</v>
          </cell>
          <cell r="F17">
            <v>0.94189999999999996</v>
          </cell>
          <cell r="G17">
            <v>0.79190000000000005</v>
          </cell>
          <cell r="H17">
            <v>0.64190000000000003</v>
          </cell>
          <cell r="I17">
            <v>0.47749999999999998</v>
          </cell>
          <cell r="J17">
            <v>0.32750000000000001</v>
          </cell>
          <cell r="L17">
            <v>0.87080000000000002</v>
          </cell>
          <cell r="N17">
            <v>0.3211</v>
          </cell>
        </row>
        <row r="18">
          <cell r="A18">
            <v>34608</v>
          </cell>
          <cell r="B18">
            <v>11.6</v>
          </cell>
          <cell r="C18">
            <v>100</v>
          </cell>
          <cell r="D18" t="str">
            <v>Fourteenth</v>
          </cell>
          <cell r="F18">
            <v>0.94189999999999996</v>
          </cell>
          <cell r="G18">
            <v>0.79190000000000005</v>
          </cell>
          <cell r="H18">
            <v>0.64190000000000003</v>
          </cell>
          <cell r="I18">
            <v>0.47749999999999998</v>
          </cell>
          <cell r="J18">
            <v>0.32750000000000001</v>
          </cell>
          <cell r="L18">
            <v>0.88829999999999998</v>
          </cell>
          <cell r="N18">
            <v>0.33860000000000001</v>
          </cell>
        </row>
        <row r="19">
          <cell r="A19">
            <v>34639</v>
          </cell>
          <cell r="B19">
            <v>11.6</v>
          </cell>
          <cell r="C19">
            <v>100</v>
          </cell>
          <cell r="D19" t="str">
            <v>Fifteenth</v>
          </cell>
          <cell r="F19">
            <v>0.94189999999999996</v>
          </cell>
          <cell r="G19">
            <v>0.79190000000000005</v>
          </cell>
          <cell r="H19">
            <v>0.64190000000000003</v>
          </cell>
          <cell r="I19">
            <v>0.47749999999999998</v>
          </cell>
          <cell r="J19">
            <v>0.32750000000000001</v>
          </cell>
          <cell r="L19">
            <v>0.92190000000000005</v>
          </cell>
          <cell r="N19">
            <v>0.40639999999999998</v>
          </cell>
        </row>
        <row r="20">
          <cell r="A20">
            <v>34669</v>
          </cell>
          <cell r="B20">
            <v>11.6</v>
          </cell>
          <cell r="C20">
            <v>100</v>
          </cell>
          <cell r="D20" t="str">
            <v>Sixteenth</v>
          </cell>
          <cell r="F20">
            <v>0.94189999999999996</v>
          </cell>
          <cell r="G20">
            <v>0.79190000000000005</v>
          </cell>
          <cell r="H20">
            <v>0.64190000000000003</v>
          </cell>
          <cell r="I20">
            <v>0.47749999999999998</v>
          </cell>
          <cell r="J20">
            <v>0.32750000000000001</v>
          </cell>
          <cell r="L20">
            <v>0.88990000000000002</v>
          </cell>
          <cell r="N20">
            <v>0.39839999999999998</v>
          </cell>
        </row>
        <row r="21">
          <cell r="A21">
            <v>34700</v>
          </cell>
          <cell r="B21">
            <v>11.6</v>
          </cell>
          <cell r="C21">
            <v>100</v>
          </cell>
          <cell r="D21" t="str">
            <v>Seventeenth</v>
          </cell>
          <cell r="F21">
            <v>0.94189999999999996</v>
          </cell>
          <cell r="G21">
            <v>0.79190000000000005</v>
          </cell>
          <cell r="H21">
            <v>0.64190000000000003</v>
          </cell>
          <cell r="I21">
            <v>0.47749999999999998</v>
          </cell>
          <cell r="J21">
            <v>0.32750000000000001</v>
          </cell>
          <cell r="L21">
            <v>0.90659999999999996</v>
          </cell>
          <cell r="N21">
            <v>0.41639999999999999</v>
          </cell>
        </row>
        <row r="22">
          <cell r="A22">
            <v>34731</v>
          </cell>
          <cell r="B22">
            <v>11.6</v>
          </cell>
          <cell r="C22">
            <v>100</v>
          </cell>
          <cell r="D22" t="str">
            <v>Eighteenth</v>
          </cell>
          <cell r="F22">
            <v>0.94189999999999996</v>
          </cell>
          <cell r="G22">
            <v>0.79190000000000005</v>
          </cell>
          <cell r="H22">
            <v>0.64190000000000003</v>
          </cell>
          <cell r="I22">
            <v>0.47749999999999998</v>
          </cell>
          <cell r="J22">
            <v>0.32750000000000001</v>
          </cell>
          <cell r="L22">
            <v>0.81010000000000004</v>
          </cell>
          <cell r="N22">
            <v>0.39510000000000001</v>
          </cell>
        </row>
        <row r="23">
          <cell r="A23">
            <v>34759</v>
          </cell>
          <cell r="B23">
            <v>11.6</v>
          </cell>
          <cell r="C23">
            <v>100</v>
          </cell>
          <cell r="D23" t="str">
            <v>Ninteenth</v>
          </cell>
          <cell r="F23">
            <v>0.94189999999999996</v>
          </cell>
          <cell r="G23">
            <v>0.79190000000000005</v>
          </cell>
          <cell r="H23">
            <v>0.64190000000000003</v>
          </cell>
          <cell r="I23">
            <v>0.47749999999999998</v>
          </cell>
          <cell r="J23">
            <v>0.32750000000000001</v>
          </cell>
          <cell r="L23">
            <v>0.81279999999999997</v>
          </cell>
          <cell r="N23">
            <v>0.39179999999999998</v>
          </cell>
        </row>
        <row r="24">
          <cell r="A24">
            <v>34790</v>
          </cell>
          <cell r="B24">
            <v>11.6</v>
          </cell>
          <cell r="C24">
            <v>100</v>
          </cell>
          <cell r="D24" t="str">
            <v>Twentieth</v>
          </cell>
          <cell r="F24">
            <v>0.94189999999999996</v>
          </cell>
          <cell r="G24">
            <v>0.79190000000000005</v>
          </cell>
          <cell r="H24">
            <v>0.64190000000000003</v>
          </cell>
          <cell r="I24">
            <v>0.47749999999999998</v>
          </cell>
          <cell r="J24">
            <v>0.32750000000000001</v>
          </cell>
          <cell r="L24">
            <v>0.99850000000000005</v>
          </cell>
          <cell r="N24">
            <v>0.38650000000000001</v>
          </cell>
        </row>
        <row r="25">
          <cell r="A25">
            <v>34820</v>
          </cell>
          <cell r="B25">
            <v>11.6</v>
          </cell>
          <cell r="C25">
            <v>100</v>
          </cell>
          <cell r="D25" t="str">
            <v>Twenty-First</v>
          </cell>
          <cell r="F25">
            <v>0.94189999999999996</v>
          </cell>
          <cell r="G25">
            <v>0.79190000000000005</v>
          </cell>
          <cell r="H25">
            <v>0.64190000000000003</v>
          </cell>
          <cell r="I25">
            <v>0.47749999999999998</v>
          </cell>
          <cell r="J25">
            <v>0.32750000000000001</v>
          </cell>
          <cell r="L25">
            <v>0.99850000000000005</v>
          </cell>
          <cell r="N25">
            <v>0.38650000000000001</v>
          </cell>
        </row>
        <row r="26">
          <cell r="A26">
            <v>34851</v>
          </cell>
          <cell r="B26">
            <v>11.6</v>
          </cell>
          <cell r="C26">
            <v>100</v>
          </cell>
          <cell r="D26" t="str">
            <v>Twenty-Second</v>
          </cell>
          <cell r="F26">
            <v>0.94189999999999996</v>
          </cell>
          <cell r="G26">
            <v>0.79190000000000005</v>
          </cell>
          <cell r="H26">
            <v>0.64190000000000003</v>
          </cell>
          <cell r="I26">
            <v>0.47749999999999998</v>
          </cell>
          <cell r="J26">
            <v>0.32750000000000001</v>
          </cell>
          <cell r="L26">
            <v>1.0266</v>
          </cell>
          <cell r="N26">
            <v>0.41460000000000002</v>
          </cell>
        </row>
        <row r="27">
          <cell r="A27">
            <v>34881</v>
          </cell>
          <cell r="B27">
            <v>11.6</v>
          </cell>
          <cell r="C27">
            <v>100</v>
          </cell>
          <cell r="D27" t="str">
            <v>Twenty-Third</v>
          </cell>
          <cell r="F27">
            <v>0.94189999999999996</v>
          </cell>
          <cell r="G27">
            <v>0.79190000000000005</v>
          </cell>
          <cell r="H27">
            <v>0.64190000000000003</v>
          </cell>
          <cell r="I27">
            <v>0.47749999999999998</v>
          </cell>
          <cell r="J27">
            <v>0.32750000000000001</v>
          </cell>
          <cell r="L27">
            <v>0.99629999999999996</v>
          </cell>
          <cell r="N27">
            <v>0.38429999999999997</v>
          </cell>
        </row>
        <row r="28">
          <cell r="A28">
            <v>34912</v>
          </cell>
          <cell r="B28">
            <v>11.6</v>
          </cell>
          <cell r="C28">
            <v>100</v>
          </cell>
          <cell r="D28" t="str">
            <v>Twenty-Fourth</v>
          </cell>
          <cell r="F28">
            <v>0.94189999999999996</v>
          </cell>
          <cell r="G28">
            <v>0.79190000000000005</v>
          </cell>
          <cell r="H28">
            <v>0.64190000000000003</v>
          </cell>
          <cell r="I28">
            <v>0.47749999999999998</v>
          </cell>
          <cell r="J28">
            <v>0.32750000000000001</v>
          </cell>
          <cell r="L28">
            <v>0.98340000000000005</v>
          </cell>
          <cell r="N28">
            <v>0.38009999999999999</v>
          </cell>
        </row>
        <row r="29">
          <cell r="A29">
            <v>34943</v>
          </cell>
          <cell r="B29">
            <v>11.6</v>
          </cell>
          <cell r="C29">
            <v>100</v>
          </cell>
          <cell r="D29" t="str">
            <v>Twenty-Fifth</v>
          </cell>
          <cell r="F29">
            <v>0.94189999999999996</v>
          </cell>
          <cell r="G29">
            <v>0.79190000000000005</v>
          </cell>
          <cell r="H29">
            <v>0.64190000000000003</v>
          </cell>
          <cell r="I29">
            <v>0.47749999999999998</v>
          </cell>
          <cell r="J29">
            <v>0.32750000000000001</v>
          </cell>
          <cell r="L29">
            <v>0.97670000000000001</v>
          </cell>
          <cell r="N29">
            <v>0.37959999999999999</v>
          </cell>
        </row>
        <row r="30">
          <cell r="A30">
            <v>34973</v>
          </cell>
          <cell r="B30">
            <v>11.6</v>
          </cell>
          <cell r="C30">
            <v>100</v>
          </cell>
          <cell r="D30" t="str">
            <v>Twenty-Sixth</v>
          </cell>
          <cell r="F30">
            <v>0.94189999999999996</v>
          </cell>
          <cell r="G30">
            <v>0.79190000000000005</v>
          </cell>
          <cell r="H30">
            <v>0.64190000000000003</v>
          </cell>
          <cell r="I30">
            <v>0.47749999999999998</v>
          </cell>
          <cell r="J30">
            <v>0.32750000000000001</v>
          </cell>
          <cell r="L30">
            <v>0.96160000000000001</v>
          </cell>
          <cell r="N30">
            <v>0.36449999999999999</v>
          </cell>
        </row>
        <row r="31">
          <cell r="A31">
            <v>35004</v>
          </cell>
          <cell r="B31">
            <v>13.6</v>
          </cell>
          <cell r="C31">
            <v>150</v>
          </cell>
          <cell r="D31" t="str">
            <v>Twenty-seventh</v>
          </cell>
          <cell r="E31">
            <v>2.1000000000000001E-2</v>
          </cell>
          <cell r="F31">
            <v>1.0106999999999999</v>
          </cell>
          <cell r="G31">
            <v>0.5585</v>
          </cell>
          <cell r="H31">
            <v>0.40849999999999997</v>
          </cell>
          <cell r="I31">
            <v>0.49359999999999998</v>
          </cell>
          <cell r="J31">
            <v>0.34360000000000002</v>
          </cell>
          <cell r="K31">
            <v>5.6445999999999996</v>
          </cell>
          <cell r="L31">
            <v>0.96550000000000002</v>
          </cell>
          <cell r="M31">
            <v>0.23180000000000001</v>
          </cell>
          <cell r="N31">
            <v>0.3342</v>
          </cell>
        </row>
        <row r="32">
          <cell r="A32">
            <v>35034</v>
          </cell>
          <cell r="B32">
            <v>13.6</v>
          </cell>
          <cell r="C32">
            <v>150</v>
          </cell>
          <cell r="D32" t="str">
            <v>Twenty-eighth</v>
          </cell>
          <cell r="E32">
            <v>2.1000000000000001E-2</v>
          </cell>
          <cell r="F32">
            <v>1.0106999999999999</v>
          </cell>
          <cell r="G32">
            <v>0.5585</v>
          </cell>
          <cell r="H32">
            <v>0.40849999999999997</v>
          </cell>
          <cell r="I32">
            <v>0.49359999999999998</v>
          </cell>
          <cell r="J32">
            <v>0.34360000000000002</v>
          </cell>
          <cell r="K32">
            <v>5.6445999999999996</v>
          </cell>
          <cell r="L32">
            <v>0.96189999999999998</v>
          </cell>
          <cell r="M32">
            <v>0.22819999999999999</v>
          </cell>
          <cell r="N32">
            <v>0.33110000000000001</v>
          </cell>
        </row>
        <row r="33">
          <cell r="A33">
            <v>35065</v>
          </cell>
          <cell r="B33">
            <v>13.6</v>
          </cell>
          <cell r="C33">
            <v>150</v>
          </cell>
          <cell r="D33" t="str">
            <v>Twenty-ninth</v>
          </cell>
          <cell r="E33">
            <v>2.1000000000000001E-2</v>
          </cell>
          <cell r="F33">
            <v>1.0106999999999999</v>
          </cell>
          <cell r="G33">
            <v>0.5585</v>
          </cell>
          <cell r="H33">
            <v>0.40849999999999997</v>
          </cell>
          <cell r="I33">
            <v>0.49359999999999998</v>
          </cell>
          <cell r="J33">
            <v>0.34360000000000002</v>
          </cell>
          <cell r="K33">
            <v>5.5761000000000003</v>
          </cell>
          <cell r="L33">
            <v>0.94950000000000001</v>
          </cell>
          <cell r="M33">
            <v>0.22470000000000001</v>
          </cell>
          <cell r="N33">
            <v>0.3276</v>
          </cell>
        </row>
        <row r="34">
          <cell r="A34">
            <v>35096</v>
          </cell>
          <cell r="B34">
            <v>13.6</v>
          </cell>
          <cell r="C34">
            <v>150</v>
          </cell>
          <cell r="D34" t="str">
            <v>Thirtieth</v>
          </cell>
          <cell r="E34">
            <v>2.1000000000000001E-2</v>
          </cell>
          <cell r="F34">
            <v>1.0106999999999999</v>
          </cell>
          <cell r="G34">
            <v>0.5585</v>
          </cell>
          <cell r="H34">
            <v>0.40849999999999997</v>
          </cell>
          <cell r="I34">
            <v>0.49359999999999998</v>
          </cell>
          <cell r="J34">
            <v>0.34360000000000002</v>
          </cell>
          <cell r="K34">
            <v>5.6570999999999998</v>
          </cell>
          <cell r="L34">
            <v>0.96340000000000003</v>
          </cell>
          <cell r="M34">
            <v>0.2092</v>
          </cell>
          <cell r="N34">
            <v>0.31209999999999999</v>
          </cell>
        </row>
        <row r="35">
          <cell r="A35">
            <v>35125</v>
          </cell>
          <cell r="B35">
            <v>13.6</v>
          </cell>
          <cell r="C35">
            <v>150</v>
          </cell>
          <cell r="D35" t="str">
            <v>Thirty-first</v>
          </cell>
          <cell r="E35">
            <v>2.1000000000000001E-2</v>
          </cell>
          <cell r="F35">
            <v>1.0615000000000001</v>
          </cell>
          <cell r="G35">
            <v>0.5585</v>
          </cell>
          <cell r="H35">
            <v>0.40849999999999997</v>
          </cell>
          <cell r="I35">
            <v>0.49359999999999998</v>
          </cell>
          <cell r="J35">
            <v>0.34360000000000002</v>
          </cell>
          <cell r="K35">
            <v>5.6666999999999996</v>
          </cell>
          <cell r="L35">
            <v>1.0442</v>
          </cell>
          <cell r="M35">
            <v>0.28889999999999999</v>
          </cell>
          <cell r="N35">
            <v>0.33700000000000002</v>
          </cell>
        </row>
        <row r="36">
          <cell r="A36">
            <v>35156</v>
          </cell>
          <cell r="B36">
            <v>13.6</v>
          </cell>
          <cell r="C36">
            <v>150</v>
          </cell>
          <cell r="D36" t="str">
            <v>Thirty-second</v>
          </cell>
          <cell r="E36">
            <v>2.1000000000000001E-2</v>
          </cell>
          <cell r="F36">
            <v>1.0615000000000001</v>
          </cell>
          <cell r="G36">
            <v>0.5585</v>
          </cell>
          <cell r="H36">
            <v>0.40849999999999997</v>
          </cell>
          <cell r="I36">
            <v>0.49359999999999998</v>
          </cell>
          <cell r="J36">
            <v>0.34360000000000002</v>
          </cell>
          <cell r="K36">
            <v>4.9048999999999996</v>
          </cell>
          <cell r="L36">
            <v>1.0583</v>
          </cell>
          <cell r="M36">
            <v>0.30909999999999999</v>
          </cell>
          <cell r="N36">
            <v>0.3327</v>
          </cell>
        </row>
        <row r="37">
          <cell r="A37">
            <v>35186</v>
          </cell>
          <cell r="B37">
            <v>13.6</v>
          </cell>
          <cell r="C37">
            <v>150</v>
          </cell>
          <cell r="D37" t="str">
            <v>Thirty-third</v>
          </cell>
          <cell r="E37">
            <v>2.1000000000000001E-2</v>
          </cell>
          <cell r="F37">
            <v>1.0615000000000001</v>
          </cell>
          <cell r="G37">
            <v>0.5585</v>
          </cell>
          <cell r="H37">
            <v>0.40849999999999997</v>
          </cell>
          <cell r="I37">
            <v>0.49359999999999998</v>
          </cell>
          <cell r="J37">
            <v>0.34360000000000002</v>
          </cell>
          <cell r="K37">
            <v>4.9048999999999996</v>
          </cell>
          <cell r="L37">
            <v>0.94279999999999997</v>
          </cell>
          <cell r="M37">
            <v>0.2787</v>
          </cell>
          <cell r="N37">
            <v>0.30230000000000001</v>
          </cell>
        </row>
        <row r="38">
          <cell r="A38">
            <v>35217</v>
          </cell>
          <cell r="B38">
            <v>13.6</v>
          </cell>
          <cell r="C38">
            <v>150</v>
          </cell>
          <cell r="D38" t="str">
            <v>Thirty-fourth</v>
          </cell>
          <cell r="E38">
            <v>2.1000000000000001E-2</v>
          </cell>
          <cell r="F38">
            <v>1.0615000000000001</v>
          </cell>
          <cell r="G38">
            <v>0.5585</v>
          </cell>
          <cell r="H38">
            <v>0.40849999999999997</v>
          </cell>
          <cell r="I38">
            <v>0.49359999999999998</v>
          </cell>
          <cell r="J38">
            <v>0.34360000000000002</v>
          </cell>
          <cell r="K38">
            <v>4.5968999999999998</v>
          </cell>
          <cell r="L38">
            <v>0.80869999999999997</v>
          </cell>
          <cell r="M38">
            <v>0.1741</v>
          </cell>
          <cell r="N38">
            <v>0.245</v>
          </cell>
        </row>
        <row r="39">
          <cell r="A39">
            <v>35247</v>
          </cell>
          <cell r="B39">
            <v>13.6</v>
          </cell>
          <cell r="C39">
            <v>150</v>
          </cell>
          <cell r="D39" t="str">
            <v>Thirty-fifth</v>
          </cell>
          <cell r="E39">
            <v>2.1000000000000001E-2</v>
          </cell>
          <cell r="F39">
            <v>1.0615000000000001</v>
          </cell>
          <cell r="G39">
            <v>0.5585</v>
          </cell>
          <cell r="H39">
            <v>0.40849999999999997</v>
          </cell>
          <cell r="I39">
            <v>0.49359999999999998</v>
          </cell>
          <cell r="J39">
            <v>0.34360000000000002</v>
          </cell>
          <cell r="K39">
            <v>4.5968999999999998</v>
          </cell>
          <cell r="L39">
            <v>0.80269999999999997</v>
          </cell>
          <cell r="M39">
            <v>0.1719</v>
          </cell>
          <cell r="N39">
            <v>0.2445</v>
          </cell>
        </row>
        <row r="40">
          <cell r="A40">
            <v>35278</v>
          </cell>
          <cell r="B40">
            <v>13.6</v>
          </cell>
          <cell r="C40">
            <v>150</v>
          </cell>
          <cell r="D40" t="str">
            <v>Thirty-sixth</v>
          </cell>
          <cell r="E40">
            <v>2.1000000000000001E-2</v>
          </cell>
          <cell r="F40">
            <v>1.0615000000000001</v>
          </cell>
          <cell r="G40">
            <v>0.5585</v>
          </cell>
          <cell r="H40">
            <v>0.40849999999999997</v>
          </cell>
          <cell r="I40">
            <v>0.49359999999999998</v>
          </cell>
          <cell r="J40">
            <v>0.34360000000000002</v>
          </cell>
          <cell r="K40">
            <v>4.5575000000000001</v>
          </cell>
          <cell r="L40">
            <v>0.80049999999999999</v>
          </cell>
          <cell r="M40">
            <v>0.17130000000000001</v>
          </cell>
          <cell r="N40">
            <v>0.24390000000000001</v>
          </cell>
        </row>
        <row r="41">
          <cell r="A41">
            <v>35309</v>
          </cell>
          <cell r="B41">
            <v>13.6</v>
          </cell>
          <cell r="C41">
            <v>150</v>
          </cell>
          <cell r="D41" t="str">
            <v>Thirty-seventh</v>
          </cell>
          <cell r="E41">
            <v>2.1000000000000001E-2</v>
          </cell>
          <cell r="F41">
            <v>1.0615000000000001</v>
          </cell>
          <cell r="G41">
            <v>0.5585</v>
          </cell>
          <cell r="H41">
            <v>0.40849999999999997</v>
          </cell>
          <cell r="I41">
            <v>0.49359999999999998</v>
          </cell>
          <cell r="J41">
            <v>0.34360000000000002</v>
          </cell>
          <cell r="K41">
            <v>4.7096</v>
          </cell>
          <cell r="L41">
            <v>0.83299999999999996</v>
          </cell>
          <cell r="M41">
            <v>0.18279999999999999</v>
          </cell>
          <cell r="N41">
            <v>0.25540000000000002</v>
          </cell>
        </row>
        <row r="42">
          <cell r="A42">
            <v>35339</v>
          </cell>
          <cell r="B42">
            <v>13.6</v>
          </cell>
          <cell r="C42">
            <v>150</v>
          </cell>
          <cell r="D42" t="str">
            <v>Thirty-eighth</v>
          </cell>
          <cell r="E42">
            <v>2.1000000000000001E-2</v>
          </cell>
          <cell r="F42">
            <v>1.0615000000000001</v>
          </cell>
          <cell r="G42">
            <v>0.5585</v>
          </cell>
          <cell r="H42">
            <v>0.40849999999999997</v>
          </cell>
          <cell r="I42">
            <v>0.49359999999999998</v>
          </cell>
          <cell r="J42">
            <v>0.34360000000000002</v>
          </cell>
          <cell r="K42">
            <v>4.7243000000000004</v>
          </cell>
          <cell r="L42">
            <v>0.85729999999999995</v>
          </cell>
          <cell r="M42">
            <v>0.2155</v>
          </cell>
          <cell r="N42">
            <v>0.26500000000000001</v>
          </cell>
        </row>
        <row r="43">
          <cell r="A43">
            <v>35370</v>
          </cell>
          <cell r="B43">
            <v>13.6</v>
          </cell>
          <cell r="C43">
            <v>150</v>
          </cell>
          <cell r="D43" t="str">
            <v>Thirty-ninth</v>
          </cell>
          <cell r="E43">
            <v>2.1000000000000001E-2</v>
          </cell>
          <cell r="F43">
            <v>1.0615000000000001</v>
          </cell>
          <cell r="G43">
            <v>0.5585</v>
          </cell>
          <cell r="H43">
            <v>0.40849999999999997</v>
          </cell>
          <cell r="I43">
            <v>0.49359999999999998</v>
          </cell>
          <cell r="J43">
            <v>0.34360000000000002</v>
          </cell>
          <cell r="K43">
            <v>4.5213999999999999</v>
          </cell>
          <cell r="L43">
            <v>0.8196</v>
          </cell>
          <cell r="M43">
            <v>0.2054</v>
          </cell>
          <cell r="N43">
            <v>0.25490000000000002</v>
          </cell>
        </row>
        <row r="44">
          <cell r="A44">
            <v>35400</v>
          </cell>
          <cell r="B44">
            <v>13.6</v>
          </cell>
          <cell r="C44">
            <v>150</v>
          </cell>
          <cell r="D44" t="str">
            <v>Fortieth</v>
          </cell>
          <cell r="E44">
            <v>1.9E-2</v>
          </cell>
          <cell r="F44">
            <v>1.0615000000000001</v>
          </cell>
          <cell r="G44">
            <v>0.5585</v>
          </cell>
          <cell r="H44">
            <v>0.40849999999999997</v>
          </cell>
          <cell r="I44">
            <v>0.49359999999999998</v>
          </cell>
          <cell r="J44">
            <v>0.34360000000000002</v>
          </cell>
          <cell r="K44">
            <v>4.375</v>
          </cell>
          <cell r="L44">
            <v>0.79310000000000003</v>
          </cell>
          <cell r="M44">
            <v>0.1988</v>
          </cell>
          <cell r="N44">
            <v>0.24779999999999999</v>
          </cell>
        </row>
        <row r="45">
          <cell r="A45">
            <v>35431</v>
          </cell>
          <cell r="B45">
            <v>13.6</v>
          </cell>
          <cell r="C45">
            <v>150</v>
          </cell>
          <cell r="D45" t="str">
            <v>Forty-First</v>
          </cell>
          <cell r="E45">
            <v>1.9E-2</v>
          </cell>
          <cell r="F45">
            <v>1.0615000000000001</v>
          </cell>
          <cell r="G45">
            <v>0.5585</v>
          </cell>
          <cell r="H45">
            <v>0.40849999999999997</v>
          </cell>
          <cell r="I45">
            <v>0.49359999999999998</v>
          </cell>
          <cell r="J45">
            <v>0.34360000000000002</v>
          </cell>
          <cell r="K45">
            <v>4.375</v>
          </cell>
          <cell r="L45">
            <v>0.80520000000000003</v>
          </cell>
          <cell r="M45">
            <v>0.2109</v>
          </cell>
          <cell r="N45">
            <v>0.25990000000000002</v>
          </cell>
        </row>
        <row r="46">
          <cell r="A46">
            <v>35462</v>
          </cell>
          <cell r="B46">
            <v>13.6</v>
          </cell>
          <cell r="C46">
            <v>150</v>
          </cell>
          <cell r="D46" t="str">
            <v>Forty-Second</v>
          </cell>
          <cell r="E46">
            <v>1.9E-2</v>
          </cell>
          <cell r="F46">
            <v>1.0615000000000001</v>
          </cell>
          <cell r="G46">
            <v>0.5585</v>
          </cell>
          <cell r="H46">
            <v>0.40849999999999997</v>
          </cell>
          <cell r="I46">
            <v>0.49359999999999998</v>
          </cell>
          <cell r="J46">
            <v>0.34360000000000002</v>
          </cell>
          <cell r="K46">
            <v>4.375</v>
          </cell>
          <cell r="L46">
            <v>0.80510000000000004</v>
          </cell>
          <cell r="M46">
            <v>0.21079999999999999</v>
          </cell>
          <cell r="N46">
            <v>0.25979999999999998</v>
          </cell>
        </row>
        <row r="47">
          <cell r="A47">
            <v>35490</v>
          </cell>
          <cell r="B47">
            <v>13.6</v>
          </cell>
          <cell r="C47">
            <v>150</v>
          </cell>
          <cell r="D47" t="str">
            <v>Forty-Third</v>
          </cell>
          <cell r="E47">
            <v>1.9E-2</v>
          </cell>
          <cell r="F47">
            <v>1.0615000000000001</v>
          </cell>
          <cell r="G47">
            <v>0.5585</v>
          </cell>
          <cell r="H47">
            <v>0.40849999999999997</v>
          </cell>
          <cell r="I47">
            <v>0.49359999999999998</v>
          </cell>
          <cell r="J47">
            <v>0.34360000000000002</v>
          </cell>
          <cell r="K47">
            <v>4.3760000000000003</v>
          </cell>
          <cell r="L47">
            <v>0.8054</v>
          </cell>
          <cell r="M47">
            <v>0.2109</v>
          </cell>
          <cell r="N47">
            <v>0.25990000000000002</v>
          </cell>
        </row>
        <row r="48">
          <cell r="A48">
            <v>35521</v>
          </cell>
          <cell r="B48">
            <v>13.6</v>
          </cell>
          <cell r="C48">
            <v>150</v>
          </cell>
          <cell r="D48" t="str">
            <v>Forty-Fourth</v>
          </cell>
          <cell r="E48">
            <v>1.9E-2</v>
          </cell>
          <cell r="F48">
            <v>1.0615000000000001</v>
          </cell>
          <cell r="G48">
            <v>0.5585</v>
          </cell>
          <cell r="H48">
            <v>0.40849999999999997</v>
          </cell>
          <cell r="I48">
            <v>0.49359999999999998</v>
          </cell>
          <cell r="J48">
            <v>0.34360000000000002</v>
          </cell>
          <cell r="K48">
            <v>4.2912999999999997</v>
          </cell>
          <cell r="L48">
            <v>0.78969999999999996</v>
          </cell>
          <cell r="M48">
            <v>0.20669999999999999</v>
          </cell>
          <cell r="N48">
            <v>0.25569999999999998</v>
          </cell>
        </row>
        <row r="49">
          <cell r="A49">
            <v>35551</v>
          </cell>
          <cell r="B49">
            <v>13.6</v>
          </cell>
          <cell r="C49">
            <v>150</v>
          </cell>
          <cell r="D49" t="str">
            <v>Forty-Fifth</v>
          </cell>
          <cell r="E49">
            <v>1.9E-2</v>
          </cell>
          <cell r="F49">
            <v>1.0615000000000001</v>
          </cell>
          <cell r="G49">
            <v>0.5585</v>
          </cell>
          <cell r="H49">
            <v>0.40849999999999997</v>
          </cell>
          <cell r="I49">
            <v>0.49359999999999998</v>
          </cell>
          <cell r="J49">
            <v>0.34360000000000002</v>
          </cell>
          <cell r="K49">
            <v>4.2912999999999997</v>
          </cell>
          <cell r="L49">
            <v>0.78969999999999996</v>
          </cell>
          <cell r="M49">
            <v>0.20669999999999999</v>
          </cell>
          <cell r="N49">
            <v>0.25569999999999998</v>
          </cell>
        </row>
        <row r="50">
          <cell r="A50">
            <v>35582</v>
          </cell>
          <cell r="B50">
            <v>13.6</v>
          </cell>
          <cell r="C50">
            <v>150</v>
          </cell>
          <cell r="D50" t="str">
            <v>Forty-Sixth</v>
          </cell>
          <cell r="E50">
            <v>1.9E-2</v>
          </cell>
          <cell r="F50">
            <v>1.0615000000000001</v>
          </cell>
          <cell r="G50">
            <v>0.5585</v>
          </cell>
          <cell r="H50">
            <v>0.40849999999999997</v>
          </cell>
          <cell r="I50">
            <v>0.49359999999999998</v>
          </cell>
          <cell r="J50">
            <v>0.34360000000000002</v>
          </cell>
          <cell r="K50">
            <v>4.5613000000000001</v>
          </cell>
          <cell r="L50">
            <v>0.89570000000000005</v>
          </cell>
          <cell r="M50">
            <v>0.27610000000000001</v>
          </cell>
          <cell r="N50">
            <v>0.27779999999999999</v>
          </cell>
        </row>
        <row r="51">
          <cell r="A51">
            <v>35612</v>
          </cell>
          <cell r="B51">
            <v>13.6</v>
          </cell>
          <cell r="C51">
            <v>150</v>
          </cell>
          <cell r="D51" t="str">
            <v>Forty-Seventh</v>
          </cell>
          <cell r="E51">
            <v>1.9E-2</v>
          </cell>
          <cell r="F51">
            <v>1.0615000000000001</v>
          </cell>
          <cell r="G51">
            <v>0.5585</v>
          </cell>
          <cell r="H51">
            <v>0.40849999999999997</v>
          </cell>
          <cell r="I51">
            <v>0.49359999999999998</v>
          </cell>
          <cell r="J51">
            <v>0.34360000000000002</v>
          </cell>
          <cell r="K51">
            <v>4.5613000000000001</v>
          </cell>
          <cell r="L51">
            <v>0.84919999999999995</v>
          </cell>
          <cell r="M51">
            <v>0.2296</v>
          </cell>
          <cell r="N51">
            <v>0.26490000000000002</v>
          </cell>
        </row>
        <row r="52">
          <cell r="A52">
            <v>35643</v>
          </cell>
          <cell r="B52">
            <v>13.6</v>
          </cell>
          <cell r="C52">
            <v>150</v>
          </cell>
          <cell r="D52" t="str">
            <v>Forty-Eighth</v>
          </cell>
          <cell r="E52">
            <v>1.9E-2</v>
          </cell>
          <cell r="F52">
            <v>1.0615000000000001</v>
          </cell>
          <cell r="G52">
            <v>0.5585</v>
          </cell>
          <cell r="H52">
            <v>0.40849999999999997</v>
          </cell>
          <cell r="I52">
            <v>0.49359999999999998</v>
          </cell>
          <cell r="J52">
            <v>0.34360000000000002</v>
          </cell>
          <cell r="K52">
            <v>5.3216000000000001</v>
          </cell>
          <cell r="L52">
            <v>0.98919999999999997</v>
          </cell>
          <cell r="M52">
            <v>0.26629999999999998</v>
          </cell>
          <cell r="N52">
            <v>0.30159999999999998</v>
          </cell>
        </row>
        <row r="53">
          <cell r="A53">
            <v>35674</v>
          </cell>
          <cell r="B53">
            <v>13.6</v>
          </cell>
          <cell r="C53">
            <v>150</v>
          </cell>
          <cell r="D53" t="str">
            <v>Forty-Ninth</v>
          </cell>
          <cell r="E53">
            <v>1.9E-2</v>
          </cell>
          <cell r="F53">
            <v>1.0615000000000001</v>
          </cell>
          <cell r="G53">
            <v>0.5585</v>
          </cell>
          <cell r="H53">
            <v>0.40849999999999997</v>
          </cell>
          <cell r="I53">
            <v>0.49359999999999998</v>
          </cell>
          <cell r="J53">
            <v>0.34360000000000002</v>
          </cell>
          <cell r="K53">
            <v>4.5003000000000002</v>
          </cell>
          <cell r="L53">
            <v>0.83699999999999997</v>
          </cell>
          <cell r="M53">
            <v>0.22570000000000001</v>
          </cell>
          <cell r="N53">
            <v>0.26100000000000001</v>
          </cell>
        </row>
        <row r="54">
          <cell r="A54">
            <v>35704</v>
          </cell>
          <cell r="B54">
            <v>13.6</v>
          </cell>
          <cell r="C54">
            <v>150</v>
          </cell>
          <cell r="D54" t="str">
            <v>Fiftieth</v>
          </cell>
          <cell r="E54">
            <v>1.9E-2</v>
          </cell>
          <cell r="F54">
            <v>1.0615000000000001</v>
          </cell>
          <cell r="G54">
            <v>0.5585</v>
          </cell>
          <cell r="H54">
            <v>0.40849999999999997</v>
          </cell>
          <cell r="I54">
            <v>0.49359999999999998</v>
          </cell>
          <cell r="J54">
            <v>0.34360000000000002</v>
          </cell>
          <cell r="K54">
            <v>4.7756999999999996</v>
          </cell>
          <cell r="L54">
            <v>0.85189999999999999</v>
          </cell>
          <cell r="M54">
            <v>0.2329</v>
          </cell>
          <cell r="N54">
            <v>0.26819999999999999</v>
          </cell>
        </row>
        <row r="55">
          <cell r="A55">
            <v>35735</v>
          </cell>
          <cell r="B55">
            <v>13.6</v>
          </cell>
          <cell r="C55">
            <v>150</v>
          </cell>
          <cell r="D55" t="str">
            <v>Fifty-first</v>
          </cell>
          <cell r="E55">
            <v>1.9E-2</v>
          </cell>
          <cell r="F55">
            <v>1.0615000000000001</v>
          </cell>
          <cell r="G55">
            <v>0.5585</v>
          </cell>
          <cell r="H55">
            <v>0.40849999999999997</v>
          </cell>
          <cell r="I55">
            <v>0.49359999999999998</v>
          </cell>
          <cell r="J55">
            <v>0.34360000000000002</v>
          </cell>
          <cell r="K55">
            <v>4.7756999999999996</v>
          </cell>
          <cell r="L55">
            <v>0.85189999999999999</v>
          </cell>
          <cell r="M55">
            <v>0.2329</v>
          </cell>
          <cell r="N55">
            <v>0.26819999999999999</v>
          </cell>
        </row>
        <row r="56">
          <cell r="A56">
            <v>35765</v>
          </cell>
          <cell r="B56">
            <v>13.6</v>
          </cell>
          <cell r="C56">
            <v>150</v>
          </cell>
          <cell r="D56" t="str">
            <v>Fifty-second</v>
          </cell>
          <cell r="E56">
            <v>1.9E-2</v>
          </cell>
          <cell r="F56">
            <v>1.0615000000000001</v>
          </cell>
          <cell r="G56">
            <v>0.5585</v>
          </cell>
          <cell r="H56">
            <v>0.40849999999999997</v>
          </cell>
          <cell r="I56">
            <v>0.49359999999999998</v>
          </cell>
          <cell r="J56">
            <v>0.34360000000000002</v>
          </cell>
          <cell r="K56">
            <v>5.6473000000000004</v>
          </cell>
          <cell r="L56">
            <v>1.0055000000000001</v>
          </cell>
          <cell r="M56">
            <v>0.27350000000000002</v>
          </cell>
          <cell r="N56">
            <v>0.30880000000000002</v>
          </cell>
        </row>
        <row r="57">
          <cell r="A57">
            <v>35796</v>
          </cell>
          <cell r="B57">
            <v>13.6</v>
          </cell>
          <cell r="C57">
            <v>150</v>
          </cell>
          <cell r="D57" t="str">
            <v>Fifty-third</v>
          </cell>
          <cell r="E57">
            <v>1.6E-2</v>
          </cell>
          <cell r="F57">
            <v>1.0615000000000001</v>
          </cell>
          <cell r="G57">
            <v>0.5585</v>
          </cell>
          <cell r="H57">
            <v>0.40849999999999997</v>
          </cell>
          <cell r="I57">
            <v>0.49359999999999998</v>
          </cell>
          <cell r="J57">
            <v>0.34360000000000002</v>
          </cell>
          <cell r="K57">
            <v>5.6473000000000004</v>
          </cell>
          <cell r="L57">
            <v>1.0055000000000001</v>
          </cell>
          <cell r="M57">
            <v>0.27350000000000002</v>
          </cell>
          <cell r="N57">
            <v>0.30880000000000002</v>
          </cell>
        </row>
        <row r="58">
          <cell r="A58">
            <v>35827</v>
          </cell>
          <cell r="B58">
            <v>13.6</v>
          </cell>
          <cell r="C58">
            <v>150</v>
          </cell>
          <cell r="D58" t="str">
            <v>Fifty-fourth</v>
          </cell>
          <cell r="E58">
            <v>1.6E-2</v>
          </cell>
          <cell r="F58">
            <v>1.0615000000000001</v>
          </cell>
          <cell r="G58">
            <v>0.5585</v>
          </cell>
          <cell r="H58">
            <v>0.40849999999999997</v>
          </cell>
          <cell r="I58">
            <v>0.49359999999999998</v>
          </cell>
          <cell r="J58">
            <v>0.34360000000000002</v>
          </cell>
          <cell r="K58">
            <v>5.6473000000000004</v>
          </cell>
          <cell r="L58">
            <v>1.0055000000000001</v>
          </cell>
          <cell r="M58">
            <v>0.27350000000000002</v>
          </cell>
          <cell r="N58">
            <v>0.30880000000000002</v>
          </cell>
        </row>
        <row r="59">
          <cell r="A59">
            <v>35855</v>
          </cell>
          <cell r="B59">
            <v>13.6</v>
          </cell>
          <cell r="C59">
            <v>150</v>
          </cell>
          <cell r="D59" t="str">
            <v>Fifty-fifth</v>
          </cell>
          <cell r="E59">
            <v>1.6E-2</v>
          </cell>
          <cell r="F59">
            <v>1.0615000000000001</v>
          </cell>
          <cell r="G59">
            <v>0.5585</v>
          </cell>
          <cell r="H59">
            <v>0.40849999999999997</v>
          </cell>
          <cell r="I59">
            <v>0.49359999999999998</v>
          </cell>
          <cell r="J59">
            <v>0.34360000000000002</v>
          </cell>
          <cell r="K59">
            <v>4.9629000000000003</v>
          </cell>
          <cell r="L59">
            <v>0.85660000000000003</v>
          </cell>
          <cell r="M59">
            <v>0.21329999999999999</v>
          </cell>
          <cell r="N59">
            <v>0.24859999999999999</v>
          </cell>
        </row>
        <row r="60">
          <cell r="A60">
            <v>35886</v>
          </cell>
          <cell r="B60">
            <v>13.6</v>
          </cell>
          <cell r="C60">
            <v>150</v>
          </cell>
          <cell r="D60" t="str">
            <v>Fifty-sixth</v>
          </cell>
          <cell r="E60">
            <v>1.6E-2</v>
          </cell>
          <cell r="F60">
            <v>1.0615000000000001</v>
          </cell>
          <cell r="G60">
            <v>0.5585</v>
          </cell>
          <cell r="H60">
            <v>0.40849999999999997</v>
          </cell>
          <cell r="I60">
            <v>0.49359999999999998</v>
          </cell>
          <cell r="J60">
            <v>0.34360000000000002</v>
          </cell>
          <cell r="K60">
            <v>4.6656000000000004</v>
          </cell>
          <cell r="L60">
            <v>0.79020000000000001</v>
          </cell>
          <cell r="M60">
            <v>0.1867</v>
          </cell>
          <cell r="N60">
            <v>0.222</v>
          </cell>
        </row>
        <row r="61">
          <cell r="A61">
            <v>35916</v>
          </cell>
          <cell r="B61">
            <v>13.6</v>
          </cell>
          <cell r="C61">
            <v>150</v>
          </cell>
          <cell r="D61" t="str">
            <v>Fifty-seventh</v>
          </cell>
          <cell r="E61">
            <v>1.6E-2</v>
          </cell>
          <cell r="F61">
            <v>1.0615000000000001</v>
          </cell>
          <cell r="G61">
            <v>0.5585</v>
          </cell>
          <cell r="H61">
            <v>0.40849999999999997</v>
          </cell>
          <cell r="I61">
            <v>0.49359999999999998</v>
          </cell>
          <cell r="J61">
            <v>0.34360000000000002</v>
          </cell>
          <cell r="K61">
            <v>4.6555999999999997</v>
          </cell>
          <cell r="L61">
            <v>0.79020000000000001</v>
          </cell>
          <cell r="M61">
            <v>0.1867</v>
          </cell>
          <cell r="N61">
            <v>0.222</v>
          </cell>
        </row>
        <row r="62">
          <cell r="A62">
            <v>35947</v>
          </cell>
          <cell r="B62">
            <v>13.6</v>
          </cell>
          <cell r="C62">
            <v>150</v>
          </cell>
          <cell r="D62" t="str">
            <v>Fifty-eighth</v>
          </cell>
          <cell r="E62">
            <v>1.6E-2</v>
          </cell>
          <cell r="F62">
            <v>1.0615000000000001</v>
          </cell>
          <cell r="G62">
            <v>0.5585</v>
          </cell>
          <cell r="H62">
            <v>0.40849999999999997</v>
          </cell>
          <cell r="I62">
            <v>0.49359999999999998</v>
          </cell>
          <cell r="J62">
            <v>0.34360000000000002</v>
          </cell>
          <cell r="K62">
            <v>4.6555999999999997</v>
          </cell>
          <cell r="L62">
            <v>0.83899999999999997</v>
          </cell>
          <cell r="M62">
            <v>0.23549999999999999</v>
          </cell>
          <cell r="N62">
            <v>0.23549999999999999</v>
          </cell>
        </row>
        <row r="63">
          <cell r="A63">
            <v>35977</v>
          </cell>
          <cell r="B63">
            <v>13.6</v>
          </cell>
          <cell r="C63">
            <v>150</v>
          </cell>
          <cell r="D63" t="str">
            <v>Fifty-ninth</v>
          </cell>
          <cell r="E63">
            <v>1.6E-2</v>
          </cell>
          <cell r="F63">
            <v>1.0615000000000001</v>
          </cell>
          <cell r="G63">
            <v>0.5585</v>
          </cell>
          <cell r="H63">
            <v>0.40849999999999997</v>
          </cell>
          <cell r="I63">
            <v>0.49359999999999998</v>
          </cell>
          <cell r="J63">
            <v>0.34360000000000002</v>
          </cell>
          <cell r="K63">
            <v>4.6656000000000004</v>
          </cell>
          <cell r="L63">
            <v>0.83599999999999997</v>
          </cell>
          <cell r="M63">
            <v>0.23250000000000001</v>
          </cell>
          <cell r="N63">
            <v>0.23469999999999999</v>
          </cell>
        </row>
        <row r="64">
          <cell r="A64">
            <v>36008</v>
          </cell>
          <cell r="B64">
            <v>13.6</v>
          </cell>
          <cell r="C64">
            <v>150</v>
          </cell>
          <cell r="D64" t="str">
            <v>Sixtieth</v>
          </cell>
          <cell r="E64">
            <v>1.6E-2</v>
          </cell>
          <cell r="F64">
            <v>1.0615000000000001</v>
          </cell>
          <cell r="G64">
            <v>0.5585</v>
          </cell>
          <cell r="H64">
            <v>0.40849999999999997</v>
          </cell>
          <cell r="I64">
            <v>0.49359999999999998</v>
          </cell>
          <cell r="J64">
            <v>0.34360000000000002</v>
          </cell>
          <cell r="K64">
            <v>4.6656000000000004</v>
          </cell>
          <cell r="L64">
            <v>0.83599999999999997</v>
          </cell>
          <cell r="M64">
            <v>0.23250000000000001</v>
          </cell>
          <cell r="N64">
            <v>0.23469999999999999</v>
          </cell>
        </row>
        <row r="65">
          <cell r="A65">
            <v>36039</v>
          </cell>
          <cell r="B65">
            <v>13.6</v>
          </cell>
          <cell r="C65">
            <v>150</v>
          </cell>
          <cell r="D65" t="str">
            <v>Sixty-first</v>
          </cell>
          <cell r="E65">
            <v>1.6E-2</v>
          </cell>
          <cell r="F65">
            <v>1.0615000000000001</v>
          </cell>
          <cell r="G65">
            <v>0.5585</v>
          </cell>
          <cell r="H65">
            <v>0.40849999999999997</v>
          </cell>
          <cell r="I65">
            <v>0.49359999999999998</v>
          </cell>
          <cell r="J65">
            <v>0.34360000000000002</v>
          </cell>
          <cell r="K65">
            <v>4.6555999999999997</v>
          </cell>
          <cell r="L65">
            <v>0.83599999999999997</v>
          </cell>
          <cell r="M65">
            <v>0.23250000000000001</v>
          </cell>
          <cell r="N65">
            <v>0.23469999999999999</v>
          </cell>
        </row>
        <row r="66">
          <cell r="A66">
            <v>36069</v>
          </cell>
          <cell r="B66">
            <v>13.6</v>
          </cell>
          <cell r="C66">
            <v>150</v>
          </cell>
          <cell r="D66" t="str">
            <v>Sixty-second</v>
          </cell>
          <cell r="E66">
            <v>1.6E-2</v>
          </cell>
          <cell r="F66">
            <v>1.0615000000000001</v>
          </cell>
          <cell r="G66">
            <v>0.5585</v>
          </cell>
          <cell r="H66">
            <v>0.40849999999999997</v>
          </cell>
          <cell r="I66">
            <v>0.49359999999999998</v>
          </cell>
          <cell r="J66">
            <v>0.34360000000000002</v>
          </cell>
          <cell r="K66">
            <v>4.6555999999999997</v>
          </cell>
          <cell r="L66">
            <v>0.83599999999999997</v>
          </cell>
          <cell r="M66">
            <v>0.23250000000000001</v>
          </cell>
          <cell r="N66">
            <v>0.23469999999999999</v>
          </cell>
        </row>
        <row r="67">
          <cell r="A67">
            <v>36100</v>
          </cell>
          <cell r="B67">
            <v>13.6</v>
          </cell>
          <cell r="C67">
            <v>150</v>
          </cell>
          <cell r="D67" t="str">
            <v>Sixty-third</v>
          </cell>
          <cell r="E67">
            <v>1.6E-2</v>
          </cell>
          <cell r="F67">
            <v>1.0615000000000001</v>
          </cell>
          <cell r="G67">
            <v>0.5585</v>
          </cell>
          <cell r="H67">
            <v>0.40849999999999997</v>
          </cell>
          <cell r="I67">
            <v>0.49359999999999998</v>
          </cell>
          <cell r="J67">
            <v>0.34360000000000002</v>
          </cell>
          <cell r="K67">
            <v>4.2808999999999999</v>
          </cell>
          <cell r="L67">
            <v>0.76990000000000003</v>
          </cell>
          <cell r="M67">
            <v>0.215</v>
          </cell>
          <cell r="N67">
            <v>0.2172</v>
          </cell>
        </row>
        <row r="68">
          <cell r="A68">
            <v>36130</v>
          </cell>
          <cell r="B68">
            <v>13.6</v>
          </cell>
          <cell r="C68">
            <v>150</v>
          </cell>
          <cell r="D68" t="str">
            <v>Sixty-fourth</v>
          </cell>
          <cell r="E68">
            <v>1.6E-2</v>
          </cell>
          <cell r="F68">
            <v>1.0615000000000001</v>
          </cell>
          <cell r="G68">
            <v>0.5585</v>
          </cell>
          <cell r="H68">
            <v>0.40849999999999997</v>
          </cell>
          <cell r="I68">
            <v>0.49359999999999998</v>
          </cell>
          <cell r="J68">
            <v>0.34360000000000002</v>
          </cell>
          <cell r="K68">
            <v>4.2808999999999999</v>
          </cell>
          <cell r="L68">
            <v>0.76990000000000003</v>
          </cell>
          <cell r="M68">
            <v>0.215</v>
          </cell>
          <cell r="N68">
            <v>0.2172</v>
          </cell>
        </row>
        <row r="69">
          <cell r="A69">
            <v>36161</v>
          </cell>
          <cell r="B69">
            <v>13.6</v>
          </cell>
          <cell r="C69">
            <v>150</v>
          </cell>
          <cell r="D69" t="str">
            <v>Sixty-fifth</v>
          </cell>
          <cell r="E69">
            <v>1.9E-2</v>
          </cell>
          <cell r="F69">
            <v>1.0615000000000001</v>
          </cell>
          <cell r="G69">
            <v>0.5585</v>
          </cell>
          <cell r="H69">
            <v>0.40849999999999997</v>
          </cell>
          <cell r="I69">
            <v>0.49359999999999998</v>
          </cell>
          <cell r="J69">
            <v>0.34360000000000002</v>
          </cell>
          <cell r="K69">
            <v>4.2808999999999999</v>
          </cell>
          <cell r="L69">
            <v>0.76990000000000003</v>
          </cell>
          <cell r="M69">
            <v>0.215</v>
          </cell>
          <cell r="N69">
            <v>0.2172</v>
          </cell>
        </row>
        <row r="70">
          <cell r="A70">
            <v>36192</v>
          </cell>
          <cell r="B70">
            <v>13.6</v>
          </cell>
          <cell r="C70">
            <v>150</v>
          </cell>
          <cell r="D70" t="str">
            <v>Sixty-sixth</v>
          </cell>
          <cell r="E70">
            <v>1.9E-2</v>
          </cell>
          <cell r="F70">
            <v>1.0615000000000001</v>
          </cell>
          <cell r="G70">
            <v>0.5585</v>
          </cell>
          <cell r="H70">
            <v>0.40849999999999997</v>
          </cell>
          <cell r="I70">
            <v>0.49359999999999998</v>
          </cell>
          <cell r="J70">
            <v>0.34360000000000002</v>
          </cell>
          <cell r="K70">
            <v>4.2808999999999999</v>
          </cell>
          <cell r="L70">
            <v>0.76990000000000003</v>
          </cell>
          <cell r="M70">
            <v>0.215</v>
          </cell>
          <cell r="N70">
            <v>0.2172</v>
          </cell>
        </row>
        <row r="71">
          <cell r="A71">
            <v>36220</v>
          </cell>
          <cell r="B71">
            <v>13.6</v>
          </cell>
          <cell r="C71">
            <v>150</v>
          </cell>
          <cell r="D71" t="str">
            <v>Sixty-seventh</v>
          </cell>
          <cell r="E71">
            <v>1.9E-2</v>
          </cell>
          <cell r="F71">
            <v>1.0615000000000001</v>
          </cell>
          <cell r="G71">
            <v>0.5585</v>
          </cell>
          <cell r="H71">
            <v>0.40849999999999997</v>
          </cell>
          <cell r="I71">
            <v>0.49359999999999998</v>
          </cell>
          <cell r="J71">
            <v>0.34360000000000002</v>
          </cell>
          <cell r="K71">
            <v>4.2808999999999999</v>
          </cell>
          <cell r="L71">
            <v>0.76990000000000003</v>
          </cell>
          <cell r="M71">
            <v>0.215</v>
          </cell>
          <cell r="N71">
            <v>0.2172</v>
          </cell>
        </row>
        <row r="72">
          <cell r="A72">
            <v>36251</v>
          </cell>
          <cell r="B72">
            <v>13.6</v>
          </cell>
          <cell r="C72">
            <v>150</v>
          </cell>
          <cell r="D72" t="str">
            <v>Sixty-eighth</v>
          </cell>
          <cell r="E72">
            <v>1.9E-2</v>
          </cell>
          <cell r="F72">
            <v>1.0615000000000001</v>
          </cell>
          <cell r="G72">
            <v>0.5585</v>
          </cell>
          <cell r="H72">
            <v>0.40849999999999997</v>
          </cell>
          <cell r="I72">
            <v>0.49359999999999998</v>
          </cell>
          <cell r="J72">
            <v>0.34360000000000002</v>
          </cell>
          <cell r="K72">
            <v>4.2808999999999999</v>
          </cell>
          <cell r="L72">
            <v>0.72870000000000001</v>
          </cell>
          <cell r="M72">
            <v>0.17380000000000001</v>
          </cell>
          <cell r="N72">
            <v>0.20619999999999999</v>
          </cell>
        </row>
        <row r="73">
          <cell r="A73">
            <v>36281</v>
          </cell>
          <cell r="B73">
            <v>13.6</v>
          </cell>
          <cell r="C73">
            <v>150</v>
          </cell>
          <cell r="D73" t="str">
            <v>Sixty-ninth</v>
          </cell>
          <cell r="E73">
            <v>1.9E-2</v>
          </cell>
          <cell r="F73">
            <v>1.0615000000000001</v>
          </cell>
          <cell r="G73">
            <v>0.5585</v>
          </cell>
          <cell r="H73">
            <v>0.40849999999999997</v>
          </cell>
          <cell r="I73">
            <v>0.49359999999999998</v>
          </cell>
          <cell r="J73">
            <v>0.34360000000000002</v>
          </cell>
          <cell r="K73">
            <v>4.2808999999999999</v>
          </cell>
          <cell r="L73">
            <v>0.72870000000000001</v>
          </cell>
          <cell r="M73">
            <v>0.17380000000000001</v>
          </cell>
          <cell r="N73">
            <v>0.20619999999999999</v>
          </cell>
        </row>
        <row r="74">
          <cell r="A74">
            <v>36312</v>
          </cell>
          <cell r="B74">
            <v>13.6</v>
          </cell>
          <cell r="C74">
            <v>150</v>
          </cell>
          <cell r="D74" t="str">
            <v>Seventieth</v>
          </cell>
          <cell r="E74">
            <v>1.9E-2</v>
          </cell>
          <cell r="F74">
            <v>1.0615000000000001</v>
          </cell>
          <cell r="G74">
            <v>0.5585</v>
          </cell>
          <cell r="H74">
            <v>0.40849999999999997</v>
          </cell>
          <cell r="I74">
            <v>0.49359999999999998</v>
          </cell>
          <cell r="J74">
            <v>0.34360000000000002</v>
          </cell>
          <cell r="K74">
            <v>4.2808999999999999</v>
          </cell>
          <cell r="L74">
            <v>0.72870000000000001</v>
          </cell>
          <cell r="M74">
            <v>0.17380000000000001</v>
          </cell>
          <cell r="N74">
            <v>0.20619999999999999</v>
          </cell>
        </row>
        <row r="75">
          <cell r="A75">
            <v>36342</v>
          </cell>
          <cell r="B75">
            <v>13.6</v>
          </cell>
          <cell r="C75">
            <v>150</v>
          </cell>
          <cell r="D75" t="str">
            <v>Seventy-first</v>
          </cell>
          <cell r="E75">
            <v>1.9E-2</v>
          </cell>
          <cell r="F75">
            <v>1.0615000000000001</v>
          </cell>
          <cell r="G75">
            <v>0.5585</v>
          </cell>
          <cell r="H75">
            <v>0.40849999999999997</v>
          </cell>
          <cell r="I75">
            <v>0.49359999999999998</v>
          </cell>
          <cell r="J75">
            <v>0.34360000000000002</v>
          </cell>
          <cell r="K75">
            <v>4.2808999999999999</v>
          </cell>
          <cell r="L75">
            <v>0.73170000000000002</v>
          </cell>
          <cell r="M75">
            <v>0.17680000000000001</v>
          </cell>
          <cell r="N75">
            <v>0.20699999999999999</v>
          </cell>
        </row>
        <row r="76">
          <cell r="A76">
            <v>36373</v>
          </cell>
          <cell r="B76">
            <v>13.6</v>
          </cell>
          <cell r="C76">
            <v>150</v>
          </cell>
          <cell r="D76" t="str">
            <v>Seventy-second</v>
          </cell>
          <cell r="E76">
            <v>1.9E-2</v>
          </cell>
          <cell r="F76">
            <v>1.0615000000000001</v>
          </cell>
          <cell r="G76">
            <v>0.5585</v>
          </cell>
          <cell r="H76">
            <v>0.40849999999999997</v>
          </cell>
          <cell r="I76">
            <v>0.49359999999999998</v>
          </cell>
          <cell r="J76">
            <v>0.34360000000000002</v>
          </cell>
          <cell r="K76">
            <v>4.2808999999999999</v>
          </cell>
          <cell r="L76">
            <v>0.73170000000000002</v>
          </cell>
          <cell r="M76">
            <v>0.17680000000000001</v>
          </cell>
          <cell r="N76">
            <v>0.20699999999999999</v>
          </cell>
        </row>
        <row r="77">
          <cell r="A77">
            <v>36404</v>
          </cell>
          <cell r="B77">
            <v>13.6</v>
          </cell>
          <cell r="C77">
            <v>150</v>
          </cell>
          <cell r="D77" t="str">
            <v>Seventy-third</v>
          </cell>
          <cell r="E77">
            <v>1.9E-2</v>
          </cell>
          <cell r="F77">
            <v>1.0615000000000001</v>
          </cell>
          <cell r="G77">
            <v>0.5585</v>
          </cell>
          <cell r="H77">
            <v>0.40849999999999997</v>
          </cell>
          <cell r="I77">
            <v>0.49359999999999998</v>
          </cell>
          <cell r="J77">
            <v>0.34360000000000002</v>
          </cell>
          <cell r="K77">
            <v>4.2808999999999999</v>
          </cell>
          <cell r="L77">
            <v>0.73170000000000002</v>
          </cell>
          <cell r="M77">
            <v>0.17680000000000001</v>
          </cell>
          <cell r="N77">
            <v>0.20699999999999999</v>
          </cell>
        </row>
        <row r="78">
          <cell r="A78">
            <v>36434</v>
          </cell>
          <cell r="B78">
            <v>13.6</v>
          </cell>
          <cell r="C78">
            <v>150</v>
          </cell>
          <cell r="D78" t="str">
            <v>Seventy-fourth</v>
          </cell>
          <cell r="E78">
            <v>1.9E-2</v>
          </cell>
          <cell r="F78">
            <v>1.0615000000000001</v>
          </cell>
          <cell r="G78">
            <v>0.5585</v>
          </cell>
          <cell r="H78">
            <v>0.40849999999999997</v>
          </cell>
          <cell r="I78">
            <v>0.49359999999999998</v>
          </cell>
          <cell r="J78">
            <v>0.34360000000000002</v>
          </cell>
          <cell r="K78">
            <v>4.2808999999999999</v>
          </cell>
          <cell r="L78">
            <v>0.73170000000000002</v>
          </cell>
          <cell r="M78">
            <v>0.17680000000000001</v>
          </cell>
          <cell r="N78">
            <v>0.20699999999999999</v>
          </cell>
        </row>
        <row r="79">
          <cell r="A79">
            <v>36465</v>
          </cell>
          <cell r="B79">
            <v>13.6</v>
          </cell>
          <cell r="C79">
            <v>150</v>
          </cell>
          <cell r="D79" t="str">
            <v>Seventy-fifth</v>
          </cell>
          <cell r="E79">
            <v>1.9E-2</v>
          </cell>
          <cell r="F79">
            <v>1.0615000000000001</v>
          </cell>
          <cell r="G79">
            <v>0.5585</v>
          </cell>
          <cell r="H79">
            <v>0.40849999999999997</v>
          </cell>
          <cell r="I79">
            <v>0.49359999999999998</v>
          </cell>
          <cell r="J79">
            <v>0.34360000000000002</v>
          </cell>
          <cell r="K79">
            <v>4.3211000000000004</v>
          </cell>
          <cell r="L79">
            <v>0.72319999999999995</v>
          </cell>
          <cell r="M79">
            <v>0.16309999999999999</v>
          </cell>
          <cell r="N79">
            <v>0.1933</v>
          </cell>
        </row>
        <row r="80">
          <cell r="A80">
            <v>36495</v>
          </cell>
          <cell r="B80">
            <v>13.6</v>
          </cell>
          <cell r="C80">
            <v>150</v>
          </cell>
          <cell r="D80" t="str">
            <v>Seventy-sixth</v>
          </cell>
          <cell r="E80">
            <v>1.9E-2</v>
          </cell>
          <cell r="F80">
            <v>1.0615000000000001</v>
          </cell>
          <cell r="G80">
            <v>0.5585</v>
          </cell>
          <cell r="H80">
            <v>0.40849999999999997</v>
          </cell>
          <cell r="I80">
            <v>0.49359999999999998</v>
          </cell>
          <cell r="J80">
            <v>0.34360000000000002</v>
          </cell>
          <cell r="K80">
            <v>4.2945000000000002</v>
          </cell>
          <cell r="L80">
            <v>0.71860000000000002</v>
          </cell>
          <cell r="M80">
            <v>0.16189999999999999</v>
          </cell>
          <cell r="N80">
            <v>0.19209999999999999</v>
          </cell>
        </row>
        <row r="81">
          <cell r="A81">
            <v>36515</v>
          </cell>
          <cell r="B81">
            <v>20</v>
          </cell>
          <cell r="C81">
            <v>220</v>
          </cell>
          <cell r="D81" t="str">
            <v>Seventy-seventh</v>
          </cell>
          <cell r="E81">
            <v>1.9E-2</v>
          </cell>
          <cell r="F81">
            <v>1.19</v>
          </cell>
          <cell r="G81">
            <v>0.65900000000000003</v>
          </cell>
          <cell r="H81">
            <v>0.43</v>
          </cell>
          <cell r="I81">
            <v>0.53</v>
          </cell>
          <cell r="J81">
            <v>0.35909999999999997</v>
          </cell>
          <cell r="K81">
            <v>4.2945000000000002</v>
          </cell>
          <cell r="L81">
            <v>0.71860000000000002</v>
          </cell>
          <cell r="M81">
            <v>0.16189999999999999</v>
          </cell>
          <cell r="N81">
            <v>0.19209999999999999</v>
          </cell>
        </row>
        <row r="82">
          <cell r="A82">
            <v>36526</v>
          </cell>
          <cell r="B82">
            <v>20</v>
          </cell>
          <cell r="C82">
            <v>220</v>
          </cell>
          <cell r="D82" t="str">
            <v>Seventy-seventh</v>
          </cell>
          <cell r="E82">
            <v>1.9E-2</v>
          </cell>
          <cell r="F82">
            <v>1.19</v>
          </cell>
          <cell r="G82">
            <v>0.65900000000000003</v>
          </cell>
          <cell r="H82">
            <v>0.43</v>
          </cell>
          <cell r="I82">
            <v>0.53</v>
          </cell>
          <cell r="J82">
            <v>0.35909999999999997</v>
          </cell>
          <cell r="K82">
            <v>4.2945000000000002</v>
          </cell>
          <cell r="L82">
            <v>0.71860000000000002</v>
          </cell>
          <cell r="M82">
            <v>0.16189999999999999</v>
          </cell>
          <cell r="N82">
            <v>0.19209999999999999</v>
          </cell>
        </row>
        <row r="83">
          <cell r="A83">
            <v>36557</v>
          </cell>
          <cell r="B83">
            <v>20</v>
          </cell>
          <cell r="C83">
            <v>220</v>
          </cell>
          <cell r="D83" t="str">
            <v>Seventy-eighth</v>
          </cell>
          <cell r="E83">
            <v>1.9E-2</v>
          </cell>
          <cell r="F83">
            <v>1.19</v>
          </cell>
          <cell r="G83">
            <v>0.65900000000000003</v>
          </cell>
          <cell r="H83">
            <v>0.43</v>
          </cell>
          <cell r="I83">
            <v>0.53</v>
          </cell>
          <cell r="J83">
            <v>0.35909999999999997</v>
          </cell>
          <cell r="K83">
            <v>4.3144999999999998</v>
          </cell>
          <cell r="L83">
            <v>0.72209999999999996</v>
          </cell>
          <cell r="M83">
            <v>0.1628</v>
          </cell>
          <cell r="N83">
            <v>0.193</v>
          </cell>
        </row>
        <row r="84">
          <cell r="A84">
            <v>36586</v>
          </cell>
          <cell r="B84">
            <v>20</v>
          </cell>
          <cell r="C84">
            <v>220</v>
          </cell>
          <cell r="D84" t="str">
            <v>Seventy-eighth</v>
          </cell>
          <cell r="E84">
            <v>1.9E-2</v>
          </cell>
          <cell r="F84">
            <v>1.19</v>
          </cell>
          <cell r="G84">
            <v>0.65900000000000003</v>
          </cell>
          <cell r="H84">
            <v>0.43</v>
          </cell>
          <cell r="I84">
            <v>0.53</v>
          </cell>
          <cell r="J84">
            <v>0.35909999999999997</v>
          </cell>
          <cell r="K84">
            <v>4.3144999999999998</v>
          </cell>
          <cell r="L84">
            <v>0.72209999999999996</v>
          </cell>
          <cell r="M84">
            <v>0.1628</v>
          </cell>
          <cell r="N84">
            <v>0.193</v>
          </cell>
        </row>
        <row r="85">
          <cell r="A85">
            <v>36617</v>
          </cell>
          <cell r="B85">
            <v>20</v>
          </cell>
          <cell r="C85">
            <v>220</v>
          </cell>
          <cell r="D85" t="str">
            <v>Seventy-ninth</v>
          </cell>
          <cell r="E85">
            <v>1.9E-2</v>
          </cell>
          <cell r="F85">
            <v>1.19</v>
          </cell>
          <cell r="G85">
            <v>0.65900000000000003</v>
          </cell>
          <cell r="H85">
            <v>0.43</v>
          </cell>
          <cell r="I85">
            <v>0.53</v>
          </cell>
          <cell r="J85">
            <v>0.35909999999999997</v>
          </cell>
          <cell r="K85">
            <v>4.3144999999999998</v>
          </cell>
          <cell r="L85">
            <v>0.76329999999999998</v>
          </cell>
          <cell r="M85">
            <v>0.20399999999999999</v>
          </cell>
          <cell r="N85">
            <v>0.20399999999999999</v>
          </cell>
        </row>
        <row r="86">
          <cell r="A86">
            <v>36647</v>
          </cell>
          <cell r="B86">
            <v>20</v>
          </cell>
          <cell r="C86">
            <v>220</v>
          </cell>
          <cell r="D86" t="str">
            <v>Eightieth</v>
          </cell>
          <cell r="E86">
            <v>1.9E-2</v>
          </cell>
          <cell r="F86">
            <v>1.19</v>
          </cell>
          <cell r="G86">
            <v>0.65900000000000003</v>
          </cell>
          <cell r="H86">
            <v>0.43</v>
          </cell>
          <cell r="I86">
            <v>0.53</v>
          </cell>
          <cell r="J86">
            <v>0.35909999999999997</v>
          </cell>
          <cell r="K86">
            <v>4.3144999999999998</v>
          </cell>
          <cell r="L86">
            <v>0.76329999999999998</v>
          </cell>
          <cell r="M86">
            <v>0.20399999999999999</v>
          </cell>
          <cell r="N86">
            <v>0.20399999999999999</v>
          </cell>
        </row>
        <row r="87">
          <cell r="A87">
            <v>36678</v>
          </cell>
          <cell r="B87">
            <v>20</v>
          </cell>
          <cell r="C87">
            <v>220</v>
          </cell>
          <cell r="D87" t="str">
            <v>Eightieth</v>
          </cell>
          <cell r="E87">
            <v>1.9E-2</v>
          </cell>
          <cell r="F87">
            <v>1.19</v>
          </cell>
          <cell r="G87">
            <v>0.65900000000000003</v>
          </cell>
          <cell r="H87">
            <v>0.43</v>
          </cell>
          <cell r="I87">
            <v>0.53</v>
          </cell>
          <cell r="J87">
            <v>0.35909999999999997</v>
          </cell>
          <cell r="K87">
            <v>4.3144999999999998</v>
          </cell>
          <cell r="L87">
            <v>0.76329999999999998</v>
          </cell>
          <cell r="M87">
            <v>0.20399999999999999</v>
          </cell>
          <cell r="N87">
            <v>0.20399999999999999</v>
          </cell>
        </row>
        <row r="88">
          <cell r="A88">
            <v>36708</v>
          </cell>
          <cell r="B88">
            <v>20</v>
          </cell>
          <cell r="C88">
            <v>220</v>
          </cell>
          <cell r="D88" t="str">
            <v>Eighty-first</v>
          </cell>
          <cell r="E88">
            <v>1.9E-2</v>
          </cell>
          <cell r="F88">
            <v>1.19</v>
          </cell>
          <cell r="G88">
            <v>0.65900000000000003</v>
          </cell>
          <cell r="H88">
            <v>0.43</v>
          </cell>
          <cell r="I88">
            <v>0.53</v>
          </cell>
          <cell r="J88">
            <v>0.35909999999999997</v>
          </cell>
          <cell r="K88">
            <v>4.3144999999999998</v>
          </cell>
          <cell r="L88">
            <v>0.76329999999999998</v>
          </cell>
          <cell r="M88">
            <v>0.20399999999999999</v>
          </cell>
          <cell r="N88">
            <v>0.20399999999999999</v>
          </cell>
        </row>
        <row r="89">
          <cell r="A89">
            <v>36739</v>
          </cell>
          <cell r="B89">
            <v>20</v>
          </cell>
          <cell r="C89">
            <v>220</v>
          </cell>
          <cell r="D89" t="str">
            <v>Eighty-second</v>
          </cell>
          <cell r="E89">
            <v>1.9E-2</v>
          </cell>
          <cell r="F89">
            <v>1.19</v>
          </cell>
          <cell r="G89">
            <v>0.65900000000000003</v>
          </cell>
          <cell r="H89">
            <v>0.43</v>
          </cell>
          <cell r="I89">
            <v>0.53</v>
          </cell>
          <cell r="J89">
            <v>0.35909999999999997</v>
          </cell>
          <cell r="K89">
            <v>4.3144999999999998</v>
          </cell>
          <cell r="L89">
            <v>0.76329999999999998</v>
          </cell>
          <cell r="M89">
            <v>0.20399999999999999</v>
          </cell>
          <cell r="N89">
            <v>0.20399999999999999</v>
          </cell>
        </row>
        <row r="90">
          <cell r="A90">
            <v>36770</v>
          </cell>
          <cell r="B90">
            <v>20</v>
          </cell>
          <cell r="C90">
            <v>220</v>
          </cell>
          <cell r="D90" t="str">
            <v>Eighty-second</v>
          </cell>
          <cell r="E90">
            <v>1.9E-2</v>
          </cell>
          <cell r="F90">
            <v>1.19</v>
          </cell>
          <cell r="G90">
            <v>0.65900000000000003</v>
          </cell>
          <cell r="H90">
            <v>0.43</v>
          </cell>
          <cell r="I90">
            <v>0.53</v>
          </cell>
          <cell r="J90">
            <v>0.35909999999999997</v>
          </cell>
          <cell r="K90">
            <v>4.3144999999999998</v>
          </cell>
          <cell r="L90">
            <v>0.76329999999999998</v>
          </cell>
          <cell r="M90">
            <v>0.20399999999999999</v>
          </cell>
          <cell r="N90">
            <v>0.20399999999999999</v>
          </cell>
        </row>
        <row r="91">
          <cell r="A91">
            <v>36800</v>
          </cell>
          <cell r="B91">
            <v>20</v>
          </cell>
          <cell r="C91">
            <v>220</v>
          </cell>
          <cell r="D91" t="str">
            <v>Eighty-third</v>
          </cell>
          <cell r="E91">
            <v>1.9E-2</v>
          </cell>
          <cell r="F91">
            <v>1.19</v>
          </cell>
          <cell r="G91">
            <v>0.65900000000000003</v>
          </cell>
          <cell r="H91">
            <v>0.43</v>
          </cell>
          <cell r="I91">
            <v>0.53</v>
          </cell>
          <cell r="J91">
            <v>0.35909999999999997</v>
          </cell>
          <cell r="K91">
            <v>4.3144999999999998</v>
          </cell>
          <cell r="L91">
            <v>0.76329999999999998</v>
          </cell>
          <cell r="M91">
            <v>0.20399999999999999</v>
          </cell>
          <cell r="N91">
            <v>0.20399999999999999</v>
          </cell>
        </row>
        <row r="92">
          <cell r="A92">
            <v>36831</v>
          </cell>
          <cell r="B92">
            <v>20</v>
          </cell>
          <cell r="C92">
            <v>220</v>
          </cell>
          <cell r="D92" t="str">
            <v>Eighty-fourth</v>
          </cell>
          <cell r="E92">
            <v>1.9E-2</v>
          </cell>
          <cell r="F92">
            <v>1.19</v>
          </cell>
          <cell r="G92">
            <v>0.65900000000000003</v>
          </cell>
          <cell r="H92">
            <v>0.43</v>
          </cell>
          <cell r="I92">
            <v>0.53</v>
          </cell>
          <cell r="J92">
            <v>0.35909999999999997</v>
          </cell>
          <cell r="K92">
            <v>4.5294999999999996</v>
          </cell>
          <cell r="L92">
            <v>0.9506</v>
          </cell>
          <cell r="M92">
            <v>0.18820000000000001</v>
          </cell>
          <cell r="N92">
            <v>0.18820000000000001</v>
          </cell>
        </row>
        <row r="93">
          <cell r="A93">
            <v>36861</v>
          </cell>
          <cell r="B93">
            <v>20</v>
          </cell>
          <cell r="C93">
            <v>220</v>
          </cell>
          <cell r="D93" t="str">
            <v>Eighty-fourth</v>
          </cell>
          <cell r="E93">
            <v>1.9E-2</v>
          </cell>
          <cell r="F93">
            <v>1.19</v>
          </cell>
          <cell r="G93">
            <v>0.65900000000000003</v>
          </cell>
          <cell r="H93">
            <v>0.43</v>
          </cell>
          <cell r="I93">
            <v>0.53</v>
          </cell>
          <cell r="J93">
            <v>0.35909999999999997</v>
          </cell>
          <cell r="K93">
            <v>4.5294999999999996</v>
          </cell>
          <cell r="L93">
            <v>0.9506</v>
          </cell>
          <cell r="M93">
            <v>0.18820000000000001</v>
          </cell>
          <cell r="N93">
            <v>0.18820000000000001</v>
          </cell>
        </row>
        <row r="94">
          <cell r="A94">
            <v>36892</v>
          </cell>
          <cell r="B94">
            <v>20</v>
          </cell>
          <cell r="C94">
            <v>220</v>
          </cell>
          <cell r="D94" t="str">
            <v>Eighty-fourth</v>
          </cell>
          <cell r="E94">
            <v>1.9E-2</v>
          </cell>
          <cell r="F94">
            <v>1.19</v>
          </cell>
          <cell r="G94">
            <v>0.65900000000000003</v>
          </cell>
          <cell r="H94">
            <v>0.43</v>
          </cell>
          <cell r="I94">
            <v>0.53</v>
          </cell>
          <cell r="J94">
            <v>0.35909999999999997</v>
          </cell>
          <cell r="K94">
            <v>4.5294999999999996</v>
          </cell>
          <cell r="L94">
            <v>0.9506</v>
          </cell>
          <cell r="M94">
            <v>0.18820000000000001</v>
          </cell>
          <cell r="N94">
            <v>0.18820000000000001</v>
          </cell>
        </row>
        <row r="95">
          <cell r="A95">
            <v>36923</v>
          </cell>
          <cell r="B95">
            <v>20</v>
          </cell>
          <cell r="C95">
            <v>220</v>
          </cell>
          <cell r="D95" t="str">
            <v>Eighty-fifth</v>
          </cell>
          <cell r="E95">
            <v>1.9E-2</v>
          </cell>
          <cell r="F95">
            <v>1.19</v>
          </cell>
          <cell r="G95">
            <v>0.65900000000000003</v>
          </cell>
          <cell r="H95">
            <v>0.43</v>
          </cell>
          <cell r="I95">
            <v>0.53</v>
          </cell>
          <cell r="J95">
            <v>0.35909999999999997</v>
          </cell>
          <cell r="K95">
            <v>5.8369999999999997</v>
          </cell>
          <cell r="L95">
            <v>1.2250000000000001</v>
          </cell>
          <cell r="M95">
            <v>0.24249999999999999</v>
          </cell>
          <cell r="N95">
            <v>0.24249999999999999</v>
          </cell>
        </row>
        <row r="96">
          <cell r="A96">
            <v>36951</v>
          </cell>
          <cell r="B96">
            <v>20</v>
          </cell>
          <cell r="C96">
            <v>220</v>
          </cell>
          <cell r="D96" t="str">
            <v>Eighty-sixth</v>
          </cell>
          <cell r="E96">
            <v>1.9E-2</v>
          </cell>
          <cell r="F96">
            <v>1.19</v>
          </cell>
          <cell r="G96">
            <v>0.65900000000000003</v>
          </cell>
          <cell r="H96">
            <v>0.43</v>
          </cell>
          <cell r="I96">
            <v>0.53</v>
          </cell>
          <cell r="J96">
            <v>0.35909999999999997</v>
          </cell>
          <cell r="K96">
            <v>5.8369999999999997</v>
          </cell>
          <cell r="L96">
            <v>1.2250000000000001</v>
          </cell>
          <cell r="M96">
            <v>0.24249999999999999</v>
          </cell>
          <cell r="N96">
            <v>0.24249999999999999</v>
          </cell>
        </row>
        <row r="97">
          <cell r="A97">
            <v>36982</v>
          </cell>
          <cell r="B97">
            <v>20</v>
          </cell>
          <cell r="C97">
            <v>220</v>
          </cell>
          <cell r="D97" t="str">
            <v>Eighty-seventh</v>
          </cell>
          <cell r="E97">
            <v>1.9E-2</v>
          </cell>
          <cell r="F97">
            <v>1.19</v>
          </cell>
          <cell r="G97">
            <v>0.65900000000000003</v>
          </cell>
          <cell r="H97">
            <v>0.43</v>
          </cell>
          <cell r="I97">
            <v>0.53</v>
          </cell>
          <cell r="J97">
            <v>0.35909999999999997</v>
          </cell>
          <cell r="K97">
            <v>5.8369999999999997</v>
          </cell>
          <cell r="L97">
            <v>1.2250000000000001</v>
          </cell>
          <cell r="M97">
            <v>0.24249999999999999</v>
          </cell>
          <cell r="N97">
            <v>0.24249999999999999</v>
          </cell>
        </row>
        <row r="98">
          <cell r="A98">
            <v>37012</v>
          </cell>
          <cell r="B98">
            <v>20</v>
          </cell>
          <cell r="C98">
            <v>220</v>
          </cell>
          <cell r="D98" t="str">
            <v>Eighty-eighth</v>
          </cell>
          <cell r="E98">
            <v>1.9E-2</v>
          </cell>
          <cell r="F98">
            <v>1.19</v>
          </cell>
          <cell r="G98">
            <v>0.65900000000000003</v>
          </cell>
          <cell r="H98">
            <v>0.43</v>
          </cell>
          <cell r="I98">
            <v>0.53</v>
          </cell>
          <cell r="J98">
            <v>0.35909999999999997</v>
          </cell>
          <cell r="K98">
            <v>5.0563000000000002</v>
          </cell>
          <cell r="L98">
            <v>1.0611999999999999</v>
          </cell>
          <cell r="M98">
            <v>0.21010000000000001</v>
          </cell>
          <cell r="N98">
            <v>0.21010000000000001</v>
          </cell>
        </row>
        <row r="99">
          <cell r="A99">
            <v>37043</v>
          </cell>
          <cell r="B99">
            <v>20</v>
          </cell>
          <cell r="C99">
            <v>220</v>
          </cell>
          <cell r="D99" t="str">
            <v>Eighty-ninth</v>
          </cell>
          <cell r="E99">
            <v>1.9E-2</v>
          </cell>
          <cell r="F99">
            <v>1.19</v>
          </cell>
          <cell r="G99">
            <v>0.65900000000000003</v>
          </cell>
          <cell r="H99">
            <v>0.43</v>
          </cell>
          <cell r="I99">
            <v>0.53</v>
          </cell>
          <cell r="J99">
            <v>0.35909999999999997</v>
          </cell>
          <cell r="K99">
            <v>5.0563000000000002</v>
          </cell>
          <cell r="L99">
            <v>1.0611999999999999</v>
          </cell>
          <cell r="M99">
            <v>0.21010000000000001</v>
          </cell>
          <cell r="N99">
            <v>0.21010000000000001</v>
          </cell>
        </row>
        <row r="100">
          <cell r="A100">
            <v>37073</v>
          </cell>
          <cell r="B100">
            <v>20</v>
          </cell>
          <cell r="C100">
            <v>220</v>
          </cell>
          <cell r="D100" t="str">
            <v>Ninetieth</v>
          </cell>
          <cell r="E100">
            <v>1.9E-2</v>
          </cell>
          <cell r="F100">
            <v>1.19</v>
          </cell>
          <cell r="G100">
            <v>0.65900000000000003</v>
          </cell>
          <cell r="H100">
            <v>0.43</v>
          </cell>
          <cell r="I100">
            <v>0.53</v>
          </cell>
          <cell r="J100">
            <v>0.35909999999999997</v>
          </cell>
          <cell r="K100">
            <v>5.0563000000000002</v>
          </cell>
          <cell r="L100">
            <v>1.0611999999999999</v>
          </cell>
          <cell r="M100">
            <v>0.21010000000000001</v>
          </cell>
          <cell r="N100">
            <v>0.21010000000000001</v>
          </cell>
        </row>
        <row r="101">
          <cell r="A101">
            <v>37104</v>
          </cell>
          <cell r="B101">
            <v>20</v>
          </cell>
          <cell r="C101">
            <v>220</v>
          </cell>
          <cell r="D101" t="str">
            <v>Ninety-first</v>
          </cell>
          <cell r="E101">
            <v>1.9E-2</v>
          </cell>
          <cell r="F101">
            <v>1.19</v>
          </cell>
          <cell r="G101">
            <v>0.65900000000000003</v>
          </cell>
          <cell r="H101">
            <v>0.43</v>
          </cell>
          <cell r="I101">
            <v>0.53</v>
          </cell>
          <cell r="J101">
            <v>0.35909999999999997</v>
          </cell>
          <cell r="K101">
            <v>5.0563000000000002</v>
          </cell>
          <cell r="L101">
            <v>1.0611999999999999</v>
          </cell>
          <cell r="M101">
            <v>0.21010000000000001</v>
          </cell>
          <cell r="N101">
            <v>0.21010000000000001</v>
          </cell>
        </row>
        <row r="102">
          <cell r="A102">
            <v>37135</v>
          </cell>
          <cell r="B102">
            <v>20</v>
          </cell>
          <cell r="C102">
            <v>220</v>
          </cell>
          <cell r="D102" t="str">
            <v>Ninety-first</v>
          </cell>
          <cell r="E102">
            <v>1.9E-2</v>
          </cell>
          <cell r="F102">
            <v>1.19</v>
          </cell>
          <cell r="G102">
            <v>0.65900000000000003</v>
          </cell>
          <cell r="H102">
            <v>0.43</v>
          </cell>
          <cell r="I102">
            <v>0.53</v>
          </cell>
          <cell r="J102">
            <v>0.35909999999999997</v>
          </cell>
          <cell r="K102">
            <v>5.0563000000000002</v>
          </cell>
          <cell r="L102">
            <v>1.0611999999999999</v>
          </cell>
          <cell r="M102">
            <v>0.21010000000000001</v>
          </cell>
          <cell r="N102">
            <v>0.21010000000000001</v>
          </cell>
        </row>
        <row r="103">
          <cell r="A103">
            <v>37165</v>
          </cell>
          <cell r="B103">
            <v>20</v>
          </cell>
          <cell r="C103">
            <v>220</v>
          </cell>
          <cell r="D103" t="str">
            <v>Ninety-first</v>
          </cell>
          <cell r="E103">
            <v>1.9E-2</v>
          </cell>
          <cell r="F103">
            <v>1.19</v>
          </cell>
          <cell r="G103">
            <v>0.65900000000000003</v>
          </cell>
          <cell r="H103">
            <v>0.43</v>
          </cell>
          <cell r="I103">
            <v>0.53</v>
          </cell>
          <cell r="J103">
            <v>0.35909999999999997</v>
          </cell>
          <cell r="K103">
            <v>5.0563000000000002</v>
          </cell>
          <cell r="L103">
            <v>1.0611999999999999</v>
          </cell>
          <cell r="M103">
            <v>0.21010000000000001</v>
          </cell>
          <cell r="N103">
            <v>0.21010000000000001</v>
          </cell>
        </row>
        <row r="104">
          <cell r="A104">
            <v>37196</v>
          </cell>
          <cell r="B104">
            <v>20</v>
          </cell>
          <cell r="C104">
            <v>220</v>
          </cell>
          <cell r="D104" t="str">
            <v>Ninety-second</v>
          </cell>
          <cell r="E104">
            <v>1.9E-2</v>
          </cell>
          <cell r="F104">
            <v>1.19</v>
          </cell>
          <cell r="G104">
            <v>0.65900000000000003</v>
          </cell>
          <cell r="H104">
            <v>0.43</v>
          </cell>
          <cell r="I104">
            <v>0.53</v>
          </cell>
          <cell r="J104">
            <v>0.35909999999999997</v>
          </cell>
          <cell r="K104">
            <v>5.0563000000000002</v>
          </cell>
          <cell r="L104">
            <v>1.0611999999999999</v>
          </cell>
          <cell r="M104">
            <v>0.21010000000000001</v>
          </cell>
          <cell r="N104">
            <v>0.21010000000000001</v>
          </cell>
        </row>
        <row r="105">
          <cell r="A105">
            <v>37226</v>
          </cell>
          <cell r="B105">
            <v>20</v>
          </cell>
          <cell r="C105">
            <v>220</v>
          </cell>
          <cell r="D105" t="str">
            <v>Ninety-second</v>
          </cell>
          <cell r="E105">
            <v>1.9E-2</v>
          </cell>
          <cell r="F105">
            <v>1.19</v>
          </cell>
          <cell r="G105">
            <v>0.65900000000000003</v>
          </cell>
          <cell r="H105">
            <v>0.43</v>
          </cell>
          <cell r="I105">
            <v>0.53</v>
          </cell>
          <cell r="J105">
            <v>0.35909999999999997</v>
          </cell>
          <cell r="K105">
            <v>5.0563000000000002</v>
          </cell>
          <cell r="L105">
            <v>1.0611999999999999</v>
          </cell>
          <cell r="M105">
            <v>0.21010000000000001</v>
          </cell>
          <cell r="N105">
            <v>0.21010000000000001</v>
          </cell>
        </row>
        <row r="106">
          <cell r="A106">
            <v>37257</v>
          </cell>
          <cell r="B106">
            <v>20</v>
          </cell>
          <cell r="C106">
            <v>220</v>
          </cell>
          <cell r="D106" t="str">
            <v>Ninety-second</v>
          </cell>
          <cell r="E106">
            <v>1.9E-2</v>
          </cell>
          <cell r="F106">
            <v>1.19</v>
          </cell>
          <cell r="G106">
            <v>0.65900000000000003</v>
          </cell>
          <cell r="H106">
            <v>0.43</v>
          </cell>
          <cell r="I106">
            <v>0.53</v>
          </cell>
          <cell r="J106">
            <v>0.35909999999999997</v>
          </cell>
          <cell r="K106">
            <v>5.0563000000000002</v>
          </cell>
          <cell r="L106">
            <v>1.0611999999999999</v>
          </cell>
          <cell r="M106">
            <v>0.21010000000000001</v>
          </cell>
          <cell r="N106">
            <v>0.21010000000000001</v>
          </cell>
        </row>
        <row r="107">
          <cell r="A107">
            <v>37288</v>
          </cell>
          <cell r="B107">
            <v>20</v>
          </cell>
          <cell r="C107">
            <v>220</v>
          </cell>
          <cell r="D107" t="str">
            <v>Ninety-third</v>
          </cell>
          <cell r="E107">
            <v>1.09E-2</v>
          </cell>
          <cell r="F107">
            <v>1.19</v>
          </cell>
          <cell r="G107">
            <v>0.65900000000000003</v>
          </cell>
          <cell r="H107">
            <v>0.43</v>
          </cell>
          <cell r="I107">
            <v>0.53</v>
          </cell>
          <cell r="J107">
            <v>0.35909999999999997</v>
          </cell>
          <cell r="K107">
            <v>5.0563000000000002</v>
          </cell>
          <cell r="L107">
            <v>1.0611999999999999</v>
          </cell>
          <cell r="M107">
            <v>0.21010000000000001</v>
          </cell>
          <cell r="N107">
            <v>0.21010000000000001</v>
          </cell>
        </row>
        <row r="108">
          <cell r="A108">
            <v>37316</v>
          </cell>
          <cell r="B108">
            <v>20</v>
          </cell>
          <cell r="C108">
            <v>220</v>
          </cell>
          <cell r="D108" t="str">
            <v>Ninety-third</v>
          </cell>
          <cell r="E108">
            <v>1.09E-2</v>
          </cell>
          <cell r="F108">
            <v>1.19</v>
          </cell>
          <cell r="G108">
            <v>0.65900000000000003</v>
          </cell>
          <cell r="H108">
            <v>0.43</v>
          </cell>
          <cell r="I108">
            <v>0.53</v>
          </cell>
          <cell r="J108">
            <v>0.35909999999999997</v>
          </cell>
          <cell r="K108">
            <v>5.0563000000000002</v>
          </cell>
          <cell r="L108">
            <v>1.0611999999999999</v>
          </cell>
          <cell r="M108">
            <v>0.21010000000000001</v>
          </cell>
          <cell r="N108">
            <v>0.21010000000000001</v>
          </cell>
        </row>
        <row r="109">
          <cell r="A109">
            <v>37347</v>
          </cell>
          <cell r="B109">
            <v>20</v>
          </cell>
          <cell r="C109">
            <v>220</v>
          </cell>
          <cell r="D109" t="str">
            <v>Ninety-third</v>
          </cell>
          <cell r="E109">
            <v>1.09E-2</v>
          </cell>
          <cell r="F109">
            <v>1.19</v>
          </cell>
          <cell r="G109">
            <v>0.65900000000000003</v>
          </cell>
          <cell r="H109">
            <v>0.43</v>
          </cell>
          <cell r="I109">
            <v>0.53</v>
          </cell>
          <cell r="J109">
            <v>0.35909999999999997</v>
          </cell>
          <cell r="K109">
            <v>5.0563000000000002</v>
          </cell>
          <cell r="L109">
            <v>1.0611999999999999</v>
          </cell>
          <cell r="M109">
            <v>0.21010000000000001</v>
          </cell>
          <cell r="N109">
            <v>0.21010000000000001</v>
          </cell>
        </row>
        <row r="110">
          <cell r="A110">
            <v>37377</v>
          </cell>
          <cell r="B110">
            <v>20</v>
          </cell>
          <cell r="C110">
            <v>220</v>
          </cell>
          <cell r="D110" t="str">
            <v>Ninety-fourth</v>
          </cell>
          <cell r="E110">
            <v>1.09E-2</v>
          </cell>
          <cell r="F110">
            <v>1.19</v>
          </cell>
          <cell r="G110">
            <v>0.65900000000000003</v>
          </cell>
          <cell r="H110">
            <v>0.43</v>
          </cell>
          <cell r="I110">
            <v>0.53</v>
          </cell>
          <cell r="J110">
            <v>0.35909999999999997</v>
          </cell>
          <cell r="K110">
            <v>5.0563000000000002</v>
          </cell>
          <cell r="L110">
            <v>1.0611999999999999</v>
          </cell>
          <cell r="M110">
            <v>0.21010000000000001</v>
          </cell>
          <cell r="N110">
            <v>0.21010000000000001</v>
          </cell>
        </row>
        <row r="111">
          <cell r="A111">
            <v>37408</v>
          </cell>
          <cell r="B111">
            <v>20</v>
          </cell>
          <cell r="C111">
            <v>220</v>
          </cell>
          <cell r="D111" t="str">
            <v>Ninety-fourth</v>
          </cell>
          <cell r="E111">
            <v>1.09E-2</v>
          </cell>
          <cell r="F111">
            <v>1.19</v>
          </cell>
          <cell r="G111">
            <v>0.65900000000000003</v>
          </cell>
          <cell r="H111">
            <v>0.43</v>
          </cell>
          <cell r="I111">
            <v>0.53</v>
          </cell>
          <cell r="J111">
            <v>0.35909999999999997</v>
          </cell>
          <cell r="K111">
            <v>5.0563000000000002</v>
          </cell>
          <cell r="L111">
            <v>1.0611999999999999</v>
          </cell>
          <cell r="M111">
            <v>0.21010000000000001</v>
          </cell>
          <cell r="N111">
            <v>0.21010000000000001</v>
          </cell>
        </row>
        <row r="112">
          <cell r="A112">
            <v>37438</v>
          </cell>
          <cell r="B112">
            <v>20</v>
          </cell>
          <cell r="C112">
            <v>220</v>
          </cell>
          <cell r="D112" t="str">
            <v>Ninety-fourth</v>
          </cell>
          <cell r="E112">
            <v>1.09E-2</v>
          </cell>
          <cell r="F112">
            <v>1.19</v>
          </cell>
          <cell r="G112">
            <v>0.65900000000000003</v>
          </cell>
          <cell r="H112">
            <v>0.43</v>
          </cell>
          <cell r="I112">
            <v>0.53</v>
          </cell>
          <cell r="J112">
            <v>0.35909999999999997</v>
          </cell>
          <cell r="K112">
            <v>5.0563000000000002</v>
          </cell>
          <cell r="L112">
            <v>1.0611999999999999</v>
          </cell>
          <cell r="M112">
            <v>0.21010000000000001</v>
          </cell>
          <cell r="N112">
            <v>0.21010000000000001</v>
          </cell>
        </row>
        <row r="113">
          <cell r="A113">
            <v>37469</v>
          </cell>
          <cell r="B113">
            <v>20</v>
          </cell>
          <cell r="C113">
            <v>220</v>
          </cell>
          <cell r="D113" t="str">
            <v>Ninety-fifth</v>
          </cell>
          <cell r="E113">
            <v>1.09E-2</v>
          </cell>
          <cell r="F113">
            <v>1.19</v>
          </cell>
          <cell r="G113">
            <v>0.65900000000000003</v>
          </cell>
          <cell r="H113">
            <v>0.43</v>
          </cell>
          <cell r="I113">
            <v>0.53</v>
          </cell>
          <cell r="J113">
            <v>0.35909999999999997</v>
          </cell>
          <cell r="K113">
            <v>5.0563000000000002</v>
          </cell>
          <cell r="L113">
            <v>1.0518000000000001</v>
          </cell>
          <cell r="M113">
            <v>0.20069999999999999</v>
          </cell>
          <cell r="N113">
            <v>0.20830000000000001</v>
          </cell>
        </row>
        <row r="114">
          <cell r="A114">
            <v>37500</v>
          </cell>
          <cell r="B114">
            <v>20</v>
          </cell>
          <cell r="C114">
            <v>220</v>
          </cell>
          <cell r="D114" t="str">
            <v>Ninety-fifth</v>
          </cell>
          <cell r="E114">
            <v>1.09E-2</v>
          </cell>
          <cell r="F114">
            <v>1.19</v>
          </cell>
          <cell r="G114">
            <v>0.65900000000000003</v>
          </cell>
          <cell r="H114">
            <v>0.43</v>
          </cell>
          <cell r="I114">
            <v>0.53</v>
          </cell>
          <cell r="J114">
            <v>0.35909999999999997</v>
          </cell>
          <cell r="K114">
            <v>5.0563000000000002</v>
          </cell>
          <cell r="L114">
            <v>1.0518000000000001</v>
          </cell>
          <cell r="M114">
            <v>0.20069999999999999</v>
          </cell>
          <cell r="N114">
            <v>0.20830000000000001</v>
          </cell>
        </row>
        <row r="115">
          <cell r="A115">
            <v>37530</v>
          </cell>
          <cell r="B115">
            <v>20</v>
          </cell>
          <cell r="C115">
            <v>220</v>
          </cell>
          <cell r="D115" t="str">
            <v>Ninety-fifth</v>
          </cell>
          <cell r="E115">
            <v>1.09E-2</v>
          </cell>
          <cell r="F115">
            <v>1.19</v>
          </cell>
          <cell r="G115">
            <v>0.65900000000000003</v>
          </cell>
          <cell r="H115">
            <v>0.43</v>
          </cell>
          <cell r="I115">
            <v>0.53</v>
          </cell>
          <cell r="J115">
            <v>0.35909999999999997</v>
          </cell>
          <cell r="K115">
            <v>5.0563000000000002</v>
          </cell>
          <cell r="L115">
            <v>1.0518000000000001</v>
          </cell>
          <cell r="M115">
            <v>0.20069999999999999</v>
          </cell>
          <cell r="N115">
            <v>0.20830000000000001</v>
          </cell>
        </row>
        <row r="116">
          <cell r="A116">
            <v>37561</v>
          </cell>
          <cell r="B116">
            <v>20</v>
          </cell>
          <cell r="C116">
            <v>220</v>
          </cell>
          <cell r="D116" t="str">
            <v>First</v>
          </cell>
          <cell r="E116">
            <v>1.09E-2</v>
          </cell>
          <cell r="F116">
            <v>1.19</v>
          </cell>
          <cell r="G116">
            <v>0.65900000000000003</v>
          </cell>
          <cell r="H116">
            <v>0.43</v>
          </cell>
          <cell r="I116">
            <v>0.53</v>
          </cell>
          <cell r="J116">
            <v>0.35909999999999997</v>
          </cell>
          <cell r="K116">
            <v>4.5831999999999997</v>
          </cell>
          <cell r="L116">
            <v>0.80489999999999995</v>
          </cell>
          <cell r="M116">
            <v>3.3399999999999999E-2</v>
          </cell>
          <cell r="N116">
            <v>0.1593</v>
          </cell>
        </row>
        <row r="117">
          <cell r="A117">
            <v>37591</v>
          </cell>
          <cell r="B117">
            <v>20</v>
          </cell>
          <cell r="C117">
            <v>220</v>
          </cell>
          <cell r="D117" t="str">
            <v>First</v>
          </cell>
          <cell r="E117">
            <v>1.09E-2</v>
          </cell>
          <cell r="F117">
            <v>1.19</v>
          </cell>
          <cell r="G117">
            <v>0.65900000000000003</v>
          </cell>
          <cell r="H117">
            <v>0.43</v>
          </cell>
          <cell r="I117">
            <v>0.53</v>
          </cell>
          <cell r="J117">
            <v>0.35909999999999997</v>
          </cell>
          <cell r="K117">
            <v>4.5831999999999997</v>
          </cell>
          <cell r="L117">
            <v>0.80489999999999995</v>
          </cell>
          <cell r="M117">
            <v>3.3399999999999999E-2</v>
          </cell>
          <cell r="N117">
            <v>0.1593</v>
          </cell>
        </row>
        <row r="118">
          <cell r="A118">
            <v>37622</v>
          </cell>
          <cell r="B118">
            <v>20</v>
          </cell>
          <cell r="C118">
            <v>220</v>
          </cell>
          <cell r="D118" t="str">
            <v>First</v>
          </cell>
          <cell r="E118">
            <v>1.09E-2</v>
          </cell>
          <cell r="F118">
            <v>1.19</v>
          </cell>
          <cell r="G118">
            <v>0.65900000000000003</v>
          </cell>
          <cell r="H118">
            <v>0.43</v>
          </cell>
          <cell r="I118">
            <v>0.53</v>
          </cell>
          <cell r="J118">
            <v>0.35909999999999997</v>
          </cell>
          <cell r="K118">
            <v>4.5831999999999997</v>
          </cell>
          <cell r="L118">
            <v>0.80489999999999995</v>
          </cell>
          <cell r="M118">
            <v>3.3399999999999999E-2</v>
          </cell>
          <cell r="N118">
            <v>0.1593</v>
          </cell>
        </row>
        <row r="119">
          <cell r="A119">
            <v>37653</v>
          </cell>
          <cell r="B119">
            <v>20</v>
          </cell>
          <cell r="C119">
            <v>220</v>
          </cell>
          <cell r="D119" t="str">
            <v>Second</v>
          </cell>
          <cell r="E119">
            <v>1.38E-2</v>
          </cell>
          <cell r="F119">
            <v>1.19</v>
          </cell>
          <cell r="G119">
            <v>0.65900000000000003</v>
          </cell>
          <cell r="H119">
            <v>0.43</v>
          </cell>
          <cell r="I119">
            <v>0.53</v>
          </cell>
          <cell r="J119">
            <v>0.35909999999999997</v>
          </cell>
          <cell r="K119">
            <v>4.7106000000000003</v>
          </cell>
          <cell r="L119">
            <v>0.92749999999999999</v>
          </cell>
          <cell r="M119">
            <v>3.3399999999999999E-2</v>
          </cell>
          <cell r="N119">
            <v>0.1593</v>
          </cell>
        </row>
        <row r="120">
          <cell r="A120">
            <v>37681</v>
          </cell>
          <cell r="B120">
            <v>20</v>
          </cell>
          <cell r="C120">
            <v>220</v>
          </cell>
          <cell r="D120" t="str">
            <v>Second</v>
          </cell>
          <cell r="E120">
            <v>1.38E-2</v>
          </cell>
          <cell r="F120">
            <v>1.19</v>
          </cell>
          <cell r="G120">
            <v>0.65900000000000003</v>
          </cell>
          <cell r="H120">
            <v>0.43</v>
          </cell>
          <cell r="I120">
            <v>0.53</v>
          </cell>
          <cell r="J120">
            <v>0.35909999999999997</v>
          </cell>
          <cell r="K120">
            <v>4.7106000000000003</v>
          </cell>
          <cell r="L120">
            <v>0.92749999999999999</v>
          </cell>
          <cell r="M120">
            <v>3.3399999999999999E-2</v>
          </cell>
          <cell r="N120">
            <v>0.1593</v>
          </cell>
        </row>
        <row r="121">
          <cell r="A121">
            <v>37712</v>
          </cell>
          <cell r="B121">
            <v>20</v>
          </cell>
          <cell r="C121">
            <v>220</v>
          </cell>
          <cell r="D121" t="str">
            <v>Third</v>
          </cell>
          <cell r="E121">
            <v>1.38E-2</v>
          </cell>
          <cell r="F121">
            <v>1.19</v>
          </cell>
          <cell r="G121">
            <v>0.65900000000000003</v>
          </cell>
          <cell r="H121">
            <v>0.43</v>
          </cell>
          <cell r="I121">
            <v>0.53</v>
          </cell>
          <cell r="J121">
            <v>0.35909999999999997</v>
          </cell>
          <cell r="K121">
            <v>4.7106000000000003</v>
          </cell>
          <cell r="L121">
            <v>0.92749999999999999</v>
          </cell>
          <cell r="M121">
            <v>3.3399999999999999E-2</v>
          </cell>
          <cell r="N121">
            <v>0.1593</v>
          </cell>
        </row>
        <row r="122">
          <cell r="A122">
            <v>37742</v>
          </cell>
          <cell r="B122">
            <v>20</v>
          </cell>
          <cell r="C122">
            <v>220</v>
          </cell>
          <cell r="D122" t="str">
            <v>Fourth</v>
          </cell>
          <cell r="E122">
            <v>1.38E-2</v>
          </cell>
          <cell r="F122">
            <v>1.19</v>
          </cell>
          <cell r="G122">
            <v>0.65900000000000003</v>
          </cell>
          <cell r="H122">
            <v>0.43</v>
          </cell>
          <cell r="I122">
            <v>0.53</v>
          </cell>
          <cell r="J122">
            <v>0.35909999999999997</v>
          </cell>
          <cell r="K122">
            <v>4.7106000000000003</v>
          </cell>
          <cell r="L122">
            <v>0.92749999999999999</v>
          </cell>
          <cell r="M122">
            <v>3.3399999999999999E-2</v>
          </cell>
          <cell r="N122">
            <v>0.1593</v>
          </cell>
        </row>
        <row r="123">
          <cell r="A123">
            <v>37773</v>
          </cell>
          <cell r="B123">
            <v>20</v>
          </cell>
          <cell r="C123">
            <v>220</v>
          </cell>
          <cell r="D123" t="str">
            <v>Fourth</v>
          </cell>
          <cell r="E123">
            <v>1.38E-2</v>
          </cell>
          <cell r="F123">
            <v>1.19</v>
          </cell>
          <cell r="G123">
            <v>0.65900000000000003</v>
          </cell>
          <cell r="H123">
            <v>0.43</v>
          </cell>
          <cell r="I123">
            <v>0.53</v>
          </cell>
          <cell r="J123">
            <v>0.35909999999999997</v>
          </cell>
          <cell r="K123">
            <v>4.7106000000000003</v>
          </cell>
          <cell r="L123">
            <v>0.92749999999999999</v>
          </cell>
          <cell r="M123">
            <v>3.3399999999999999E-2</v>
          </cell>
          <cell r="N123">
            <v>0.1593</v>
          </cell>
        </row>
        <row r="124">
          <cell r="A124">
            <v>37803</v>
          </cell>
          <cell r="B124">
            <v>20</v>
          </cell>
          <cell r="C124">
            <v>220</v>
          </cell>
          <cell r="D124" t="str">
            <v>Fourth</v>
          </cell>
          <cell r="E124">
            <v>1.38E-2</v>
          </cell>
          <cell r="F124">
            <v>1.19</v>
          </cell>
          <cell r="G124">
            <v>0.65900000000000003</v>
          </cell>
          <cell r="H124">
            <v>0.43</v>
          </cell>
          <cell r="I124">
            <v>0.53</v>
          </cell>
          <cell r="J124">
            <v>0.35909999999999997</v>
          </cell>
          <cell r="K124">
            <v>4.7106000000000003</v>
          </cell>
          <cell r="L124">
            <v>0.92749999999999999</v>
          </cell>
          <cell r="M124">
            <v>3.3399999999999999E-2</v>
          </cell>
          <cell r="N124">
            <v>0.1593</v>
          </cell>
        </row>
        <row r="125">
          <cell r="A125">
            <v>37834</v>
          </cell>
          <cell r="B125">
            <v>20</v>
          </cell>
          <cell r="C125">
            <v>220</v>
          </cell>
          <cell r="D125" t="str">
            <v>Fifth</v>
          </cell>
          <cell r="E125">
            <v>1.38E-2</v>
          </cell>
          <cell r="F125">
            <v>1.19</v>
          </cell>
          <cell r="G125">
            <v>0.65900000000000003</v>
          </cell>
          <cell r="H125">
            <v>0.43</v>
          </cell>
          <cell r="I125">
            <v>0.53</v>
          </cell>
          <cell r="J125">
            <v>0.35909999999999997</v>
          </cell>
          <cell r="K125">
            <v>4.6295999999999999</v>
          </cell>
          <cell r="L125">
            <v>0.91820000000000002</v>
          </cell>
          <cell r="M125">
            <v>3.95E-2</v>
          </cell>
          <cell r="N125">
            <v>0.1578</v>
          </cell>
        </row>
        <row r="126">
          <cell r="A126">
            <v>37865</v>
          </cell>
          <cell r="B126">
            <v>20</v>
          </cell>
          <cell r="C126">
            <v>220</v>
          </cell>
          <cell r="D126" t="str">
            <v>Fifth</v>
          </cell>
          <cell r="E126">
            <v>1.38E-2</v>
          </cell>
          <cell r="F126">
            <v>1.19</v>
          </cell>
          <cell r="G126">
            <v>0.65900000000000003</v>
          </cell>
          <cell r="H126">
            <v>0.43</v>
          </cell>
          <cell r="I126">
            <v>0.53</v>
          </cell>
          <cell r="J126">
            <v>0.35909999999999997</v>
          </cell>
          <cell r="K126">
            <v>4.6295999999999999</v>
          </cell>
          <cell r="L126">
            <v>0.91820000000000002</v>
          </cell>
          <cell r="M126">
            <v>3.95E-2</v>
          </cell>
          <cell r="N126">
            <v>0.1578</v>
          </cell>
        </row>
        <row r="127">
          <cell r="A127">
            <v>37895</v>
          </cell>
          <cell r="B127">
            <v>20</v>
          </cell>
          <cell r="C127">
            <v>220</v>
          </cell>
          <cell r="D127" t="str">
            <v>Fifth</v>
          </cell>
          <cell r="E127">
            <v>1.38E-2</v>
          </cell>
          <cell r="F127">
            <v>1.19</v>
          </cell>
          <cell r="G127">
            <v>0.65900000000000003</v>
          </cell>
          <cell r="H127">
            <v>0.43</v>
          </cell>
          <cell r="I127">
            <v>0.53</v>
          </cell>
          <cell r="J127">
            <v>0.35909999999999997</v>
          </cell>
          <cell r="K127">
            <v>4.6295999999999999</v>
          </cell>
          <cell r="L127">
            <v>0.91820000000000002</v>
          </cell>
          <cell r="M127">
            <v>3.95E-2</v>
          </cell>
          <cell r="N127">
            <v>0.1578</v>
          </cell>
        </row>
        <row r="128">
          <cell r="A128">
            <v>37926</v>
          </cell>
          <cell r="B128">
            <v>20</v>
          </cell>
          <cell r="C128">
            <v>220</v>
          </cell>
          <cell r="D128" t="str">
            <v>Sixth</v>
          </cell>
          <cell r="E128">
            <v>1.38E-2</v>
          </cell>
          <cell r="F128">
            <v>1.19</v>
          </cell>
          <cell r="G128">
            <v>0.65900000000000003</v>
          </cell>
          <cell r="H128">
            <v>0.43</v>
          </cell>
          <cell r="I128">
            <v>0.53</v>
          </cell>
          <cell r="J128">
            <v>0.35909999999999997</v>
          </cell>
          <cell r="K128">
            <v>4.6387</v>
          </cell>
          <cell r="L128">
            <v>0.92830000000000001</v>
          </cell>
          <cell r="M128">
            <v>3.95E-2</v>
          </cell>
          <cell r="N128">
            <v>0.1578</v>
          </cell>
        </row>
        <row r="129">
          <cell r="A129">
            <v>37956</v>
          </cell>
          <cell r="B129">
            <v>20</v>
          </cell>
          <cell r="C129">
            <v>220</v>
          </cell>
          <cell r="D129" t="str">
            <v>Sixth</v>
          </cell>
          <cell r="E129">
            <v>1.38E-2</v>
          </cell>
          <cell r="F129">
            <v>1.19</v>
          </cell>
          <cell r="G129">
            <v>0.65900000000000003</v>
          </cell>
          <cell r="H129">
            <v>0.43</v>
          </cell>
          <cell r="I129">
            <v>0.53</v>
          </cell>
          <cell r="J129">
            <v>0.35909999999999997</v>
          </cell>
          <cell r="K129">
            <v>4.6387</v>
          </cell>
          <cell r="L129">
            <v>0.92830000000000001</v>
          </cell>
          <cell r="M129">
            <v>3.95E-2</v>
          </cell>
          <cell r="N129">
            <v>0.1578</v>
          </cell>
        </row>
        <row r="130">
          <cell r="A130">
            <v>37987</v>
          </cell>
          <cell r="B130">
            <v>20</v>
          </cell>
          <cell r="C130">
            <v>220</v>
          </cell>
          <cell r="D130" t="str">
            <v>Sixth</v>
          </cell>
          <cell r="E130">
            <v>1.38E-2</v>
          </cell>
          <cell r="F130">
            <v>1.19</v>
          </cell>
          <cell r="G130">
            <v>0.65900000000000003</v>
          </cell>
          <cell r="H130">
            <v>0.43</v>
          </cell>
          <cell r="I130">
            <v>0.53</v>
          </cell>
          <cell r="J130">
            <v>0.35909999999999997</v>
          </cell>
          <cell r="K130">
            <v>4.6387</v>
          </cell>
          <cell r="L130">
            <v>0.92830000000000001</v>
          </cell>
          <cell r="M130">
            <v>3.95E-2</v>
          </cell>
          <cell r="N130">
            <v>0.1578</v>
          </cell>
        </row>
        <row r="131">
          <cell r="A131">
            <v>38018</v>
          </cell>
          <cell r="B131">
            <v>20</v>
          </cell>
          <cell r="C131">
            <v>220</v>
          </cell>
          <cell r="D131" t="str">
            <v>Seventh</v>
          </cell>
          <cell r="E131">
            <v>1.38E-2</v>
          </cell>
          <cell r="F131">
            <v>1.19</v>
          </cell>
          <cell r="G131">
            <v>0.65900000000000003</v>
          </cell>
          <cell r="H131">
            <v>0.43</v>
          </cell>
          <cell r="I131">
            <v>0.53</v>
          </cell>
          <cell r="J131">
            <v>0.35909999999999997</v>
          </cell>
          <cell r="K131">
            <v>4.6387</v>
          </cell>
          <cell r="L131">
            <v>1.0759000000000001</v>
          </cell>
          <cell r="M131">
            <v>0.18709999999999999</v>
          </cell>
          <cell r="N131">
            <v>0.18709999999999999</v>
          </cell>
        </row>
        <row r="132">
          <cell r="A132">
            <v>38047</v>
          </cell>
          <cell r="B132">
            <v>20</v>
          </cell>
          <cell r="C132">
            <v>220</v>
          </cell>
          <cell r="D132" t="str">
            <v>Seventh</v>
          </cell>
          <cell r="E132">
            <v>1.38E-2</v>
          </cell>
          <cell r="F132">
            <v>1.19</v>
          </cell>
          <cell r="G132">
            <v>0.65900000000000003</v>
          </cell>
          <cell r="H132">
            <v>0.43</v>
          </cell>
          <cell r="I132">
            <v>0.53</v>
          </cell>
          <cell r="J132">
            <v>0.35909999999999997</v>
          </cell>
          <cell r="K132">
            <v>4.6387</v>
          </cell>
          <cell r="L132">
            <v>1.0759000000000001</v>
          </cell>
          <cell r="M132">
            <v>0.18709999999999999</v>
          </cell>
          <cell r="N132">
            <v>0.18709999999999999</v>
          </cell>
        </row>
        <row r="133">
          <cell r="A133">
            <v>38078</v>
          </cell>
          <cell r="B133">
            <v>20</v>
          </cell>
          <cell r="C133">
            <v>220</v>
          </cell>
          <cell r="D133" t="str">
            <v>Seventh</v>
          </cell>
          <cell r="E133">
            <v>1.38E-2</v>
          </cell>
          <cell r="F133">
            <v>1.19</v>
          </cell>
          <cell r="G133">
            <v>0.65900000000000003</v>
          </cell>
          <cell r="H133">
            <v>0.43</v>
          </cell>
          <cell r="I133">
            <v>0.53</v>
          </cell>
          <cell r="J133">
            <v>0.35909999999999997</v>
          </cell>
          <cell r="K133">
            <v>4.6387</v>
          </cell>
          <cell r="L133">
            <v>1.0759000000000001</v>
          </cell>
          <cell r="M133">
            <v>0.18709999999999999</v>
          </cell>
          <cell r="N133">
            <v>0.18709999999999999</v>
          </cell>
        </row>
        <row r="134">
          <cell r="A134">
            <v>38108</v>
          </cell>
          <cell r="B134">
            <v>20</v>
          </cell>
          <cell r="C134">
            <v>220</v>
          </cell>
          <cell r="D134" t="str">
            <v>Eighth</v>
          </cell>
          <cell r="E134">
            <v>1.38E-2</v>
          </cell>
          <cell r="F134">
            <v>1.19</v>
          </cell>
          <cell r="G134">
            <v>0.65900000000000003</v>
          </cell>
          <cell r="H134">
            <v>0.43</v>
          </cell>
          <cell r="I134">
            <v>0.53</v>
          </cell>
          <cell r="J134">
            <v>0.35909999999999997</v>
          </cell>
          <cell r="K134">
            <v>4.6387</v>
          </cell>
          <cell r="L134">
            <v>1.0759000000000001</v>
          </cell>
          <cell r="M134">
            <v>0.18709999999999999</v>
          </cell>
          <cell r="N134">
            <v>0.18709999999999999</v>
          </cell>
        </row>
        <row r="135">
          <cell r="A135">
            <v>38139</v>
          </cell>
          <cell r="B135">
            <v>20</v>
          </cell>
          <cell r="C135">
            <v>220</v>
          </cell>
          <cell r="D135" t="str">
            <v>Eighth</v>
          </cell>
          <cell r="E135">
            <v>1.38E-2</v>
          </cell>
          <cell r="F135">
            <v>1.19</v>
          </cell>
          <cell r="G135">
            <v>0.65900000000000003</v>
          </cell>
          <cell r="H135">
            <v>0.43</v>
          </cell>
          <cell r="I135">
            <v>0.53</v>
          </cell>
          <cell r="J135">
            <v>0.35909999999999997</v>
          </cell>
          <cell r="K135">
            <v>4.6387</v>
          </cell>
          <cell r="L135">
            <v>1.0759000000000001</v>
          </cell>
          <cell r="M135">
            <v>0.18709999999999999</v>
          </cell>
          <cell r="N135">
            <v>0.18709999999999999</v>
          </cell>
        </row>
        <row r="136">
          <cell r="A136">
            <v>38169</v>
          </cell>
          <cell r="B136">
            <v>20</v>
          </cell>
          <cell r="C136">
            <v>220</v>
          </cell>
          <cell r="D136" t="str">
            <v>Eighth</v>
          </cell>
          <cell r="E136">
            <v>1.38E-2</v>
          </cell>
          <cell r="F136">
            <v>1.19</v>
          </cell>
          <cell r="G136">
            <v>0.65900000000000003</v>
          </cell>
          <cell r="H136">
            <v>0.43</v>
          </cell>
          <cell r="I136">
            <v>0.53</v>
          </cell>
          <cell r="J136">
            <v>0.35909999999999997</v>
          </cell>
          <cell r="K136">
            <v>4.6387</v>
          </cell>
          <cell r="L136">
            <v>1.0759000000000001</v>
          </cell>
          <cell r="M136">
            <v>0.18709999999999999</v>
          </cell>
          <cell r="N136">
            <v>0.18709999999999999</v>
          </cell>
        </row>
        <row r="137">
          <cell r="A137">
            <v>38200</v>
          </cell>
          <cell r="B137">
            <v>20</v>
          </cell>
          <cell r="C137">
            <v>220</v>
          </cell>
          <cell r="D137" t="str">
            <v>Ninth</v>
          </cell>
          <cell r="E137">
            <v>1.38E-2</v>
          </cell>
          <cell r="F137">
            <v>1.19</v>
          </cell>
          <cell r="G137">
            <v>0.65900000000000003</v>
          </cell>
          <cell r="H137">
            <v>0.43</v>
          </cell>
          <cell r="I137">
            <v>0.53</v>
          </cell>
          <cell r="J137">
            <v>0.35909999999999997</v>
          </cell>
          <cell r="K137">
            <v>4.6387</v>
          </cell>
          <cell r="L137">
            <v>1.0759000000000001</v>
          </cell>
          <cell r="M137">
            <v>0.18709999999999999</v>
          </cell>
          <cell r="N137">
            <v>0.18709999999999999</v>
          </cell>
        </row>
        <row r="138">
          <cell r="A138">
            <v>38231</v>
          </cell>
          <cell r="B138">
            <v>20</v>
          </cell>
          <cell r="C138">
            <v>220</v>
          </cell>
          <cell r="D138" t="str">
            <v>Ninth</v>
          </cell>
          <cell r="E138">
            <v>1.38E-2</v>
          </cell>
          <cell r="F138">
            <v>1.19</v>
          </cell>
          <cell r="G138">
            <v>0.65900000000000003</v>
          </cell>
          <cell r="H138">
            <v>0.43</v>
          </cell>
          <cell r="I138">
            <v>0.53</v>
          </cell>
          <cell r="J138">
            <v>0.35909999999999997</v>
          </cell>
          <cell r="K138">
            <v>4.6387</v>
          </cell>
          <cell r="L138">
            <v>1.0759000000000001</v>
          </cell>
          <cell r="M138">
            <v>0.18709999999999999</v>
          </cell>
          <cell r="N138">
            <v>0.18709999999999999</v>
          </cell>
        </row>
        <row r="139">
          <cell r="A139">
            <v>38261</v>
          </cell>
          <cell r="B139">
            <v>20</v>
          </cell>
          <cell r="C139">
            <v>220</v>
          </cell>
          <cell r="D139" t="str">
            <v>Ninth</v>
          </cell>
          <cell r="E139">
            <v>1.38E-2</v>
          </cell>
          <cell r="F139">
            <v>1.19</v>
          </cell>
          <cell r="G139">
            <v>0.65900000000000003</v>
          </cell>
          <cell r="H139">
            <v>0.43</v>
          </cell>
          <cell r="I139">
            <v>0.53</v>
          </cell>
          <cell r="J139">
            <v>0.35909999999999997</v>
          </cell>
          <cell r="K139">
            <v>4.6387</v>
          </cell>
          <cell r="L139">
            <v>1.0759000000000001</v>
          </cell>
          <cell r="M139">
            <v>0.18709999999999999</v>
          </cell>
          <cell r="N139">
            <v>0.18709999999999999</v>
          </cell>
        </row>
        <row r="140">
          <cell r="A140">
            <v>38292</v>
          </cell>
          <cell r="B140">
            <v>20</v>
          </cell>
          <cell r="C140">
            <v>220</v>
          </cell>
          <cell r="D140" t="str">
            <v>Tenth</v>
          </cell>
          <cell r="E140">
            <v>1.38E-2</v>
          </cell>
          <cell r="F140">
            <v>1.19</v>
          </cell>
          <cell r="G140">
            <v>0.65900000000000003</v>
          </cell>
          <cell r="H140">
            <v>0.43</v>
          </cell>
          <cell r="I140">
            <v>0.53</v>
          </cell>
          <cell r="J140">
            <v>0.35909999999999997</v>
          </cell>
          <cell r="K140">
            <v>4.6207000000000003</v>
          </cell>
          <cell r="L140">
            <v>1.0718000000000001</v>
          </cell>
          <cell r="M140">
            <v>0.18640000000000001</v>
          </cell>
          <cell r="N140">
            <v>0.18640000000000001</v>
          </cell>
        </row>
        <row r="141">
          <cell r="A141">
            <v>38322</v>
          </cell>
          <cell r="B141">
            <v>20</v>
          </cell>
          <cell r="C141">
            <v>220</v>
          </cell>
          <cell r="D141" t="str">
            <v>Tenth</v>
          </cell>
          <cell r="E141">
            <v>1.38E-2</v>
          </cell>
          <cell r="F141">
            <v>1.19</v>
          </cell>
          <cell r="G141">
            <v>0.65900000000000003</v>
          </cell>
          <cell r="H141">
            <v>0.43</v>
          </cell>
          <cell r="I141">
            <v>0.53</v>
          </cell>
          <cell r="J141">
            <v>0.35909999999999997</v>
          </cell>
          <cell r="K141">
            <v>4.6207000000000003</v>
          </cell>
          <cell r="L141">
            <v>1.0718000000000001</v>
          </cell>
          <cell r="M141">
            <v>0.18640000000000001</v>
          </cell>
          <cell r="N141">
            <v>0.18640000000000001</v>
          </cell>
        </row>
        <row r="142">
          <cell r="A142">
            <v>38353</v>
          </cell>
          <cell r="B142">
            <v>20</v>
          </cell>
          <cell r="C142">
            <v>220</v>
          </cell>
          <cell r="D142" t="str">
            <v>Tenth</v>
          </cell>
          <cell r="E142">
            <v>1.38E-2</v>
          </cell>
          <cell r="F142">
            <v>1.19</v>
          </cell>
          <cell r="G142">
            <v>0.65900000000000003</v>
          </cell>
          <cell r="H142">
            <v>0.43</v>
          </cell>
          <cell r="I142">
            <v>0.53</v>
          </cell>
          <cell r="J142">
            <v>0.35909999999999997</v>
          </cell>
          <cell r="K142">
            <v>4.6207000000000003</v>
          </cell>
          <cell r="L142">
            <v>1.0718000000000001</v>
          </cell>
          <cell r="M142">
            <v>0.18640000000000001</v>
          </cell>
          <cell r="N142">
            <v>0.18640000000000001</v>
          </cell>
        </row>
        <row r="143">
          <cell r="A143">
            <v>38384</v>
          </cell>
          <cell r="B143">
            <v>20</v>
          </cell>
          <cell r="C143">
            <v>220</v>
          </cell>
          <cell r="D143" t="str">
            <v>Eleventh</v>
          </cell>
          <cell r="E143">
            <v>1.38E-2</v>
          </cell>
          <cell r="F143">
            <v>1.19</v>
          </cell>
          <cell r="G143">
            <v>0.65900000000000003</v>
          </cell>
          <cell r="H143">
            <v>0.43</v>
          </cell>
          <cell r="I143">
            <v>0.53</v>
          </cell>
          <cell r="J143">
            <v>0.35909999999999997</v>
          </cell>
          <cell r="K143">
            <v>4.6207000000000003</v>
          </cell>
          <cell r="L143">
            <v>1.0718000000000001</v>
          </cell>
          <cell r="M143">
            <v>0.18640000000000001</v>
          </cell>
          <cell r="N143">
            <v>0.18640000000000001</v>
          </cell>
        </row>
        <row r="144">
          <cell r="A144">
            <v>54789</v>
          </cell>
          <cell r="B144">
            <v>13.6</v>
          </cell>
          <cell r="C144">
            <v>150</v>
          </cell>
          <cell r="D144" t="str">
            <v>Sixty-seventh</v>
          </cell>
          <cell r="E144">
            <v>1.9E-2</v>
          </cell>
          <cell r="F144">
            <v>1.0615000000000001</v>
          </cell>
          <cell r="G144">
            <v>0.5585</v>
          </cell>
          <cell r="H144">
            <v>0.40849999999999997</v>
          </cell>
          <cell r="I144">
            <v>0.49359999999999998</v>
          </cell>
          <cell r="J144">
            <v>0.34360000000000002</v>
          </cell>
          <cell r="K144">
            <v>4.2808999999999999</v>
          </cell>
          <cell r="L144">
            <v>0.76990000000000003</v>
          </cell>
          <cell r="M144">
            <v>0.215</v>
          </cell>
          <cell r="N144">
            <v>0.2172</v>
          </cell>
        </row>
      </sheetData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tchell Template"/>
      <sheetName val="A.1"/>
      <sheetName val="A.2"/>
      <sheetName val="B.1"/>
      <sheetName val="B.2"/>
      <sheetName val="B.3"/>
      <sheetName val="B.4"/>
      <sheetName val="B.5"/>
      <sheetName val="B.6"/>
      <sheetName val="B.7"/>
      <sheetName val="B.8"/>
      <sheetName val="C.1"/>
      <sheetName val="C.2"/>
      <sheetName val="D.1"/>
      <sheetName val="D.2"/>
      <sheetName val="D.3"/>
      <sheetName val="D.4"/>
      <sheetName val="D.5"/>
      <sheetName val="D.6"/>
      <sheetName val="E.1"/>
      <sheetName val="E.2"/>
      <sheetName val="WorkPaper"/>
      <sheetName val="WP-E.1"/>
      <sheetName val="Data Mart Inputs"/>
      <sheetName val="Holidays"/>
      <sheetName val="Rate Validation"/>
    </sheetNames>
    <sheetDataSet>
      <sheetData sheetId="0" refreshError="1"/>
      <sheetData sheetId="1">
        <row r="20">
          <cell r="G20">
            <v>4.5525000000000002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s"/>
      <sheetName val="Main Inputs"/>
      <sheetName val="D1 (Summary)"/>
      <sheetName val="D2 (Purchase Volumes)"/>
      <sheetName val="D3 (Purchase Costs)"/>
      <sheetName val="D4 (Recoveries)"/>
      <sheetName val="D5 (Supply Detail)"/>
      <sheetName val="D6 (Bad Debt)"/>
      <sheetName val="PBR Savings"/>
    </sheetNames>
    <sheetDataSet>
      <sheetData sheetId="0"/>
      <sheetData sheetId="1">
        <row r="5">
          <cell r="C5">
            <v>40513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 page"/>
      <sheetName val="Summary (SI)"/>
      <sheetName val="EGC (SII)"/>
      <sheetName val="Actual Adjustment (IV)"/>
      <sheetName val="EXAMPLE Actual Adjustment (SIV)"/>
      <sheetName val="FUTURE BA (SV)"/>
      <sheetName val="Balance Adjustment (V)"/>
      <sheetName val="Purchases 2409"/>
      <sheetName val="Sales"/>
      <sheetName val="PAST GCR RIDER"/>
      <sheetName val="Purchases (replaced)"/>
      <sheetName val="SCH III B&amp;S Oil FloydCo N-D-J"/>
      <sheetName val="SCH III B&amp;S Oil FloydCo A-S-O"/>
      <sheetName val="Purchas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57">
          <cell r="AG57">
            <v>1.1100000000000001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Sara Esparza" id="{328C25FB-A566-4957-8F2E-88FB0F3C55DD}" userId="S::sesparza@navitasutility.com::81df8de0-7788-4e03-911a-ad55bde56b30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18" dT="2026-02-19T23:11:17.84" personId="{328C25FB-A566-4957-8F2E-88FB0F3C55DD}" id="{399D32FC-FFBC-444D-92B2-916FC5A39E47}">
    <text>Cash out imbalance for sep service 540.18, Oct -266.82 services. Nov -89.91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655A6-9EBB-43AF-800B-6CD36734C9AE}">
  <dimension ref="A1:I42"/>
  <sheetViews>
    <sheetView tabSelected="1" topLeftCell="A25" zoomScale="115" zoomScaleNormal="115" workbookViewId="0">
      <selection activeCell="A31" sqref="A31"/>
    </sheetView>
  </sheetViews>
  <sheetFormatPr defaultRowHeight="15"/>
  <cols>
    <col min="1" max="1" width="11.44140625" style="48" customWidth="1"/>
    <col min="2" max="2" width="10.109375" style="48" customWidth="1"/>
    <col min="3" max="5" width="9.109375" style="48"/>
    <col min="6" max="6" width="11" style="48" customWidth="1"/>
    <col min="7" max="256" width="9.109375" style="48"/>
    <col min="257" max="257" width="11.44140625" style="48" customWidth="1"/>
    <col min="258" max="258" width="10.109375" style="48" customWidth="1"/>
    <col min="259" max="261" width="9.109375" style="48"/>
    <col min="262" max="262" width="11" style="48" customWidth="1"/>
    <col min="263" max="512" width="9.109375" style="48"/>
    <col min="513" max="513" width="11.44140625" style="48" customWidth="1"/>
    <col min="514" max="514" width="10.109375" style="48" customWidth="1"/>
    <col min="515" max="517" width="9.109375" style="48"/>
    <col min="518" max="518" width="11" style="48" customWidth="1"/>
    <col min="519" max="768" width="9.109375" style="48"/>
    <col min="769" max="769" width="11.44140625" style="48" customWidth="1"/>
    <col min="770" max="770" width="10.109375" style="48" customWidth="1"/>
    <col min="771" max="773" width="9.109375" style="48"/>
    <col min="774" max="774" width="11" style="48" customWidth="1"/>
    <col min="775" max="1024" width="9.109375" style="48"/>
    <col min="1025" max="1025" width="11.44140625" style="48" customWidth="1"/>
    <col min="1026" max="1026" width="10.109375" style="48" customWidth="1"/>
    <col min="1027" max="1029" width="9.109375" style="48"/>
    <col min="1030" max="1030" width="11" style="48" customWidth="1"/>
    <col min="1031" max="1280" width="9.109375" style="48"/>
    <col min="1281" max="1281" width="11.44140625" style="48" customWidth="1"/>
    <col min="1282" max="1282" width="10.109375" style="48" customWidth="1"/>
    <col min="1283" max="1285" width="9.109375" style="48"/>
    <col min="1286" max="1286" width="11" style="48" customWidth="1"/>
    <col min="1287" max="1536" width="9.109375" style="48"/>
    <col min="1537" max="1537" width="11.44140625" style="48" customWidth="1"/>
    <col min="1538" max="1538" width="10.109375" style="48" customWidth="1"/>
    <col min="1539" max="1541" width="9.109375" style="48"/>
    <col min="1542" max="1542" width="11" style="48" customWidth="1"/>
    <col min="1543" max="1792" width="9.109375" style="48"/>
    <col min="1793" max="1793" width="11.44140625" style="48" customWidth="1"/>
    <col min="1794" max="1794" width="10.109375" style="48" customWidth="1"/>
    <col min="1795" max="1797" width="9.109375" style="48"/>
    <col min="1798" max="1798" width="11" style="48" customWidth="1"/>
    <col min="1799" max="2048" width="9.109375" style="48"/>
    <col min="2049" max="2049" width="11.44140625" style="48" customWidth="1"/>
    <col min="2050" max="2050" width="10.109375" style="48" customWidth="1"/>
    <col min="2051" max="2053" width="9.109375" style="48"/>
    <col min="2054" max="2054" width="11" style="48" customWidth="1"/>
    <col min="2055" max="2304" width="9.109375" style="48"/>
    <col min="2305" max="2305" width="11.44140625" style="48" customWidth="1"/>
    <col min="2306" max="2306" width="10.109375" style="48" customWidth="1"/>
    <col min="2307" max="2309" width="9.109375" style="48"/>
    <col min="2310" max="2310" width="11" style="48" customWidth="1"/>
    <col min="2311" max="2560" width="9.109375" style="48"/>
    <col min="2561" max="2561" width="11.44140625" style="48" customWidth="1"/>
    <col min="2562" max="2562" width="10.109375" style="48" customWidth="1"/>
    <col min="2563" max="2565" width="9.109375" style="48"/>
    <col min="2566" max="2566" width="11" style="48" customWidth="1"/>
    <col min="2567" max="2816" width="9.109375" style="48"/>
    <col min="2817" max="2817" width="11.44140625" style="48" customWidth="1"/>
    <col min="2818" max="2818" width="10.109375" style="48" customWidth="1"/>
    <col min="2819" max="2821" width="9.109375" style="48"/>
    <col min="2822" max="2822" width="11" style="48" customWidth="1"/>
    <col min="2823" max="3072" width="9.109375" style="48"/>
    <col min="3073" max="3073" width="11.44140625" style="48" customWidth="1"/>
    <col min="3074" max="3074" width="10.109375" style="48" customWidth="1"/>
    <col min="3075" max="3077" width="9.109375" style="48"/>
    <col min="3078" max="3078" width="11" style="48" customWidth="1"/>
    <col min="3079" max="3328" width="9.109375" style="48"/>
    <col min="3329" max="3329" width="11.44140625" style="48" customWidth="1"/>
    <col min="3330" max="3330" width="10.109375" style="48" customWidth="1"/>
    <col min="3331" max="3333" width="9.109375" style="48"/>
    <col min="3334" max="3334" width="11" style="48" customWidth="1"/>
    <col min="3335" max="3584" width="9.109375" style="48"/>
    <col min="3585" max="3585" width="11.44140625" style="48" customWidth="1"/>
    <col min="3586" max="3586" width="10.109375" style="48" customWidth="1"/>
    <col min="3587" max="3589" width="9.109375" style="48"/>
    <col min="3590" max="3590" width="11" style="48" customWidth="1"/>
    <col min="3591" max="3840" width="9.109375" style="48"/>
    <col min="3841" max="3841" width="11.44140625" style="48" customWidth="1"/>
    <col min="3842" max="3842" width="10.109375" style="48" customWidth="1"/>
    <col min="3843" max="3845" width="9.109375" style="48"/>
    <col min="3846" max="3846" width="11" style="48" customWidth="1"/>
    <col min="3847" max="4096" width="9.109375" style="48"/>
    <col min="4097" max="4097" width="11.44140625" style="48" customWidth="1"/>
    <col min="4098" max="4098" width="10.109375" style="48" customWidth="1"/>
    <col min="4099" max="4101" width="9.109375" style="48"/>
    <col min="4102" max="4102" width="11" style="48" customWidth="1"/>
    <col min="4103" max="4352" width="9.109375" style="48"/>
    <col min="4353" max="4353" width="11.44140625" style="48" customWidth="1"/>
    <col min="4354" max="4354" width="10.109375" style="48" customWidth="1"/>
    <col min="4355" max="4357" width="9.109375" style="48"/>
    <col min="4358" max="4358" width="11" style="48" customWidth="1"/>
    <col min="4359" max="4608" width="9.109375" style="48"/>
    <col min="4609" max="4609" width="11.44140625" style="48" customWidth="1"/>
    <col min="4610" max="4610" width="10.109375" style="48" customWidth="1"/>
    <col min="4611" max="4613" width="9.109375" style="48"/>
    <col min="4614" max="4614" width="11" style="48" customWidth="1"/>
    <col min="4615" max="4864" width="9.109375" style="48"/>
    <col min="4865" max="4865" width="11.44140625" style="48" customWidth="1"/>
    <col min="4866" max="4866" width="10.109375" style="48" customWidth="1"/>
    <col min="4867" max="4869" width="9.109375" style="48"/>
    <col min="4870" max="4870" width="11" style="48" customWidth="1"/>
    <col min="4871" max="5120" width="9.109375" style="48"/>
    <col min="5121" max="5121" width="11.44140625" style="48" customWidth="1"/>
    <col min="5122" max="5122" width="10.109375" style="48" customWidth="1"/>
    <col min="5123" max="5125" width="9.109375" style="48"/>
    <col min="5126" max="5126" width="11" style="48" customWidth="1"/>
    <col min="5127" max="5376" width="9.109375" style="48"/>
    <col min="5377" max="5377" width="11.44140625" style="48" customWidth="1"/>
    <col min="5378" max="5378" width="10.109375" style="48" customWidth="1"/>
    <col min="5379" max="5381" width="9.109375" style="48"/>
    <col min="5382" max="5382" width="11" style="48" customWidth="1"/>
    <col min="5383" max="5632" width="9.109375" style="48"/>
    <col min="5633" max="5633" width="11.44140625" style="48" customWidth="1"/>
    <col min="5634" max="5634" width="10.109375" style="48" customWidth="1"/>
    <col min="5635" max="5637" width="9.109375" style="48"/>
    <col min="5638" max="5638" width="11" style="48" customWidth="1"/>
    <col min="5639" max="5888" width="9.109375" style="48"/>
    <col min="5889" max="5889" width="11.44140625" style="48" customWidth="1"/>
    <col min="5890" max="5890" width="10.109375" style="48" customWidth="1"/>
    <col min="5891" max="5893" width="9.109375" style="48"/>
    <col min="5894" max="5894" width="11" style="48" customWidth="1"/>
    <col min="5895" max="6144" width="9.109375" style="48"/>
    <col min="6145" max="6145" width="11.44140625" style="48" customWidth="1"/>
    <col min="6146" max="6146" width="10.109375" style="48" customWidth="1"/>
    <col min="6147" max="6149" width="9.109375" style="48"/>
    <col min="6150" max="6150" width="11" style="48" customWidth="1"/>
    <col min="6151" max="6400" width="9.109375" style="48"/>
    <col min="6401" max="6401" width="11.44140625" style="48" customWidth="1"/>
    <col min="6402" max="6402" width="10.109375" style="48" customWidth="1"/>
    <col min="6403" max="6405" width="9.109375" style="48"/>
    <col min="6406" max="6406" width="11" style="48" customWidth="1"/>
    <col min="6407" max="6656" width="9.109375" style="48"/>
    <col min="6657" max="6657" width="11.44140625" style="48" customWidth="1"/>
    <col min="6658" max="6658" width="10.109375" style="48" customWidth="1"/>
    <col min="6659" max="6661" width="9.109375" style="48"/>
    <col min="6662" max="6662" width="11" style="48" customWidth="1"/>
    <col min="6663" max="6912" width="9.109375" style="48"/>
    <col min="6913" max="6913" width="11.44140625" style="48" customWidth="1"/>
    <col min="6914" max="6914" width="10.109375" style="48" customWidth="1"/>
    <col min="6915" max="6917" width="9.109375" style="48"/>
    <col min="6918" max="6918" width="11" style="48" customWidth="1"/>
    <col min="6919" max="7168" width="9.109375" style="48"/>
    <col min="7169" max="7169" width="11.44140625" style="48" customWidth="1"/>
    <col min="7170" max="7170" width="10.109375" style="48" customWidth="1"/>
    <col min="7171" max="7173" width="9.109375" style="48"/>
    <col min="7174" max="7174" width="11" style="48" customWidth="1"/>
    <col min="7175" max="7424" width="9.109375" style="48"/>
    <col min="7425" max="7425" width="11.44140625" style="48" customWidth="1"/>
    <col min="7426" max="7426" width="10.109375" style="48" customWidth="1"/>
    <col min="7427" max="7429" width="9.109375" style="48"/>
    <col min="7430" max="7430" width="11" style="48" customWidth="1"/>
    <col min="7431" max="7680" width="9.109375" style="48"/>
    <col min="7681" max="7681" width="11.44140625" style="48" customWidth="1"/>
    <col min="7682" max="7682" width="10.109375" style="48" customWidth="1"/>
    <col min="7683" max="7685" width="9.109375" style="48"/>
    <col min="7686" max="7686" width="11" style="48" customWidth="1"/>
    <col min="7687" max="7936" width="9.109375" style="48"/>
    <col min="7937" max="7937" width="11.44140625" style="48" customWidth="1"/>
    <col min="7938" max="7938" width="10.109375" style="48" customWidth="1"/>
    <col min="7939" max="7941" width="9.109375" style="48"/>
    <col min="7942" max="7942" width="11" style="48" customWidth="1"/>
    <col min="7943" max="8192" width="9.109375" style="48"/>
    <col min="8193" max="8193" width="11.44140625" style="48" customWidth="1"/>
    <col min="8194" max="8194" width="10.109375" style="48" customWidth="1"/>
    <col min="8195" max="8197" width="9.109375" style="48"/>
    <col min="8198" max="8198" width="11" style="48" customWidth="1"/>
    <col min="8199" max="8448" width="9.109375" style="48"/>
    <col min="8449" max="8449" width="11.44140625" style="48" customWidth="1"/>
    <col min="8450" max="8450" width="10.109375" style="48" customWidth="1"/>
    <col min="8451" max="8453" width="9.109375" style="48"/>
    <col min="8454" max="8454" width="11" style="48" customWidth="1"/>
    <col min="8455" max="8704" width="9.109375" style="48"/>
    <col min="8705" max="8705" width="11.44140625" style="48" customWidth="1"/>
    <col min="8706" max="8706" width="10.109375" style="48" customWidth="1"/>
    <col min="8707" max="8709" width="9.109375" style="48"/>
    <col min="8710" max="8710" width="11" style="48" customWidth="1"/>
    <col min="8711" max="8960" width="9.109375" style="48"/>
    <col min="8961" max="8961" width="11.44140625" style="48" customWidth="1"/>
    <col min="8962" max="8962" width="10.109375" style="48" customWidth="1"/>
    <col min="8963" max="8965" width="9.109375" style="48"/>
    <col min="8966" max="8966" width="11" style="48" customWidth="1"/>
    <col min="8967" max="9216" width="9.109375" style="48"/>
    <col min="9217" max="9217" width="11.44140625" style="48" customWidth="1"/>
    <col min="9218" max="9218" width="10.109375" style="48" customWidth="1"/>
    <col min="9219" max="9221" width="9.109375" style="48"/>
    <col min="9222" max="9222" width="11" style="48" customWidth="1"/>
    <col min="9223" max="9472" width="9.109375" style="48"/>
    <col min="9473" max="9473" width="11.44140625" style="48" customWidth="1"/>
    <col min="9474" max="9474" width="10.109375" style="48" customWidth="1"/>
    <col min="9475" max="9477" width="9.109375" style="48"/>
    <col min="9478" max="9478" width="11" style="48" customWidth="1"/>
    <col min="9479" max="9728" width="9.109375" style="48"/>
    <col min="9729" max="9729" width="11.44140625" style="48" customWidth="1"/>
    <col min="9730" max="9730" width="10.109375" style="48" customWidth="1"/>
    <col min="9731" max="9733" width="9.109375" style="48"/>
    <col min="9734" max="9734" width="11" style="48" customWidth="1"/>
    <col min="9735" max="9984" width="9.109375" style="48"/>
    <col min="9985" max="9985" width="11.44140625" style="48" customWidth="1"/>
    <col min="9986" max="9986" width="10.109375" style="48" customWidth="1"/>
    <col min="9987" max="9989" width="9.109375" style="48"/>
    <col min="9990" max="9990" width="11" style="48" customWidth="1"/>
    <col min="9991" max="10240" width="9.109375" style="48"/>
    <col min="10241" max="10241" width="11.44140625" style="48" customWidth="1"/>
    <col min="10242" max="10242" width="10.109375" style="48" customWidth="1"/>
    <col min="10243" max="10245" width="9.109375" style="48"/>
    <col min="10246" max="10246" width="11" style="48" customWidth="1"/>
    <col min="10247" max="10496" width="9.109375" style="48"/>
    <col min="10497" max="10497" width="11.44140625" style="48" customWidth="1"/>
    <col min="10498" max="10498" width="10.109375" style="48" customWidth="1"/>
    <col min="10499" max="10501" width="9.109375" style="48"/>
    <col min="10502" max="10502" width="11" style="48" customWidth="1"/>
    <col min="10503" max="10752" width="9.109375" style="48"/>
    <col min="10753" max="10753" width="11.44140625" style="48" customWidth="1"/>
    <col min="10754" max="10754" width="10.109375" style="48" customWidth="1"/>
    <col min="10755" max="10757" width="9.109375" style="48"/>
    <col min="10758" max="10758" width="11" style="48" customWidth="1"/>
    <col min="10759" max="11008" width="9.109375" style="48"/>
    <col min="11009" max="11009" width="11.44140625" style="48" customWidth="1"/>
    <col min="11010" max="11010" width="10.109375" style="48" customWidth="1"/>
    <col min="11011" max="11013" width="9.109375" style="48"/>
    <col min="11014" max="11014" width="11" style="48" customWidth="1"/>
    <col min="11015" max="11264" width="9.109375" style="48"/>
    <col min="11265" max="11265" width="11.44140625" style="48" customWidth="1"/>
    <col min="11266" max="11266" width="10.109375" style="48" customWidth="1"/>
    <col min="11267" max="11269" width="9.109375" style="48"/>
    <col min="11270" max="11270" width="11" style="48" customWidth="1"/>
    <col min="11271" max="11520" width="9.109375" style="48"/>
    <col min="11521" max="11521" width="11.44140625" style="48" customWidth="1"/>
    <col min="11522" max="11522" width="10.109375" style="48" customWidth="1"/>
    <col min="11523" max="11525" width="9.109375" style="48"/>
    <col min="11526" max="11526" width="11" style="48" customWidth="1"/>
    <col min="11527" max="11776" width="9.109375" style="48"/>
    <col min="11777" max="11777" width="11.44140625" style="48" customWidth="1"/>
    <col min="11778" max="11778" width="10.109375" style="48" customWidth="1"/>
    <col min="11779" max="11781" width="9.109375" style="48"/>
    <col min="11782" max="11782" width="11" style="48" customWidth="1"/>
    <col min="11783" max="12032" width="9.109375" style="48"/>
    <col min="12033" max="12033" width="11.44140625" style="48" customWidth="1"/>
    <col min="12034" max="12034" width="10.109375" style="48" customWidth="1"/>
    <col min="12035" max="12037" width="9.109375" style="48"/>
    <col min="12038" max="12038" width="11" style="48" customWidth="1"/>
    <col min="12039" max="12288" width="9.109375" style="48"/>
    <col min="12289" max="12289" width="11.44140625" style="48" customWidth="1"/>
    <col min="12290" max="12290" width="10.109375" style="48" customWidth="1"/>
    <col min="12291" max="12293" width="9.109375" style="48"/>
    <col min="12294" max="12294" width="11" style="48" customWidth="1"/>
    <col min="12295" max="12544" width="9.109375" style="48"/>
    <col min="12545" max="12545" width="11.44140625" style="48" customWidth="1"/>
    <col min="12546" max="12546" width="10.109375" style="48" customWidth="1"/>
    <col min="12547" max="12549" width="9.109375" style="48"/>
    <col min="12550" max="12550" width="11" style="48" customWidth="1"/>
    <col min="12551" max="12800" width="9.109375" style="48"/>
    <col min="12801" max="12801" width="11.44140625" style="48" customWidth="1"/>
    <col min="12802" max="12802" width="10.109375" style="48" customWidth="1"/>
    <col min="12803" max="12805" width="9.109375" style="48"/>
    <col min="12806" max="12806" width="11" style="48" customWidth="1"/>
    <col min="12807" max="13056" width="9.109375" style="48"/>
    <col min="13057" max="13057" width="11.44140625" style="48" customWidth="1"/>
    <col min="13058" max="13058" width="10.109375" style="48" customWidth="1"/>
    <col min="13059" max="13061" width="9.109375" style="48"/>
    <col min="13062" max="13062" width="11" style="48" customWidth="1"/>
    <col min="13063" max="13312" width="9.109375" style="48"/>
    <col min="13313" max="13313" width="11.44140625" style="48" customWidth="1"/>
    <col min="13314" max="13314" width="10.109375" style="48" customWidth="1"/>
    <col min="13315" max="13317" width="9.109375" style="48"/>
    <col min="13318" max="13318" width="11" style="48" customWidth="1"/>
    <col min="13319" max="13568" width="9.109375" style="48"/>
    <col min="13569" max="13569" width="11.44140625" style="48" customWidth="1"/>
    <col min="13570" max="13570" width="10.109375" style="48" customWidth="1"/>
    <col min="13571" max="13573" width="9.109375" style="48"/>
    <col min="13574" max="13574" width="11" style="48" customWidth="1"/>
    <col min="13575" max="13824" width="9.109375" style="48"/>
    <col min="13825" max="13825" width="11.44140625" style="48" customWidth="1"/>
    <col min="13826" max="13826" width="10.109375" style="48" customWidth="1"/>
    <col min="13827" max="13829" width="9.109375" style="48"/>
    <col min="13830" max="13830" width="11" style="48" customWidth="1"/>
    <col min="13831" max="14080" width="9.109375" style="48"/>
    <col min="14081" max="14081" width="11.44140625" style="48" customWidth="1"/>
    <col min="14082" max="14082" width="10.109375" style="48" customWidth="1"/>
    <col min="14083" max="14085" width="9.109375" style="48"/>
    <col min="14086" max="14086" width="11" style="48" customWidth="1"/>
    <col min="14087" max="14336" width="9.109375" style="48"/>
    <col min="14337" max="14337" width="11.44140625" style="48" customWidth="1"/>
    <col min="14338" max="14338" width="10.109375" style="48" customWidth="1"/>
    <col min="14339" max="14341" width="9.109375" style="48"/>
    <col min="14342" max="14342" width="11" style="48" customWidth="1"/>
    <col min="14343" max="14592" width="9.109375" style="48"/>
    <col min="14593" max="14593" width="11.44140625" style="48" customWidth="1"/>
    <col min="14594" max="14594" width="10.109375" style="48" customWidth="1"/>
    <col min="14595" max="14597" width="9.109375" style="48"/>
    <col min="14598" max="14598" width="11" style="48" customWidth="1"/>
    <col min="14599" max="14848" width="9.109375" style="48"/>
    <col min="14849" max="14849" width="11.44140625" style="48" customWidth="1"/>
    <col min="14850" max="14850" width="10.109375" style="48" customWidth="1"/>
    <col min="14851" max="14853" width="9.109375" style="48"/>
    <col min="14854" max="14854" width="11" style="48" customWidth="1"/>
    <col min="14855" max="15104" width="9.109375" style="48"/>
    <col min="15105" max="15105" width="11.44140625" style="48" customWidth="1"/>
    <col min="15106" max="15106" width="10.109375" style="48" customWidth="1"/>
    <col min="15107" max="15109" width="9.109375" style="48"/>
    <col min="15110" max="15110" width="11" style="48" customWidth="1"/>
    <col min="15111" max="15360" width="9.109375" style="48"/>
    <col min="15361" max="15361" width="11.44140625" style="48" customWidth="1"/>
    <col min="15362" max="15362" width="10.109375" style="48" customWidth="1"/>
    <col min="15363" max="15365" width="9.109375" style="48"/>
    <col min="15366" max="15366" width="11" style="48" customWidth="1"/>
    <col min="15367" max="15616" width="9.109375" style="48"/>
    <col min="15617" max="15617" width="11.44140625" style="48" customWidth="1"/>
    <col min="15618" max="15618" width="10.109375" style="48" customWidth="1"/>
    <col min="15619" max="15621" width="9.109375" style="48"/>
    <col min="15622" max="15622" width="11" style="48" customWidth="1"/>
    <col min="15623" max="15872" width="9.109375" style="48"/>
    <col min="15873" max="15873" width="11.44140625" style="48" customWidth="1"/>
    <col min="15874" max="15874" width="10.109375" style="48" customWidth="1"/>
    <col min="15875" max="15877" width="9.109375" style="48"/>
    <col min="15878" max="15878" width="11" style="48" customWidth="1"/>
    <col min="15879" max="16128" width="9.109375" style="48"/>
    <col min="16129" max="16129" width="11.44140625" style="48" customWidth="1"/>
    <col min="16130" max="16130" width="10.109375" style="48" customWidth="1"/>
    <col min="16131" max="16133" width="9.109375" style="48"/>
    <col min="16134" max="16134" width="11" style="48" customWidth="1"/>
    <col min="16135" max="16384" width="9.109375" style="48"/>
  </cols>
  <sheetData>
    <row r="1" spans="1:9">
      <c r="A1" s="47"/>
      <c r="B1" s="47"/>
      <c r="C1" s="47"/>
      <c r="D1" s="47"/>
      <c r="E1" s="47"/>
      <c r="F1" s="47"/>
      <c r="G1" s="47"/>
      <c r="H1" s="47"/>
      <c r="I1" s="47"/>
    </row>
    <row r="2" spans="1:9">
      <c r="A2" s="47"/>
      <c r="B2" s="47"/>
      <c r="C2" s="47"/>
      <c r="D2" s="47"/>
      <c r="E2" s="47"/>
      <c r="F2" s="47"/>
      <c r="G2" s="47"/>
      <c r="H2" s="47"/>
      <c r="I2" s="47"/>
    </row>
    <row r="3" spans="1:9">
      <c r="A3" s="47"/>
      <c r="B3" s="47"/>
      <c r="C3" s="47"/>
      <c r="D3" s="47"/>
      <c r="E3" s="47"/>
      <c r="F3" s="47"/>
      <c r="G3" s="47"/>
      <c r="H3" s="49"/>
      <c r="I3" s="47"/>
    </row>
    <row r="4" spans="1:9">
      <c r="A4" s="47"/>
      <c r="B4" s="47"/>
      <c r="C4" s="47"/>
      <c r="D4" s="47"/>
      <c r="E4" s="47"/>
      <c r="F4" s="47"/>
      <c r="G4" s="47"/>
      <c r="H4" s="49"/>
      <c r="I4" s="47"/>
    </row>
    <row r="5" spans="1:9">
      <c r="A5" s="47"/>
      <c r="B5" s="47"/>
      <c r="C5" s="47"/>
      <c r="D5" s="47"/>
      <c r="E5" s="47"/>
      <c r="F5" s="47"/>
      <c r="G5" s="47"/>
      <c r="H5" s="47"/>
      <c r="I5" s="47"/>
    </row>
    <row r="6" spans="1:9">
      <c r="A6" s="47"/>
      <c r="B6" s="47"/>
      <c r="C6" s="47"/>
      <c r="D6" s="47"/>
      <c r="E6" s="47"/>
      <c r="F6" s="47"/>
      <c r="G6" s="47"/>
      <c r="H6" s="47"/>
      <c r="I6" s="47"/>
    </row>
    <row r="7" spans="1:9">
      <c r="A7" s="47"/>
      <c r="B7" s="47"/>
      <c r="C7" s="279" t="s">
        <v>128</v>
      </c>
      <c r="D7" s="279"/>
      <c r="E7" s="279"/>
      <c r="F7" s="279"/>
      <c r="G7" s="279"/>
      <c r="H7" s="47"/>
      <c r="I7" s="47"/>
    </row>
    <row r="8" spans="1:9">
      <c r="A8" s="47"/>
      <c r="B8" s="47"/>
      <c r="C8" s="47"/>
      <c r="D8" s="47"/>
      <c r="E8" s="47"/>
      <c r="F8" s="47"/>
      <c r="G8" s="47"/>
      <c r="H8" s="47"/>
      <c r="I8" s="47"/>
    </row>
    <row r="9" spans="1:9">
      <c r="A9" s="47"/>
      <c r="B9" s="47"/>
      <c r="C9" s="47"/>
      <c r="D9" s="47"/>
      <c r="E9" s="47"/>
      <c r="F9" s="47"/>
      <c r="G9" s="47"/>
      <c r="H9" s="47"/>
      <c r="I9" s="47"/>
    </row>
    <row r="10" spans="1:9">
      <c r="A10" s="47"/>
      <c r="B10" s="47"/>
      <c r="C10" s="50" t="s">
        <v>117</v>
      </c>
      <c r="D10" s="50"/>
      <c r="E10" s="50"/>
      <c r="F10" s="50"/>
      <c r="G10" s="50"/>
      <c r="H10" s="47"/>
      <c r="I10" s="47"/>
    </row>
    <row r="11" spans="1:9">
      <c r="A11" s="47"/>
      <c r="B11" s="47"/>
      <c r="C11" s="50" t="s">
        <v>118</v>
      </c>
      <c r="D11" s="50"/>
      <c r="E11" s="50"/>
      <c r="F11" s="50"/>
      <c r="G11" s="50"/>
      <c r="H11" s="47"/>
      <c r="I11" s="47"/>
    </row>
    <row r="12" spans="1:9">
      <c r="A12" s="47"/>
      <c r="B12" s="47"/>
      <c r="C12" s="47"/>
      <c r="D12" s="47"/>
      <c r="E12" s="47"/>
      <c r="F12" s="47"/>
      <c r="G12" s="47"/>
      <c r="H12" s="47"/>
      <c r="I12" s="47"/>
    </row>
    <row r="13" spans="1:9">
      <c r="A13" s="47"/>
      <c r="B13" s="47"/>
      <c r="C13" s="47"/>
      <c r="D13" s="47"/>
      <c r="E13" s="47"/>
      <c r="F13" s="47"/>
      <c r="G13" s="47"/>
      <c r="H13" s="47"/>
      <c r="I13" s="47"/>
    </row>
    <row r="14" spans="1:9">
      <c r="A14" s="47"/>
      <c r="B14" s="47"/>
      <c r="C14" s="47"/>
      <c r="D14" s="47"/>
      <c r="E14" s="47"/>
      <c r="F14" s="47"/>
      <c r="G14" s="47"/>
      <c r="H14" s="47"/>
      <c r="I14" s="47"/>
    </row>
    <row r="15" spans="1:9" s="53" customFormat="1" ht="13.8">
      <c r="A15" s="51" t="s">
        <v>119</v>
      </c>
      <c r="B15" s="52"/>
      <c r="C15" s="51"/>
      <c r="D15" s="51"/>
      <c r="E15" s="51"/>
      <c r="F15" s="51"/>
      <c r="G15" s="51"/>
      <c r="H15" s="51"/>
      <c r="I15" s="51"/>
    </row>
    <row r="16" spans="1:9">
      <c r="A16" s="47"/>
      <c r="B16" s="47"/>
      <c r="C16" s="47"/>
      <c r="D16" s="47"/>
      <c r="E16" s="47"/>
      <c r="F16" s="47"/>
      <c r="G16" s="47"/>
      <c r="H16" s="47"/>
      <c r="I16" s="47"/>
    </row>
    <row r="17" spans="1:9" s="54" customFormat="1">
      <c r="A17" s="280">
        <v>46112</v>
      </c>
      <c r="B17" s="280"/>
      <c r="C17" s="280"/>
      <c r="D17" s="280"/>
      <c r="E17" s="280"/>
      <c r="F17" s="280"/>
      <c r="G17" s="280"/>
      <c r="H17" s="280"/>
      <c r="I17" s="280"/>
    </row>
    <row r="18" spans="1:9">
      <c r="A18" s="47"/>
      <c r="B18" s="47"/>
      <c r="C18" s="47"/>
      <c r="D18" s="47"/>
      <c r="E18" s="47"/>
      <c r="F18" s="47"/>
      <c r="G18" s="47"/>
      <c r="H18" s="47"/>
      <c r="I18" s="47"/>
    </row>
    <row r="19" spans="1:9">
      <c r="A19" s="47"/>
      <c r="B19" s="47"/>
      <c r="C19" s="47"/>
      <c r="D19" s="47"/>
      <c r="E19" s="47"/>
      <c r="F19" s="47"/>
      <c r="G19" s="47"/>
      <c r="H19" s="47"/>
      <c r="I19" s="47"/>
    </row>
    <row r="20" spans="1:9">
      <c r="A20" s="47"/>
      <c r="B20" s="47"/>
      <c r="C20" s="47"/>
      <c r="D20" s="47"/>
      <c r="E20" s="47"/>
      <c r="F20" s="47"/>
      <c r="G20" s="47"/>
      <c r="H20" s="47"/>
      <c r="I20" s="47"/>
    </row>
    <row r="21" spans="1:9">
      <c r="A21" s="47" t="s">
        <v>120</v>
      </c>
      <c r="B21" s="47"/>
      <c r="C21" s="47"/>
      <c r="D21" s="55"/>
      <c r="E21" s="55"/>
      <c r="F21" s="55"/>
      <c r="G21" s="55"/>
      <c r="H21" s="47"/>
      <c r="I21" s="47"/>
    </row>
    <row r="22" spans="1:9">
      <c r="A22" s="47"/>
      <c r="B22" s="47"/>
      <c r="C22" s="47"/>
      <c r="D22" s="47" t="s">
        <v>121</v>
      </c>
      <c r="E22" s="47"/>
      <c r="F22" s="47"/>
      <c r="G22" s="47"/>
      <c r="H22" s="47"/>
      <c r="I22" s="47"/>
    </row>
    <row r="23" spans="1:9">
      <c r="A23" s="281">
        <v>46143</v>
      </c>
      <c r="B23" s="282"/>
      <c r="C23" s="282"/>
      <c r="D23" s="282"/>
      <c r="E23" s="282"/>
      <c r="F23" s="282"/>
      <c r="G23" s="282"/>
      <c r="H23" s="282"/>
      <c r="I23" s="282"/>
    </row>
    <row r="24" spans="1:9">
      <c r="A24" s="47"/>
      <c r="B24" s="47"/>
      <c r="C24" s="47"/>
      <c r="D24" s="47"/>
      <c r="E24" s="47"/>
      <c r="F24" s="47"/>
      <c r="G24" s="47"/>
      <c r="H24" s="47"/>
      <c r="I24" s="47"/>
    </row>
    <row r="25" spans="1:9">
      <c r="A25" s="47"/>
      <c r="B25" s="47"/>
      <c r="C25" s="47"/>
      <c r="D25" s="47"/>
      <c r="E25" s="47"/>
      <c r="F25" s="47"/>
      <c r="G25" s="47"/>
      <c r="H25" s="47"/>
      <c r="I25" s="47"/>
    </row>
    <row r="26" spans="1:9">
      <c r="A26" s="47"/>
      <c r="B26" s="47"/>
      <c r="C26" s="47"/>
      <c r="D26" s="47"/>
      <c r="E26" s="47"/>
      <c r="F26" s="47"/>
      <c r="G26" s="47"/>
      <c r="H26" s="47"/>
      <c r="I26" s="47"/>
    </row>
    <row r="27" spans="1:9">
      <c r="A27" s="47" t="s">
        <v>122</v>
      </c>
      <c r="B27" s="47"/>
      <c r="C27" s="47"/>
      <c r="D27" s="47"/>
      <c r="E27" s="56"/>
      <c r="F27" s="57"/>
      <c r="G27" s="47"/>
      <c r="H27" s="47"/>
      <c r="I27" s="47"/>
    </row>
    <row r="28" spans="1:9">
      <c r="A28" s="47"/>
      <c r="B28" s="47"/>
      <c r="C28" s="47"/>
      <c r="D28" s="47"/>
      <c r="E28" s="47"/>
      <c r="F28" s="47"/>
      <c r="G28" s="47"/>
      <c r="H28" s="47"/>
      <c r="I28" s="47"/>
    </row>
    <row r="29" spans="1:9">
      <c r="A29" s="280">
        <v>46053</v>
      </c>
      <c r="B29" s="283"/>
      <c r="C29" s="283"/>
      <c r="D29" s="283"/>
      <c r="E29" s="283"/>
      <c r="F29" s="283"/>
      <c r="G29" s="283"/>
      <c r="H29" s="283"/>
      <c r="I29" s="283"/>
    </row>
    <row r="30" spans="1:9">
      <c r="A30" s="47"/>
      <c r="B30" s="47"/>
      <c r="C30" s="47"/>
      <c r="D30" s="47"/>
      <c r="E30" s="47"/>
      <c r="F30" s="47"/>
      <c r="G30" s="47"/>
      <c r="H30" s="47"/>
      <c r="I30" s="47"/>
    </row>
    <row r="31" spans="1:9">
      <c r="A31" s="48" t="s">
        <v>232</v>
      </c>
    </row>
    <row r="32" spans="1:9">
      <c r="B32" s="278" t="s">
        <v>235</v>
      </c>
    </row>
    <row r="33" spans="2:2">
      <c r="B33" s="278" t="s">
        <v>245</v>
      </c>
    </row>
    <row r="34" spans="2:2">
      <c r="B34" s="48" t="s">
        <v>260</v>
      </c>
    </row>
    <row r="35" spans="2:2">
      <c r="B35" s="48" t="s">
        <v>261</v>
      </c>
    </row>
    <row r="36" spans="2:2">
      <c r="B36" s="48" t="s">
        <v>262</v>
      </c>
    </row>
    <row r="38" spans="2:2">
      <c r="B38" s="48" t="s">
        <v>263</v>
      </c>
    </row>
    <row r="39" spans="2:2">
      <c r="B39" s="48" t="s">
        <v>267</v>
      </c>
    </row>
    <row r="41" spans="2:2">
      <c r="B41" s="48" t="s">
        <v>265</v>
      </c>
    </row>
    <row r="42" spans="2:2">
      <c r="B42" s="48" t="s">
        <v>266</v>
      </c>
    </row>
  </sheetData>
  <mergeCells count="4">
    <mergeCell ref="C7:G7"/>
    <mergeCell ref="A17:I17"/>
    <mergeCell ref="A23:I23"/>
    <mergeCell ref="A29:I29"/>
  </mergeCells>
  <printOptions horizontalCentered="1"/>
  <pageMargins left="0.75" right="0.75" top="1" bottom="1" header="0.5" footer="0.5"/>
  <pageSetup scale="99" orientation="portrait" r:id="rId1"/>
  <headerFooter alignWithMargins="0">
    <oddHeader>&amp;RPage &amp;P</oddHeader>
    <oddFooter>&amp;LNavitas KYNG, LLC&amp;C&amp;F&amp;R&amp;D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Z48"/>
  <sheetViews>
    <sheetView workbookViewId="0">
      <selection activeCell="L56" sqref="L56"/>
    </sheetView>
  </sheetViews>
  <sheetFormatPr defaultColWidth="9.109375" defaultRowHeight="15"/>
  <cols>
    <col min="1" max="1" width="0.88671875" style="1" customWidth="1"/>
    <col min="2" max="5" width="9.109375" style="1"/>
    <col min="6" max="6" width="13.5546875" style="1" customWidth="1"/>
    <col min="7" max="7" width="18.88671875" style="1" customWidth="1"/>
    <col min="8" max="8" width="11.44140625" style="1" customWidth="1"/>
    <col min="9" max="9" width="0.88671875" style="1" customWidth="1"/>
    <col min="10" max="10" width="15.5546875" style="1" customWidth="1"/>
    <col min="11" max="11" width="0.88671875" style="1" customWidth="1"/>
    <col min="12" max="12" width="9.5546875" style="1" bestFit="1" customWidth="1"/>
    <col min="13" max="14" width="0.88671875" style="1" customWidth="1"/>
    <col min="15" max="15" width="10.77734375" style="1" customWidth="1"/>
    <col min="16" max="16" width="0.88671875" style="1" customWidth="1"/>
    <col min="17" max="17" width="10.77734375" style="1" customWidth="1"/>
    <col min="18" max="18" width="0.88671875" style="1" customWidth="1"/>
    <col min="19" max="19" width="10.6640625" style="1" customWidth="1"/>
    <col min="20" max="20" width="0.88671875" style="1" customWidth="1"/>
    <col min="21" max="21" width="10.6640625" style="1" customWidth="1"/>
    <col min="22" max="22" width="0.88671875" style="1" customWidth="1"/>
    <col min="23" max="23" width="10.6640625" style="1" customWidth="1"/>
    <col min="24" max="24" width="0.88671875" style="1" customWidth="1"/>
    <col min="25" max="25" width="10.6640625" style="1" customWidth="1"/>
    <col min="26" max="26" width="0.88671875" style="1" customWidth="1"/>
    <col min="27" max="16384" width="9.109375" style="1"/>
  </cols>
  <sheetData>
    <row r="4" spans="2:26">
      <c r="B4" s="284" t="s">
        <v>0</v>
      </c>
      <c r="C4" s="284"/>
      <c r="D4" s="284"/>
      <c r="E4" s="284"/>
      <c r="F4" s="284"/>
      <c r="G4" s="284"/>
      <c r="H4" s="284"/>
      <c r="I4" s="284"/>
      <c r="J4" s="284"/>
    </row>
    <row r="6" spans="2:26">
      <c r="B6" s="285" t="s">
        <v>1</v>
      </c>
      <c r="C6" s="285"/>
      <c r="D6" s="285"/>
      <c r="E6" s="285"/>
      <c r="F6" s="285"/>
      <c r="G6" s="285"/>
      <c r="H6" s="285"/>
      <c r="I6" s="285"/>
      <c r="J6" s="285"/>
      <c r="N6" s="262" t="s">
        <v>253</v>
      </c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263"/>
      <c r="Z6" s="264"/>
    </row>
    <row r="7" spans="2:26" ht="15.6">
      <c r="N7" s="265" t="s">
        <v>252</v>
      </c>
      <c r="O7" s="292"/>
      <c r="P7" s="292"/>
      <c r="Q7" s="8"/>
      <c r="R7" s="8"/>
      <c r="S7" s="8"/>
      <c r="T7" s="8"/>
      <c r="U7" s="8"/>
      <c r="V7" s="8"/>
      <c r="W7" s="8"/>
      <c r="X7" s="8"/>
      <c r="Y7" s="8"/>
      <c r="Z7" s="266"/>
    </row>
    <row r="8" spans="2:26">
      <c r="B8" s="4" t="s">
        <v>2</v>
      </c>
      <c r="H8" s="5" t="s">
        <v>3</v>
      </c>
      <c r="J8" s="5" t="s">
        <v>4</v>
      </c>
      <c r="N8" s="224"/>
      <c r="O8" s="5" t="s">
        <v>254</v>
      </c>
      <c r="P8" s="293"/>
      <c r="Q8" s="5" t="s">
        <v>244</v>
      </c>
      <c r="R8" s="2"/>
      <c r="S8" s="5" t="s">
        <v>243</v>
      </c>
      <c r="T8" s="2"/>
      <c r="U8" s="5" t="s">
        <v>242</v>
      </c>
      <c r="V8" s="2"/>
      <c r="W8" s="5" t="s">
        <v>251</v>
      </c>
      <c r="Y8" s="5" t="s">
        <v>251</v>
      </c>
      <c r="Z8" s="266"/>
    </row>
    <row r="9" spans="2:26">
      <c r="N9" s="224"/>
      <c r="O9" s="293"/>
      <c r="P9" s="293"/>
      <c r="Z9" s="266"/>
    </row>
    <row r="10" spans="2:26">
      <c r="B10" s="1" t="s">
        <v>85</v>
      </c>
      <c r="H10" s="6" t="s">
        <v>5</v>
      </c>
      <c r="J10" s="205">
        <f>ROUND(J24,4)</f>
        <v>9.4763999999999999</v>
      </c>
      <c r="N10" s="224"/>
      <c r="O10" s="293" t="s">
        <v>268</v>
      </c>
      <c r="P10" s="293"/>
      <c r="Q10" s="267">
        <v>9.3154000000000003</v>
      </c>
      <c r="R10" s="267"/>
      <c r="S10" s="267">
        <v>9.1480999999999995</v>
      </c>
      <c r="T10" s="267"/>
      <c r="U10" s="267">
        <v>9.0627999999999993</v>
      </c>
      <c r="V10" s="267"/>
      <c r="W10" s="267">
        <v>7.1246</v>
      </c>
      <c r="X10" s="267"/>
      <c r="Y10" s="267">
        <v>8.4109999999999996</v>
      </c>
      <c r="Z10" s="266"/>
    </row>
    <row r="11" spans="2:26">
      <c r="B11" s="1" t="s">
        <v>6</v>
      </c>
      <c r="H11" s="6" t="s">
        <v>5</v>
      </c>
      <c r="J11" s="205">
        <f>ROUND(J32,4)</f>
        <v>0</v>
      </c>
      <c r="N11" s="224"/>
      <c r="O11" s="293"/>
      <c r="P11" s="293"/>
      <c r="Q11" s="267">
        <v>0</v>
      </c>
      <c r="R11" s="267"/>
      <c r="S11" s="267">
        <v>0</v>
      </c>
      <c r="T11" s="267"/>
      <c r="U11" s="267">
        <v>0</v>
      </c>
      <c r="V11" s="267"/>
      <c r="W11" s="267">
        <v>0</v>
      </c>
      <c r="X11" s="267"/>
      <c r="Y11" s="267">
        <v>0</v>
      </c>
      <c r="Z11" s="266"/>
    </row>
    <row r="12" spans="2:26">
      <c r="B12" s="1" t="s">
        <v>7</v>
      </c>
      <c r="H12" s="6" t="s">
        <v>5</v>
      </c>
      <c r="J12" s="205">
        <f>ROUND(J40,4)</f>
        <v>-5.7700000000000001E-2</v>
      </c>
      <c r="N12" s="224"/>
      <c r="O12" s="293" t="s">
        <v>268</v>
      </c>
      <c r="P12" s="293"/>
      <c r="Q12" s="267">
        <f>SUM(Q36:Q39)</f>
        <v>1.2473000000000001</v>
      </c>
      <c r="R12" s="267"/>
      <c r="S12" s="267">
        <f>SUM(S36:S39)</f>
        <v>3.0408999999999997</v>
      </c>
      <c r="T12" s="267"/>
      <c r="U12" s="267">
        <f>SUM(U36:U39)</f>
        <v>2.9316</v>
      </c>
      <c r="V12" s="267"/>
      <c r="W12" s="267">
        <f>SUM(W36:W39)</f>
        <v>2.7949000000000002</v>
      </c>
      <c r="X12" s="267"/>
      <c r="Y12" s="267">
        <f>SUM(Y36:Y39)</f>
        <v>1.3682000000000001</v>
      </c>
      <c r="Z12" s="266"/>
    </row>
    <row r="13" spans="2:26">
      <c r="B13" s="8" t="s">
        <v>8</v>
      </c>
      <c r="C13" s="8"/>
      <c r="D13" s="8"/>
      <c r="E13" s="8"/>
      <c r="F13" s="8"/>
      <c r="G13" s="8"/>
      <c r="H13" s="9" t="s">
        <v>5</v>
      </c>
      <c r="I13" s="8"/>
      <c r="J13" s="206">
        <f>ROUND(J48,4)</f>
        <v>-0.3846</v>
      </c>
      <c r="N13" s="224"/>
      <c r="O13" s="293" t="s">
        <v>268</v>
      </c>
      <c r="P13" s="293"/>
      <c r="Q13" s="267">
        <f>SUM(Q44:Q47)</f>
        <v>0.15190000000000003</v>
      </c>
      <c r="R13" s="267"/>
      <c r="S13" s="267">
        <f>SUM(S44:S47)</f>
        <v>0.17009999999999997</v>
      </c>
      <c r="T13" s="267"/>
      <c r="U13" s="267">
        <f>SUM(U44:U47)</f>
        <v>1.0024999999999999</v>
      </c>
      <c r="V13" s="267"/>
      <c r="W13" s="267">
        <f>SUM(W44:W47)</f>
        <v>0.90640000000000009</v>
      </c>
      <c r="X13" s="267"/>
      <c r="Y13" s="267">
        <f>SUM(Y44:Y47)</f>
        <v>0.61560000000000004</v>
      </c>
      <c r="Z13" s="266"/>
    </row>
    <row r="14" spans="2:26">
      <c r="B14" s="1" t="s">
        <v>9</v>
      </c>
      <c r="H14" s="6" t="s">
        <v>5</v>
      </c>
      <c r="J14" s="204">
        <f>SUM(J10:J13)</f>
        <v>9.0340999999999987</v>
      </c>
      <c r="N14" s="224"/>
      <c r="O14" s="253">
        <f>SUM(O10:O13)</f>
        <v>0</v>
      </c>
      <c r="P14" s="293"/>
      <c r="Q14" s="253">
        <f>SUM(Q10:Q13)</f>
        <v>10.714599999999999</v>
      </c>
      <c r="R14" s="267"/>
      <c r="S14" s="253">
        <f>SUM(S10:S13)</f>
        <v>12.3591</v>
      </c>
      <c r="T14" s="267"/>
      <c r="U14" s="253">
        <f>SUM(U10:U13)</f>
        <v>12.996899999999998</v>
      </c>
      <c r="V14" s="267"/>
      <c r="W14" s="253">
        <f>SUM(W10:W13)</f>
        <v>10.825899999999999</v>
      </c>
      <c r="X14" s="267"/>
      <c r="Y14" s="253">
        <f>SUM(Y10:Y13)</f>
        <v>10.3948</v>
      </c>
      <c r="Z14" s="266"/>
    </row>
    <row r="15" spans="2:26">
      <c r="N15" s="224"/>
      <c r="O15" s="293"/>
      <c r="P15" s="293"/>
      <c r="Q15" s="267"/>
      <c r="R15" s="267"/>
      <c r="S15" s="267"/>
      <c r="T15" s="267"/>
      <c r="U15" s="267"/>
      <c r="V15" s="267"/>
      <c r="W15" s="267"/>
      <c r="X15" s="267"/>
      <c r="Y15" s="267"/>
      <c r="Z15" s="266"/>
    </row>
    <row r="16" spans="2:26">
      <c r="B16" s="1" t="s">
        <v>113</v>
      </c>
      <c r="G16" s="41">
        <v>46143</v>
      </c>
      <c r="N16" s="224"/>
      <c r="O16" s="293"/>
      <c r="P16" s="293"/>
      <c r="Q16" s="267"/>
      <c r="R16" s="267"/>
      <c r="S16" s="267"/>
      <c r="T16" s="267"/>
      <c r="U16" s="267"/>
      <c r="V16" s="267"/>
      <c r="W16" s="267"/>
      <c r="X16" s="267"/>
      <c r="Y16" s="267"/>
      <c r="Z16" s="266"/>
    </row>
    <row r="17" spans="2:26">
      <c r="N17" s="224"/>
      <c r="O17" s="293"/>
      <c r="P17" s="293"/>
      <c r="Q17" s="267"/>
      <c r="R17" s="267"/>
      <c r="S17" s="267"/>
      <c r="T17" s="267"/>
      <c r="U17" s="267"/>
      <c r="V17" s="267"/>
      <c r="W17" s="267"/>
      <c r="X17" s="267"/>
      <c r="Y17" s="267"/>
      <c r="Z17" s="266"/>
    </row>
    <row r="18" spans="2:26" ht="15.6" thickBot="1">
      <c r="B18" s="10"/>
      <c r="C18" s="10"/>
      <c r="D18" s="10"/>
      <c r="E18" s="10"/>
      <c r="F18" s="10"/>
      <c r="G18" s="10"/>
      <c r="H18" s="10"/>
      <c r="I18" s="10"/>
      <c r="J18" s="10"/>
      <c r="N18" s="224"/>
      <c r="O18" s="293"/>
      <c r="P18" s="293"/>
      <c r="Q18" s="267"/>
      <c r="R18" s="267"/>
      <c r="S18" s="267"/>
      <c r="T18" s="267"/>
      <c r="U18" s="267"/>
      <c r="V18" s="267"/>
      <c r="W18" s="267"/>
      <c r="X18" s="267"/>
      <c r="Y18" s="267"/>
      <c r="Z18" s="266"/>
    </row>
    <row r="19" spans="2:26" ht="15.6" thickTop="1">
      <c r="N19" s="224"/>
      <c r="O19" s="293"/>
      <c r="P19" s="293"/>
      <c r="Q19" s="267"/>
      <c r="R19" s="267"/>
      <c r="S19" s="267"/>
      <c r="T19" s="267"/>
      <c r="U19" s="267"/>
      <c r="V19" s="267"/>
      <c r="W19" s="267"/>
      <c r="X19" s="267"/>
      <c r="Y19" s="267"/>
      <c r="Z19" s="266"/>
    </row>
    <row r="20" spans="2:26">
      <c r="B20" s="1" t="s">
        <v>10</v>
      </c>
      <c r="H20" s="5" t="s">
        <v>3</v>
      </c>
      <c r="J20" s="5" t="s">
        <v>4</v>
      </c>
      <c r="N20" s="224"/>
      <c r="O20" s="293"/>
      <c r="P20" s="293"/>
      <c r="Q20" s="267"/>
      <c r="R20" s="267"/>
      <c r="S20" s="267"/>
      <c r="T20" s="267"/>
      <c r="U20" s="267"/>
      <c r="V20" s="267"/>
      <c r="W20" s="267"/>
      <c r="X20" s="267"/>
      <c r="Y20" s="267"/>
      <c r="Z20" s="266"/>
    </row>
    <row r="21" spans="2:26">
      <c r="N21" s="224"/>
      <c r="O21" s="293"/>
      <c r="P21" s="293"/>
      <c r="Q21" s="267"/>
      <c r="R21" s="267"/>
      <c r="S21" s="267"/>
      <c r="T21" s="267"/>
      <c r="U21" s="267"/>
      <c r="V21" s="267"/>
      <c r="W21" s="267"/>
      <c r="X21" s="267"/>
      <c r="Y21" s="267"/>
      <c r="Z21" s="266"/>
    </row>
    <row r="22" spans="2:26">
      <c r="B22" s="1" t="s">
        <v>11</v>
      </c>
      <c r="H22" s="6" t="s">
        <v>5</v>
      </c>
      <c r="J22" s="203">
        <f>'Sch II ECG'!G47</f>
        <v>731374.50038790272</v>
      </c>
      <c r="L22" s="180" t="s">
        <v>237</v>
      </c>
      <c r="M22" s="180"/>
      <c r="N22" s="224"/>
      <c r="O22" s="293"/>
      <c r="P22" s="293"/>
      <c r="Q22" s="267"/>
      <c r="R22" s="267"/>
      <c r="S22" s="267"/>
      <c r="T22" s="267"/>
      <c r="U22" s="267"/>
      <c r="V22" s="267"/>
      <c r="W22" s="267"/>
      <c r="X22" s="267"/>
      <c r="Y22" s="267"/>
      <c r="Z22" s="266"/>
    </row>
    <row r="23" spans="2:26">
      <c r="B23" s="12" t="s">
        <v>84</v>
      </c>
      <c r="C23" s="8"/>
      <c r="D23" s="8"/>
      <c r="E23" s="8"/>
      <c r="F23" s="8"/>
      <c r="G23" s="8"/>
      <c r="H23" s="9" t="s">
        <v>5</v>
      </c>
      <c r="I23" s="8"/>
      <c r="J23" s="186">
        <f>'Sch II ECG'!C40</f>
        <v>77178.399999999994</v>
      </c>
      <c r="L23" s="259" t="s">
        <v>185</v>
      </c>
      <c r="M23" s="260"/>
      <c r="N23" s="224"/>
      <c r="O23" s="293"/>
      <c r="P23" s="293"/>
      <c r="Q23" s="267"/>
      <c r="R23" s="267"/>
      <c r="S23" s="267"/>
      <c r="T23" s="267"/>
      <c r="U23" s="267"/>
      <c r="V23" s="267"/>
      <c r="W23" s="267"/>
      <c r="X23" s="267"/>
      <c r="Y23" s="267"/>
      <c r="Z23" s="266"/>
    </row>
    <row r="24" spans="2:26">
      <c r="B24" s="1" t="s">
        <v>12</v>
      </c>
      <c r="H24" s="6" t="s">
        <v>5</v>
      </c>
      <c r="J24" s="204">
        <f>ROUND(J22/J23,4)</f>
        <v>9.4763999999999999</v>
      </c>
      <c r="L24" s="260" t="s">
        <v>186</v>
      </c>
      <c r="M24" s="260"/>
      <c r="N24" s="224"/>
      <c r="O24" s="293"/>
      <c r="P24" s="293"/>
      <c r="Q24" s="267"/>
      <c r="R24" s="267"/>
      <c r="S24" s="267"/>
      <c r="T24" s="267"/>
      <c r="U24" s="267"/>
      <c r="V24" s="267"/>
      <c r="W24" s="267"/>
      <c r="X24" s="267"/>
      <c r="Y24" s="267"/>
      <c r="Z24" s="266"/>
    </row>
    <row r="25" spans="2:26">
      <c r="H25" s="6"/>
      <c r="L25" s="261" t="s">
        <v>187</v>
      </c>
      <c r="M25" s="260"/>
      <c r="N25" s="224"/>
      <c r="O25" s="293"/>
      <c r="P25" s="293"/>
      <c r="Q25" s="267"/>
      <c r="R25" s="267"/>
      <c r="S25" s="267"/>
      <c r="T25" s="267"/>
      <c r="U25" s="267"/>
      <c r="V25" s="267"/>
      <c r="W25" s="267"/>
      <c r="X25" s="267"/>
      <c r="Y25" s="267"/>
      <c r="Z25" s="266"/>
    </row>
    <row r="26" spans="2:26">
      <c r="B26" s="1" t="s">
        <v>13</v>
      </c>
      <c r="H26" s="5" t="s">
        <v>3</v>
      </c>
      <c r="J26" s="5" t="s">
        <v>4</v>
      </c>
      <c r="N26" s="224"/>
      <c r="O26" s="293"/>
      <c r="P26" s="293"/>
      <c r="Q26" s="267"/>
      <c r="R26" s="267"/>
      <c r="S26" s="267"/>
      <c r="T26" s="267"/>
      <c r="U26" s="267"/>
      <c r="V26" s="267"/>
      <c r="W26" s="267"/>
      <c r="X26" s="267"/>
      <c r="Y26" s="267"/>
      <c r="Z26" s="266"/>
    </row>
    <row r="27" spans="2:26">
      <c r="N27" s="224"/>
      <c r="O27" s="293"/>
      <c r="P27" s="293"/>
      <c r="Q27" s="267"/>
      <c r="R27" s="267"/>
      <c r="S27" s="267"/>
      <c r="T27" s="267"/>
      <c r="U27" s="267"/>
      <c r="V27" s="267"/>
      <c r="W27" s="267"/>
      <c r="X27" s="267"/>
      <c r="Y27" s="267"/>
      <c r="Z27" s="266"/>
    </row>
    <row r="28" spans="2:26">
      <c r="B28" s="1" t="s">
        <v>14</v>
      </c>
      <c r="H28" s="6" t="s">
        <v>5</v>
      </c>
      <c r="J28" s="205">
        <f>'Sch III Sup. Ref.'!E14</f>
        <v>0</v>
      </c>
      <c r="N28" s="224"/>
      <c r="O28" s="293"/>
      <c r="P28" s="293"/>
      <c r="Q28" s="267"/>
      <c r="R28" s="267"/>
      <c r="S28" s="267"/>
      <c r="T28" s="267"/>
      <c r="U28" s="267"/>
      <c r="V28" s="267"/>
      <c r="W28" s="267"/>
      <c r="X28" s="267"/>
      <c r="Y28" s="267"/>
      <c r="Z28" s="266"/>
    </row>
    <row r="29" spans="2:26">
      <c r="B29" s="14" t="s">
        <v>15</v>
      </c>
      <c r="H29" s="6" t="s">
        <v>5</v>
      </c>
      <c r="J29" s="29"/>
      <c r="N29" s="224"/>
      <c r="O29" s="293"/>
      <c r="P29" s="293"/>
      <c r="Q29" s="267"/>
      <c r="R29" s="267"/>
      <c r="S29" s="267"/>
      <c r="T29" s="267"/>
      <c r="U29" s="267"/>
      <c r="V29" s="267"/>
      <c r="W29" s="267"/>
      <c r="X29" s="267"/>
      <c r="Y29" s="267"/>
      <c r="Z29" s="266"/>
    </row>
    <row r="30" spans="2:26">
      <c r="B30" s="14" t="s">
        <v>16</v>
      </c>
      <c r="H30" s="6" t="s">
        <v>5</v>
      </c>
      <c r="J30" s="29"/>
      <c r="N30" s="224"/>
      <c r="O30" s="293"/>
      <c r="P30" s="293"/>
      <c r="Q30" s="267"/>
      <c r="R30" s="267"/>
      <c r="S30" s="267"/>
      <c r="T30" s="267"/>
      <c r="U30" s="267"/>
      <c r="V30" s="267"/>
      <c r="W30" s="267"/>
      <c r="X30" s="267"/>
      <c r="Y30" s="267"/>
      <c r="Z30" s="266"/>
    </row>
    <row r="31" spans="2:26">
      <c r="B31" s="12" t="s">
        <v>17</v>
      </c>
      <c r="C31" s="8"/>
      <c r="D31" s="8"/>
      <c r="E31" s="8"/>
      <c r="F31" s="8"/>
      <c r="G31" s="8"/>
      <c r="H31" s="9" t="s">
        <v>5</v>
      </c>
      <c r="I31" s="8"/>
      <c r="J31" s="33"/>
      <c r="N31" s="224"/>
      <c r="O31" s="293"/>
      <c r="P31" s="293"/>
      <c r="Q31" s="267"/>
      <c r="R31" s="267"/>
      <c r="S31" s="267"/>
      <c r="T31" s="267"/>
      <c r="U31" s="267"/>
      <c r="V31" s="267"/>
      <c r="W31" s="267"/>
      <c r="X31" s="267"/>
      <c r="Y31" s="267"/>
      <c r="Z31" s="266"/>
    </row>
    <row r="32" spans="2:26">
      <c r="B32" s="14" t="s">
        <v>18</v>
      </c>
      <c r="H32" s="6" t="s">
        <v>19</v>
      </c>
      <c r="J32" s="204">
        <f>ROUND(SUM(J28:J31),4)</f>
        <v>0</v>
      </c>
      <c r="N32" s="224"/>
      <c r="O32" s="293"/>
      <c r="P32" s="293"/>
      <c r="Q32" s="267"/>
      <c r="R32" s="267"/>
      <c r="S32" s="267"/>
      <c r="T32" s="267"/>
      <c r="U32" s="267"/>
      <c r="V32" s="267"/>
      <c r="W32" s="267"/>
      <c r="X32" s="267"/>
      <c r="Y32" s="267"/>
      <c r="Z32" s="266"/>
    </row>
    <row r="33" spans="2:26">
      <c r="N33" s="224"/>
      <c r="O33" s="293"/>
      <c r="P33" s="293"/>
      <c r="Q33" s="267"/>
      <c r="R33" s="267"/>
      <c r="S33" s="267"/>
      <c r="T33" s="267"/>
      <c r="U33" s="267"/>
      <c r="V33" s="267"/>
      <c r="W33" s="267"/>
      <c r="X33" s="267"/>
      <c r="Y33" s="267"/>
      <c r="Z33" s="266"/>
    </row>
    <row r="34" spans="2:26">
      <c r="B34" s="1" t="s">
        <v>20</v>
      </c>
      <c r="H34" s="5" t="s">
        <v>3</v>
      </c>
      <c r="J34" s="5" t="s">
        <v>4</v>
      </c>
      <c r="N34" s="224"/>
      <c r="O34" s="293"/>
      <c r="P34" s="293"/>
      <c r="Q34" s="267"/>
      <c r="R34" s="267"/>
      <c r="S34" s="267"/>
      <c r="T34" s="267"/>
      <c r="U34" s="267"/>
      <c r="V34" s="267"/>
      <c r="W34" s="267"/>
      <c r="X34" s="267"/>
      <c r="Y34" s="267"/>
      <c r="Z34" s="266"/>
    </row>
    <row r="35" spans="2:26">
      <c r="N35" s="224"/>
      <c r="O35" s="293"/>
      <c r="P35" s="293"/>
      <c r="Q35" s="267"/>
      <c r="R35" s="267"/>
      <c r="S35" s="267"/>
      <c r="T35" s="267"/>
      <c r="U35" s="267"/>
      <c r="V35" s="267"/>
      <c r="W35" s="267"/>
      <c r="X35" s="267"/>
      <c r="Y35" s="267"/>
      <c r="Z35" s="266"/>
    </row>
    <row r="36" spans="2:26">
      <c r="B36" s="1" t="s">
        <v>21</v>
      </c>
      <c r="H36" s="6" t="s">
        <v>5</v>
      </c>
      <c r="J36" s="7">
        <f>'Sch IV AA'!I25</f>
        <v>0.1217</v>
      </c>
      <c r="N36" s="224"/>
      <c r="O36" s="293"/>
      <c r="P36" s="293"/>
      <c r="Q36" s="267">
        <v>-0.14599999999999999</v>
      </c>
      <c r="R36" s="267"/>
      <c r="S36" s="267">
        <v>0.10929999999999999</v>
      </c>
      <c r="T36" s="267"/>
      <c r="U36" s="267">
        <v>-0.14269999999999999</v>
      </c>
      <c r="V36" s="267"/>
      <c r="W36" s="268">
        <v>1.4267000000000001</v>
      </c>
      <c r="X36" s="267"/>
      <c r="Y36" s="267">
        <v>1.3682000000000001</v>
      </c>
      <c r="Z36" s="266"/>
    </row>
    <row r="37" spans="2:26">
      <c r="B37" s="14" t="s">
        <v>22</v>
      </c>
      <c r="H37" s="6" t="s">
        <v>5</v>
      </c>
      <c r="J37" s="29">
        <f>'AA BA Ladder'!DM16</f>
        <v>-0.14599999999999999</v>
      </c>
      <c r="N37" s="224"/>
      <c r="O37" s="293"/>
      <c r="P37" s="293"/>
      <c r="Q37" s="267">
        <v>0.10929999999999999</v>
      </c>
      <c r="R37" s="267"/>
      <c r="S37" s="267">
        <v>-0.14269999999999999</v>
      </c>
      <c r="T37" s="267"/>
      <c r="U37" s="268">
        <v>1.7060999999999999</v>
      </c>
      <c r="V37" s="267"/>
      <c r="W37" s="267">
        <v>1.3682000000000001</v>
      </c>
      <c r="X37" s="267"/>
      <c r="Y37" s="267"/>
      <c r="Z37" s="266"/>
    </row>
    <row r="38" spans="2:26">
      <c r="B38" s="14" t="s">
        <v>23</v>
      </c>
      <c r="H38" s="6" t="s">
        <v>5</v>
      </c>
      <c r="J38" s="29">
        <f>'AA BA Ladder'!DM15</f>
        <v>0.10929999999999999</v>
      </c>
      <c r="N38" s="224"/>
      <c r="O38" s="293"/>
      <c r="P38" s="293"/>
      <c r="Q38" s="267">
        <v>-0.14269999999999999</v>
      </c>
      <c r="R38" s="267"/>
      <c r="S38" s="268">
        <v>1.7060999999999999</v>
      </c>
      <c r="T38" s="267"/>
      <c r="U38" s="267">
        <v>1.3682000000000001</v>
      </c>
      <c r="V38" s="267"/>
      <c r="W38" s="267"/>
      <c r="X38" s="267"/>
      <c r="Y38" s="267"/>
      <c r="Z38" s="266"/>
    </row>
    <row r="39" spans="2:26">
      <c r="B39" s="12" t="s">
        <v>24</v>
      </c>
      <c r="C39" s="8"/>
      <c r="D39" s="8"/>
      <c r="E39" s="8"/>
      <c r="F39" s="8"/>
      <c r="G39" s="8"/>
      <c r="H39" s="9" t="s">
        <v>5</v>
      </c>
      <c r="I39" s="8"/>
      <c r="J39" s="29">
        <f>'AA BA Ladder'!DM14</f>
        <v>-0.14269999999999999</v>
      </c>
      <c r="N39" s="224"/>
      <c r="O39" s="293"/>
      <c r="P39" s="293"/>
      <c r="Q39" s="268">
        <v>1.4267000000000001</v>
      </c>
      <c r="R39" s="267"/>
      <c r="S39" s="267">
        <v>1.3682000000000001</v>
      </c>
      <c r="T39" s="267"/>
      <c r="U39" s="267"/>
      <c r="V39" s="267"/>
      <c r="W39" s="267"/>
      <c r="X39" s="267"/>
      <c r="Y39" s="267"/>
      <c r="Z39" s="266"/>
    </row>
    <row r="40" spans="2:26">
      <c r="B40" s="14" t="s">
        <v>25</v>
      </c>
      <c r="H40" s="6" t="s">
        <v>19</v>
      </c>
      <c r="J40" s="225">
        <f>ROUND(SUM(J36:J39),4)</f>
        <v>-5.7700000000000001E-2</v>
      </c>
      <c r="N40" s="224"/>
      <c r="O40" s="293"/>
      <c r="P40" s="293"/>
      <c r="Q40" s="267"/>
      <c r="R40" s="267"/>
      <c r="S40" s="267"/>
      <c r="T40" s="267"/>
      <c r="U40" s="267"/>
      <c r="V40" s="267"/>
      <c r="W40" s="267"/>
      <c r="X40" s="267"/>
      <c r="Y40" s="267"/>
      <c r="Z40" s="266"/>
    </row>
    <row r="41" spans="2:26">
      <c r="N41" s="224"/>
      <c r="O41" s="293"/>
      <c r="P41" s="293"/>
      <c r="Q41" s="267"/>
      <c r="R41" s="267"/>
      <c r="S41" s="267"/>
      <c r="T41" s="267"/>
      <c r="U41" s="267"/>
      <c r="V41" s="267"/>
      <c r="W41" s="267"/>
      <c r="X41" s="267"/>
      <c r="Y41" s="267"/>
      <c r="Z41" s="266"/>
    </row>
    <row r="42" spans="2:26">
      <c r="B42" s="1" t="s">
        <v>26</v>
      </c>
      <c r="H42" s="5" t="s">
        <v>3</v>
      </c>
      <c r="J42" s="5" t="s">
        <v>4</v>
      </c>
      <c r="N42" s="224"/>
      <c r="O42" s="293"/>
      <c r="P42" s="293"/>
      <c r="Q42" s="267"/>
      <c r="R42" s="267"/>
      <c r="S42" s="267"/>
      <c r="T42" s="267"/>
      <c r="U42" s="267"/>
      <c r="V42" s="267"/>
      <c r="W42" s="267"/>
      <c r="X42" s="267"/>
      <c r="Y42" s="267"/>
      <c r="Z42" s="266"/>
    </row>
    <row r="43" spans="2:26">
      <c r="N43" s="224"/>
      <c r="O43" s="293"/>
      <c r="P43" s="293"/>
      <c r="Q43" s="267"/>
      <c r="R43" s="267"/>
      <c r="S43" s="267"/>
      <c r="T43" s="267"/>
      <c r="U43" s="267"/>
      <c r="V43" s="267"/>
      <c r="W43" s="267"/>
      <c r="X43" s="267"/>
      <c r="Y43" s="267"/>
      <c r="Z43" s="266"/>
    </row>
    <row r="44" spans="2:26">
      <c r="B44" s="1" t="s">
        <v>27</v>
      </c>
      <c r="H44" s="6" t="s">
        <v>5</v>
      </c>
      <c r="J44" s="7">
        <f>'Sch V BA'!J53</f>
        <v>-0.2457</v>
      </c>
      <c r="N44" s="224"/>
      <c r="O44" s="293"/>
      <c r="P44" s="293"/>
      <c r="Q44" s="267">
        <v>0.59740000000000004</v>
      </c>
      <c r="R44" s="267"/>
      <c r="S44" s="267">
        <v>-0.83240000000000003</v>
      </c>
      <c r="T44" s="267"/>
      <c r="U44" s="267">
        <v>9.6100000000000005E-2</v>
      </c>
      <c r="V44" s="267"/>
      <c r="W44" s="267">
        <v>0.2908</v>
      </c>
      <c r="X44" s="267"/>
      <c r="Y44" s="267">
        <v>0.61560000000000004</v>
      </c>
      <c r="Z44" s="266"/>
    </row>
    <row r="45" spans="2:26">
      <c r="B45" s="14" t="s">
        <v>28</v>
      </c>
      <c r="H45" s="6" t="s">
        <v>5</v>
      </c>
      <c r="J45" s="29">
        <f>'AA BA Ladder'!DM10</f>
        <v>0.59740000000000004</v>
      </c>
      <c r="N45" s="224"/>
      <c r="O45" s="293"/>
      <c r="P45" s="293"/>
      <c r="Q45" s="267">
        <v>-0.83240000000000003</v>
      </c>
      <c r="R45" s="267"/>
      <c r="S45" s="267">
        <v>9.6100000000000005E-2</v>
      </c>
      <c r="T45" s="267"/>
      <c r="U45" s="267">
        <v>0.2908</v>
      </c>
      <c r="V45" s="267"/>
      <c r="W45" s="267">
        <v>0.61560000000000004</v>
      </c>
      <c r="X45" s="267"/>
      <c r="Y45" s="267"/>
      <c r="Z45" s="266"/>
    </row>
    <row r="46" spans="2:26">
      <c r="B46" s="14" t="s">
        <v>29</v>
      </c>
      <c r="H46" s="6" t="s">
        <v>5</v>
      </c>
      <c r="J46" s="29">
        <f>'AA BA Ladder'!DM9</f>
        <v>-0.83240000000000003</v>
      </c>
      <c r="N46" s="224"/>
      <c r="O46" s="293"/>
      <c r="P46" s="293"/>
      <c r="Q46" s="267">
        <v>9.6100000000000005E-2</v>
      </c>
      <c r="R46" s="267"/>
      <c r="S46" s="267">
        <v>0.2908</v>
      </c>
      <c r="T46" s="267"/>
      <c r="U46" s="267">
        <v>0.61560000000000004</v>
      </c>
      <c r="V46" s="267"/>
      <c r="W46" s="267"/>
      <c r="X46" s="267"/>
      <c r="Y46" s="267"/>
      <c r="Z46" s="266"/>
    </row>
    <row r="47" spans="2:26">
      <c r="B47" s="12" t="s">
        <v>30</v>
      </c>
      <c r="C47" s="8"/>
      <c r="D47" s="8"/>
      <c r="E47" s="8"/>
      <c r="F47" s="8"/>
      <c r="G47" s="8"/>
      <c r="H47" s="9" t="s">
        <v>5</v>
      </c>
      <c r="I47" s="8"/>
      <c r="J47" s="29">
        <f>'AA BA Ladder'!DM8</f>
        <v>9.6100000000000005E-2</v>
      </c>
      <c r="N47" s="224"/>
      <c r="O47" s="293"/>
      <c r="P47" s="293"/>
      <c r="Q47" s="267">
        <v>0.2908</v>
      </c>
      <c r="R47" s="267"/>
      <c r="S47" s="267">
        <v>0.61560000000000004</v>
      </c>
      <c r="T47" s="267"/>
      <c r="U47" s="267"/>
      <c r="V47" s="267"/>
      <c r="W47" s="267"/>
      <c r="X47" s="267"/>
      <c r="Y47" s="267"/>
      <c r="Z47" s="266"/>
    </row>
    <row r="48" spans="2:26">
      <c r="B48" s="14" t="s">
        <v>31</v>
      </c>
      <c r="H48" s="6" t="s">
        <v>19</v>
      </c>
      <c r="J48" s="225">
        <f>ROUND(SUM(J44:J47),4)</f>
        <v>-0.3846</v>
      </c>
      <c r="N48" s="269"/>
      <c r="O48" s="8"/>
      <c r="P48" s="8"/>
      <c r="Q48" s="270"/>
      <c r="R48" s="270"/>
      <c r="S48" s="270"/>
      <c r="T48" s="270"/>
      <c r="U48" s="270"/>
      <c r="V48" s="270"/>
      <c r="W48" s="270"/>
      <c r="X48" s="270"/>
      <c r="Y48" s="270"/>
      <c r="Z48" s="271"/>
    </row>
  </sheetData>
  <mergeCells count="2">
    <mergeCell ref="B4:J4"/>
    <mergeCell ref="B6:J6"/>
  </mergeCells>
  <phoneticPr fontId="5" type="noConversion"/>
  <pageMargins left="0.75" right="0.75" top="1" bottom="1" header="0.5" footer="0.5"/>
  <pageSetup scale="83" orientation="portrait" r:id="rId1"/>
  <headerFooter alignWithMargins="0">
    <oddFooter>&amp;LNavitas KYNG, LLC&amp;C&amp;F&amp;R&amp;D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4:AW49"/>
  <sheetViews>
    <sheetView topLeftCell="A24" zoomScale="80" zoomScaleNormal="80" workbookViewId="0">
      <selection activeCell="D53" sqref="D53"/>
    </sheetView>
  </sheetViews>
  <sheetFormatPr defaultColWidth="9.109375" defaultRowHeight="15"/>
  <cols>
    <col min="1" max="1" width="1.5546875" style="1" customWidth="1"/>
    <col min="2" max="2" width="30.88671875" style="1" customWidth="1"/>
    <col min="3" max="3" width="13.5546875" style="1" customWidth="1"/>
    <col min="4" max="4" width="20.44140625" style="1" customWidth="1"/>
    <col min="5" max="5" width="12.88671875" style="1" customWidth="1"/>
    <col min="6" max="6" width="13.5546875" style="1" customWidth="1"/>
    <col min="7" max="7" width="15.5546875" style="1" customWidth="1"/>
    <col min="8" max="8" width="1.5546875" style="1" customWidth="1"/>
    <col min="9" max="9" width="12.88671875" style="49" customWidth="1"/>
    <col min="10" max="10" width="0.88671875" style="49" customWidth="1"/>
    <col min="11" max="11" width="12.88671875" style="49" customWidth="1"/>
    <col min="12" max="12" width="0.88671875" style="49" customWidth="1"/>
    <col min="13" max="13" width="12.88671875" style="49" customWidth="1"/>
    <col min="14" max="14" width="0.88671875" style="1" customWidth="1"/>
    <col min="15" max="15" width="12.88671875" style="49" customWidth="1"/>
    <col min="16" max="16" width="0.88671875" style="49" customWidth="1"/>
    <col min="17" max="17" width="12.88671875" style="49" customWidth="1"/>
    <col min="18" max="18" width="0.88671875" style="49" customWidth="1"/>
    <col min="19" max="19" width="12.88671875" style="49" customWidth="1"/>
    <col min="20" max="20" width="0.88671875" style="1" customWidth="1"/>
    <col min="21" max="21" width="12.88671875" style="49" customWidth="1"/>
    <col min="22" max="22" width="0.88671875" style="49" customWidth="1"/>
    <col min="23" max="23" width="12.88671875" style="49" customWidth="1"/>
    <col min="24" max="24" width="0.88671875" style="49" customWidth="1"/>
    <col min="25" max="25" width="12.88671875" style="49" customWidth="1"/>
    <col min="26" max="26" width="0.88671875" style="1" customWidth="1"/>
    <col min="27" max="27" width="12.88671875" style="49" customWidth="1"/>
    <col min="28" max="28" width="0.88671875" style="49" customWidth="1"/>
    <col min="29" max="29" width="12.88671875" style="49" customWidth="1"/>
    <col min="30" max="30" width="0.88671875" style="49" customWidth="1"/>
    <col min="31" max="31" width="12.88671875" style="49" customWidth="1"/>
    <col min="32" max="32" width="0.88671875" style="49" customWidth="1"/>
    <col min="33" max="33" width="11.5546875" style="49" customWidth="1"/>
    <col min="34" max="34" width="0.88671875" style="49" customWidth="1"/>
    <col min="35" max="35" width="11.5546875" style="49" customWidth="1"/>
    <col min="36" max="36" width="0.88671875" style="49" customWidth="1"/>
    <col min="37" max="37" width="11.5546875" style="49" customWidth="1"/>
    <col min="38" max="38" width="0.88671875" style="49" customWidth="1"/>
    <col min="39" max="39" width="11.5546875" style="49" customWidth="1"/>
    <col min="40" max="40" width="0.88671875" style="49" customWidth="1"/>
    <col min="41" max="41" width="11.5546875" style="49" customWidth="1"/>
    <col min="42" max="42" width="0.88671875" style="49" customWidth="1"/>
    <col min="43" max="43" width="11.5546875" style="49" customWidth="1"/>
    <col min="44" max="44" width="0.88671875" style="49" customWidth="1"/>
    <col min="45" max="45" width="11.5546875" style="49" customWidth="1"/>
    <col min="46" max="46" width="0.88671875" style="49" customWidth="1"/>
    <col min="47" max="47" width="11.5546875" style="49" customWidth="1"/>
    <col min="48" max="48" width="0.88671875" style="49" customWidth="1"/>
    <col min="49" max="49" width="11.5546875" style="49" customWidth="1"/>
    <col min="50" max="50" width="0.88671875" style="1" customWidth="1"/>
    <col min="51" max="51" width="9.109375" style="1"/>
    <col min="52" max="52" width="0.88671875" style="1" customWidth="1"/>
    <col min="53" max="16384" width="9.109375" style="1"/>
  </cols>
  <sheetData>
    <row r="4" spans="2:49">
      <c r="B4" s="284" t="s">
        <v>32</v>
      </c>
      <c r="C4" s="284"/>
      <c r="D4" s="284"/>
      <c r="E4" s="284"/>
      <c r="F4" s="284"/>
      <c r="G4" s="284"/>
    </row>
    <row r="5" spans="2:49" ht="8.1" customHeight="1"/>
    <row r="6" spans="2:49">
      <c r="B6" s="284" t="s">
        <v>33</v>
      </c>
      <c r="C6" s="284"/>
      <c r="D6" s="284"/>
      <c r="E6" s="284"/>
      <c r="F6" s="284"/>
      <c r="G6" s="284"/>
      <c r="I6" s="183">
        <v>2026</v>
      </c>
      <c r="AG6" s="183">
        <v>2025</v>
      </c>
    </row>
    <row r="7" spans="2:49" ht="8.1" customHeight="1"/>
    <row r="8" spans="2:49" ht="8.1" customHeight="1">
      <c r="I8" s="181"/>
      <c r="J8" s="181"/>
      <c r="K8" s="181"/>
      <c r="L8" s="181"/>
      <c r="M8" s="214"/>
      <c r="O8" s="181"/>
      <c r="P8" s="181"/>
      <c r="Q8" s="181"/>
      <c r="R8" s="181"/>
      <c r="S8" s="214"/>
      <c r="U8" s="181"/>
      <c r="V8" s="181"/>
      <c r="W8" s="181"/>
      <c r="X8" s="181"/>
      <c r="Y8" s="214"/>
      <c r="AA8" s="181"/>
      <c r="AB8" s="181"/>
      <c r="AC8" s="181"/>
      <c r="AD8" s="181"/>
      <c r="AE8" s="214"/>
      <c r="AG8" s="181"/>
      <c r="AH8" s="181"/>
      <c r="AI8" s="181"/>
      <c r="AJ8" s="181"/>
      <c r="AK8" s="214"/>
      <c r="AM8" s="181"/>
      <c r="AN8" s="181"/>
      <c r="AO8" s="181"/>
      <c r="AP8" s="181"/>
      <c r="AQ8" s="214"/>
      <c r="AS8" s="181"/>
      <c r="AT8" s="181"/>
      <c r="AU8" s="181"/>
      <c r="AV8" s="181"/>
      <c r="AW8" s="181"/>
    </row>
    <row r="9" spans="2:49">
      <c r="B9" s="1" t="s">
        <v>34</v>
      </c>
      <c r="D9" s="187">
        <v>46053</v>
      </c>
      <c r="I9" s="242" t="s">
        <v>181</v>
      </c>
      <c r="J9" s="64"/>
      <c r="K9" s="242" t="s">
        <v>192</v>
      </c>
      <c r="L9" s="64"/>
      <c r="M9" s="243" t="s">
        <v>191</v>
      </c>
      <c r="O9" s="182" t="s">
        <v>190</v>
      </c>
      <c r="Q9" s="182" t="s">
        <v>189</v>
      </c>
      <c r="S9" s="215" t="s">
        <v>188</v>
      </c>
      <c r="U9" s="182" t="s">
        <v>187</v>
      </c>
      <c r="W9" s="182" t="s">
        <v>186</v>
      </c>
      <c r="Y9" s="215" t="s">
        <v>185</v>
      </c>
      <c r="AA9" s="182" t="s">
        <v>184</v>
      </c>
      <c r="AC9" s="182" t="s">
        <v>183</v>
      </c>
      <c r="AE9" s="215" t="s">
        <v>182</v>
      </c>
      <c r="AG9" s="182" t="s">
        <v>181</v>
      </c>
      <c r="AI9" s="182" t="s">
        <v>192</v>
      </c>
      <c r="AK9" s="215" t="s">
        <v>191</v>
      </c>
      <c r="AM9" s="182" t="s">
        <v>190</v>
      </c>
      <c r="AO9" s="182" t="s">
        <v>189</v>
      </c>
      <c r="AQ9" s="215" t="s">
        <v>188</v>
      </c>
      <c r="AS9" s="182" t="s">
        <v>187</v>
      </c>
      <c r="AU9" s="182" t="s">
        <v>186</v>
      </c>
      <c r="AW9" s="182" t="s">
        <v>185</v>
      </c>
    </row>
    <row r="10" spans="2:49">
      <c r="K10" s="71" t="s">
        <v>218</v>
      </c>
      <c r="M10" s="216"/>
      <c r="N10" s="49"/>
      <c r="Q10" s="183" t="s">
        <v>219</v>
      </c>
      <c r="S10" s="216"/>
      <c r="T10" s="49"/>
      <c r="W10" s="183" t="s">
        <v>220</v>
      </c>
      <c r="Y10" s="216"/>
      <c r="Z10" s="49"/>
      <c r="AC10" s="183" t="s">
        <v>221</v>
      </c>
      <c r="AE10" s="216"/>
      <c r="AI10" s="183" t="s">
        <v>221</v>
      </c>
      <c r="AK10" s="216"/>
      <c r="AO10" s="183" t="s">
        <v>221</v>
      </c>
      <c r="AQ10" s="216"/>
      <c r="AU10" s="183" t="s">
        <v>221</v>
      </c>
    </row>
    <row r="11" spans="2:49">
      <c r="B11" s="6" t="s">
        <v>35</v>
      </c>
      <c r="C11" s="6" t="s">
        <v>36</v>
      </c>
      <c r="D11" s="6" t="s">
        <v>37</v>
      </c>
      <c r="E11" s="6" t="s">
        <v>38</v>
      </c>
      <c r="F11" s="6" t="s">
        <v>39</v>
      </c>
      <c r="G11" s="6" t="s">
        <v>40</v>
      </c>
      <c r="M11" s="216"/>
      <c r="S11" s="216"/>
      <c r="Y11" s="216"/>
      <c r="AE11" s="216"/>
      <c r="AK11" s="216"/>
      <c r="AQ11" s="216"/>
    </row>
    <row r="12" spans="2:49">
      <c r="B12" s="2"/>
      <c r="C12" s="2"/>
      <c r="D12" s="2" t="s">
        <v>41</v>
      </c>
      <c r="E12" s="2"/>
      <c r="F12" s="2"/>
      <c r="G12" s="6" t="s">
        <v>42</v>
      </c>
      <c r="M12" s="216"/>
      <c r="S12" s="216"/>
      <c r="Y12" s="216"/>
      <c r="AE12" s="216"/>
      <c r="AK12" s="216"/>
      <c r="AQ12" s="216"/>
    </row>
    <row r="13" spans="2:49">
      <c r="B13" s="5" t="s">
        <v>43</v>
      </c>
      <c r="C13" s="5" t="s">
        <v>44</v>
      </c>
      <c r="D13" s="5" t="s">
        <v>45</v>
      </c>
      <c r="E13" s="5" t="s">
        <v>46</v>
      </c>
      <c r="F13" s="5" t="s">
        <v>47</v>
      </c>
      <c r="G13" s="5" t="s">
        <v>48</v>
      </c>
      <c r="I13" s="98"/>
      <c r="J13" s="98"/>
      <c r="K13" s="98"/>
      <c r="L13" s="98"/>
      <c r="M13" s="217"/>
      <c r="O13" s="98"/>
      <c r="P13" s="98"/>
      <c r="Q13" s="98"/>
      <c r="R13" s="98"/>
      <c r="S13" s="217"/>
      <c r="U13" s="98"/>
      <c r="V13" s="98"/>
      <c r="W13" s="98"/>
      <c r="X13" s="98"/>
      <c r="Y13" s="217"/>
      <c r="AA13" s="98"/>
      <c r="AB13" s="98"/>
      <c r="AC13" s="98"/>
      <c r="AD13" s="98"/>
      <c r="AE13" s="217"/>
      <c r="AF13" s="98"/>
      <c r="AG13" s="98"/>
      <c r="AH13" s="98"/>
      <c r="AI13" s="98"/>
      <c r="AJ13" s="98"/>
      <c r="AK13" s="217"/>
      <c r="AL13" s="98"/>
      <c r="AM13" s="98"/>
      <c r="AN13" s="98"/>
      <c r="AO13" s="98"/>
      <c r="AP13" s="98"/>
      <c r="AQ13" s="217"/>
      <c r="AR13" s="98"/>
      <c r="AS13" s="98"/>
      <c r="AT13" s="98"/>
      <c r="AU13" s="98"/>
      <c r="AV13" s="98"/>
      <c r="AW13" s="98"/>
    </row>
    <row r="14" spans="2:49" ht="15.6">
      <c r="B14" s="178" t="s">
        <v>168</v>
      </c>
      <c r="C14" s="179"/>
      <c r="E14" s="179"/>
      <c r="F14" s="11"/>
      <c r="G14" s="11"/>
      <c r="J14" s="98"/>
      <c r="L14" s="98"/>
      <c r="M14" s="216"/>
      <c r="P14" s="98"/>
      <c r="R14" s="98"/>
      <c r="S14" s="216"/>
      <c r="V14" s="98"/>
      <c r="X14" s="98"/>
      <c r="Y14" s="216"/>
      <c r="AB14" s="98"/>
      <c r="AD14" s="98"/>
      <c r="AE14" s="216"/>
      <c r="AF14" s="98"/>
      <c r="AH14" s="98"/>
      <c r="AJ14" s="98"/>
      <c r="AK14" s="216"/>
      <c r="AL14" s="98"/>
      <c r="AN14" s="98"/>
      <c r="AP14" s="98"/>
      <c r="AQ14" s="216"/>
      <c r="AR14" s="98"/>
      <c r="AS14" s="98"/>
      <c r="AT14" s="98"/>
      <c r="AU14" s="98"/>
      <c r="AV14" s="98"/>
      <c r="AW14" s="98"/>
    </row>
    <row r="15" spans="2:49" ht="15.6">
      <c r="B15" s="67" t="s">
        <v>212</v>
      </c>
      <c r="C15" s="179"/>
      <c r="E15" s="179"/>
      <c r="F15" s="11"/>
      <c r="G15" s="11"/>
      <c r="J15" s="192"/>
      <c r="L15" s="192"/>
      <c r="N15" s="224"/>
      <c r="P15" s="192"/>
      <c r="R15" s="192"/>
      <c r="T15" s="224"/>
      <c r="V15" s="192"/>
      <c r="X15" s="192"/>
      <c r="Z15" s="224"/>
      <c r="AB15" s="192"/>
      <c r="AD15" s="192"/>
      <c r="AE15" s="216"/>
      <c r="AF15" s="192"/>
      <c r="AH15" s="192"/>
      <c r="AJ15" s="192"/>
      <c r="AK15" s="216"/>
      <c r="AL15" s="192"/>
      <c r="AN15" s="192"/>
      <c r="AP15" s="192"/>
      <c r="AQ15" s="216"/>
      <c r="AR15" s="192"/>
      <c r="AS15" s="192"/>
      <c r="AT15" s="192"/>
      <c r="AU15" s="192"/>
      <c r="AV15" s="192"/>
      <c r="AW15" s="192"/>
    </row>
    <row r="16" spans="2:49">
      <c r="B16" s="180" t="s">
        <v>125</v>
      </c>
      <c r="C16" s="179"/>
      <c r="E16" s="179"/>
      <c r="F16" s="11"/>
      <c r="G16" s="190">
        <f>SUM(H16:$AE16)</f>
        <v>340271.54</v>
      </c>
      <c r="I16" s="196">
        <v>65499.72</v>
      </c>
      <c r="J16" s="98"/>
      <c r="K16" s="196">
        <v>47599.6</v>
      </c>
      <c r="L16" s="98"/>
      <c r="M16" s="196">
        <v>25601.49</v>
      </c>
      <c r="N16" s="224"/>
      <c r="O16" s="196">
        <v>16647.93</v>
      </c>
      <c r="P16" s="98"/>
      <c r="Q16" s="196">
        <v>12264.2</v>
      </c>
      <c r="R16" s="98"/>
      <c r="S16" s="196">
        <v>12784.8</v>
      </c>
      <c r="T16" s="224"/>
      <c r="U16" s="196">
        <v>13436.28</v>
      </c>
      <c r="V16" s="98"/>
      <c r="W16" s="196">
        <v>19678.900000000001</v>
      </c>
      <c r="X16" s="98"/>
      <c r="Y16" s="196">
        <v>16211.22</v>
      </c>
      <c r="Z16" s="224"/>
      <c r="AA16" s="189">
        <v>22949.15</v>
      </c>
      <c r="AB16" s="98"/>
      <c r="AC16" s="189">
        <v>38779.449999999997</v>
      </c>
      <c r="AD16" s="98"/>
      <c r="AE16" s="218">
        <v>48818.8</v>
      </c>
      <c r="AF16" s="98"/>
      <c r="AG16" s="196">
        <v>84288.6</v>
      </c>
      <c r="AH16" s="98"/>
      <c r="AI16" s="196">
        <v>46762.65</v>
      </c>
      <c r="AJ16" s="98"/>
      <c r="AK16" s="221">
        <v>36131.4</v>
      </c>
      <c r="AL16" s="98"/>
      <c r="AM16" s="196">
        <v>39854.699999999997</v>
      </c>
      <c r="AN16" s="98"/>
      <c r="AO16" s="196">
        <v>30567.39</v>
      </c>
      <c r="AP16" s="98"/>
      <c r="AQ16" s="221">
        <v>10371.200000000001</v>
      </c>
      <c r="AR16" s="98"/>
      <c r="AS16" s="196">
        <v>11383.68</v>
      </c>
      <c r="AT16" s="98"/>
      <c r="AU16" s="196">
        <v>6072</v>
      </c>
      <c r="AV16" s="98"/>
      <c r="AW16" s="196">
        <v>1027.2</v>
      </c>
    </row>
    <row r="17" spans="2:49">
      <c r="B17" s="180" t="s">
        <v>213</v>
      </c>
      <c r="C17" s="179"/>
      <c r="E17" s="179"/>
      <c r="F17" s="11"/>
      <c r="G17" s="190">
        <f>SUM(H17:$AE17)</f>
        <v>184904.52</v>
      </c>
      <c r="I17" s="196">
        <v>10089.959999999999</v>
      </c>
      <c r="J17" s="98"/>
      <c r="K17" s="273">
        <v>14805.38</v>
      </c>
      <c r="L17" s="98"/>
      <c r="M17" s="196">
        <v>14429.03</v>
      </c>
      <c r="N17" s="224"/>
      <c r="O17" s="196">
        <v>14719.76</v>
      </c>
      <c r="P17" s="98"/>
      <c r="Q17" s="196">
        <v>13085.4</v>
      </c>
      <c r="R17" s="98"/>
      <c r="S17" s="196">
        <v>14879.85</v>
      </c>
      <c r="T17" s="224"/>
      <c r="U17" s="196">
        <v>16302.88</v>
      </c>
      <c r="V17" s="98"/>
      <c r="W17" s="196">
        <v>15122.25</v>
      </c>
      <c r="X17" s="98"/>
      <c r="Y17" s="196">
        <v>16365.8</v>
      </c>
      <c r="Z17" s="224"/>
      <c r="AA17" s="189">
        <v>18420.45</v>
      </c>
      <c r="AB17" s="98"/>
      <c r="AC17" s="189">
        <v>18620.46</v>
      </c>
      <c r="AD17" s="98"/>
      <c r="AE17" s="218">
        <v>18063.3</v>
      </c>
      <c r="AF17" s="98"/>
      <c r="AG17" s="189">
        <v>17738.82</v>
      </c>
      <c r="AH17" s="98"/>
      <c r="AI17" s="189">
        <v>14510.64</v>
      </c>
      <c r="AJ17" s="98"/>
      <c r="AK17" s="218">
        <v>12375.15</v>
      </c>
      <c r="AL17" s="98"/>
      <c r="AM17" s="189">
        <v>13284.08</v>
      </c>
      <c r="AN17" s="98"/>
      <c r="AO17" s="189">
        <v>14539.68</v>
      </c>
      <c r="AP17" s="98"/>
      <c r="AQ17" s="218">
        <v>12556.35</v>
      </c>
      <c r="AR17" s="98"/>
      <c r="AS17" s="189">
        <v>12612.6</v>
      </c>
      <c r="AT17" s="98"/>
      <c r="AU17" s="189">
        <v>7405.37</v>
      </c>
      <c r="AV17" s="98"/>
      <c r="AW17" s="189">
        <v>7574.05</v>
      </c>
    </row>
    <row r="18" spans="2:49">
      <c r="B18" s="180" t="s">
        <v>214</v>
      </c>
      <c r="C18" s="179"/>
      <c r="E18" s="179"/>
      <c r="F18" s="11"/>
      <c r="G18" s="190">
        <f>SUM(H18:$AE18)</f>
        <v>-2932.57</v>
      </c>
      <c r="I18" s="189">
        <v>-1224.19</v>
      </c>
      <c r="J18" s="98"/>
      <c r="K18" s="189">
        <v>296.66000000000003</v>
      </c>
      <c r="L18" s="98"/>
      <c r="M18" s="189">
        <f>540.18-1266.82-89.91</f>
        <v>-816.55</v>
      </c>
      <c r="N18" s="224"/>
      <c r="O18" s="189"/>
      <c r="P18" s="98"/>
      <c r="Q18" s="189"/>
      <c r="R18" s="98"/>
      <c r="S18" s="189"/>
      <c r="T18" s="224"/>
      <c r="U18" s="189"/>
      <c r="V18" s="98"/>
      <c r="W18" s="189"/>
      <c r="X18" s="98"/>
      <c r="Y18" s="189"/>
      <c r="Z18" s="224"/>
      <c r="AA18" s="189">
        <v>0</v>
      </c>
      <c r="AB18" s="98"/>
      <c r="AC18" s="189">
        <v>-365.36</v>
      </c>
      <c r="AD18" s="98"/>
      <c r="AE18" s="218">
        <v>-823.13</v>
      </c>
      <c r="AF18" s="98"/>
      <c r="AG18" s="196">
        <v>-141.77000000000001</v>
      </c>
      <c r="AH18" s="98"/>
      <c r="AI18" s="189">
        <v>0</v>
      </c>
      <c r="AJ18" s="98"/>
      <c r="AK18" s="218">
        <v>0</v>
      </c>
      <c r="AL18" s="98"/>
      <c r="AM18" s="189">
        <v>0</v>
      </c>
      <c r="AN18" s="98"/>
      <c r="AO18" s="189">
        <v>0</v>
      </c>
      <c r="AP18" s="98"/>
      <c r="AQ18" s="218">
        <v>0</v>
      </c>
      <c r="AR18" s="98"/>
      <c r="AS18" s="189">
        <v>0</v>
      </c>
      <c r="AT18" s="98"/>
      <c r="AU18" s="189">
        <v>0</v>
      </c>
      <c r="AV18" s="98"/>
      <c r="AW18" s="189">
        <v>0</v>
      </c>
    </row>
    <row r="19" spans="2:49">
      <c r="B19" s="180" t="s">
        <v>215</v>
      </c>
      <c r="C19" s="179"/>
      <c r="E19" s="179"/>
      <c r="F19" s="11"/>
      <c r="G19" s="190">
        <f>SUM(H19:$AE19)</f>
        <v>0</v>
      </c>
      <c r="I19" s="189">
        <v>0</v>
      </c>
      <c r="J19" s="98"/>
      <c r="K19" s="189">
        <v>0</v>
      </c>
      <c r="L19" s="98"/>
      <c r="M19" s="189">
        <v>0</v>
      </c>
      <c r="N19" s="224"/>
      <c r="O19" s="189">
        <v>0</v>
      </c>
      <c r="P19" s="98"/>
      <c r="Q19" s="189">
        <v>0</v>
      </c>
      <c r="R19" s="98"/>
      <c r="S19" s="189">
        <v>0</v>
      </c>
      <c r="T19" s="224"/>
      <c r="U19" s="189">
        <v>0</v>
      </c>
      <c r="V19" s="98"/>
      <c r="W19" s="189">
        <v>0</v>
      </c>
      <c r="X19" s="98"/>
      <c r="Y19" s="189">
        <v>0</v>
      </c>
      <c r="Z19" s="224"/>
      <c r="AA19" s="189">
        <v>0</v>
      </c>
      <c r="AB19" s="98"/>
      <c r="AC19" s="189">
        <v>0</v>
      </c>
      <c r="AD19" s="98"/>
      <c r="AE19" s="218">
        <v>0</v>
      </c>
      <c r="AF19" s="98"/>
      <c r="AG19" s="189">
        <v>0</v>
      </c>
      <c r="AH19" s="98"/>
      <c r="AI19" s="189">
        <v>0</v>
      </c>
      <c r="AJ19" s="98"/>
      <c r="AK19" s="218">
        <v>0</v>
      </c>
      <c r="AL19" s="98"/>
      <c r="AM19" s="189">
        <v>0</v>
      </c>
      <c r="AN19" s="98"/>
      <c r="AO19" s="189">
        <v>0</v>
      </c>
      <c r="AP19" s="98"/>
      <c r="AQ19" s="218">
        <v>0</v>
      </c>
      <c r="AR19" s="98"/>
      <c r="AS19" s="189">
        <v>0</v>
      </c>
      <c r="AT19" s="98"/>
      <c r="AU19" s="189">
        <v>0</v>
      </c>
      <c r="AV19" s="98"/>
      <c r="AW19" s="189">
        <v>0</v>
      </c>
    </row>
    <row r="20" spans="2:49" ht="15.6">
      <c r="B20" s="176" t="s">
        <v>216</v>
      </c>
      <c r="C20" s="27"/>
      <c r="D20" s="26"/>
      <c r="E20" s="27"/>
      <c r="F20" s="29"/>
      <c r="G20" s="194">
        <f>SUM(G16:G19)</f>
        <v>522243.48999999993</v>
      </c>
      <c r="I20" s="192"/>
      <c r="J20" s="192"/>
      <c r="K20" s="192"/>
      <c r="L20" s="192"/>
      <c r="M20" s="192"/>
      <c r="N20" s="224"/>
      <c r="O20" s="192"/>
      <c r="P20" s="192"/>
      <c r="Q20" s="192"/>
      <c r="R20" s="192"/>
      <c r="S20" s="192"/>
      <c r="T20" s="224"/>
      <c r="U20" s="192"/>
      <c r="V20" s="192"/>
      <c r="W20" s="192"/>
      <c r="X20" s="192"/>
      <c r="Y20" s="192"/>
      <c r="Z20" s="224"/>
      <c r="AA20" s="193"/>
      <c r="AB20" s="129"/>
      <c r="AC20" s="193"/>
      <c r="AD20" s="129"/>
      <c r="AE20" s="219"/>
      <c r="AF20" s="129"/>
      <c r="AG20" s="193"/>
      <c r="AH20" s="129"/>
      <c r="AI20" s="193"/>
      <c r="AJ20" s="129"/>
      <c r="AK20" s="219"/>
      <c r="AL20" s="129"/>
      <c r="AM20" s="193"/>
      <c r="AN20" s="129"/>
      <c r="AO20" s="193"/>
      <c r="AP20" s="129"/>
      <c r="AQ20" s="216"/>
      <c r="AR20" s="129"/>
      <c r="AS20" s="193"/>
      <c r="AT20" s="129"/>
      <c r="AU20" s="193"/>
      <c r="AV20" s="129"/>
      <c r="AW20" s="193"/>
    </row>
    <row r="21" spans="2:49" ht="15.6">
      <c r="B21" s="177" t="s">
        <v>217</v>
      </c>
      <c r="C21" s="27"/>
      <c r="D21" s="26"/>
      <c r="E21" s="27"/>
      <c r="F21" s="29"/>
      <c r="G21" s="11"/>
      <c r="I21" s="98"/>
      <c r="J21" s="192"/>
      <c r="K21" s="98"/>
      <c r="L21" s="192"/>
      <c r="M21" s="98"/>
      <c r="N21" s="224"/>
      <c r="O21" s="98"/>
      <c r="P21" s="192"/>
      <c r="Q21" s="98"/>
      <c r="R21" s="192"/>
      <c r="S21" s="98"/>
      <c r="T21" s="224"/>
      <c r="U21" s="98"/>
      <c r="V21" s="192"/>
      <c r="W21" s="98"/>
      <c r="X21" s="192"/>
      <c r="Y21" s="98"/>
      <c r="Z21" s="224"/>
      <c r="AB21" s="192"/>
      <c r="AD21" s="192"/>
      <c r="AE21" s="216"/>
      <c r="AF21" s="192"/>
      <c r="AH21" s="192"/>
      <c r="AJ21" s="192"/>
      <c r="AK21" s="216"/>
      <c r="AL21" s="192"/>
      <c r="AN21" s="192"/>
      <c r="AP21" s="192"/>
      <c r="AQ21" s="216"/>
      <c r="AR21" s="192"/>
      <c r="AS21" s="192"/>
      <c r="AT21" s="192"/>
      <c r="AU21" s="192"/>
      <c r="AV21" s="192"/>
      <c r="AW21" s="192"/>
    </row>
    <row r="22" spans="2:49">
      <c r="B22" s="180" t="s">
        <v>222</v>
      </c>
      <c r="C22" s="179"/>
      <c r="E22" s="179"/>
      <c r="F22" s="7"/>
      <c r="G22" s="190">
        <f>SUM(H22:$AE22)</f>
        <v>32232.94</v>
      </c>
      <c r="I22" s="189">
        <v>4794.97</v>
      </c>
      <c r="J22" s="98"/>
      <c r="K22" s="196">
        <v>4008.35</v>
      </c>
      <c r="L22" s="98"/>
      <c r="M22" s="189">
        <f>4757.83-10</f>
        <v>4747.83</v>
      </c>
      <c r="N22" s="224"/>
      <c r="O22" s="189">
        <v>2158.9899999999998</v>
      </c>
      <c r="P22" s="98"/>
      <c r="Q22" s="196">
        <v>2153.7399999999998</v>
      </c>
      <c r="R22" s="98"/>
      <c r="S22" s="189">
        <v>1069.03</v>
      </c>
      <c r="T22" s="224"/>
      <c r="U22" s="189">
        <v>2452.77</v>
      </c>
      <c r="V22" s="98"/>
      <c r="W22" s="196">
        <v>1859.65</v>
      </c>
      <c r="X22" s="98"/>
      <c r="Y22" s="196">
        <v>2587.39</v>
      </c>
      <c r="Z22" s="224"/>
      <c r="AA22" s="189">
        <v>2123.75</v>
      </c>
      <c r="AB22" s="98"/>
      <c r="AC22" s="189">
        <v>2144.91</v>
      </c>
      <c r="AD22" s="98"/>
      <c r="AE22" s="218">
        <v>2131.56</v>
      </c>
      <c r="AF22" s="98"/>
      <c r="AG22" s="196">
        <v>2155.63</v>
      </c>
      <c r="AH22" s="98"/>
      <c r="AI22" s="196">
        <f>2131.59+264.42</f>
        <v>2396.0100000000002</v>
      </c>
      <c r="AJ22" s="98"/>
      <c r="AK22" s="221">
        <f>2116.09-180.47</f>
        <v>1935.6200000000001</v>
      </c>
      <c r="AL22" s="98"/>
      <c r="AM22" s="196">
        <v>1389.07</v>
      </c>
      <c r="AN22" s="98"/>
      <c r="AO22" s="196">
        <v>2038.64</v>
      </c>
      <c r="AP22" s="98"/>
      <c r="AQ22" s="221">
        <v>2145.0500000000002</v>
      </c>
      <c r="AR22" s="98"/>
      <c r="AS22" s="196">
        <v>2107.77</v>
      </c>
      <c r="AT22" s="98"/>
      <c r="AU22" s="196">
        <v>2099.37</v>
      </c>
      <c r="AV22" s="98"/>
      <c r="AW22" s="196">
        <v>2083.6799999999998</v>
      </c>
    </row>
    <row r="23" spans="2:49">
      <c r="B23" s="180" t="s">
        <v>223</v>
      </c>
      <c r="C23" s="179"/>
      <c r="E23" s="179"/>
      <c r="F23" s="7"/>
      <c r="G23" s="190">
        <f>SUM(H23:$AE23)</f>
        <v>199318.37</v>
      </c>
      <c r="I23" s="197">
        <v>25571.57</v>
      </c>
      <c r="J23" s="98"/>
      <c r="K23" s="197">
        <v>17838.419999999998</v>
      </c>
      <c r="L23" s="98"/>
      <c r="M23" s="197">
        <v>14507.13</v>
      </c>
      <c r="N23" s="224"/>
      <c r="O23" s="197">
        <v>14151.18</v>
      </c>
      <c r="P23" s="98"/>
      <c r="Q23" s="197">
        <v>11219.32</v>
      </c>
      <c r="R23" s="98"/>
      <c r="S23" s="197">
        <v>13627.63</v>
      </c>
      <c r="T23" s="224"/>
      <c r="U23" s="197">
        <v>13841.42</v>
      </c>
      <c r="V23" s="98"/>
      <c r="W23" s="197">
        <v>16612.96</v>
      </c>
      <c r="X23" s="98"/>
      <c r="Y23" s="197">
        <v>14667.45</v>
      </c>
      <c r="Z23" s="224"/>
      <c r="AA23" s="189">
        <v>16917.29</v>
      </c>
      <c r="AB23" s="98"/>
      <c r="AC23" s="189">
        <v>19911.64</v>
      </c>
      <c r="AD23" s="98"/>
      <c r="AE23" s="218">
        <v>20452.36</v>
      </c>
      <c r="AF23" s="98"/>
      <c r="AG23" s="197">
        <v>29948.98</v>
      </c>
      <c r="AH23" s="98"/>
      <c r="AI23" s="197">
        <v>22112.57</v>
      </c>
      <c r="AJ23" s="98"/>
      <c r="AK23" s="222">
        <v>21740.32</v>
      </c>
      <c r="AL23" s="98"/>
      <c r="AM23" s="197">
        <v>25253.66</v>
      </c>
      <c r="AN23" s="98"/>
      <c r="AO23" s="197">
        <v>23395.09</v>
      </c>
      <c r="AP23" s="98"/>
      <c r="AQ23" s="222">
        <v>13890.33</v>
      </c>
      <c r="AR23" s="98"/>
      <c r="AS23" s="197">
        <v>12798.01</v>
      </c>
      <c r="AT23" s="98"/>
      <c r="AU23" s="197">
        <v>7667.94</v>
      </c>
      <c r="AV23" s="98"/>
      <c r="AW23" s="197">
        <v>6437.05</v>
      </c>
    </row>
    <row r="24" spans="2:49">
      <c r="B24" s="180" t="s">
        <v>224</v>
      </c>
      <c r="C24" s="179"/>
      <c r="E24" s="179"/>
      <c r="F24" s="7"/>
      <c r="G24" s="190">
        <f>SUM(H24:$AE24)</f>
        <v>0</v>
      </c>
      <c r="I24" s="189"/>
      <c r="J24" s="98"/>
      <c r="K24" s="189"/>
      <c r="L24" s="98"/>
      <c r="M24" s="189"/>
      <c r="N24" s="224"/>
      <c r="O24" s="189">
        <v>0</v>
      </c>
      <c r="P24" s="98"/>
      <c r="Q24" s="189">
        <v>0</v>
      </c>
      <c r="R24" s="98"/>
      <c r="S24" s="189">
        <v>0</v>
      </c>
      <c r="T24" s="224"/>
      <c r="U24" s="189">
        <v>0</v>
      </c>
      <c r="V24" s="98"/>
      <c r="W24" s="189">
        <v>0</v>
      </c>
      <c r="X24" s="98"/>
      <c r="Y24" s="189">
        <v>0</v>
      </c>
      <c r="Z24" s="224"/>
      <c r="AA24" s="189">
        <v>0</v>
      </c>
      <c r="AB24" s="98"/>
      <c r="AC24" s="189">
        <v>0</v>
      </c>
      <c r="AD24" s="98"/>
      <c r="AE24" s="218">
        <v>0</v>
      </c>
      <c r="AF24" s="98"/>
      <c r="AG24" s="189">
        <v>0</v>
      </c>
      <c r="AH24" s="98"/>
      <c r="AI24" s="189">
        <v>0</v>
      </c>
      <c r="AJ24" s="98"/>
      <c r="AK24" s="218">
        <v>0</v>
      </c>
      <c r="AL24" s="98"/>
      <c r="AM24" s="189">
        <v>0</v>
      </c>
      <c r="AN24" s="98"/>
      <c r="AO24" s="189">
        <v>0</v>
      </c>
      <c r="AP24" s="98"/>
      <c r="AQ24" s="218">
        <v>0</v>
      </c>
      <c r="AR24" s="98"/>
      <c r="AS24" s="189">
        <v>0</v>
      </c>
      <c r="AT24" s="98"/>
      <c r="AU24" s="189">
        <v>0</v>
      </c>
      <c r="AV24" s="98"/>
      <c r="AW24" s="189">
        <v>0</v>
      </c>
    </row>
    <row r="25" spans="2:49" ht="15.6">
      <c r="B25" s="176" t="s">
        <v>216</v>
      </c>
      <c r="C25" s="27"/>
      <c r="D25" s="30"/>
      <c r="E25" s="29"/>
      <c r="F25" s="29"/>
      <c r="G25" s="191">
        <f>SUM(G22:G24)</f>
        <v>231551.31</v>
      </c>
      <c r="I25" s="98"/>
      <c r="J25" s="226"/>
      <c r="K25" s="98"/>
      <c r="L25" s="226"/>
      <c r="M25" s="98"/>
      <c r="N25" s="224"/>
      <c r="O25" s="98"/>
      <c r="P25" s="226"/>
      <c r="Q25" s="98"/>
      <c r="R25" s="226"/>
      <c r="S25" s="98"/>
      <c r="T25" s="224"/>
      <c r="U25" s="98"/>
      <c r="V25" s="226"/>
      <c r="W25" s="98"/>
      <c r="X25" s="226"/>
      <c r="Y25" s="98"/>
      <c r="Z25" s="224"/>
      <c r="AB25" s="103"/>
      <c r="AD25" s="103"/>
      <c r="AE25" s="216"/>
      <c r="AF25" s="103"/>
      <c r="AH25" s="103"/>
      <c r="AJ25" s="103"/>
      <c r="AK25" s="216"/>
      <c r="AL25" s="103"/>
      <c r="AN25" s="103"/>
      <c r="AP25" s="103"/>
      <c r="AQ25" s="216"/>
      <c r="AR25" s="103"/>
      <c r="AS25" s="103"/>
      <c r="AT25" s="103"/>
      <c r="AU25" s="103"/>
      <c r="AV25" s="103"/>
      <c r="AW25" s="103"/>
    </row>
    <row r="26" spans="2:49">
      <c r="B26" s="26"/>
      <c r="C26" s="26"/>
      <c r="D26" s="26"/>
      <c r="E26" s="200">
        <f>Purchases!F68</f>
        <v>77145.379442553472</v>
      </c>
      <c r="F26" s="28">
        <f>G26/E26</f>
        <v>9.7710945936991003</v>
      </c>
      <c r="G26" s="191">
        <f>G20+G25</f>
        <v>753794.79999999993</v>
      </c>
      <c r="I26" s="98"/>
      <c r="J26" s="98"/>
      <c r="K26" s="98"/>
      <c r="L26" s="98"/>
      <c r="M26" s="98"/>
      <c r="N26" s="224"/>
      <c r="O26" s="98"/>
      <c r="P26" s="98"/>
      <c r="Q26" s="98"/>
      <c r="R26" s="98"/>
      <c r="S26" s="98"/>
      <c r="T26" s="224"/>
      <c r="U26" s="98"/>
      <c r="V26" s="98"/>
      <c r="W26" s="98"/>
      <c r="X26" s="98"/>
      <c r="Y26" s="98"/>
      <c r="Z26" s="224"/>
      <c r="AA26" s="98"/>
      <c r="AB26" s="98"/>
      <c r="AC26" s="98"/>
      <c r="AD26" s="98"/>
      <c r="AE26" s="217"/>
      <c r="AF26" s="98"/>
      <c r="AG26" s="98"/>
      <c r="AH26" s="98"/>
      <c r="AI26" s="98"/>
      <c r="AJ26" s="98"/>
      <c r="AK26" s="217"/>
      <c r="AL26" s="98"/>
      <c r="AM26" s="98"/>
      <c r="AN26" s="98"/>
      <c r="AO26" s="98"/>
      <c r="AP26" s="98"/>
      <c r="AQ26" s="217"/>
      <c r="AR26" s="98"/>
      <c r="AS26" s="98"/>
      <c r="AT26" s="98"/>
      <c r="AU26" s="98"/>
      <c r="AV26" s="98"/>
      <c r="AW26" s="98"/>
    </row>
    <row r="27" spans="2:49">
      <c r="B27" s="26"/>
      <c r="C27" s="26"/>
      <c r="D27" s="26"/>
      <c r="E27" s="27"/>
      <c r="F27" s="28"/>
      <c r="G27" s="11"/>
      <c r="I27" s="98"/>
      <c r="J27" s="98"/>
      <c r="K27" s="98"/>
      <c r="L27" s="98"/>
      <c r="M27" s="98"/>
      <c r="N27" s="224"/>
      <c r="O27" s="98"/>
      <c r="P27" s="98"/>
      <c r="Q27" s="98"/>
      <c r="R27" s="98"/>
      <c r="S27" s="98"/>
      <c r="T27" s="224"/>
      <c r="U27" s="98"/>
      <c r="V27" s="98"/>
      <c r="W27" s="98"/>
      <c r="X27" s="98"/>
      <c r="Y27" s="98"/>
      <c r="Z27" s="224"/>
      <c r="AA27" s="98"/>
      <c r="AB27" s="98"/>
      <c r="AC27" s="98"/>
      <c r="AD27" s="98"/>
      <c r="AE27" s="217"/>
      <c r="AF27" s="98"/>
      <c r="AG27" s="98"/>
      <c r="AH27" s="98"/>
      <c r="AI27" s="98"/>
      <c r="AJ27" s="98"/>
      <c r="AK27" s="217"/>
      <c r="AL27" s="98"/>
      <c r="AM27" s="98"/>
      <c r="AN27" s="98"/>
      <c r="AO27" s="98"/>
      <c r="AP27" s="98"/>
      <c r="AQ27" s="217"/>
      <c r="AR27" s="98"/>
      <c r="AS27" s="98"/>
      <c r="AT27" s="98"/>
      <c r="AU27" s="98"/>
      <c r="AV27" s="98"/>
      <c r="AW27" s="98"/>
    </row>
    <row r="28" spans="2:49" ht="15.6">
      <c r="B28" s="174" t="s">
        <v>126</v>
      </c>
      <c r="C28" s="26"/>
      <c r="D28" s="26"/>
      <c r="E28" s="27"/>
      <c r="F28" s="28"/>
      <c r="G28" s="11"/>
      <c r="I28" s="98"/>
      <c r="J28" s="98"/>
      <c r="K28" s="98"/>
      <c r="L28" s="98"/>
      <c r="M28" s="98"/>
      <c r="N28" s="224"/>
      <c r="O28" s="98"/>
      <c r="P28" s="98"/>
      <c r="Q28" s="98"/>
      <c r="R28" s="98"/>
      <c r="S28" s="98"/>
      <c r="T28" s="224"/>
      <c r="U28" s="98"/>
      <c r="V28" s="98"/>
      <c r="W28" s="98"/>
      <c r="X28" s="98"/>
      <c r="Y28" s="98"/>
      <c r="Z28" s="224"/>
      <c r="AA28" s="98"/>
      <c r="AB28" s="98"/>
      <c r="AC28" s="98"/>
      <c r="AD28" s="98"/>
      <c r="AE28" s="217"/>
      <c r="AF28" s="98"/>
      <c r="AG28" s="98"/>
      <c r="AH28" s="98"/>
      <c r="AI28" s="98"/>
      <c r="AJ28" s="98"/>
      <c r="AK28" s="217"/>
      <c r="AL28" s="98"/>
      <c r="AM28" s="98"/>
      <c r="AN28" s="98"/>
      <c r="AO28" s="98"/>
      <c r="AP28" s="98"/>
      <c r="AQ28" s="217"/>
      <c r="AR28" s="98"/>
      <c r="AS28" s="98"/>
      <c r="AT28" s="98"/>
      <c r="AU28" s="98"/>
      <c r="AV28" s="98"/>
      <c r="AW28" s="98"/>
    </row>
    <row r="29" spans="2:49" ht="15.6">
      <c r="B29" s="26" t="s">
        <v>124</v>
      </c>
      <c r="C29" s="26"/>
      <c r="D29" s="26"/>
      <c r="E29" s="27">
        <f>Purchases!F98</f>
        <v>9433</v>
      </c>
      <c r="F29" s="28">
        <f>G29/E29</f>
        <v>7.722942860171738</v>
      </c>
      <c r="G29" s="191">
        <f>SUM(H29:$AE29)</f>
        <v>72850.52</v>
      </c>
      <c r="I29" s="196">
        <v>4773.87</v>
      </c>
      <c r="J29" s="98"/>
      <c r="K29" s="196">
        <v>25180.91</v>
      </c>
      <c r="L29" s="98"/>
      <c r="M29" s="227">
        <v>1263.22</v>
      </c>
      <c r="N29" s="224"/>
      <c r="O29" s="196">
        <v>853.07</v>
      </c>
      <c r="P29" s="98"/>
      <c r="Q29" s="196">
        <v>2305.54</v>
      </c>
      <c r="R29" s="98"/>
      <c r="S29" s="227">
        <v>4058.77</v>
      </c>
      <c r="T29" s="224"/>
      <c r="U29" s="196">
        <v>3646.97</v>
      </c>
      <c r="V29" s="98"/>
      <c r="W29" s="196">
        <v>4078.84</v>
      </c>
      <c r="X29" s="98"/>
      <c r="Y29" s="227">
        <v>5879.61</v>
      </c>
      <c r="Z29" s="224"/>
      <c r="AA29" s="189">
        <v>10466.61</v>
      </c>
      <c r="AB29" s="98"/>
      <c r="AC29" s="189">
        <v>5641.32</v>
      </c>
      <c r="AD29" s="98"/>
      <c r="AE29" s="218">
        <v>4701.79</v>
      </c>
      <c r="AF29" s="98"/>
      <c r="AG29" s="196">
        <v>1575.05</v>
      </c>
      <c r="AH29" s="98"/>
      <c r="AI29" s="196">
        <v>2029.62</v>
      </c>
      <c r="AJ29" s="98"/>
      <c r="AK29" s="223">
        <v>1369.93</v>
      </c>
      <c r="AL29" s="98"/>
      <c r="AM29" s="196">
        <f>158.89+1418.08</f>
        <v>1576.9699999999998</v>
      </c>
      <c r="AN29" s="98"/>
      <c r="AO29" s="196">
        <v>32.26</v>
      </c>
      <c r="AP29" s="98"/>
      <c r="AQ29" s="223">
        <v>422.02</v>
      </c>
      <c r="AR29" s="98"/>
      <c r="AS29" s="196">
        <v>1461.43</v>
      </c>
      <c r="AT29" s="98"/>
      <c r="AU29" s="196">
        <v>438.39</v>
      </c>
      <c r="AV29" s="98"/>
      <c r="AW29" s="198">
        <f>1978.3+0</f>
        <v>1978.3</v>
      </c>
    </row>
    <row r="30" spans="2:49">
      <c r="B30" s="26"/>
      <c r="C30" s="26"/>
      <c r="D30" s="26"/>
      <c r="E30" s="27"/>
      <c r="F30" s="28"/>
      <c r="G30" s="11"/>
      <c r="I30" s="98"/>
      <c r="J30" s="98"/>
      <c r="K30" s="98"/>
      <c r="L30" s="98"/>
      <c r="M30" s="98"/>
      <c r="N30" s="224"/>
      <c r="O30" s="98"/>
      <c r="P30" s="98"/>
      <c r="Q30" s="98"/>
      <c r="R30" s="98"/>
      <c r="S30" s="98"/>
      <c r="T30" s="224"/>
      <c r="U30" s="98"/>
      <c r="V30" s="98"/>
      <c r="W30" s="98"/>
      <c r="X30" s="98"/>
      <c r="Y30" s="98"/>
      <c r="Z30" s="224"/>
      <c r="AA30" s="98"/>
      <c r="AB30" s="98"/>
      <c r="AC30" s="98"/>
      <c r="AD30" s="98"/>
      <c r="AE30" s="217"/>
      <c r="AF30" s="98"/>
      <c r="AG30" s="98"/>
      <c r="AH30" s="98"/>
      <c r="AJ30" s="98"/>
      <c r="AK30" s="217"/>
      <c r="AL30" s="98"/>
      <c r="AM30" s="98"/>
      <c r="AN30" s="98"/>
      <c r="AO30" s="98"/>
      <c r="AP30" s="98"/>
      <c r="AQ30" s="217"/>
      <c r="AR30" s="98"/>
      <c r="AS30" s="98"/>
      <c r="AT30" s="98"/>
      <c r="AU30" s="98"/>
      <c r="AV30" s="98"/>
      <c r="AW30" s="98"/>
    </row>
    <row r="31" spans="2:49" ht="15.6">
      <c r="B31" s="175" t="s">
        <v>127</v>
      </c>
      <c r="C31" s="46"/>
      <c r="D31" s="46"/>
      <c r="E31" s="58"/>
      <c r="F31" s="65"/>
      <c r="G31" s="11"/>
      <c r="I31" s="98"/>
      <c r="J31" s="192"/>
      <c r="K31" s="98"/>
      <c r="L31" s="192"/>
      <c r="M31" s="98"/>
      <c r="N31" s="224"/>
      <c r="O31" s="98"/>
      <c r="P31" s="192"/>
      <c r="Q31" s="98"/>
      <c r="R31" s="192"/>
      <c r="S31" s="98"/>
      <c r="T31" s="224"/>
      <c r="U31" s="98"/>
      <c r="V31" s="192"/>
      <c r="W31" s="98"/>
      <c r="X31" s="192"/>
      <c r="Y31" s="98"/>
      <c r="Z31" s="224"/>
      <c r="AB31" s="129"/>
      <c r="AD31" s="129"/>
      <c r="AE31" s="216"/>
      <c r="AF31" s="129"/>
      <c r="AH31" s="129"/>
      <c r="AJ31" s="129"/>
      <c r="AK31" s="216"/>
      <c r="AL31" s="129"/>
      <c r="AN31" s="129"/>
      <c r="AP31" s="129"/>
      <c r="AQ31" s="216"/>
      <c r="AR31" s="129"/>
      <c r="AS31" s="199"/>
      <c r="AT31" s="129"/>
      <c r="AU31" s="193"/>
      <c r="AV31" s="129"/>
      <c r="AW31" s="193"/>
    </row>
    <row r="32" spans="2:49" ht="15.6">
      <c r="B32" s="46" t="s">
        <v>124</v>
      </c>
      <c r="C32" s="46"/>
      <c r="D32" s="46"/>
      <c r="E32" s="58"/>
      <c r="F32" s="46"/>
      <c r="G32" s="190">
        <f>SUM(H32:$AE32)</f>
        <v>31418.490000000005</v>
      </c>
      <c r="I32" s="196">
        <v>7655.7</v>
      </c>
      <c r="J32" s="98"/>
      <c r="K32" s="196">
        <v>5764.57</v>
      </c>
      <c r="L32" s="98"/>
      <c r="M32" s="228">
        <v>2797.63</v>
      </c>
      <c r="N32" s="224"/>
      <c r="O32" s="196">
        <v>1132.5899999999999</v>
      </c>
      <c r="P32" s="98"/>
      <c r="Q32" s="196">
        <v>815.24</v>
      </c>
      <c r="R32" s="98"/>
      <c r="S32" s="228">
        <v>888.85</v>
      </c>
      <c r="T32" s="224"/>
      <c r="U32" s="196">
        <v>804.21</v>
      </c>
      <c r="V32" s="98"/>
      <c r="W32" s="196">
        <v>946.06</v>
      </c>
      <c r="X32" s="98"/>
      <c r="Y32" s="228">
        <v>1065.42</v>
      </c>
      <c r="Z32" s="224"/>
      <c r="AA32" s="189">
        <v>1775.59</v>
      </c>
      <c r="AB32" s="98"/>
      <c r="AC32" s="189">
        <v>3276.87</v>
      </c>
      <c r="AD32" s="98"/>
      <c r="AE32" s="218">
        <v>4495.76</v>
      </c>
      <c r="AF32" s="98"/>
      <c r="AG32" s="196">
        <v>6391.39</v>
      </c>
      <c r="AH32" s="98"/>
      <c r="AI32" s="196">
        <v>4267.91</v>
      </c>
      <c r="AJ32" s="98"/>
      <c r="AK32" s="223">
        <v>1692.07</v>
      </c>
      <c r="AL32" s="98"/>
      <c r="AM32" s="196">
        <v>992.44</v>
      </c>
      <c r="AN32" s="98"/>
      <c r="AO32" s="196">
        <v>535.74</v>
      </c>
      <c r="AP32" s="98"/>
      <c r="AQ32" s="223">
        <v>495.78</v>
      </c>
      <c r="AR32" s="98"/>
      <c r="AS32" s="196">
        <v>550.39</v>
      </c>
      <c r="AT32" s="98"/>
      <c r="AU32" s="196">
        <v>505.51</v>
      </c>
      <c r="AV32" s="98"/>
      <c r="AW32" s="198">
        <v>532.70000000000005</v>
      </c>
    </row>
    <row r="33" spans="2:49">
      <c r="B33" s="46" t="s">
        <v>125</v>
      </c>
      <c r="C33" s="46"/>
      <c r="D33" s="46"/>
      <c r="E33" s="58"/>
      <c r="F33" s="46"/>
      <c r="G33" s="190">
        <f>SUM(H33:$AE33)</f>
        <v>91407.88</v>
      </c>
      <c r="I33" s="196">
        <v>22319.040000000001</v>
      </c>
      <c r="J33" s="98"/>
      <c r="K33" s="273">
        <v>8368.5</v>
      </c>
      <c r="L33" s="98"/>
      <c r="M33" s="196">
        <v>8363.5</v>
      </c>
      <c r="N33" s="224"/>
      <c r="O33" s="196">
        <v>0</v>
      </c>
      <c r="P33" s="98"/>
      <c r="Q33" s="196">
        <v>2507.84</v>
      </c>
      <c r="R33" s="98"/>
      <c r="S33" s="196">
        <v>0</v>
      </c>
      <c r="T33" s="224"/>
      <c r="U33" s="196">
        <v>1307.3800000000001</v>
      </c>
      <c r="V33" s="98"/>
      <c r="W33" s="196">
        <v>2660.7</v>
      </c>
      <c r="X33" s="98"/>
      <c r="Y33" s="196">
        <v>4404.84</v>
      </c>
      <c r="Z33" s="224"/>
      <c r="AA33" s="189">
        <v>11040</v>
      </c>
      <c r="AB33" s="98"/>
      <c r="AC33" s="189">
        <v>16301.48</v>
      </c>
      <c r="AD33" s="98"/>
      <c r="AE33" s="218">
        <v>14134.6</v>
      </c>
      <c r="AF33" s="98"/>
      <c r="AG33" s="196">
        <v>2558.5</v>
      </c>
      <c r="AH33" s="98"/>
      <c r="AI33" s="196">
        <v>6515.04</v>
      </c>
      <c r="AJ33" s="98"/>
      <c r="AK33" s="221">
        <v>5746.95</v>
      </c>
      <c r="AL33" s="98"/>
      <c r="AM33" s="196">
        <v>3574.45</v>
      </c>
      <c r="AN33" s="98"/>
      <c r="AO33" s="196">
        <v>1250.22</v>
      </c>
      <c r="AP33" s="98"/>
      <c r="AQ33" s="221">
        <v>1454.64</v>
      </c>
      <c r="AR33" s="98"/>
      <c r="AS33" s="196">
        <v>1101.49</v>
      </c>
      <c r="AT33" s="98"/>
      <c r="AU33" s="196">
        <v>2138.4</v>
      </c>
      <c r="AV33" s="98"/>
      <c r="AW33" s="196">
        <v>3714.6</v>
      </c>
    </row>
    <row r="34" spans="2:49" ht="15.6">
      <c r="B34" s="176" t="s">
        <v>216</v>
      </c>
      <c r="C34" s="27"/>
      <c r="D34" s="30"/>
      <c r="E34" s="27">
        <f>Purchases!F145</f>
        <v>18888.08108108108</v>
      </c>
      <c r="F34" s="28">
        <f>G34/E34</f>
        <v>6.5028506322448454</v>
      </c>
      <c r="G34" s="191">
        <f>SUM(G32:G33)</f>
        <v>122826.37000000001</v>
      </c>
      <c r="I34" s="98"/>
      <c r="J34" s="98"/>
      <c r="K34" s="98"/>
      <c r="L34" s="98"/>
      <c r="M34" s="98"/>
      <c r="N34" s="224"/>
      <c r="O34" s="98"/>
      <c r="P34" s="98"/>
      <c r="Q34" s="98"/>
      <c r="R34" s="98"/>
      <c r="S34" s="98"/>
      <c r="T34" s="224"/>
      <c r="U34" s="98"/>
      <c r="V34" s="98"/>
      <c r="W34" s="98"/>
      <c r="X34" s="98"/>
      <c r="Y34" s="98"/>
      <c r="Z34" s="224"/>
      <c r="AA34" s="98"/>
      <c r="AB34" s="98"/>
      <c r="AC34" s="98"/>
      <c r="AD34" s="98"/>
      <c r="AE34" s="217"/>
      <c r="AF34" s="98"/>
      <c r="AG34" s="98"/>
      <c r="AH34" s="98"/>
      <c r="AI34" s="98"/>
      <c r="AJ34" s="98"/>
      <c r="AK34" s="217"/>
      <c r="AL34" s="98"/>
      <c r="AM34" s="98"/>
      <c r="AN34" s="98"/>
      <c r="AO34" s="98"/>
      <c r="AP34" s="98"/>
      <c r="AQ34" s="217"/>
      <c r="AR34" s="98"/>
      <c r="AS34" s="98"/>
      <c r="AT34" s="98"/>
      <c r="AU34" s="98"/>
      <c r="AV34" s="98"/>
      <c r="AW34" s="98"/>
    </row>
    <row r="35" spans="2:49" ht="15.6">
      <c r="B35" s="46"/>
      <c r="C35" s="46"/>
      <c r="D35" s="46"/>
      <c r="E35" s="58"/>
      <c r="F35" s="46"/>
      <c r="G35" s="11"/>
      <c r="J35" s="129"/>
      <c r="L35" s="129"/>
      <c r="M35" s="216"/>
      <c r="P35" s="129"/>
      <c r="R35" s="129"/>
      <c r="S35" s="216"/>
      <c r="V35" s="129"/>
      <c r="X35" s="129"/>
      <c r="Y35" s="216"/>
      <c r="AB35" s="129"/>
      <c r="AD35" s="129"/>
      <c r="AE35" s="216"/>
      <c r="AF35" s="129"/>
      <c r="AH35" s="129"/>
      <c r="AJ35" s="129"/>
      <c r="AK35" s="216"/>
      <c r="AL35" s="129"/>
      <c r="AN35" s="129"/>
      <c r="AP35" s="129"/>
      <c r="AQ35" s="216"/>
      <c r="AR35" s="129"/>
      <c r="AS35" s="195"/>
      <c r="AT35" s="129"/>
      <c r="AU35" s="193"/>
      <c r="AV35" s="129"/>
      <c r="AW35" s="193"/>
    </row>
    <row r="36" spans="2:49">
      <c r="B36" s="8"/>
      <c r="C36" s="8"/>
      <c r="D36" s="8"/>
      <c r="E36" s="16"/>
      <c r="F36" s="8"/>
      <c r="G36" s="8"/>
      <c r="I36" s="193"/>
      <c r="J36" s="129"/>
      <c r="K36" s="193"/>
      <c r="L36" s="129"/>
      <c r="M36" s="219"/>
      <c r="O36" s="193"/>
      <c r="P36" s="129"/>
      <c r="Q36" s="193"/>
      <c r="R36" s="129"/>
      <c r="S36" s="219"/>
      <c r="U36" s="193"/>
      <c r="V36" s="129"/>
      <c r="W36" s="193"/>
      <c r="X36" s="129"/>
      <c r="Y36" s="219"/>
      <c r="AA36" s="193"/>
      <c r="AB36" s="129"/>
      <c r="AC36" s="193"/>
      <c r="AD36" s="129"/>
      <c r="AE36" s="219"/>
      <c r="AF36" s="129"/>
      <c r="AG36" s="193"/>
      <c r="AH36" s="129"/>
      <c r="AI36" s="193"/>
      <c r="AJ36" s="129"/>
      <c r="AK36" s="219"/>
      <c r="AL36" s="129"/>
      <c r="AM36" s="193"/>
      <c r="AN36" s="129"/>
      <c r="AO36" s="193"/>
      <c r="AP36" s="129"/>
      <c r="AQ36" s="219"/>
      <c r="AR36" s="129"/>
      <c r="AS36" s="193"/>
      <c r="AT36" s="129"/>
      <c r="AU36" s="193"/>
      <c r="AV36" s="129"/>
      <c r="AW36" s="193"/>
    </row>
    <row r="37" spans="2:49">
      <c r="B37" s="1" t="s">
        <v>49</v>
      </c>
      <c r="E37" s="15">
        <f>SUM(E14:E35)</f>
        <v>105466.46052363455</v>
      </c>
      <c r="F37" s="202">
        <f>G37/E37</f>
        <v>9.0025936708782197</v>
      </c>
      <c r="G37" s="190">
        <f>G34+G29+G26</f>
        <v>949471.69</v>
      </c>
      <c r="I37" s="208">
        <f>SUM(I16:I36)</f>
        <v>139480.63999999998</v>
      </c>
      <c r="J37" s="129"/>
      <c r="K37" s="208">
        <f>SUM(K16:K36)</f>
        <v>123862.39000000001</v>
      </c>
      <c r="L37" s="129"/>
      <c r="M37" s="220">
        <f>SUM(M16:M36)</f>
        <v>70893.279999999999</v>
      </c>
      <c r="O37" s="208">
        <f>SUM(O16:O36)</f>
        <v>49663.519999999997</v>
      </c>
      <c r="P37" s="129"/>
      <c r="Q37" s="208">
        <f>SUM(Q16:Q36)</f>
        <v>44351.28</v>
      </c>
      <c r="R37" s="129"/>
      <c r="S37" s="220">
        <f>SUM(S16:S36)</f>
        <v>47308.929999999993</v>
      </c>
      <c r="U37" s="208">
        <f>SUM(U16:U36)</f>
        <v>51791.909999999996</v>
      </c>
      <c r="V37" s="129"/>
      <c r="W37" s="208">
        <f>SUM(W16:W36)</f>
        <v>60959.360000000001</v>
      </c>
      <c r="X37" s="129"/>
      <c r="Y37" s="220">
        <f>SUM(Y16:Y36)</f>
        <v>61181.729999999996</v>
      </c>
      <c r="AA37" s="208">
        <f>SUM(AA16:AA36)</f>
        <v>83692.84</v>
      </c>
      <c r="AB37" s="129"/>
      <c r="AC37" s="208">
        <f>SUM(AC16:AC36)</f>
        <v>104310.76999999997</v>
      </c>
      <c r="AD37" s="129"/>
      <c r="AE37" s="220">
        <f>SUM(AE16:AE36)</f>
        <v>111975.03999999999</v>
      </c>
      <c r="AF37" s="129"/>
      <c r="AG37" s="193"/>
      <c r="AH37" s="129"/>
      <c r="AI37" s="193"/>
      <c r="AJ37" s="129"/>
      <c r="AK37" s="219"/>
      <c r="AL37" s="129"/>
      <c r="AN37" s="129"/>
      <c r="AP37" s="129"/>
      <c r="AQ37" s="216"/>
      <c r="AR37" s="129"/>
      <c r="AS37" s="193"/>
      <c r="AT37" s="129"/>
      <c r="AU37" s="193"/>
      <c r="AV37" s="129"/>
      <c r="AW37" s="193"/>
    </row>
    <row r="38" spans="2:49">
      <c r="M38" s="216"/>
      <c r="S38" s="216"/>
      <c r="Y38" s="216"/>
      <c r="AE38" s="216"/>
      <c r="AK38" s="216"/>
      <c r="AQ38" s="216"/>
    </row>
    <row r="39" spans="2:49">
      <c r="B39" s="1" t="s">
        <v>50</v>
      </c>
      <c r="C39" s="188">
        <v>46053</v>
      </c>
      <c r="D39" s="1" t="s">
        <v>51</v>
      </c>
      <c r="F39" s="201">
        <f>Purchases!F157</f>
        <v>105466.46052363454</v>
      </c>
    </row>
    <row r="40" spans="2:49">
      <c r="B40" s="1" t="s">
        <v>52</v>
      </c>
      <c r="C40" s="185">
        <f>Sales!F65</f>
        <v>77178.399999999994</v>
      </c>
      <c r="D40" s="1" t="s">
        <v>53</v>
      </c>
      <c r="E40" s="184">
        <f>(F39-C40)/F39</f>
        <v>0.26821854439018861</v>
      </c>
    </row>
    <row r="42" spans="2:49">
      <c r="F42" s="3" t="s">
        <v>3</v>
      </c>
      <c r="G42" s="3" t="s">
        <v>4</v>
      </c>
    </row>
    <row r="43" spans="2:49">
      <c r="B43" s="1" t="s">
        <v>54</v>
      </c>
      <c r="G43" s="11">
        <f>G37</f>
        <v>949471.69</v>
      </c>
    </row>
    <row r="44" spans="2:49">
      <c r="B44" s="12" t="s">
        <v>55</v>
      </c>
      <c r="C44" s="8"/>
      <c r="D44" s="8"/>
      <c r="E44" s="8"/>
      <c r="F44" s="8"/>
      <c r="G44" s="17">
        <f>F39</f>
        <v>105466.46052363454</v>
      </c>
    </row>
    <row r="45" spans="2:49">
      <c r="B45" s="14" t="s">
        <v>56</v>
      </c>
      <c r="G45" s="7">
        <f>G43/G44</f>
        <v>9.0025936708782197</v>
      </c>
    </row>
    <row r="46" spans="2:49">
      <c r="B46" s="12" t="s">
        <v>57</v>
      </c>
      <c r="C46" s="8"/>
      <c r="D46" s="8"/>
      <c r="E46" s="8"/>
      <c r="F46" s="8"/>
      <c r="G46" s="13">
        <f>IF(((F39-C40)/F39)&lt;=0.05,F39,(C40/0.95))</f>
        <v>81240.421052631573</v>
      </c>
    </row>
    <row r="47" spans="2:49">
      <c r="B47" s="14" t="s">
        <v>58</v>
      </c>
      <c r="G47" s="11">
        <f>G45*G46</f>
        <v>731374.50038790272</v>
      </c>
    </row>
    <row r="49" spans="2:2">
      <c r="B49" s="14"/>
    </row>
  </sheetData>
  <mergeCells count="2">
    <mergeCell ref="B4:G4"/>
    <mergeCell ref="B6:G6"/>
  </mergeCells>
  <phoneticPr fontId="5" type="noConversion"/>
  <pageMargins left="0.75" right="0.75" top="1" bottom="1" header="0.5" footer="0.5"/>
  <pageSetup scale="60" orientation="portrait" r:id="rId1"/>
  <headerFooter alignWithMargins="0">
    <oddFooter>&amp;LNavitas KYNG, LLC&amp;C&amp;F&amp;R&amp;D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4:AS31"/>
  <sheetViews>
    <sheetView topLeftCell="A4" zoomScale="83" workbookViewId="0">
      <selection activeCell="T22" sqref="T22"/>
    </sheetView>
  </sheetViews>
  <sheetFormatPr defaultColWidth="9.109375" defaultRowHeight="15"/>
  <cols>
    <col min="1" max="1" width="0.88671875" style="1" customWidth="1"/>
    <col min="2" max="4" width="9.109375" style="1"/>
    <col min="5" max="5" width="11.88671875" style="1" customWidth="1"/>
    <col min="6" max="6" width="22.44140625" style="1" bestFit="1" customWidth="1"/>
    <col min="7" max="7" width="14.88671875" style="1" bestFit="1" customWidth="1"/>
    <col min="8" max="8" width="13.5546875" style="1" bestFit="1" customWidth="1"/>
    <col min="9" max="9" width="13.77734375" style="1" bestFit="1" customWidth="1"/>
    <col min="10" max="10" width="3.77734375" style="1" customWidth="1"/>
    <col min="11" max="11" width="0.88671875" style="1" customWidth="1"/>
    <col min="12" max="12" width="9.44140625" style="1" bestFit="1" customWidth="1"/>
    <col min="13" max="13" width="0.88671875" style="1" customWidth="1"/>
    <col min="14" max="14" width="9" style="1" bestFit="1" customWidth="1"/>
    <col min="15" max="15" width="0.88671875" style="1" customWidth="1"/>
    <col min="16" max="20" width="10.88671875" style="1" customWidth="1"/>
    <col min="21" max="21" width="12.44140625" style="1" customWidth="1"/>
    <col min="22" max="23" width="11.109375" style="1" customWidth="1"/>
    <col min="24" max="25" width="11.44140625" style="1" customWidth="1"/>
    <col min="26" max="26" width="11" style="1" customWidth="1"/>
    <col min="27" max="27" width="10.5546875" style="1" customWidth="1"/>
    <col min="28" max="28" width="11" style="1" customWidth="1"/>
    <col min="29" max="29" width="10.88671875" style="1" customWidth="1"/>
    <col min="30" max="30" width="11.44140625" style="1" customWidth="1"/>
    <col min="31" max="31" width="11.5546875" style="1" customWidth="1"/>
    <col min="32" max="32" width="10" style="1" customWidth="1"/>
    <col min="33" max="33" width="10.44140625" style="1" customWidth="1"/>
    <col min="34" max="34" width="11" style="1" customWidth="1"/>
    <col min="35" max="35" width="10" style="1" customWidth="1"/>
    <col min="36" max="36" width="10.88671875" style="1" customWidth="1"/>
    <col min="37" max="37" width="10.109375" style="1" customWidth="1"/>
    <col min="38" max="38" width="10.5546875" style="1" customWidth="1"/>
    <col min="39" max="39" width="10.44140625" style="1" customWidth="1"/>
    <col min="40" max="40" width="10.5546875" style="1" customWidth="1"/>
    <col min="41" max="42" width="10.44140625" style="1" customWidth="1"/>
    <col min="43" max="43" width="10.44140625" style="1" bestFit="1" customWidth="1"/>
    <col min="44" max="45" width="11.5546875" style="1" bestFit="1" customWidth="1"/>
    <col min="46" max="16384" width="9.109375" style="1"/>
  </cols>
  <sheetData>
    <row r="4" spans="2:45">
      <c r="B4" s="286" t="s">
        <v>59</v>
      </c>
      <c r="C4" s="286"/>
      <c r="D4" s="286"/>
      <c r="E4" s="286"/>
      <c r="F4" s="286"/>
      <c r="G4" s="286"/>
      <c r="H4" s="286"/>
      <c r="I4" s="286"/>
      <c r="J4"/>
      <c r="K4"/>
      <c r="L4"/>
      <c r="M4"/>
      <c r="N4"/>
      <c r="O4"/>
      <c r="P4"/>
      <c r="Q4"/>
      <c r="R4"/>
    </row>
    <row r="6" spans="2:45">
      <c r="B6" s="286" t="s">
        <v>60</v>
      </c>
      <c r="C6" s="286"/>
      <c r="D6" s="286"/>
      <c r="E6" s="286"/>
      <c r="F6" s="286"/>
      <c r="G6" s="286"/>
      <c r="H6" s="286"/>
      <c r="I6" s="286"/>
      <c r="J6"/>
      <c r="K6"/>
      <c r="L6"/>
      <c r="M6"/>
      <c r="N6"/>
      <c r="O6"/>
      <c r="P6"/>
      <c r="Q6"/>
      <c r="R6"/>
    </row>
    <row r="9" spans="2:45">
      <c r="B9" s="1" t="s">
        <v>82</v>
      </c>
      <c r="F9" s="41">
        <v>46053</v>
      </c>
    </row>
    <row r="11" spans="2:45">
      <c r="G11" s="18" t="s">
        <v>191</v>
      </c>
      <c r="H11" s="18" t="s">
        <v>192</v>
      </c>
      <c r="I11" s="18" t="s">
        <v>181</v>
      </c>
    </row>
    <row r="12" spans="2:45">
      <c r="B12" s="4" t="s">
        <v>61</v>
      </c>
      <c r="F12" s="5" t="s">
        <v>3</v>
      </c>
      <c r="G12" s="45" t="s">
        <v>114</v>
      </c>
      <c r="H12" s="45" t="s">
        <v>115</v>
      </c>
      <c r="I12" s="45" t="s">
        <v>116</v>
      </c>
      <c r="J12" s="42"/>
      <c r="K12" s="42"/>
      <c r="L12" s="62" t="s">
        <v>123</v>
      </c>
      <c r="M12" s="42"/>
      <c r="N12" s="42" t="s">
        <v>116</v>
      </c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</row>
    <row r="13" spans="2:45">
      <c r="B13" s="1" t="s">
        <v>62</v>
      </c>
      <c r="F13" s="2" t="s">
        <v>46</v>
      </c>
      <c r="G13" s="207">
        <f>Purchases!Z154</f>
        <v>8113.9036036036032</v>
      </c>
      <c r="H13" s="207">
        <f>Purchases!AB154</f>
        <v>12915.364684684684</v>
      </c>
      <c r="I13" s="207">
        <f>Purchases!F155</f>
        <v>12480.742432432431</v>
      </c>
      <c r="L13" s="235">
        <f>SUM(G13:I13)</f>
        <v>33510.010720720718</v>
      </c>
    </row>
    <row r="14" spans="2:45">
      <c r="B14" s="1" t="s">
        <v>63</v>
      </c>
      <c r="F14" s="2" t="s">
        <v>64</v>
      </c>
      <c r="G14" s="209">
        <f>'Sch II ECG'!$M37</f>
        <v>70893.279999999999</v>
      </c>
      <c r="H14" s="209">
        <f>'Sch II ECG'!$K37</f>
        <v>123862.39000000001</v>
      </c>
      <c r="I14" s="209">
        <f>'Sch II ECG'!$I37</f>
        <v>139480.63999999998</v>
      </c>
      <c r="J14" s="11"/>
      <c r="K14" s="11"/>
      <c r="L14" s="235"/>
      <c r="M14" s="11"/>
      <c r="N14" s="11"/>
      <c r="O14" s="11"/>
      <c r="Q14" s="11"/>
      <c r="R14" s="289">
        <f>SUM(G14:I14)</f>
        <v>334236.31</v>
      </c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</row>
    <row r="15" spans="2:45">
      <c r="B15" s="12" t="s">
        <v>65</v>
      </c>
      <c r="C15" s="8"/>
      <c r="D15" s="8"/>
      <c r="E15" s="8"/>
      <c r="F15" s="5" t="s">
        <v>46</v>
      </c>
      <c r="G15" s="275">
        <f>IF((G13*0.95)&lt;=G19,G19,G13*0.95)</f>
        <v>8260</v>
      </c>
      <c r="H15" s="275">
        <f>IF((H13*0.95)&lt;=H19,H19,H13*0.95)</f>
        <v>12269.59645045045</v>
      </c>
      <c r="I15" s="275">
        <f>IF((I13*0.95)&lt;=I19,I19,I13*0.95)</f>
        <v>14864.599999999999</v>
      </c>
      <c r="J15" s="43"/>
      <c r="K15" s="43"/>
      <c r="L15" s="236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</row>
    <row r="16" spans="2:45" ht="15.6">
      <c r="B16" s="14" t="s">
        <v>66</v>
      </c>
      <c r="F16" s="6" t="s">
        <v>5</v>
      </c>
      <c r="G16" s="210">
        <f>G14/G15</f>
        <v>8.582721549636803</v>
      </c>
      <c r="H16" s="210">
        <f>H14/H15</f>
        <v>10.095066329215147</v>
      </c>
      <c r="I16" s="210">
        <f>I14/I15</f>
        <v>9.3834102498553609</v>
      </c>
      <c r="J16" s="7"/>
      <c r="K16" s="7"/>
      <c r="L16" s="235"/>
      <c r="M16" s="7"/>
      <c r="N16" s="7"/>
      <c r="O16" s="7"/>
      <c r="P16" s="232" t="s">
        <v>254</v>
      </c>
      <c r="Q16" s="232" t="s">
        <v>244</v>
      </c>
      <c r="R16" s="233" t="s">
        <v>243</v>
      </c>
      <c r="S16" s="232" t="s">
        <v>242</v>
      </c>
      <c r="T16" s="232" t="s">
        <v>241</v>
      </c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</row>
    <row r="17" spans="2:45" ht="15.6">
      <c r="B17" s="12" t="s">
        <v>67</v>
      </c>
      <c r="C17" s="8"/>
      <c r="D17" s="8"/>
      <c r="E17" s="8"/>
      <c r="F17" s="9" t="s">
        <v>5</v>
      </c>
      <c r="G17" s="33">
        <v>9.1480999999999995</v>
      </c>
      <c r="H17" s="33">
        <v>9.1480999999999995</v>
      </c>
      <c r="I17" s="33">
        <v>9.1480999999999995</v>
      </c>
      <c r="J17" s="7"/>
      <c r="K17" s="7"/>
      <c r="L17" s="235"/>
      <c r="M17" s="7"/>
      <c r="N17" s="7"/>
      <c r="O17" s="7"/>
      <c r="P17" s="7">
        <f>'Sch I Summary'!J24</f>
        <v>9.4763999999999999</v>
      </c>
      <c r="Q17" s="7">
        <v>9.3154000000000003</v>
      </c>
      <c r="R17" s="234">
        <v>9.1480999999999995</v>
      </c>
      <c r="S17" s="7">
        <v>9.0627999999999993</v>
      </c>
      <c r="T17" s="7">
        <v>7.1246</v>
      </c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</row>
    <row r="18" spans="2:45">
      <c r="B18" s="14" t="s">
        <v>68</v>
      </c>
      <c r="F18" s="6" t="s">
        <v>5</v>
      </c>
      <c r="G18" s="7">
        <f>G16-G17</f>
        <v>-0.56537845036319645</v>
      </c>
      <c r="H18" s="7">
        <f>H16-H17</f>
        <v>0.94696632921514734</v>
      </c>
      <c r="I18" s="7">
        <f>I16-I17</f>
        <v>0.23531024985536142</v>
      </c>
      <c r="J18" s="7"/>
      <c r="K18" s="7"/>
      <c r="L18" s="235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</row>
    <row r="19" spans="2:45">
      <c r="B19" s="12" t="s">
        <v>69</v>
      </c>
      <c r="C19" s="8"/>
      <c r="D19" s="8"/>
      <c r="E19" s="8"/>
      <c r="F19" s="5" t="s">
        <v>46</v>
      </c>
      <c r="G19" s="32">
        <f>Sales!Z62</f>
        <v>8260</v>
      </c>
      <c r="H19" s="32">
        <f>Sales!AB62</f>
        <v>11156</v>
      </c>
      <c r="I19" s="32">
        <f>Sales!F63</f>
        <v>14864.599999999999</v>
      </c>
      <c r="J19" s="43"/>
      <c r="K19" s="43"/>
      <c r="L19" s="235">
        <f>SUM(G19:I19)</f>
        <v>34280.6</v>
      </c>
      <c r="M19" s="43"/>
      <c r="N19" s="43"/>
      <c r="O19" s="43"/>
      <c r="Q19" s="43"/>
      <c r="R19" s="288">
        <f>L19*R17</f>
        <v>313602.35685999994</v>
      </c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</row>
    <row r="20" spans="2:45" ht="15.6" thickBot="1">
      <c r="B20" s="14" t="s">
        <v>70</v>
      </c>
      <c r="F20" s="2" t="s">
        <v>64</v>
      </c>
      <c r="G20" s="11">
        <f>G18*G19</f>
        <v>-4670.0260000000026</v>
      </c>
      <c r="H20" s="11">
        <f>H18*H19</f>
        <v>10564.356368724184</v>
      </c>
      <c r="I20" s="11">
        <f>I18*I19</f>
        <v>3497.7927400000049</v>
      </c>
      <c r="J20" s="11"/>
      <c r="K20" s="11"/>
      <c r="L20" s="11"/>
      <c r="M20" s="11"/>
      <c r="N20" s="11"/>
      <c r="O20" s="11"/>
      <c r="Q20" s="11"/>
      <c r="R20" s="290">
        <f>SUM(G20:I20)</f>
        <v>9392.1231087241867</v>
      </c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</row>
    <row r="21" spans="2:45" ht="15.6" thickTop="1">
      <c r="R21" s="291">
        <f>(R19+R20)-R14</f>
        <v>-11241.830031275866</v>
      </c>
    </row>
    <row r="22" spans="2:45">
      <c r="B22" s="14"/>
      <c r="F22" s="2"/>
      <c r="G22" s="2"/>
      <c r="H22" s="2"/>
      <c r="I22" s="2"/>
      <c r="J22" s="2"/>
      <c r="K22" s="2"/>
      <c r="L22" s="2"/>
      <c r="M22" s="2"/>
    </row>
    <row r="23" spans="2:45">
      <c r="B23" s="1" t="s">
        <v>71</v>
      </c>
      <c r="F23" s="2"/>
      <c r="G23" s="2"/>
      <c r="H23" s="2" t="s">
        <v>64</v>
      </c>
      <c r="I23" s="11">
        <f>SUM(G20:I20)</f>
        <v>9392.1231087241867</v>
      </c>
      <c r="J23" s="11"/>
      <c r="K23" s="11"/>
      <c r="L23" s="11"/>
      <c r="M23" s="11"/>
    </row>
    <row r="24" spans="2:45">
      <c r="B24" s="12" t="s">
        <v>83</v>
      </c>
      <c r="C24" s="8"/>
      <c r="D24" s="8"/>
      <c r="E24" s="8"/>
      <c r="F24" s="8"/>
      <c r="G24" s="8"/>
      <c r="H24" s="5" t="s">
        <v>46</v>
      </c>
      <c r="I24" s="19">
        <f>Sales!F65</f>
        <v>77178.399999999994</v>
      </c>
      <c r="J24" s="44"/>
      <c r="K24" s="44"/>
      <c r="L24" s="44"/>
      <c r="M24" s="44"/>
    </row>
    <row r="25" spans="2:45">
      <c r="B25" s="14" t="s">
        <v>72</v>
      </c>
      <c r="I25" s="7">
        <f>ROUND(I23/I24,4)</f>
        <v>0.1217</v>
      </c>
      <c r="J25" s="7"/>
      <c r="K25" s="7"/>
      <c r="M25" s="7"/>
    </row>
    <row r="27" spans="2:45">
      <c r="B27" s="1" t="s">
        <v>73</v>
      </c>
      <c r="G27" s="60"/>
      <c r="L27" s="61">
        <f>L19/L13</f>
        <v>1.0229957932780605</v>
      </c>
    </row>
    <row r="29" spans="2:45" ht="15.6">
      <c r="L29" s="66"/>
    </row>
    <row r="30" spans="2:45" ht="15.6">
      <c r="L30" s="66"/>
    </row>
    <row r="31" spans="2:45" ht="15.6">
      <c r="L31" s="67"/>
    </row>
  </sheetData>
  <mergeCells count="2">
    <mergeCell ref="B4:I4"/>
    <mergeCell ref="B6:I6"/>
  </mergeCells>
  <phoneticPr fontId="5" type="noConversion"/>
  <pageMargins left="0.75" right="0.75" top="1" bottom="1" header="0.5" footer="0.5"/>
  <pageSetup scale="76" orientation="portrait" r:id="rId1"/>
  <headerFooter alignWithMargins="0">
    <oddFooter>&amp;LNavitas KYNG, LLC&amp;C&amp;F&amp;R&amp;D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4:L54"/>
  <sheetViews>
    <sheetView topLeftCell="A31" workbookViewId="0">
      <selection activeCell="L41" sqref="L41"/>
    </sheetView>
  </sheetViews>
  <sheetFormatPr defaultRowHeight="13.2"/>
  <cols>
    <col min="1" max="1" width="1.5546875" customWidth="1"/>
    <col min="5" max="5" width="9.44140625" bestFit="1" customWidth="1"/>
    <col min="7" max="7" width="9.44140625" bestFit="1" customWidth="1"/>
    <col min="10" max="10" width="10.44140625" bestFit="1" customWidth="1"/>
    <col min="11" max="11" width="1.5546875" customWidth="1"/>
    <col min="12" max="12" width="35.6640625" style="287" bestFit="1" customWidth="1"/>
  </cols>
  <sheetData>
    <row r="4" spans="2:12">
      <c r="B4" s="286" t="s">
        <v>86</v>
      </c>
      <c r="C4" s="286"/>
      <c r="D4" s="286"/>
      <c r="E4" s="286"/>
      <c r="F4" s="286"/>
      <c r="G4" s="286"/>
      <c r="H4" s="286"/>
      <c r="I4" s="286"/>
      <c r="J4" s="286"/>
    </row>
    <row r="6" spans="2:12">
      <c r="B6" s="286" t="s">
        <v>87</v>
      </c>
      <c r="C6" s="286"/>
      <c r="D6" s="286"/>
      <c r="E6" s="286"/>
      <c r="F6" s="286"/>
      <c r="G6" s="286"/>
      <c r="H6" s="286"/>
      <c r="I6" s="286"/>
      <c r="J6" s="286"/>
    </row>
    <row r="8" spans="2:12">
      <c r="B8" t="s">
        <v>88</v>
      </c>
      <c r="E8" s="59">
        <v>46053</v>
      </c>
    </row>
    <row r="10" spans="2:12">
      <c r="C10" s="34" t="s">
        <v>61</v>
      </c>
      <c r="J10" s="21" t="s">
        <v>4</v>
      </c>
    </row>
    <row r="12" spans="2:12">
      <c r="B12" s="35" t="s">
        <v>35</v>
      </c>
      <c r="C12" t="s">
        <v>89</v>
      </c>
    </row>
    <row r="13" spans="2:12">
      <c r="C13" t="s">
        <v>90</v>
      </c>
      <c r="J13" s="38">
        <f>'AA BA Ladder'!CA77</f>
        <v>99390.269489158352</v>
      </c>
      <c r="L13" s="287" t="s">
        <v>158</v>
      </c>
    </row>
    <row r="14" spans="2:12">
      <c r="B14" s="64"/>
    </row>
    <row r="15" spans="2:12">
      <c r="C15" t="s">
        <v>91</v>
      </c>
      <c r="H15" s="39">
        <f>'AA BA Ladder'!CI76</f>
        <v>1.3682000000000001</v>
      </c>
    </row>
    <row r="16" spans="2:12">
      <c r="C16" t="s">
        <v>92</v>
      </c>
    </row>
    <row r="17" spans="2:10">
      <c r="C17" t="s">
        <v>93</v>
      </c>
    </row>
    <row r="18" spans="2:10">
      <c r="C18" t="s">
        <v>94</v>
      </c>
      <c r="H18" s="63">
        <f>SUM('AA BA Ladder'!CI5:DE5)</f>
        <v>77178.399999999994</v>
      </c>
    </row>
    <row r="19" spans="2:10">
      <c r="C19" t="s">
        <v>95</v>
      </c>
      <c r="J19" s="37">
        <f>+H15*H18</f>
        <v>105595.48688</v>
      </c>
    </row>
    <row r="21" spans="2:10">
      <c r="C21" t="s">
        <v>96</v>
      </c>
      <c r="J21" s="37">
        <f>+J13-J19</f>
        <v>-6205.2173908416444</v>
      </c>
    </row>
    <row r="23" spans="2:10">
      <c r="B23" s="35" t="s">
        <v>36</v>
      </c>
      <c r="C23" t="s">
        <v>97</v>
      </c>
    </row>
    <row r="24" spans="2:10">
      <c r="C24" t="s">
        <v>98</v>
      </c>
      <c r="J24" s="38">
        <v>0</v>
      </c>
    </row>
    <row r="25" spans="2:10">
      <c r="C25" t="s">
        <v>99</v>
      </c>
    </row>
    <row r="27" spans="2:10">
      <c r="C27" t="s">
        <v>100</v>
      </c>
      <c r="H27" s="39">
        <v>0</v>
      </c>
    </row>
    <row r="28" spans="2:10">
      <c r="C28" t="s">
        <v>101</v>
      </c>
    </row>
    <row r="29" spans="2:10">
      <c r="C29" t="s">
        <v>102</v>
      </c>
      <c r="I29" s="40"/>
    </row>
    <row r="30" spans="2:10">
      <c r="C30" t="s">
        <v>103</v>
      </c>
      <c r="J30" s="37">
        <f>+H27*I29</f>
        <v>0</v>
      </c>
    </row>
    <row r="32" spans="2:10">
      <c r="C32" t="s">
        <v>104</v>
      </c>
      <c r="J32" s="36">
        <f>+J24-J30</f>
        <v>0</v>
      </c>
    </row>
    <row r="34" spans="2:12">
      <c r="B34" s="35" t="s">
        <v>37</v>
      </c>
      <c r="C34" t="s">
        <v>105</v>
      </c>
    </row>
    <row r="35" spans="2:12">
      <c r="C35" t="s">
        <v>90</v>
      </c>
      <c r="J35" s="38">
        <f>'AA BA Ladder'!CG55</f>
        <v>106733.31678638933</v>
      </c>
      <c r="L35" s="287" t="s">
        <v>158</v>
      </c>
    </row>
    <row r="37" spans="2:12">
      <c r="C37" t="s">
        <v>106</v>
      </c>
      <c r="H37" s="39">
        <f>'AA BA Ladder'!CI54</f>
        <v>0.61560000000000004</v>
      </c>
    </row>
    <row r="38" spans="2:12">
      <c r="C38" t="s">
        <v>92</v>
      </c>
    </row>
    <row r="39" spans="2:12">
      <c r="C39" t="s">
        <v>93</v>
      </c>
    </row>
    <row r="40" spans="2:12">
      <c r="C40" t="s">
        <v>94</v>
      </c>
      <c r="G40" s="63">
        <f>SUM('AA BA Ladder'!CI5:DE5)</f>
        <v>77178.399999999994</v>
      </c>
    </row>
    <row r="41" spans="2:12">
      <c r="C41" t="s">
        <v>107</v>
      </c>
      <c r="J41" s="37">
        <f>+H37*G40</f>
        <v>47511.02304</v>
      </c>
    </row>
    <row r="43" spans="2:12">
      <c r="C43" t="s">
        <v>108</v>
      </c>
      <c r="J43" s="36">
        <f>+J35-J41</f>
        <v>59222.293746389332</v>
      </c>
    </row>
    <row r="45" spans="2:12">
      <c r="I45" s="85" t="s">
        <v>264</v>
      </c>
      <c r="J45" s="68">
        <f>'AA BA Ladder'!DE49</f>
        <v>66890.7</v>
      </c>
      <c r="L45" s="287" t="s">
        <v>255</v>
      </c>
    </row>
    <row r="46" spans="2:12">
      <c r="I46" s="72"/>
    </row>
    <row r="47" spans="2:12">
      <c r="I47" s="85" t="s">
        <v>264</v>
      </c>
      <c r="J47" s="68">
        <f>'AA BA Ladder'!DE51</f>
        <v>5091.8500000000004</v>
      </c>
      <c r="L47" s="287" t="s">
        <v>257</v>
      </c>
    </row>
    <row r="49" spans="3:10">
      <c r="C49" t="s">
        <v>109</v>
      </c>
      <c r="J49" s="36">
        <f>+J21+J32+J43+-J45+-J47</f>
        <v>-18965.473644452308</v>
      </c>
    </row>
    <row r="51" spans="3:10">
      <c r="C51" t="s">
        <v>112</v>
      </c>
      <c r="G51" s="213">
        <v>46053</v>
      </c>
      <c r="J51" s="63">
        <f>Sales!F65</f>
        <v>77178.399999999994</v>
      </c>
    </row>
    <row r="53" spans="3:10">
      <c r="C53" t="s">
        <v>110</v>
      </c>
      <c r="J53">
        <f>ROUND(+J49/J51,4)</f>
        <v>-0.2457</v>
      </c>
    </row>
    <row r="54" spans="3:10">
      <c r="D54" t="s">
        <v>111</v>
      </c>
    </row>
  </sheetData>
  <mergeCells count="2">
    <mergeCell ref="B4:J4"/>
    <mergeCell ref="B6:J6"/>
  </mergeCells>
  <phoneticPr fontId="5" type="noConversion"/>
  <pageMargins left="0.5" right="0.5" top="1" bottom="1" header="0.5" footer="0.5"/>
  <pageSetup scale="80" orientation="portrait" r:id="rId1"/>
  <headerFooter alignWithMargins="0">
    <oddFooter>&amp;LNavitas KYNG, LLC&amp;C&amp;F&amp;R&amp;D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858A1-8D4A-4C02-803B-3AE52621BC6A}">
  <dimension ref="A1:FS97"/>
  <sheetViews>
    <sheetView zoomScale="65" zoomScaleNormal="65" workbookViewId="0">
      <pane xSplit="5" ySplit="18" topLeftCell="BR19" activePane="bottomRight" state="frozen"/>
      <selection activeCell="V10" sqref="V10"/>
      <selection pane="topRight" activeCell="V10" sqref="V10"/>
      <selection pane="bottomLeft" activeCell="V10" sqref="V10"/>
      <selection pane="bottomRight" activeCell="DG5" sqref="DG5"/>
    </sheetView>
  </sheetViews>
  <sheetFormatPr defaultRowHeight="13.2"/>
  <cols>
    <col min="1" max="2" width="1.5546875" customWidth="1"/>
    <col min="3" max="3" width="20.5546875" customWidth="1"/>
    <col min="4" max="6" width="1.5546875" customWidth="1"/>
    <col min="7" max="7" width="10.5546875" customWidth="1"/>
    <col min="8" max="8" width="1.44140625" customWidth="1"/>
    <col min="9" max="9" width="8.5546875" customWidth="1"/>
    <col min="10" max="10" width="1.44140625" customWidth="1"/>
    <col min="11" max="11" width="8.5546875" customWidth="1"/>
    <col min="12" max="12" width="1.44140625" customWidth="1"/>
    <col min="13" max="13" width="10.5546875" customWidth="1"/>
    <col min="14" max="14" width="1.44140625" customWidth="1"/>
    <col min="15" max="15" width="10.5546875" customWidth="1"/>
    <col min="16" max="16" width="1.44140625" customWidth="1"/>
    <col min="17" max="17" width="10.5546875" customWidth="1"/>
    <col min="18" max="18" width="1.44140625" customWidth="1"/>
    <col min="19" max="19" width="10.5546875" customWidth="1"/>
    <col min="20" max="20" width="1.44140625" customWidth="1"/>
    <col min="21" max="21" width="10.5546875" customWidth="1"/>
    <col min="22" max="22" width="1.44140625" customWidth="1"/>
    <col min="23" max="23" width="10.5546875" customWidth="1"/>
    <col min="24" max="24" width="1.44140625" customWidth="1"/>
    <col min="25" max="25" width="10.5546875" customWidth="1"/>
    <col min="26" max="26" width="1.44140625" customWidth="1"/>
    <col min="27" max="27" width="10.5546875" customWidth="1"/>
    <col min="28" max="28" width="1.44140625" customWidth="1"/>
    <col min="29" max="29" width="10.5546875" customWidth="1"/>
    <col min="30" max="30" width="1.44140625" customWidth="1"/>
    <col min="31" max="31" width="10.5546875" customWidth="1"/>
    <col min="32" max="32" width="1.44140625" customWidth="1"/>
    <col min="33" max="33" width="11.88671875" customWidth="1"/>
    <col min="34" max="34" width="1.44140625" customWidth="1"/>
    <col min="35" max="35" width="13" customWidth="1"/>
    <col min="36" max="36" width="1.44140625" customWidth="1"/>
    <col min="37" max="37" width="12.5546875" customWidth="1"/>
    <col min="38" max="38" width="1.44140625" customWidth="1"/>
    <col min="39" max="39" width="12.5546875" customWidth="1"/>
    <col min="40" max="40" width="1.44140625" customWidth="1"/>
    <col min="41" max="41" width="12.5546875" customWidth="1"/>
    <col min="42" max="42" width="1.44140625" customWidth="1"/>
    <col min="43" max="43" width="13.88671875" customWidth="1"/>
    <col min="44" max="44" width="1.44140625" customWidth="1"/>
    <col min="45" max="45" width="12.5546875" customWidth="1"/>
    <col min="46" max="46" width="1.44140625" customWidth="1"/>
    <col min="47" max="47" width="12.5546875" customWidth="1"/>
    <col min="48" max="48" width="1.44140625" customWidth="1"/>
    <col min="49" max="49" width="12.5546875" customWidth="1"/>
    <col min="50" max="50" width="1.44140625" customWidth="1"/>
    <col min="51" max="51" width="14.44140625" customWidth="1"/>
    <col min="52" max="52" width="1.44140625" customWidth="1"/>
    <col min="53" max="53" width="13.5546875" customWidth="1"/>
    <col min="54" max="54" width="1.44140625" customWidth="1"/>
    <col min="55" max="55" width="12.5546875" customWidth="1"/>
    <col min="56" max="56" width="1.44140625" customWidth="1"/>
    <col min="57" max="57" width="12.5546875" customWidth="1"/>
    <col min="58" max="58" width="1.44140625" customWidth="1"/>
    <col min="59" max="59" width="12.5546875" customWidth="1"/>
    <col min="60" max="60" width="1.44140625" customWidth="1"/>
    <col min="61" max="61" width="12.5546875" customWidth="1"/>
    <col min="62" max="62" width="1.44140625" customWidth="1"/>
    <col min="63" max="63" width="12.5546875" customWidth="1"/>
    <col min="64" max="64" width="1.44140625" customWidth="1"/>
    <col min="65" max="65" width="12.5546875" customWidth="1"/>
    <col min="66" max="66" width="1.44140625" customWidth="1"/>
    <col min="67" max="67" width="12.5546875" customWidth="1"/>
    <col min="68" max="68" width="1.44140625" customWidth="1"/>
    <col min="69" max="69" width="12.5546875" customWidth="1"/>
    <col min="70" max="70" width="1.44140625" customWidth="1"/>
    <col min="71" max="71" width="12.5546875" customWidth="1"/>
    <col min="72" max="72" width="1.44140625" customWidth="1"/>
    <col min="73" max="73" width="12.5546875" customWidth="1"/>
    <col min="74" max="74" width="1.44140625" customWidth="1"/>
    <col min="75" max="75" width="12.5546875" customWidth="1"/>
    <col min="76" max="76" width="1.44140625" customWidth="1"/>
    <col min="77" max="77" width="12.5546875" customWidth="1"/>
    <col min="78" max="78" width="1.44140625" customWidth="1"/>
    <col min="79" max="79" width="12.5546875" customWidth="1"/>
    <col min="80" max="80" width="1.44140625" customWidth="1"/>
    <col min="81" max="81" width="12.5546875" customWidth="1"/>
    <col min="82" max="82" width="1.44140625" customWidth="1"/>
    <col min="83" max="83" width="12.5546875" customWidth="1"/>
    <col min="84" max="84" width="1.44140625" customWidth="1"/>
    <col min="85" max="85" width="12.5546875" customWidth="1"/>
    <col min="86" max="86" width="1.44140625" customWidth="1"/>
    <col min="87" max="87" width="12.5546875" customWidth="1"/>
    <col min="88" max="88" width="1.44140625" customWidth="1"/>
    <col min="89" max="89" width="12.5546875" customWidth="1"/>
    <col min="90" max="90" width="1.44140625" customWidth="1"/>
    <col min="91" max="91" width="12.5546875" customWidth="1"/>
    <col min="92" max="92" width="1.44140625" customWidth="1"/>
    <col min="93" max="93" width="12.5546875" customWidth="1"/>
    <col min="94" max="94" width="1.44140625" customWidth="1"/>
    <col min="95" max="95" width="12.5546875" customWidth="1"/>
    <col min="96" max="96" width="1.44140625" customWidth="1"/>
    <col min="97" max="97" width="12.5546875" customWidth="1"/>
    <col min="98" max="98" width="1.44140625" customWidth="1"/>
    <col min="99" max="99" width="12.5546875" customWidth="1"/>
    <col min="100" max="100" width="1.44140625" customWidth="1"/>
    <col min="101" max="101" width="12.5546875" customWidth="1"/>
    <col min="102" max="102" width="1.44140625" customWidth="1"/>
    <col min="103" max="103" width="12.5546875" customWidth="1"/>
    <col min="104" max="104" width="1.44140625" customWidth="1"/>
    <col min="105" max="105" width="12.5546875" customWidth="1"/>
    <col min="106" max="106" width="1.44140625" customWidth="1"/>
    <col min="107" max="107" width="12.5546875" customWidth="1"/>
    <col min="108" max="108" width="1.44140625" customWidth="1"/>
    <col min="109" max="109" width="12.5546875" customWidth="1"/>
    <col min="110" max="110" width="1.44140625" customWidth="1"/>
    <col min="111" max="111" width="12.5546875" customWidth="1"/>
    <col min="112" max="112" width="1.44140625" customWidth="1"/>
    <col min="113" max="113" width="12.5546875" customWidth="1"/>
    <col min="114" max="114" width="1.44140625" customWidth="1"/>
    <col min="115" max="115" width="12.5546875" customWidth="1"/>
    <col min="116" max="116" width="1.44140625" customWidth="1"/>
    <col min="117" max="117" width="12.5546875" customWidth="1"/>
    <col min="118" max="118" width="1.44140625" customWidth="1"/>
    <col min="119" max="119" width="12.5546875" customWidth="1"/>
    <col min="120" max="120" width="1.44140625" customWidth="1"/>
    <col min="121" max="121" width="12.5546875" customWidth="1"/>
    <col min="122" max="122" width="1.44140625" customWidth="1"/>
    <col min="123" max="123" width="12.5546875" customWidth="1"/>
    <col min="124" max="124" width="1.44140625" customWidth="1"/>
    <col min="125" max="125" width="12.5546875" customWidth="1"/>
    <col min="126" max="126" width="1.44140625" customWidth="1"/>
    <col min="127" max="127" width="12.5546875" customWidth="1"/>
    <col min="128" max="128" width="1.44140625" customWidth="1"/>
    <col min="129" max="129" width="12.5546875" customWidth="1"/>
    <col min="130" max="130" width="1.44140625" customWidth="1"/>
    <col min="131" max="131" width="12.5546875" customWidth="1"/>
    <col min="132" max="132" width="1.44140625" customWidth="1"/>
    <col min="133" max="133" width="12.5546875" customWidth="1"/>
    <col min="134" max="134" width="1.44140625" customWidth="1"/>
    <col min="135" max="135" width="12.5546875" customWidth="1"/>
    <col min="136" max="136" width="1.44140625" customWidth="1"/>
    <col min="137" max="137" width="12.5546875" customWidth="1"/>
    <col min="138" max="138" width="1.44140625" customWidth="1"/>
    <col min="139" max="139" width="12.5546875" customWidth="1"/>
    <col min="140" max="140" width="1.44140625" customWidth="1"/>
    <col min="141" max="141" width="12.5546875" customWidth="1"/>
    <col min="142" max="142" width="1.44140625" customWidth="1"/>
    <col min="143" max="143" width="12.5546875" customWidth="1"/>
    <col min="144" max="144" width="1.44140625" customWidth="1"/>
    <col min="145" max="145" width="12.5546875" customWidth="1"/>
    <col min="146" max="146" width="1.44140625" customWidth="1"/>
    <col min="147" max="147" width="12.5546875" customWidth="1"/>
    <col min="148" max="148" width="1.44140625" customWidth="1"/>
    <col min="149" max="149" width="12.5546875" customWidth="1"/>
    <col min="150" max="150" width="1.44140625" customWidth="1"/>
    <col min="151" max="151" width="12.5546875" customWidth="1"/>
    <col min="152" max="152" width="1.44140625" customWidth="1"/>
    <col min="153" max="153" width="12.5546875" customWidth="1"/>
    <col min="154" max="154" width="1.44140625" customWidth="1"/>
    <col min="155" max="155" width="12.5546875" customWidth="1"/>
    <col min="156" max="156" width="1.44140625" customWidth="1"/>
    <col min="157" max="157" width="12.5546875" customWidth="1"/>
    <col min="158" max="158" width="1.44140625" customWidth="1"/>
    <col min="159" max="159" width="12.5546875" customWidth="1"/>
    <col min="160" max="160" width="1.44140625" customWidth="1"/>
    <col min="161" max="161" width="12.5546875" customWidth="1"/>
    <col min="162" max="162" width="1.44140625" customWidth="1"/>
    <col min="163" max="163" width="12.5546875" customWidth="1"/>
    <col min="164" max="164" width="1.44140625" customWidth="1"/>
    <col min="165" max="165" width="12.5546875" customWidth="1"/>
    <col min="166" max="166" width="1.44140625" customWidth="1"/>
    <col min="167" max="167" width="12.5546875" customWidth="1"/>
    <col min="168" max="168" width="1.44140625" customWidth="1"/>
    <col min="169" max="169" width="12.5546875" customWidth="1"/>
    <col min="170" max="170" width="1.44140625" customWidth="1"/>
    <col min="171" max="171" width="12.5546875" customWidth="1"/>
    <col min="172" max="172" width="1.44140625" customWidth="1"/>
    <col min="173" max="173" width="12.5546875" customWidth="1"/>
    <col min="174" max="174" width="1.44140625" customWidth="1"/>
    <col min="175" max="175" width="12.5546875" customWidth="1"/>
  </cols>
  <sheetData>
    <row r="1" spans="1:175">
      <c r="G1" s="68"/>
      <c r="I1" s="68"/>
      <c r="K1" s="68"/>
      <c r="M1" s="68"/>
      <c r="O1" s="69">
        <v>19603.639553852514</v>
      </c>
      <c r="P1" s="69"/>
      <c r="Q1" s="69">
        <v>18053.193953852515</v>
      </c>
      <c r="R1" s="69"/>
      <c r="S1" s="69">
        <v>17080.540553852516</v>
      </c>
      <c r="U1" s="69">
        <v>108250.25848254043</v>
      </c>
      <c r="W1" s="69">
        <v>106205.71864254044</v>
      </c>
      <c r="Y1" s="69">
        <v>103611.80862254044</v>
      </c>
      <c r="AA1" s="69">
        <v>159925.85801052063</v>
      </c>
      <c r="AC1" s="69">
        <v>157022.58638052063</v>
      </c>
      <c r="AE1" s="69">
        <v>150225.77035052062</v>
      </c>
      <c r="AG1" s="69">
        <v>188791.34591585706</v>
      </c>
      <c r="AI1" s="69">
        <v>167186.43150585706</v>
      </c>
      <c r="AK1" s="69">
        <v>148408.08109585708</v>
      </c>
      <c r="AM1" s="69">
        <v>155336.60167835598</v>
      </c>
      <c r="AO1" s="69">
        <v>139510.68940835597</v>
      </c>
      <c r="AQ1" s="69">
        <v>127123.04686835594</v>
      </c>
      <c r="AS1" s="69">
        <v>-15335.001322386524</v>
      </c>
      <c r="AT1" s="69"/>
      <c r="AU1" s="69">
        <v>-15302.440122386528</v>
      </c>
      <c r="AW1" s="69">
        <v>-15274.317372386548</v>
      </c>
      <c r="AY1" s="69">
        <v>-91634.052665011928</v>
      </c>
      <c r="BA1" s="69">
        <v>-87843.2634650119</v>
      </c>
      <c r="BC1" s="69">
        <v>-79182.053435011912</v>
      </c>
      <c r="BE1" s="69">
        <v>-37789.811242143172</v>
      </c>
      <c r="BG1" s="69">
        <v>-5946.962322143183</v>
      </c>
      <c r="BI1" s="69">
        <v>28087.538837856828</v>
      </c>
      <c r="BK1" s="69">
        <v>99439.503691494145</v>
      </c>
      <c r="BM1" s="69">
        <v>120621.99725149416</v>
      </c>
      <c r="BO1" s="69">
        <v>135840.54853149416</v>
      </c>
      <c r="BQ1" s="69">
        <v>172539.84363890684</v>
      </c>
      <c r="BS1" s="69">
        <v>176766.30363890686</v>
      </c>
      <c r="BU1" s="69">
        <v>183285.11503890681</v>
      </c>
      <c r="BW1" s="69">
        <v>199981.27843229228</v>
      </c>
      <c r="BY1" s="69">
        <v>201528.32005229229</v>
      </c>
      <c r="CA1" s="69">
        <v>203253.80405229228</v>
      </c>
      <c r="CC1" s="69">
        <v>285964.18161547044</v>
      </c>
      <c r="CE1" s="69">
        <v>285964.18161547044</v>
      </c>
      <c r="CG1" s="69">
        <v>461578.97470967809</v>
      </c>
      <c r="CI1" s="68">
        <f>CI38+CI42+CI46+CI55+CI61+CI65+CI69+CI73+CI77+CI81</f>
        <v>439806.57132967806</v>
      </c>
      <c r="CK1" s="68">
        <f>CK38+CK42+CK46+CK55+CK61+CK65+CK69+CK73+CK77+CK81</f>
        <v>424618.00338967808</v>
      </c>
      <c r="CM1" s="68">
        <f>CM38+CM42+CM46+CM55+CM61+CM65+CM69+CM73+CM77+CM81</f>
        <v>415662.3366696781</v>
      </c>
      <c r="CO1" s="68">
        <f>+CO42+CO46+CO55+CO61+CO65+CO69+CO73+CO77+CO81+CO85</f>
        <v>394460.30472131609</v>
      </c>
      <c r="CQ1" s="68">
        <f>+CQ42+CQ46+CQ55+CQ61+CQ65+CQ69+CQ73+CQ77+CQ81+CQ85</f>
        <v>386054.65242131602</v>
      </c>
      <c r="CS1" s="68">
        <f>+CS42+CS46+CS55+CS61+CS65+CS69+CS73+CS77+CS81+CS85</f>
        <v>377914.01320131606</v>
      </c>
      <c r="CU1" s="68">
        <f>+CU46+CU55+CU61+CU65+CU69+CU73+CU77+CU81+CU85+CU89</f>
        <v>376628.28430131602</v>
      </c>
      <c r="CW1" s="68">
        <f>+CW46+CW55+CW61+CW65+CW69+CW73+CW77+CW81+CW85+CW89</f>
        <v>360423.34450131608</v>
      </c>
      <c r="CY1" s="68">
        <f>+CY46+CY55+CY61+CY65+CY69+CY73+CY77+CY81+CY85+CY89</f>
        <v>340534.46710131608</v>
      </c>
      <c r="DA1" s="68">
        <f>+DA55+DA61+DA65+DA69+DA73+DA77+DA81+DA85+DA89+DA93</f>
        <v>305158.62110131601</v>
      </c>
      <c r="DC1" s="68">
        <f>+DC55+DC61+DC65+DC69+DC73+DC77+DC81+DC85+DC89+DC93</f>
        <v>272453.69150131603</v>
      </c>
      <c r="DE1" s="68">
        <f>+DE55+DE61+DE65+DE69+DE73+DE77+DE81+DE85+DE89+DE93</f>
        <v>156894.08014131608</v>
      </c>
      <c r="DG1" s="68">
        <f>+DG61+DG65+DG69+DG73+DG77+DG81+DG85+DG89+DG93+DG97</f>
        <v>98306.831042040256</v>
      </c>
      <c r="DI1" s="68"/>
      <c r="DK1" s="68"/>
      <c r="DM1" s="68"/>
      <c r="DO1" s="68"/>
      <c r="DQ1" s="68"/>
      <c r="DS1" s="68"/>
      <c r="DU1" s="68"/>
      <c r="DW1" s="68"/>
      <c r="DY1" s="68"/>
      <c r="EA1" s="68"/>
      <c r="EC1" s="68"/>
      <c r="EE1" s="68"/>
      <c r="EG1" s="68"/>
      <c r="EI1" s="68"/>
      <c r="EK1" s="68"/>
      <c r="EM1" s="68"/>
      <c r="EO1" s="68"/>
      <c r="EQ1" s="68"/>
      <c r="ES1" s="68"/>
      <c r="EU1" s="68"/>
      <c r="EW1" s="68"/>
      <c r="EY1" s="68"/>
      <c r="FA1" s="68"/>
      <c r="FC1" s="68"/>
      <c r="FE1" s="68"/>
      <c r="FG1" s="68"/>
      <c r="FI1" s="68"/>
      <c r="FK1" s="68"/>
      <c r="FM1" s="68"/>
      <c r="FO1" s="68"/>
      <c r="FQ1" s="68"/>
      <c r="FS1" s="68"/>
    </row>
    <row r="2" spans="1:175">
      <c r="B2" s="70" t="s">
        <v>129</v>
      </c>
      <c r="C2" s="49" t="s">
        <v>130</v>
      </c>
      <c r="CG2" s="68"/>
      <c r="CK2" s="71"/>
    </row>
    <row r="3" spans="1:175">
      <c r="B3" s="70" t="s">
        <v>131</v>
      </c>
      <c r="C3" s="49" t="s">
        <v>132</v>
      </c>
      <c r="AO3" s="68"/>
      <c r="BC3" s="72"/>
      <c r="CG3" s="72"/>
      <c r="DE3" s="72" t="s">
        <v>133</v>
      </c>
      <c r="DG3" s="49" t="s">
        <v>134</v>
      </c>
      <c r="DK3" s="73"/>
      <c r="DM3" s="49"/>
      <c r="DQ3" s="73"/>
      <c r="DS3" s="49"/>
      <c r="DW3" s="73"/>
      <c r="DY3" s="49"/>
      <c r="EC3" s="73"/>
      <c r="EE3" s="49"/>
      <c r="EI3" s="73"/>
      <c r="EK3" s="49"/>
      <c r="EO3" s="73"/>
      <c r="EQ3" s="49"/>
      <c r="EU3" s="73"/>
      <c r="EW3" s="49"/>
      <c r="FA3" s="73"/>
      <c r="FC3" s="49"/>
      <c r="FG3" s="73"/>
      <c r="FI3" s="49"/>
      <c r="FM3" s="73"/>
      <c r="FO3" s="49"/>
      <c r="FS3" s="73"/>
    </row>
    <row r="4" spans="1:175" s="75" customFormat="1">
      <c r="A4" s="74"/>
      <c r="G4" s="76">
        <v>44500</v>
      </c>
      <c r="H4" s="76"/>
      <c r="I4" s="76">
        <v>44530</v>
      </c>
      <c r="J4" s="76"/>
      <c r="K4" s="76">
        <v>44561</v>
      </c>
      <c r="L4" s="76"/>
      <c r="M4" s="76">
        <v>44592</v>
      </c>
      <c r="N4" s="76"/>
      <c r="O4" s="76">
        <v>44620</v>
      </c>
      <c r="P4" s="76"/>
      <c r="Q4" s="76">
        <v>44651</v>
      </c>
      <c r="R4" s="76"/>
      <c r="S4" s="76">
        <v>44681</v>
      </c>
      <c r="T4" s="76"/>
      <c r="U4" s="76">
        <v>44712</v>
      </c>
      <c r="V4" s="76"/>
      <c r="W4" s="76">
        <v>44742</v>
      </c>
      <c r="X4" s="76"/>
      <c r="Y4" s="76">
        <v>44773</v>
      </c>
      <c r="Z4" s="76"/>
      <c r="AA4" s="76">
        <v>44804</v>
      </c>
      <c r="AB4" s="76"/>
      <c r="AC4" s="76">
        <v>44834</v>
      </c>
      <c r="AD4" s="76"/>
      <c r="AE4" s="76">
        <v>44865</v>
      </c>
      <c r="AF4" s="76"/>
      <c r="AG4" s="76">
        <v>44895</v>
      </c>
      <c r="AH4" s="76"/>
      <c r="AI4" s="76">
        <v>44926</v>
      </c>
      <c r="AJ4" s="76"/>
      <c r="AK4" s="76">
        <v>44957</v>
      </c>
      <c r="AL4" s="76"/>
      <c r="AM4" s="76">
        <v>44985</v>
      </c>
      <c r="AN4" s="76"/>
      <c r="AO4" s="76">
        <v>45016</v>
      </c>
      <c r="AP4" s="76"/>
      <c r="AQ4" s="76">
        <v>45046</v>
      </c>
      <c r="AR4" s="76"/>
      <c r="AS4" s="76">
        <v>45077</v>
      </c>
      <c r="AT4" s="76"/>
      <c r="AU4" s="76">
        <v>45107</v>
      </c>
      <c r="AV4" s="76"/>
      <c r="AW4" s="76">
        <v>45138</v>
      </c>
      <c r="AX4" s="76"/>
      <c r="AY4" s="76">
        <v>45169</v>
      </c>
      <c r="AZ4" s="76"/>
      <c r="BA4" s="76">
        <v>45199</v>
      </c>
      <c r="BB4" s="76"/>
      <c r="BC4" s="76">
        <v>45230</v>
      </c>
      <c r="BD4" s="76"/>
      <c r="BE4" s="76">
        <v>45260</v>
      </c>
      <c r="BF4" s="76"/>
      <c r="BG4" s="76">
        <v>45291</v>
      </c>
      <c r="BH4" s="76"/>
      <c r="BI4" s="76">
        <v>45322</v>
      </c>
      <c r="BJ4" s="76"/>
      <c r="BK4" s="76">
        <v>45342</v>
      </c>
      <c r="BL4" s="76"/>
      <c r="BM4" s="76">
        <v>45382</v>
      </c>
      <c r="BN4" s="76"/>
      <c r="BO4" s="76">
        <v>45412</v>
      </c>
      <c r="BP4" s="76"/>
      <c r="BQ4" s="76">
        <v>45443</v>
      </c>
      <c r="BR4" s="76"/>
      <c r="BS4" s="76">
        <v>45473</v>
      </c>
      <c r="BT4" s="76"/>
      <c r="BU4" s="76">
        <v>45504</v>
      </c>
      <c r="BV4" s="76"/>
      <c r="BW4" s="76">
        <v>45535</v>
      </c>
      <c r="BX4" s="76"/>
      <c r="BY4" s="76">
        <v>45565</v>
      </c>
      <c r="BZ4" s="76"/>
      <c r="CA4" s="76">
        <v>45596</v>
      </c>
      <c r="CB4" s="76"/>
      <c r="CC4" s="76">
        <v>45626</v>
      </c>
      <c r="CD4" s="76"/>
      <c r="CE4" s="76">
        <v>45657</v>
      </c>
      <c r="CF4" s="76"/>
      <c r="CG4" s="76">
        <v>45688</v>
      </c>
      <c r="CH4" s="76"/>
      <c r="CI4" s="76">
        <v>45716</v>
      </c>
      <c r="CJ4" s="76"/>
      <c r="CK4" s="76">
        <v>45747</v>
      </c>
      <c r="CL4" s="76"/>
      <c r="CM4" s="76">
        <v>45777</v>
      </c>
      <c r="CN4" s="76"/>
      <c r="CO4" s="76">
        <v>45808</v>
      </c>
      <c r="CP4" s="76"/>
      <c r="CQ4" s="76">
        <v>45838</v>
      </c>
      <c r="CR4" s="76"/>
      <c r="CS4" s="76">
        <v>45869</v>
      </c>
      <c r="CT4" s="76"/>
      <c r="CU4" s="76">
        <v>45900</v>
      </c>
      <c r="CV4" s="76"/>
      <c r="CW4" s="76">
        <v>45930</v>
      </c>
      <c r="CX4" s="76"/>
      <c r="CY4" s="76">
        <v>45961</v>
      </c>
      <c r="CZ4" s="76"/>
      <c r="DA4" s="76">
        <v>45991</v>
      </c>
      <c r="DB4" s="76"/>
      <c r="DC4" s="76">
        <v>46022</v>
      </c>
      <c r="DD4" s="76"/>
      <c r="DE4" s="76">
        <v>46053</v>
      </c>
      <c r="DF4" s="76"/>
      <c r="DG4" s="76">
        <v>46081</v>
      </c>
      <c r="DH4" s="76"/>
      <c r="DI4" s="76">
        <v>46112</v>
      </c>
      <c r="DJ4" s="76"/>
      <c r="DK4" s="76">
        <v>46142</v>
      </c>
      <c r="DL4" s="76"/>
      <c r="DM4" s="76">
        <v>46173</v>
      </c>
      <c r="DN4" s="76"/>
      <c r="DO4" s="76">
        <v>46203</v>
      </c>
      <c r="DP4" s="76"/>
      <c r="DQ4" s="76">
        <v>46234</v>
      </c>
      <c r="DR4" s="76"/>
      <c r="DS4" s="76">
        <v>46265</v>
      </c>
      <c r="DT4" s="76"/>
      <c r="DU4" s="76">
        <v>46295</v>
      </c>
      <c r="DV4" s="76"/>
      <c r="DW4" s="76">
        <v>46326</v>
      </c>
      <c r="DX4" s="76"/>
      <c r="DY4" s="76">
        <v>46356</v>
      </c>
      <c r="DZ4" s="76"/>
      <c r="EA4" s="76">
        <v>46387</v>
      </c>
      <c r="EB4" s="76"/>
      <c r="EC4" s="76">
        <v>46418</v>
      </c>
      <c r="ED4" s="76"/>
      <c r="EE4" s="76">
        <v>46446</v>
      </c>
      <c r="EF4" s="76"/>
      <c r="EG4" s="76">
        <v>46477</v>
      </c>
      <c r="EH4" s="76"/>
      <c r="EI4" s="76">
        <v>46507</v>
      </c>
      <c r="EJ4" s="76"/>
      <c r="EK4" s="76">
        <v>46538</v>
      </c>
      <c r="EL4" s="76"/>
      <c r="EM4" s="76">
        <v>46568</v>
      </c>
      <c r="EN4" s="76"/>
      <c r="EO4" s="76">
        <v>46599</v>
      </c>
      <c r="EP4" s="76"/>
      <c r="EQ4" s="76">
        <v>46630</v>
      </c>
      <c r="ER4" s="76"/>
      <c r="ES4" s="76">
        <v>46660</v>
      </c>
      <c r="ET4" s="76"/>
      <c r="EU4" s="76">
        <v>46691</v>
      </c>
      <c r="EV4" s="76"/>
      <c r="EW4" s="76">
        <v>46721</v>
      </c>
      <c r="EX4" s="76"/>
      <c r="EY4" s="76">
        <v>46752</v>
      </c>
      <c r="EZ4" s="76"/>
      <c r="FA4" s="76">
        <v>46783</v>
      </c>
      <c r="FB4" s="76"/>
      <c r="FC4" s="76">
        <v>46811</v>
      </c>
      <c r="FD4" s="76"/>
      <c r="FE4" s="76">
        <v>46843</v>
      </c>
      <c r="FF4" s="76"/>
      <c r="FG4" s="76">
        <v>46873</v>
      </c>
      <c r="FH4" s="76"/>
      <c r="FI4" s="76">
        <v>46904</v>
      </c>
      <c r="FJ4" s="76"/>
      <c r="FK4" s="76">
        <v>46934</v>
      </c>
      <c r="FL4" s="76"/>
      <c r="FM4" s="76">
        <v>46965</v>
      </c>
      <c r="FN4" s="76"/>
      <c r="FO4" s="76">
        <v>46996</v>
      </c>
      <c r="FP4" s="76"/>
      <c r="FQ4" s="76">
        <f>FO4+30</f>
        <v>47026</v>
      </c>
      <c r="FR4" s="76"/>
      <c r="FS4" s="76">
        <f>FQ4+30</f>
        <v>47056</v>
      </c>
    </row>
    <row r="5" spans="1:175">
      <c r="A5" s="49" t="s">
        <v>135</v>
      </c>
      <c r="G5" s="77"/>
      <c r="I5" s="77"/>
      <c r="K5" s="77"/>
      <c r="M5" s="77"/>
      <c r="O5" s="78">
        <v>11254</v>
      </c>
      <c r="Q5" s="78">
        <v>9196</v>
      </c>
      <c r="S5" s="78">
        <v>5769</v>
      </c>
      <c r="U5" s="78">
        <v>2820.4</v>
      </c>
      <c r="W5" s="78">
        <v>2251.1999999999998</v>
      </c>
      <c r="Y5" s="78">
        <v>2856.1000000000004</v>
      </c>
      <c r="AA5" s="78">
        <v>1623.3999999999999</v>
      </c>
      <c r="AC5" s="78">
        <v>2114.6999999999998</v>
      </c>
      <c r="AE5" s="78">
        <v>4950.7</v>
      </c>
      <c r="AG5" s="78">
        <v>7174.2999999999993</v>
      </c>
      <c r="AI5" s="78">
        <v>11923.9</v>
      </c>
      <c r="AK5" s="78">
        <v>10363.900000000001</v>
      </c>
      <c r="AM5" s="78">
        <v>7501.9000000000005</v>
      </c>
      <c r="AO5" s="78">
        <v>8593.1</v>
      </c>
      <c r="AQ5" s="78">
        <v>6726.2</v>
      </c>
      <c r="AS5" s="78">
        <v>2512.1999999999998</v>
      </c>
      <c r="AU5" s="78">
        <v>2245.6</v>
      </c>
      <c r="AW5" s="78">
        <v>1939.5</v>
      </c>
      <c r="AY5" s="78">
        <v>1617</v>
      </c>
      <c r="BA5" s="78">
        <v>1836</v>
      </c>
      <c r="BC5" s="78">
        <v>4194.8999999999996</v>
      </c>
      <c r="BE5" s="78">
        <v>7103.6</v>
      </c>
      <c r="BG5" s="78">
        <v>10864.900000000001</v>
      </c>
      <c r="BI5" s="78">
        <v>11612.7</v>
      </c>
      <c r="BK5" s="78">
        <v>10050.4</v>
      </c>
      <c r="BM5" s="78">
        <v>6769.3</v>
      </c>
      <c r="BO5" s="78">
        <v>4863.4000000000005</v>
      </c>
      <c r="BQ5" s="78">
        <f>Sales!N61</f>
        <v>2874.4</v>
      </c>
      <c r="BS5" s="78">
        <f>Sales!P61</f>
        <v>2110</v>
      </c>
      <c r="BU5" s="78">
        <f>Sales!R61</f>
        <v>3249</v>
      </c>
      <c r="BW5" s="78">
        <f>Sales!T61</f>
        <v>5503.73</v>
      </c>
      <c r="BY5" s="78">
        <f>Sales!V61</f>
        <v>3622.2</v>
      </c>
      <c r="CA5" s="78">
        <f>Sales!X61</f>
        <v>4040</v>
      </c>
      <c r="CC5" s="78">
        <f>Sales!Z61</f>
        <v>6716</v>
      </c>
      <c r="CE5" s="78">
        <f>Sales!AB61</f>
        <v>10533.8</v>
      </c>
      <c r="CG5" s="78">
        <f>Sales!F62</f>
        <v>16613.900000000001</v>
      </c>
      <c r="CI5" s="78">
        <f>Sales!H62</f>
        <v>10975.1</v>
      </c>
      <c r="CK5" s="78">
        <f>Sales!J62</f>
        <v>7656.3</v>
      </c>
      <c r="CM5" s="78">
        <f>Sales!L62</f>
        <v>4514.4000000000005</v>
      </c>
      <c r="CO5" s="78">
        <f>Sales!N62</f>
        <v>2718.6</v>
      </c>
      <c r="CQ5" s="78">
        <f>Sales!P62</f>
        <v>2271</v>
      </c>
      <c r="CS5" s="78">
        <f>Sales!R62</f>
        <v>2199.4</v>
      </c>
      <c r="CU5" s="78">
        <f>Sales!T62</f>
        <v>2687</v>
      </c>
      <c r="CW5" s="78">
        <f>Sales!V62</f>
        <v>4434</v>
      </c>
      <c r="CY5" s="78">
        <f>Sales!X62</f>
        <v>5442</v>
      </c>
      <c r="DA5" s="78">
        <f>Sales!Z62</f>
        <v>8260</v>
      </c>
      <c r="DC5" s="78">
        <f>Sales!AB62</f>
        <v>11156</v>
      </c>
      <c r="DE5" s="78">
        <f>Sales!F63</f>
        <v>14864.599999999999</v>
      </c>
      <c r="DG5" s="78">
        <f>Sales!H51</f>
        <v>11523.489999999998</v>
      </c>
      <c r="DI5" s="78">
        <f>Sales!J51</f>
        <v>9782.2200000000012</v>
      </c>
      <c r="DK5" s="78">
        <f>Sales!L51</f>
        <v>6875.6200000000008</v>
      </c>
      <c r="DM5" s="78">
        <f>Sales!N51</f>
        <v>3981.32</v>
      </c>
      <c r="DO5" s="78">
        <f>Sales!P51</f>
        <v>3216.4199999999996</v>
      </c>
      <c r="DQ5" s="78">
        <f>Sales!R51</f>
        <v>2841.52</v>
      </c>
      <c r="DS5" s="78">
        <f>Sales!T51</f>
        <v>2841.9859999999999</v>
      </c>
      <c r="DU5" s="78">
        <f>Sales!V51</f>
        <v>2897.7</v>
      </c>
      <c r="DW5" s="78">
        <f>Sales!X51</f>
        <v>4717.54</v>
      </c>
      <c r="DY5" s="78">
        <f>Sales!Z51</f>
        <v>7538.2599999999993</v>
      </c>
      <c r="EA5" s="78">
        <f>Sales!AB51</f>
        <v>10381.52</v>
      </c>
      <c r="EC5" s="78">
        <f>Sales!F51</f>
        <v>13669.220000000001</v>
      </c>
      <c r="EE5" s="78">
        <f>Sales!H51</f>
        <v>11523.489999999998</v>
      </c>
      <c r="EG5" s="78">
        <f>Sales!J51</f>
        <v>9782.2200000000012</v>
      </c>
      <c r="EI5" s="78">
        <f>Sales!L51</f>
        <v>6875.6200000000008</v>
      </c>
      <c r="EK5" s="78">
        <f>Sales!N51</f>
        <v>3981.32</v>
      </c>
      <c r="EM5" s="78">
        <f>Sales!P51</f>
        <v>3216.4199999999996</v>
      </c>
      <c r="EO5" s="78">
        <f>Sales!R51</f>
        <v>2841.52</v>
      </c>
      <c r="EQ5" s="78">
        <f>Sales!T51</f>
        <v>2841.9859999999999</v>
      </c>
      <c r="ES5" s="78">
        <f>Sales!V51</f>
        <v>2897.7</v>
      </c>
      <c r="EU5" s="78">
        <f>Sales!X51</f>
        <v>4717.54</v>
      </c>
      <c r="EW5" s="78">
        <f>Sales!Z51</f>
        <v>7538.2599999999993</v>
      </c>
      <c r="EY5" s="78">
        <f>Sales!AB51</f>
        <v>10381.52</v>
      </c>
      <c r="FA5" s="78">
        <f>Sales!F51</f>
        <v>13669.220000000001</v>
      </c>
      <c r="FC5" s="78">
        <f>Sales!H51</f>
        <v>11523.489999999998</v>
      </c>
      <c r="FE5" s="78">
        <f>Sales!J51</f>
        <v>9782.2200000000012</v>
      </c>
      <c r="FG5" s="78">
        <f>Sales!L51</f>
        <v>6875.6200000000008</v>
      </c>
      <c r="FI5" s="78">
        <f>Sales!N51</f>
        <v>3981.32</v>
      </c>
      <c r="FK5" s="78">
        <f>Sales!P51</f>
        <v>3216.4199999999996</v>
      </c>
      <c r="FM5" s="78">
        <f>Sales!R51</f>
        <v>2841.52</v>
      </c>
      <c r="FO5" s="78">
        <f>Sales!T51</f>
        <v>2841.9859999999999</v>
      </c>
      <c r="FQ5" s="78">
        <f>Sales!V51</f>
        <v>2897.7</v>
      </c>
      <c r="FS5" s="78">
        <f>Sales!X51</f>
        <v>4717.54</v>
      </c>
    </row>
    <row r="6" spans="1:175">
      <c r="A6" s="49"/>
      <c r="S6" s="79"/>
      <c r="Y6" s="79"/>
      <c r="AE6" s="79"/>
      <c r="AK6" s="79"/>
      <c r="AQ6" s="79"/>
      <c r="AX6" s="80"/>
      <c r="BC6" s="79"/>
      <c r="BI6" s="79"/>
      <c r="BO6" s="79"/>
      <c r="BU6" s="79"/>
      <c r="CA6" s="79"/>
      <c r="CG6" s="79"/>
      <c r="CM6" s="79"/>
      <c r="CS6" s="79"/>
      <c r="CT6" s="80"/>
      <c r="CY6" s="79"/>
      <c r="DF6" s="80"/>
      <c r="DK6" s="79"/>
      <c r="DQ6" s="79"/>
      <c r="DW6" s="79"/>
      <c r="EC6" s="79"/>
      <c r="EI6" s="79"/>
      <c r="EO6" s="79"/>
      <c r="EU6" s="79"/>
      <c r="FA6" s="79"/>
      <c r="FG6" s="79"/>
      <c r="FM6" s="79"/>
      <c r="FS6" s="79"/>
    </row>
    <row r="7" spans="1:175">
      <c r="B7" s="49" t="s">
        <v>136</v>
      </c>
      <c r="S7" s="79"/>
      <c r="Y7" s="79"/>
      <c r="AE7" s="79"/>
      <c r="AK7" s="79"/>
      <c r="AQ7" s="79"/>
      <c r="AX7" s="80"/>
      <c r="BC7" s="79"/>
      <c r="BI7" s="79"/>
      <c r="BO7" s="79"/>
      <c r="BU7" s="79"/>
      <c r="CA7" s="79"/>
      <c r="CG7" s="79"/>
      <c r="CN7" s="80"/>
      <c r="CS7" s="79"/>
      <c r="CT7" s="80"/>
      <c r="CY7" s="79"/>
      <c r="DF7" s="80"/>
      <c r="DK7" s="79"/>
      <c r="DQ7" s="79"/>
      <c r="DW7" s="79"/>
      <c r="EC7" s="79"/>
      <c r="EI7" s="79"/>
      <c r="EO7" s="79"/>
      <c r="EU7" s="79"/>
      <c r="FA7" s="79"/>
      <c r="FG7" s="79"/>
      <c r="FM7" s="79"/>
      <c r="FS7" s="79"/>
    </row>
    <row r="8" spans="1:175">
      <c r="C8" s="49" t="s">
        <v>137</v>
      </c>
      <c r="G8" s="81"/>
      <c r="I8" s="81"/>
      <c r="K8" s="81"/>
      <c r="M8" s="81"/>
      <c r="O8" s="81"/>
      <c r="Q8" s="81"/>
      <c r="S8" s="81"/>
      <c r="T8" s="80"/>
      <c r="U8" s="81"/>
      <c r="W8" s="81"/>
      <c r="Y8" s="81"/>
      <c r="Z8" s="80"/>
      <c r="AA8" s="81"/>
      <c r="AC8" s="81"/>
      <c r="AE8" s="81"/>
      <c r="AF8" s="80"/>
      <c r="AG8" s="81"/>
      <c r="AI8" s="81"/>
      <c r="AK8" s="81"/>
      <c r="AL8" s="80"/>
      <c r="AM8" s="81"/>
      <c r="AO8" s="81"/>
      <c r="AQ8" s="81"/>
      <c r="AR8" s="80"/>
      <c r="AS8" s="81"/>
      <c r="AU8" s="81"/>
      <c r="AW8" s="81"/>
      <c r="AX8" s="80"/>
      <c r="AY8" s="81"/>
      <c r="BA8" s="81"/>
      <c r="BC8" s="81"/>
      <c r="BD8" s="80"/>
      <c r="BE8" s="81"/>
      <c r="BG8" s="81"/>
      <c r="BI8" s="81"/>
      <c r="BJ8" s="80"/>
      <c r="BK8" s="81">
        <v>7.8100000000000003E-2</v>
      </c>
      <c r="BM8" s="81">
        <v>7.8100000000000003E-2</v>
      </c>
      <c r="BO8" s="81">
        <v>7.8100000000000003E-2</v>
      </c>
      <c r="BP8" s="80"/>
      <c r="BQ8" s="81">
        <v>0.28189999999999998</v>
      </c>
      <c r="BS8" s="81">
        <v>0.28189999999999998</v>
      </c>
      <c r="BU8" s="81">
        <v>0.28189999999999998</v>
      </c>
      <c r="BV8" s="80"/>
      <c r="BW8" s="81">
        <v>0.1434</v>
      </c>
      <c r="BY8" s="81">
        <v>0.1434</v>
      </c>
      <c r="CA8" s="81">
        <v>0.1434</v>
      </c>
      <c r="CB8" s="80"/>
      <c r="CC8" s="81">
        <v>0</v>
      </c>
      <c r="CE8" s="81">
        <v>0</v>
      </c>
      <c r="CG8" s="81">
        <v>0</v>
      </c>
      <c r="CH8" s="80"/>
      <c r="CI8" s="81"/>
      <c r="CK8" s="81"/>
      <c r="CM8" s="81"/>
      <c r="CN8" s="80"/>
      <c r="CO8" s="81"/>
      <c r="CQ8" s="81"/>
      <c r="CS8" s="82"/>
      <c r="CT8" s="80"/>
      <c r="CU8" s="81"/>
      <c r="CV8" s="81"/>
      <c r="CW8" s="81"/>
      <c r="CY8" s="82"/>
      <c r="DA8" s="81">
        <f>DA54</f>
        <v>0.61560000000000004</v>
      </c>
      <c r="DC8" s="81">
        <f>DC54</f>
        <v>0.61560000000000004</v>
      </c>
      <c r="DE8" s="81">
        <f>DE54</f>
        <v>0.61560000000000004</v>
      </c>
      <c r="DF8" s="80"/>
      <c r="DG8" s="81">
        <f>DG60</f>
        <v>0.2908</v>
      </c>
      <c r="DI8" s="81">
        <f>DI60</f>
        <v>0.2908</v>
      </c>
      <c r="DK8" s="81">
        <f>DK60</f>
        <v>0.2908</v>
      </c>
      <c r="DL8" s="80"/>
      <c r="DM8" s="81">
        <f>DM64</f>
        <v>9.6100000000000005E-2</v>
      </c>
      <c r="DO8" s="81"/>
      <c r="DQ8" s="82"/>
      <c r="DS8" s="81"/>
      <c r="DU8" s="81"/>
      <c r="DW8" s="82"/>
      <c r="DY8" s="81"/>
      <c r="EA8" s="81"/>
      <c r="EC8" s="82"/>
      <c r="EE8" s="81"/>
      <c r="EG8" s="81"/>
      <c r="EI8" s="82"/>
      <c r="EK8" s="81"/>
      <c r="EM8" s="81"/>
      <c r="EO8" s="82"/>
      <c r="EQ8" s="81"/>
      <c r="ES8" s="81"/>
      <c r="EU8" s="82"/>
      <c r="EW8" s="81"/>
      <c r="EY8" s="81"/>
      <c r="FA8" s="82"/>
      <c r="FC8" s="81"/>
      <c r="FE8" s="81"/>
      <c r="FG8" s="82"/>
      <c r="FI8" s="81"/>
      <c r="FK8" s="81"/>
      <c r="FM8" s="82"/>
      <c r="FO8" s="81"/>
      <c r="FQ8" s="81"/>
      <c r="FS8" s="82"/>
    </row>
    <row r="9" spans="1:175">
      <c r="C9" s="49" t="s">
        <v>138</v>
      </c>
      <c r="G9" s="81"/>
      <c r="I9" s="81"/>
      <c r="K9" s="81"/>
      <c r="M9" s="81"/>
      <c r="O9" s="81"/>
      <c r="Q9" s="81"/>
      <c r="S9" s="81"/>
      <c r="T9" s="80"/>
      <c r="U9" s="81"/>
      <c r="W9" s="81"/>
      <c r="Y9" s="81"/>
      <c r="Z9" s="80"/>
      <c r="AA9" s="81"/>
      <c r="AC9" s="81"/>
      <c r="AE9" s="81"/>
      <c r="AF9" s="80"/>
      <c r="AG9" s="81"/>
      <c r="AI9" s="81"/>
      <c r="AK9" s="81"/>
      <c r="AL9" s="80"/>
      <c r="AM9" s="81"/>
      <c r="AO9" s="81"/>
      <c r="AQ9" s="81"/>
      <c r="AR9" s="80"/>
      <c r="AS9" s="81"/>
      <c r="AU9" s="81"/>
      <c r="AW9" s="81"/>
      <c r="AX9" s="80"/>
      <c r="AY9" s="81"/>
      <c r="BA9" s="81"/>
      <c r="BC9" s="81"/>
      <c r="BD9" s="80"/>
      <c r="BE9" s="81">
        <v>7.8100000000000003E-2</v>
      </c>
      <c r="BG9" s="81">
        <v>7.8100000000000003E-2</v>
      </c>
      <c r="BI9" s="81">
        <v>7.8100000000000003E-2</v>
      </c>
      <c r="BJ9" s="80"/>
      <c r="BK9" s="81">
        <v>0.28189999999999998</v>
      </c>
      <c r="BM9" s="81">
        <v>0.28189999999999998</v>
      </c>
      <c r="BO9" s="81">
        <v>0.28189999999999998</v>
      </c>
      <c r="BP9" s="80"/>
      <c r="BQ9" s="81">
        <v>0.1434</v>
      </c>
      <c r="BS9" s="81">
        <v>0.1434</v>
      </c>
      <c r="BU9" s="81">
        <v>0.1434</v>
      </c>
      <c r="BV9" s="80"/>
      <c r="BW9" s="81">
        <v>0</v>
      </c>
      <c r="BY9" s="81">
        <v>0</v>
      </c>
      <c r="CA9" s="81">
        <v>0</v>
      </c>
      <c r="CB9" s="80"/>
      <c r="CC9" s="81">
        <v>0</v>
      </c>
      <c r="CE9" s="81">
        <v>0</v>
      </c>
      <c r="CG9" s="81">
        <v>0</v>
      </c>
      <c r="CH9" s="80"/>
      <c r="CI9" s="81"/>
      <c r="CK9" s="81"/>
      <c r="CM9" s="81"/>
      <c r="CN9" s="80"/>
      <c r="CO9" s="81"/>
      <c r="CQ9" s="81"/>
      <c r="CS9" s="82"/>
      <c r="CT9" s="80"/>
      <c r="CU9" s="81">
        <f>CU54</f>
        <v>0.61560000000000004</v>
      </c>
      <c r="CV9" s="81"/>
      <c r="CW9" s="81">
        <f>CW54</f>
        <v>0.61560000000000004</v>
      </c>
      <c r="CY9" s="82">
        <f>CY54</f>
        <v>0.61560000000000004</v>
      </c>
      <c r="DA9" s="81">
        <f>DA60</f>
        <v>0.2908</v>
      </c>
      <c r="DC9" s="81">
        <f>DC60</f>
        <v>0.2908</v>
      </c>
      <c r="DE9" s="81">
        <f>DE60</f>
        <v>0.2908</v>
      </c>
      <c r="DF9" s="80"/>
      <c r="DG9" s="81">
        <f>DG64</f>
        <v>9.6100000000000005E-2</v>
      </c>
      <c r="DI9" s="81">
        <f>DI64</f>
        <v>9.6100000000000005E-2</v>
      </c>
      <c r="DK9" s="81">
        <f>DK64</f>
        <v>9.6100000000000005E-2</v>
      </c>
      <c r="DL9" s="80"/>
      <c r="DM9" s="81">
        <f>DM68</f>
        <v>-0.83240000000000003</v>
      </c>
      <c r="DO9" s="81"/>
      <c r="DQ9" s="82"/>
      <c r="DS9" s="81"/>
      <c r="DU9" s="81"/>
      <c r="DW9" s="82"/>
      <c r="DY9" s="81"/>
      <c r="EA9" s="81"/>
      <c r="EC9" s="82"/>
      <c r="EE9" s="81"/>
      <c r="EG9" s="81"/>
      <c r="EI9" s="82"/>
      <c r="EK9" s="81"/>
      <c r="EM9" s="81"/>
      <c r="EO9" s="82"/>
      <c r="EQ9" s="81"/>
      <c r="ES9" s="81"/>
      <c r="EU9" s="82"/>
      <c r="EW9" s="81"/>
      <c r="EY9" s="81"/>
      <c r="FA9" s="82"/>
      <c r="FC9" s="81"/>
      <c r="FE9" s="81"/>
      <c r="FG9" s="82"/>
      <c r="FI9" s="81"/>
      <c r="FK9" s="81"/>
      <c r="FM9" s="82"/>
      <c r="FO9" s="81"/>
      <c r="FQ9" s="81"/>
      <c r="FS9" s="82"/>
    </row>
    <row r="10" spans="1:175">
      <c r="C10" s="49" t="s">
        <v>139</v>
      </c>
      <c r="G10" s="81"/>
      <c r="I10" s="81"/>
      <c r="K10" s="81"/>
      <c r="M10" s="81"/>
      <c r="N10" s="244">
        <v>9.3154000000000003</v>
      </c>
      <c r="O10" s="244"/>
      <c r="P10" s="244">
        <v>9.1480999999999995</v>
      </c>
      <c r="Q10" s="244"/>
      <c r="R10" s="244">
        <v>9.0627999999999993</v>
      </c>
      <c r="S10" s="244"/>
      <c r="T10" s="244">
        <v>7.1246</v>
      </c>
      <c r="U10" s="244"/>
      <c r="V10" s="244"/>
      <c r="W10" s="81"/>
      <c r="Y10" s="81"/>
      <c r="Z10" s="80"/>
      <c r="AA10" s="81"/>
      <c r="AC10" s="81"/>
      <c r="AE10" s="81"/>
      <c r="AF10" s="80"/>
      <c r="AG10" s="81"/>
      <c r="AI10" s="81"/>
      <c r="AK10" s="81"/>
      <c r="AL10" s="80"/>
      <c r="AM10" s="81"/>
      <c r="AO10" s="81"/>
      <c r="AQ10" s="81"/>
      <c r="AR10" s="80"/>
      <c r="AS10" s="81"/>
      <c r="AU10" s="81"/>
      <c r="AW10" s="81"/>
      <c r="AX10" s="80"/>
      <c r="AY10" s="81">
        <v>7.8100000000000003E-2</v>
      </c>
      <c r="BA10" s="81">
        <v>7.8100000000000003E-2</v>
      </c>
      <c r="BC10" s="81">
        <v>7.8100000000000003E-2</v>
      </c>
      <c r="BD10" s="80"/>
      <c r="BE10" s="81">
        <v>0.28189999999999998</v>
      </c>
      <c r="BG10" s="81">
        <v>0.28189999999999998</v>
      </c>
      <c r="BI10" s="81">
        <v>0.28189999999999998</v>
      </c>
      <c r="BJ10" s="80"/>
      <c r="BK10" s="81">
        <v>0.1434</v>
      </c>
      <c r="BM10" s="81">
        <v>0.1434</v>
      </c>
      <c r="BO10" s="81">
        <v>0.1434</v>
      </c>
      <c r="BP10" s="80"/>
      <c r="BQ10" s="81">
        <v>0</v>
      </c>
      <c r="BS10" s="81">
        <v>0</v>
      </c>
      <c r="BU10" s="81">
        <v>0</v>
      </c>
      <c r="BV10" s="80"/>
      <c r="BW10" s="81">
        <v>0</v>
      </c>
      <c r="BY10" s="81">
        <v>0</v>
      </c>
      <c r="CA10" s="81">
        <v>0</v>
      </c>
      <c r="CB10" s="80"/>
      <c r="CC10" s="81">
        <v>0</v>
      </c>
      <c r="CE10" s="81">
        <v>0</v>
      </c>
      <c r="CG10" s="81">
        <v>0</v>
      </c>
      <c r="CH10" s="80"/>
      <c r="CI10" s="81"/>
      <c r="CK10" s="81"/>
      <c r="CM10" s="81"/>
      <c r="CN10" s="80"/>
      <c r="CO10" s="81">
        <f>CO54</f>
        <v>0.61560000000000004</v>
      </c>
      <c r="CQ10" s="81">
        <f>CQ54</f>
        <v>0.61560000000000004</v>
      </c>
      <c r="CS10" s="81">
        <f>CS54</f>
        <v>0.61560000000000004</v>
      </c>
      <c r="CT10" s="80"/>
      <c r="CU10" s="81">
        <f>CU60</f>
        <v>0.2908</v>
      </c>
      <c r="CV10" s="81"/>
      <c r="CW10" s="81">
        <f>CW60</f>
        <v>0.2908</v>
      </c>
      <c r="CY10" s="82">
        <f>CY60</f>
        <v>0.2908</v>
      </c>
      <c r="DA10" s="81">
        <f>DA64</f>
        <v>9.6100000000000005E-2</v>
      </c>
      <c r="DC10" s="81">
        <f>DC64</f>
        <v>9.6100000000000005E-2</v>
      </c>
      <c r="DE10" s="81">
        <f>DE64</f>
        <v>9.6100000000000005E-2</v>
      </c>
      <c r="DF10" s="80"/>
      <c r="DG10" s="81">
        <f>DG68</f>
        <v>-0.83240000000000003</v>
      </c>
      <c r="DI10" s="81">
        <f>DI68</f>
        <v>-0.83240000000000003</v>
      </c>
      <c r="DK10" s="81">
        <f>DK68</f>
        <v>-0.83240000000000003</v>
      </c>
      <c r="DL10" s="80"/>
      <c r="DM10" s="81">
        <f>DM72</f>
        <v>0.59740000000000004</v>
      </c>
      <c r="DO10" s="81"/>
      <c r="DQ10" s="82"/>
      <c r="DS10" s="81"/>
      <c r="DU10" s="81"/>
      <c r="DW10" s="82"/>
      <c r="DY10" s="81"/>
      <c r="EA10" s="81"/>
      <c r="EC10" s="82"/>
      <c r="EE10" s="81"/>
      <c r="EG10" s="81"/>
      <c r="EI10" s="82"/>
      <c r="EK10" s="81"/>
      <c r="EM10" s="81"/>
      <c r="EO10" s="82"/>
      <c r="EQ10" s="81"/>
      <c r="ES10" s="81"/>
      <c r="EU10" s="82"/>
      <c r="EW10" s="81"/>
      <c r="EY10" s="81"/>
      <c r="FA10" s="82"/>
      <c r="FC10" s="81"/>
      <c r="FE10" s="81"/>
      <c r="FG10" s="82"/>
      <c r="FI10" s="81"/>
      <c r="FK10" s="81"/>
      <c r="FM10" s="82"/>
      <c r="FO10" s="81"/>
      <c r="FQ10" s="81"/>
      <c r="FS10" s="82"/>
    </row>
    <row r="11" spans="1:175">
      <c r="C11" s="49" t="s">
        <v>140</v>
      </c>
      <c r="G11" s="81"/>
      <c r="I11" s="81"/>
      <c r="K11" s="81"/>
      <c r="M11" s="81"/>
      <c r="N11" s="245">
        <v>0</v>
      </c>
      <c r="O11" s="244"/>
      <c r="P11" s="245">
        <v>0</v>
      </c>
      <c r="Q11" s="244"/>
      <c r="R11" s="245">
        <v>0</v>
      </c>
      <c r="S11" s="244"/>
      <c r="T11" s="245">
        <v>0</v>
      </c>
      <c r="U11" s="244"/>
      <c r="V11" s="245">
        <v>0</v>
      </c>
      <c r="W11" s="81"/>
      <c r="Y11" s="81"/>
      <c r="Z11" s="80"/>
      <c r="AA11" s="81"/>
      <c r="AC11" s="81"/>
      <c r="AE11" s="81"/>
      <c r="AF11" s="80"/>
      <c r="AG11" s="81"/>
      <c r="AI11" s="81"/>
      <c r="AK11" s="81"/>
      <c r="AL11" s="80"/>
      <c r="AM11" s="81"/>
      <c r="AO11" s="81"/>
      <c r="AQ11" s="81"/>
      <c r="AR11" s="80"/>
      <c r="AS11" s="81">
        <v>7.8100000000000003E-2</v>
      </c>
      <c r="AU11" s="81">
        <v>7.8100000000000003E-2</v>
      </c>
      <c r="AW11" s="81">
        <v>7.8100000000000003E-2</v>
      </c>
      <c r="AX11" s="80"/>
      <c r="AY11" s="81">
        <v>0.28189999999999998</v>
      </c>
      <c r="BA11" s="81">
        <v>0.28189999999999998</v>
      </c>
      <c r="BC11" s="81">
        <v>0.28189999999999998</v>
      </c>
      <c r="BD11" s="80"/>
      <c r="BE11" s="81">
        <v>0.1434</v>
      </c>
      <c r="BG11" s="81">
        <v>0.1434</v>
      </c>
      <c r="BI11" s="81">
        <v>0.1434</v>
      </c>
      <c r="BJ11" s="80"/>
      <c r="BK11" s="81">
        <v>0</v>
      </c>
      <c r="BM11" s="81">
        <v>0</v>
      </c>
      <c r="BO11" s="81">
        <v>0</v>
      </c>
      <c r="BP11" s="80"/>
      <c r="BQ11" s="81">
        <v>0</v>
      </c>
      <c r="BS11" s="81">
        <v>0</v>
      </c>
      <c r="BU11" s="81">
        <v>0</v>
      </c>
      <c r="BV11" s="80"/>
      <c r="BW11" s="81">
        <v>0</v>
      </c>
      <c r="BY11" s="81">
        <v>0</v>
      </c>
      <c r="CA11" s="81">
        <v>0</v>
      </c>
      <c r="CB11" s="80"/>
      <c r="CC11" s="81">
        <v>0</v>
      </c>
      <c r="CE11" s="81">
        <v>0</v>
      </c>
      <c r="CG11" s="81">
        <v>0</v>
      </c>
      <c r="CH11" s="80"/>
      <c r="CI11" s="81">
        <f>CI54</f>
        <v>0.61560000000000004</v>
      </c>
      <c r="CK11" s="81">
        <f>CK54</f>
        <v>0.61560000000000004</v>
      </c>
      <c r="CM11" s="81">
        <f>CM54</f>
        <v>0.61560000000000004</v>
      </c>
      <c r="CN11" s="80"/>
      <c r="CO11" s="81">
        <f>CO60</f>
        <v>0.2908</v>
      </c>
      <c r="CQ11" s="81">
        <f>CQ60</f>
        <v>0.2908</v>
      </c>
      <c r="CS11" s="81">
        <f>CS60</f>
        <v>0.2908</v>
      </c>
      <c r="CT11" s="80"/>
      <c r="CU11" s="81">
        <f>CU64</f>
        <v>9.6100000000000005E-2</v>
      </c>
      <c r="CW11" s="81">
        <f>CW64</f>
        <v>9.6100000000000005E-2</v>
      </c>
      <c r="CY11" s="82">
        <f>CY64</f>
        <v>9.6100000000000005E-2</v>
      </c>
      <c r="DA11" s="81">
        <f>DA68</f>
        <v>-0.83240000000000003</v>
      </c>
      <c r="DC11" s="81">
        <f>DC68</f>
        <v>-0.83240000000000003</v>
      </c>
      <c r="DE11" s="81">
        <f>DE68</f>
        <v>-0.83240000000000003</v>
      </c>
      <c r="DF11" s="80"/>
      <c r="DG11" s="81">
        <f>DG72</f>
        <v>0.59740000000000004</v>
      </c>
      <c r="DI11" s="81">
        <f>DI72</f>
        <v>0.59740000000000004</v>
      </c>
      <c r="DK11" s="81">
        <f>DK72</f>
        <v>0.59740000000000004</v>
      </c>
      <c r="DL11" s="80"/>
      <c r="DM11" s="81">
        <f>DM76</f>
        <v>-0.2457</v>
      </c>
      <c r="DO11" s="81"/>
      <c r="DQ11" s="82"/>
      <c r="DS11" s="81"/>
      <c r="DU11" s="81"/>
      <c r="DW11" s="82"/>
      <c r="DY11" s="81"/>
      <c r="EA11" s="81"/>
      <c r="EC11" s="82"/>
      <c r="EE11" s="81"/>
      <c r="EG11" s="81"/>
      <c r="EI11" s="82"/>
      <c r="EK11" s="81"/>
      <c r="EM11" s="81"/>
      <c r="EO11" s="82"/>
      <c r="EQ11" s="81"/>
      <c r="ES11" s="81"/>
      <c r="EU11" s="82"/>
      <c r="EW11" s="81"/>
      <c r="EY11" s="81"/>
      <c r="FA11" s="82"/>
      <c r="FC11" s="81"/>
      <c r="FE11" s="81"/>
      <c r="FG11" s="82"/>
      <c r="FI11" s="81"/>
      <c r="FK11" s="81"/>
      <c r="FM11" s="82"/>
      <c r="FO11" s="81"/>
      <c r="FQ11" s="81"/>
      <c r="FS11" s="82"/>
    </row>
    <row r="12" spans="1:175">
      <c r="G12" s="81"/>
      <c r="I12" s="81"/>
      <c r="K12" s="81"/>
      <c r="M12" s="81"/>
      <c r="N12" s="245">
        <f>SUM(N36:N39)</f>
        <v>-0.14610000000000001</v>
      </c>
      <c r="O12" s="246"/>
      <c r="P12" s="245">
        <f>SUM(P36:P39)</f>
        <v>0</v>
      </c>
      <c r="Q12" s="246"/>
      <c r="R12" s="245">
        <f>SUM(R36:R39)</f>
        <v>0</v>
      </c>
      <c r="S12" s="246"/>
      <c r="T12" s="245">
        <f>SUM(T36:T39)</f>
        <v>0</v>
      </c>
      <c r="U12" s="246"/>
      <c r="V12" s="245">
        <f>SUM(V36:V39)</f>
        <v>0</v>
      </c>
      <c r="W12" s="83"/>
      <c r="Y12" s="83"/>
      <c r="Z12" s="80"/>
      <c r="AA12" s="83"/>
      <c r="AC12" s="83"/>
      <c r="AE12" s="83"/>
      <c r="AF12" s="80"/>
      <c r="AG12" s="83"/>
      <c r="AI12" s="83"/>
      <c r="AK12" s="83"/>
      <c r="AL12" s="80"/>
      <c r="AM12" s="83"/>
      <c r="AO12" s="83"/>
      <c r="AQ12" s="83"/>
      <c r="AR12" s="80"/>
      <c r="AS12" s="83">
        <v>7.8100000000000003E-2</v>
      </c>
      <c r="AU12" s="83">
        <v>7.8100000000000003E-2</v>
      </c>
      <c r="AW12" s="83">
        <v>7.8100000000000003E-2</v>
      </c>
      <c r="AX12" s="80"/>
      <c r="AY12" s="83">
        <v>0.36</v>
      </c>
      <c r="BA12" s="83">
        <v>0.36</v>
      </c>
      <c r="BC12" s="83">
        <v>0.36</v>
      </c>
      <c r="BD12" s="80"/>
      <c r="BE12" s="83">
        <v>0.50339999999999996</v>
      </c>
      <c r="BG12" s="83">
        <v>0.50339999999999996</v>
      </c>
      <c r="BI12" s="83">
        <v>0.50339999999999996</v>
      </c>
      <c r="BJ12" s="80"/>
      <c r="BK12" s="83">
        <v>0.50339999999999996</v>
      </c>
      <c r="BM12" s="83">
        <v>0.50339999999999996</v>
      </c>
      <c r="BO12" s="83">
        <v>0.50339999999999996</v>
      </c>
      <c r="BP12" s="80"/>
      <c r="BQ12" s="83">
        <v>0.42530000000000001</v>
      </c>
      <c r="BS12" s="83">
        <v>0.42530000000000001</v>
      </c>
      <c r="BU12" s="83">
        <v>0.42530000000000001</v>
      </c>
      <c r="BV12" s="80"/>
      <c r="BW12" s="83">
        <v>0.1434</v>
      </c>
      <c r="BY12" s="83">
        <v>0.1434</v>
      </c>
      <c r="CA12" s="83">
        <v>0.1434</v>
      </c>
      <c r="CB12" s="80"/>
      <c r="CC12" s="83">
        <v>0</v>
      </c>
      <c r="CE12" s="83">
        <v>0</v>
      </c>
      <c r="CG12" s="83">
        <v>0</v>
      </c>
      <c r="CH12" s="80"/>
      <c r="CI12" s="81"/>
      <c r="CK12" s="81"/>
      <c r="CM12" s="82"/>
      <c r="CO12" s="81"/>
      <c r="CQ12" s="81"/>
      <c r="CS12" s="81"/>
      <c r="CT12" s="80"/>
      <c r="CY12" s="79"/>
      <c r="DA12" s="83">
        <f>SUM(DA8:DA11)</f>
        <v>0.17010000000000014</v>
      </c>
      <c r="DC12" s="83">
        <f>SUM(DC8:DC11)</f>
        <v>0.17010000000000014</v>
      </c>
      <c r="DE12" s="83">
        <f>SUM(DE8:DE11)</f>
        <v>0.17010000000000014</v>
      </c>
      <c r="DF12" s="80"/>
      <c r="DG12" s="83">
        <f>SUM(DG8:DG11)</f>
        <v>0.15190000000000003</v>
      </c>
      <c r="DI12" s="83">
        <f>SUM(DI8:DI11)</f>
        <v>0.15190000000000003</v>
      </c>
      <c r="DK12" s="83">
        <f>SUM(DK8:DK11)</f>
        <v>0.15190000000000003</v>
      </c>
      <c r="DL12" s="80"/>
      <c r="DM12" s="83">
        <f>SUM(DM8:DM11)</f>
        <v>-0.38460000000000005</v>
      </c>
      <c r="DO12" s="83"/>
      <c r="DQ12" s="84"/>
      <c r="DS12" s="83"/>
      <c r="DU12" s="83"/>
      <c r="DW12" s="84"/>
      <c r="DY12" s="83"/>
      <c r="EA12" s="83"/>
      <c r="EC12" s="84"/>
      <c r="EE12" s="83"/>
      <c r="EG12" s="83"/>
      <c r="EI12" s="84"/>
      <c r="EK12" s="83"/>
      <c r="EM12" s="83"/>
      <c r="EO12" s="84"/>
      <c r="EQ12" s="83"/>
      <c r="ES12" s="83"/>
      <c r="EU12" s="84"/>
      <c r="EW12" s="83"/>
      <c r="EY12" s="83"/>
      <c r="FA12" s="84"/>
      <c r="FC12" s="83"/>
      <c r="FE12" s="83"/>
      <c r="FG12" s="84"/>
      <c r="FI12" s="83"/>
      <c r="FK12" s="83"/>
      <c r="FM12" s="84"/>
      <c r="FO12" s="83"/>
      <c r="FQ12" s="83"/>
      <c r="FS12" s="84"/>
    </row>
    <row r="13" spans="1:175">
      <c r="N13" s="245">
        <f>SUM(N44:N47)</f>
        <v>0.59740000000000004</v>
      </c>
      <c r="O13" s="244"/>
      <c r="P13" s="245">
        <f>SUM(P44:P47)</f>
        <v>0</v>
      </c>
      <c r="Q13" s="244"/>
      <c r="R13" s="245">
        <f>SUM(R44:R47)</f>
        <v>0</v>
      </c>
      <c r="S13" s="244"/>
      <c r="T13" s="245">
        <f>SUM(T44:T47)</f>
        <v>0</v>
      </c>
      <c r="U13" s="244"/>
      <c r="V13" s="245">
        <f>SUM(V44:V47)</f>
        <v>0</v>
      </c>
      <c r="Z13" s="80"/>
      <c r="AF13" s="80"/>
      <c r="AL13" s="80"/>
      <c r="AR13" s="80"/>
      <c r="AX13" s="80"/>
      <c r="BD13" s="80"/>
      <c r="BJ13" s="80"/>
      <c r="BP13" s="80"/>
      <c r="BV13" s="80"/>
      <c r="CB13" s="80"/>
      <c r="CH13" s="80"/>
      <c r="CN13" s="80"/>
      <c r="CT13" s="80"/>
      <c r="CU13" s="81"/>
      <c r="CW13" s="81"/>
      <c r="CY13" s="82"/>
      <c r="DA13" s="81"/>
      <c r="DC13" s="81"/>
      <c r="DE13" s="81"/>
      <c r="DF13" s="80"/>
      <c r="DG13" s="81"/>
      <c r="DI13" s="81"/>
      <c r="DK13" s="81"/>
      <c r="DL13" s="80"/>
      <c r="DM13" s="81"/>
      <c r="DQ13" s="79"/>
      <c r="DW13" s="79"/>
      <c r="EC13" s="79"/>
      <c r="EI13" s="79"/>
      <c r="EO13" s="79"/>
      <c r="EU13" s="79"/>
      <c r="FA13" s="79"/>
      <c r="FG13" s="79"/>
      <c r="FM13" s="79"/>
      <c r="FS13" s="79"/>
    </row>
    <row r="14" spans="1:175">
      <c r="C14" s="49" t="s">
        <v>141</v>
      </c>
      <c r="G14" s="81"/>
      <c r="I14" s="81"/>
      <c r="K14" s="81"/>
      <c r="M14" s="81"/>
      <c r="N14" s="254">
        <f>SUM(N10:N13)</f>
        <v>9.7667000000000002</v>
      </c>
      <c r="O14" s="244"/>
      <c r="P14" s="254">
        <f>SUM(P10:P13)</f>
        <v>9.1480999999999995</v>
      </c>
      <c r="Q14" s="244"/>
      <c r="R14" s="254">
        <f>SUM(R10:R13)</f>
        <v>9.0627999999999993</v>
      </c>
      <c r="S14" s="244"/>
      <c r="T14" s="254">
        <f>SUM(T10:T13)</f>
        <v>7.1246</v>
      </c>
      <c r="U14" s="244"/>
      <c r="V14" s="254">
        <f>SUM(V10:V13)</f>
        <v>0</v>
      </c>
      <c r="W14" s="81"/>
      <c r="Y14" s="81"/>
      <c r="Z14" s="80"/>
      <c r="AA14" s="81"/>
      <c r="AC14" s="81"/>
      <c r="AE14" s="81"/>
      <c r="AF14" s="80"/>
      <c r="AG14" s="81">
        <v>0.1686</v>
      </c>
      <c r="AI14" s="81">
        <v>0.1686</v>
      </c>
      <c r="AK14" s="81">
        <v>0.1686</v>
      </c>
      <c r="AL14" s="80"/>
      <c r="AM14" s="81">
        <v>0.73960000000000004</v>
      </c>
      <c r="AO14" s="81">
        <v>0.73960000000000004</v>
      </c>
      <c r="AQ14" s="81">
        <v>0.73960000000000004</v>
      </c>
      <c r="AR14" s="80"/>
      <c r="AS14" s="81">
        <v>0.4647</v>
      </c>
      <c r="AU14" s="81">
        <v>0.4647</v>
      </c>
      <c r="AW14" s="81">
        <v>0.4647</v>
      </c>
      <c r="AX14" s="80"/>
      <c r="AY14" s="81">
        <v>0.439</v>
      </c>
      <c r="BA14" s="81">
        <v>0.439</v>
      </c>
      <c r="BC14" s="81">
        <v>0.439</v>
      </c>
      <c r="BD14" s="80"/>
      <c r="BE14" s="81">
        <v>0.19839999999999999</v>
      </c>
      <c r="BG14" s="81">
        <v>0.19839999999999999</v>
      </c>
      <c r="BI14" s="81">
        <v>0.19839999999999999</v>
      </c>
      <c r="BJ14" s="80"/>
      <c r="BK14" s="81">
        <v>-1.1947000000000001</v>
      </c>
      <c r="BM14" s="81">
        <v>-1.1947000000000001</v>
      </c>
      <c r="BO14" s="81">
        <v>-1.1947000000000001</v>
      </c>
      <c r="BP14" s="80"/>
      <c r="BQ14" s="81">
        <v>-1.8673999999999999</v>
      </c>
      <c r="BS14" s="81">
        <v>-1.8673999999999999</v>
      </c>
      <c r="BU14" s="81">
        <v>-1.8673999999999999</v>
      </c>
      <c r="BV14" s="80"/>
      <c r="BW14" s="81">
        <v>-0.57050000000000001</v>
      </c>
      <c r="BY14" s="81">
        <v>-0.57050000000000001</v>
      </c>
      <c r="CA14" s="81">
        <v>-0.57050000000000001</v>
      </c>
      <c r="CB14" s="80"/>
      <c r="CC14" s="81">
        <v>0</v>
      </c>
      <c r="CE14" s="81">
        <v>0</v>
      </c>
      <c r="CG14" s="81">
        <v>0</v>
      </c>
      <c r="CH14" s="80"/>
      <c r="CI14" s="81"/>
      <c r="CK14" s="81"/>
      <c r="CM14" s="81"/>
      <c r="CN14" s="80"/>
      <c r="CO14" s="81"/>
      <c r="CQ14" s="81"/>
      <c r="CS14" s="81"/>
      <c r="CT14" s="80"/>
      <c r="CU14" s="81"/>
      <c r="CV14" s="81"/>
      <c r="CW14" s="81"/>
      <c r="CY14" s="82"/>
      <c r="DA14" s="81">
        <f>DA76</f>
        <v>1.3682000000000001</v>
      </c>
      <c r="DC14" s="81">
        <f>DC76</f>
        <v>1.3682000000000001</v>
      </c>
      <c r="DE14" s="81">
        <f>DE76</f>
        <v>1.3682000000000001</v>
      </c>
      <c r="DF14" s="80"/>
      <c r="DG14" s="81">
        <f>DG80</f>
        <v>1.4267000000000001</v>
      </c>
      <c r="DI14" s="81">
        <f>DI80</f>
        <v>1.4267000000000001</v>
      </c>
      <c r="DK14" s="81">
        <f>DK80</f>
        <v>1.4267000000000001</v>
      </c>
      <c r="DL14" s="80"/>
      <c r="DM14" s="81">
        <f>DM84</f>
        <v>-0.14269999999999999</v>
      </c>
      <c r="DO14" s="81"/>
      <c r="DQ14" s="82"/>
      <c r="DS14" s="81"/>
      <c r="DU14" s="81"/>
      <c r="DW14" s="82"/>
      <c r="DY14" s="81"/>
      <c r="EA14" s="81"/>
      <c r="EC14" s="82"/>
      <c r="EE14" s="81"/>
      <c r="EG14" s="81"/>
      <c r="EI14" s="82"/>
      <c r="EK14" s="81"/>
      <c r="EM14" s="81"/>
      <c r="EO14" s="82"/>
      <c r="EQ14" s="81"/>
      <c r="ES14" s="81"/>
      <c r="EU14" s="82"/>
      <c r="EW14" s="81"/>
      <c r="EY14" s="81"/>
      <c r="FA14" s="82"/>
      <c r="FC14" s="81"/>
      <c r="FE14" s="81"/>
      <c r="FG14" s="82"/>
      <c r="FI14" s="81"/>
      <c r="FK14" s="81"/>
      <c r="FM14" s="82"/>
      <c r="FO14" s="81"/>
      <c r="FQ14" s="81"/>
      <c r="FS14" s="82"/>
    </row>
    <row r="15" spans="1:175">
      <c r="C15" s="49" t="s">
        <v>142</v>
      </c>
      <c r="G15" s="81"/>
      <c r="I15" s="81"/>
      <c r="K15" s="81"/>
      <c r="M15" s="81"/>
      <c r="N15" s="244"/>
      <c r="O15" s="244"/>
      <c r="P15" s="244"/>
      <c r="Q15" s="244"/>
      <c r="R15" s="244"/>
      <c r="S15" s="244"/>
      <c r="T15" s="245"/>
      <c r="U15" s="244"/>
      <c r="V15" s="244"/>
      <c r="W15" s="81"/>
      <c r="Y15" s="81"/>
      <c r="Z15" s="80"/>
      <c r="AA15" s="81">
        <v>0.1686</v>
      </c>
      <c r="AC15" s="81">
        <v>0.1686</v>
      </c>
      <c r="AE15" s="81">
        <v>0.1686</v>
      </c>
      <c r="AF15" s="80"/>
      <c r="AG15" s="81">
        <v>0.73960000000000004</v>
      </c>
      <c r="AI15" s="81">
        <v>0.73960000000000004</v>
      </c>
      <c r="AK15" s="81">
        <v>0.73960000000000004</v>
      </c>
      <c r="AL15" s="80"/>
      <c r="AM15" s="81">
        <v>0.4647</v>
      </c>
      <c r="AO15" s="81">
        <v>0.4647</v>
      </c>
      <c r="AQ15" s="81">
        <v>0.4647</v>
      </c>
      <c r="AR15" s="80"/>
      <c r="AS15" s="81">
        <v>0.439</v>
      </c>
      <c r="AU15" s="81">
        <v>0.439</v>
      </c>
      <c r="AW15" s="81">
        <v>0.439</v>
      </c>
      <c r="AX15" s="80"/>
      <c r="AY15" s="81">
        <v>0.19839999999999999</v>
      </c>
      <c r="BA15" s="81">
        <v>0.19839999999999999</v>
      </c>
      <c r="BC15" s="81">
        <v>0.19839999999999999</v>
      </c>
      <c r="BD15" s="80"/>
      <c r="BE15" s="81">
        <v>-1.1947000000000001</v>
      </c>
      <c r="BG15" s="81">
        <v>-1.1947000000000001</v>
      </c>
      <c r="BI15" s="81">
        <v>-1.1947000000000001</v>
      </c>
      <c r="BJ15" s="80"/>
      <c r="BK15" s="81">
        <v>-1.8673999999999999</v>
      </c>
      <c r="BM15" s="81">
        <v>-1.8673999999999999</v>
      </c>
      <c r="BO15" s="81">
        <v>-1.8673999999999999</v>
      </c>
      <c r="BP15" s="80"/>
      <c r="BQ15" s="81">
        <v>-0.57050000000000001</v>
      </c>
      <c r="BS15" s="81">
        <v>-0.57050000000000001</v>
      </c>
      <c r="BU15" s="81">
        <v>-0.57050000000000001</v>
      </c>
      <c r="BV15" s="80"/>
      <c r="BW15" s="81">
        <v>0</v>
      </c>
      <c r="BY15" s="81">
        <v>0</v>
      </c>
      <c r="CA15" s="81">
        <v>0</v>
      </c>
      <c r="CB15" s="80"/>
      <c r="CC15" s="81">
        <v>0</v>
      </c>
      <c r="CE15" s="81">
        <v>0</v>
      </c>
      <c r="CG15" s="81">
        <v>0</v>
      </c>
      <c r="CH15" s="80"/>
      <c r="CI15" s="81"/>
      <c r="CK15" s="81"/>
      <c r="CM15" s="81"/>
      <c r="CN15" s="80"/>
      <c r="CO15" s="81"/>
      <c r="CQ15" s="81"/>
      <c r="CS15" s="81"/>
      <c r="CT15" s="80"/>
      <c r="CU15" s="81">
        <f>CU76</f>
        <v>1.3682000000000001</v>
      </c>
      <c r="CV15" s="81"/>
      <c r="CW15" s="81">
        <f>CW76</f>
        <v>1.3682000000000001</v>
      </c>
      <c r="CY15" s="82">
        <f>CY76</f>
        <v>1.3682000000000001</v>
      </c>
      <c r="DA15" s="81">
        <f>DA80</f>
        <v>1.4267000000000001</v>
      </c>
      <c r="DC15" s="81">
        <f>DC80</f>
        <v>1.4267000000000001</v>
      </c>
      <c r="DE15" s="81">
        <f>DE80</f>
        <v>1.4267000000000001</v>
      </c>
      <c r="DF15" s="80"/>
      <c r="DG15" s="81">
        <f>DG84</f>
        <v>-0.14269999999999999</v>
      </c>
      <c r="DI15" s="81">
        <f>DI84</f>
        <v>-0.14269999999999999</v>
      </c>
      <c r="DK15" s="81">
        <f>DK84</f>
        <v>-0.14269999999999999</v>
      </c>
      <c r="DL15" s="80"/>
      <c r="DM15" s="81">
        <f>DM88</f>
        <v>0.10929999999999999</v>
      </c>
      <c r="DO15" s="81"/>
      <c r="DQ15" s="82"/>
      <c r="DS15" s="81"/>
      <c r="DU15" s="81"/>
      <c r="DW15" s="82"/>
      <c r="DY15" s="81"/>
      <c r="EA15" s="81"/>
      <c r="EC15" s="82"/>
      <c r="EE15" s="81"/>
      <c r="EG15" s="81"/>
      <c r="EI15" s="82"/>
      <c r="EK15" s="81"/>
      <c r="EM15" s="81"/>
      <c r="EO15" s="82"/>
      <c r="EQ15" s="81"/>
      <c r="ES15" s="81"/>
      <c r="EU15" s="82"/>
      <c r="EW15" s="81"/>
      <c r="EY15" s="81"/>
      <c r="FA15" s="82"/>
      <c r="FC15" s="81"/>
      <c r="FE15" s="81"/>
      <c r="FG15" s="82"/>
      <c r="FI15" s="81"/>
      <c r="FK15" s="81"/>
      <c r="FM15" s="82"/>
      <c r="FO15" s="81"/>
      <c r="FQ15" s="81"/>
      <c r="FS15" s="82"/>
    </row>
    <row r="16" spans="1:175">
      <c r="C16" s="49" t="s">
        <v>143</v>
      </c>
      <c r="G16" s="81"/>
      <c r="I16" s="81"/>
      <c r="K16" s="81"/>
      <c r="M16" s="81"/>
      <c r="N16" s="244"/>
      <c r="O16" s="244"/>
      <c r="P16" s="244"/>
      <c r="Q16" s="244"/>
      <c r="R16" s="244"/>
      <c r="S16" s="244"/>
      <c r="T16" s="245"/>
      <c r="U16" s="244">
        <v>0.1686</v>
      </c>
      <c r="V16" s="244"/>
      <c r="W16" s="81">
        <v>0.1686</v>
      </c>
      <c r="Y16" s="81">
        <v>0.1686</v>
      </c>
      <c r="Z16" s="80"/>
      <c r="AA16" s="81">
        <v>0.73960000000000004</v>
      </c>
      <c r="AC16" s="81">
        <v>0.73960000000000004</v>
      </c>
      <c r="AE16" s="81">
        <v>0.73960000000000004</v>
      </c>
      <c r="AF16" s="80"/>
      <c r="AG16" s="81">
        <v>0.4647</v>
      </c>
      <c r="AI16" s="81">
        <v>0.4647</v>
      </c>
      <c r="AK16" s="81">
        <v>0.4647</v>
      </c>
      <c r="AL16" s="80"/>
      <c r="AM16" s="81">
        <v>0.439</v>
      </c>
      <c r="AO16" s="81">
        <v>0.439</v>
      </c>
      <c r="AQ16" s="81">
        <v>0.439</v>
      </c>
      <c r="AR16" s="80"/>
      <c r="AS16" s="81">
        <v>0.19839999999999999</v>
      </c>
      <c r="AU16" s="81">
        <v>0.19839999999999999</v>
      </c>
      <c r="AW16" s="81">
        <v>0.19839999999999999</v>
      </c>
      <c r="AX16" s="80"/>
      <c r="AY16" s="81">
        <v>-1.1947000000000001</v>
      </c>
      <c r="BA16" s="81">
        <v>-1.1947000000000001</v>
      </c>
      <c r="BC16" s="81">
        <v>-1.1947000000000001</v>
      </c>
      <c r="BD16" s="80"/>
      <c r="BE16" s="81">
        <v>-1.8673999999999999</v>
      </c>
      <c r="BG16" s="81">
        <v>-1.8673999999999999</v>
      </c>
      <c r="BI16" s="81">
        <v>-1.8673999999999999</v>
      </c>
      <c r="BJ16" s="80"/>
      <c r="BK16" s="81">
        <v>-0.57050000000000001</v>
      </c>
      <c r="BM16" s="81">
        <v>-0.57050000000000001</v>
      </c>
      <c r="BO16" s="81">
        <v>-0.57050000000000001</v>
      </c>
      <c r="BP16" s="80"/>
      <c r="BQ16" s="81">
        <v>0</v>
      </c>
      <c r="BS16" s="81">
        <v>0</v>
      </c>
      <c r="BU16" s="81">
        <v>0</v>
      </c>
      <c r="BV16" s="80"/>
      <c r="BW16" s="81">
        <v>0</v>
      </c>
      <c r="BY16" s="81">
        <v>0</v>
      </c>
      <c r="CA16" s="81">
        <v>0</v>
      </c>
      <c r="CB16" s="80"/>
      <c r="CC16" s="81">
        <v>0</v>
      </c>
      <c r="CE16" s="81">
        <v>0</v>
      </c>
      <c r="CG16" s="81">
        <v>0</v>
      </c>
      <c r="CH16" s="80"/>
      <c r="CI16" s="81"/>
      <c r="CK16" s="81"/>
      <c r="CM16" s="81"/>
      <c r="CN16" s="80"/>
      <c r="CO16" s="81">
        <f>CO76</f>
        <v>1.3682000000000001</v>
      </c>
      <c r="CQ16" s="81">
        <f>CQ76</f>
        <v>1.3682000000000001</v>
      </c>
      <c r="CS16" s="81">
        <f>CS76</f>
        <v>1.3682000000000001</v>
      </c>
      <c r="CT16" s="80"/>
      <c r="CU16" s="81">
        <f>CU80</f>
        <v>1.4267000000000001</v>
      </c>
      <c r="CV16" s="81"/>
      <c r="CW16" s="81">
        <f>CW80</f>
        <v>1.4267000000000001</v>
      </c>
      <c r="CY16" s="82">
        <f>CY80</f>
        <v>1.4267000000000001</v>
      </c>
      <c r="DA16" s="81">
        <f>DA84</f>
        <v>-0.14269999999999999</v>
      </c>
      <c r="DC16" s="81">
        <f>DC84</f>
        <v>-0.14269999999999999</v>
      </c>
      <c r="DE16" s="81">
        <f>DE84</f>
        <v>-0.14269999999999999</v>
      </c>
      <c r="DF16" s="80"/>
      <c r="DG16" s="81">
        <f>DG88</f>
        <v>0.10929999999999999</v>
      </c>
      <c r="DI16" s="81">
        <f>DI88</f>
        <v>0.10929999999999999</v>
      </c>
      <c r="DK16" s="81">
        <f>DK88</f>
        <v>0.10929999999999999</v>
      </c>
      <c r="DL16" s="80"/>
      <c r="DM16" s="81">
        <f>DM92</f>
        <v>-0.14599999999999999</v>
      </c>
      <c r="DO16" s="81"/>
      <c r="DQ16" s="82"/>
      <c r="DS16" s="81"/>
      <c r="DU16" s="81"/>
      <c r="DW16" s="82"/>
      <c r="DY16" s="81"/>
      <c r="EA16" s="81"/>
      <c r="EC16" s="82"/>
      <c r="EE16" s="81"/>
      <c r="EG16" s="81"/>
      <c r="EI16" s="82"/>
      <c r="EK16" s="81"/>
      <c r="EM16" s="81"/>
      <c r="EO16" s="82"/>
      <c r="EQ16" s="81"/>
      <c r="ES16" s="81"/>
      <c r="EU16" s="82"/>
      <c r="EW16" s="81"/>
      <c r="EY16" s="81"/>
      <c r="FA16" s="82"/>
      <c r="FC16" s="81"/>
      <c r="FE16" s="81"/>
      <c r="FG16" s="82"/>
      <c r="FI16" s="81"/>
      <c r="FK16" s="81"/>
      <c r="FM16" s="82"/>
      <c r="FO16" s="81"/>
      <c r="FQ16" s="81"/>
      <c r="FS16" s="82"/>
    </row>
    <row r="17" spans="3:175">
      <c r="C17" s="49" t="s">
        <v>144</v>
      </c>
      <c r="G17" s="81"/>
      <c r="I17" s="81"/>
      <c r="K17" s="81"/>
      <c r="M17" s="81"/>
      <c r="N17" s="244"/>
      <c r="O17" s="244">
        <v>0.1686</v>
      </c>
      <c r="P17" s="244"/>
      <c r="Q17" s="244">
        <v>0.1686</v>
      </c>
      <c r="R17" s="244"/>
      <c r="S17" s="244">
        <v>0.1686</v>
      </c>
      <c r="T17" s="245"/>
      <c r="U17" s="244">
        <v>0.73960000000000004</v>
      </c>
      <c r="V17" s="244"/>
      <c r="W17" s="81">
        <v>0.73960000000000004</v>
      </c>
      <c r="Y17" s="81">
        <v>0.73960000000000004</v>
      </c>
      <c r="Z17" s="80"/>
      <c r="AA17" s="81">
        <v>0.4647</v>
      </c>
      <c r="AC17" s="81">
        <v>0.4647</v>
      </c>
      <c r="AE17" s="81">
        <v>0.4647</v>
      </c>
      <c r="AF17" s="80"/>
      <c r="AG17" s="81">
        <v>0.439</v>
      </c>
      <c r="AI17" s="81">
        <v>0.439</v>
      </c>
      <c r="AK17" s="81">
        <v>0.439</v>
      </c>
      <c r="AL17" s="80"/>
      <c r="AM17" s="81">
        <v>0.19839999999999999</v>
      </c>
      <c r="AO17" s="81">
        <v>0.19839999999999999</v>
      </c>
      <c r="AQ17" s="81">
        <v>0.19839999999999999</v>
      </c>
      <c r="AR17" s="80"/>
      <c r="AS17" s="81">
        <v>-1.1947000000000001</v>
      </c>
      <c r="AU17" s="81">
        <v>-1.1947000000000001</v>
      </c>
      <c r="AW17" s="81">
        <v>-1.1947000000000001</v>
      </c>
      <c r="AX17" s="80"/>
      <c r="AY17" s="81">
        <v>-1.8673999999999999</v>
      </c>
      <c r="BA17" s="81">
        <v>-1.8673999999999999</v>
      </c>
      <c r="BC17" s="81">
        <v>-1.8673999999999999</v>
      </c>
      <c r="BD17" s="80"/>
      <c r="BE17" s="81">
        <v>-0.57050000000000001</v>
      </c>
      <c r="BG17" s="81">
        <v>-0.57050000000000001</v>
      </c>
      <c r="BI17" s="81">
        <v>-0.57050000000000001</v>
      </c>
      <c r="BJ17" s="80"/>
      <c r="BK17" s="81">
        <v>0</v>
      </c>
      <c r="BM17" s="81">
        <v>0</v>
      </c>
      <c r="BO17" s="81">
        <v>0</v>
      </c>
      <c r="BP17" s="80"/>
      <c r="BQ17" s="81">
        <v>0</v>
      </c>
      <c r="BS17" s="81">
        <v>0</v>
      </c>
      <c r="BU17" s="81">
        <v>0</v>
      </c>
      <c r="BV17" s="80"/>
      <c r="BW17" s="81">
        <v>0</v>
      </c>
      <c r="BY17" s="81">
        <v>0</v>
      </c>
      <c r="CA17" s="81">
        <v>0</v>
      </c>
      <c r="CB17" s="80"/>
      <c r="CC17" s="81">
        <v>0</v>
      </c>
      <c r="CE17" s="81">
        <v>0</v>
      </c>
      <c r="CG17" s="81">
        <v>0</v>
      </c>
      <c r="CH17" s="80"/>
      <c r="CI17" s="81">
        <f>CI76</f>
        <v>1.3682000000000001</v>
      </c>
      <c r="CK17" s="81">
        <f>CK76</f>
        <v>1.3682000000000001</v>
      </c>
      <c r="CM17" s="82">
        <f>CM76</f>
        <v>1.3682000000000001</v>
      </c>
      <c r="CO17" s="81">
        <f>CO80</f>
        <v>1.4267000000000001</v>
      </c>
      <c r="CQ17" s="81">
        <f>CQ80</f>
        <v>1.4267000000000001</v>
      </c>
      <c r="CS17" s="81">
        <f>CS80</f>
        <v>1.4267000000000001</v>
      </c>
      <c r="CT17" s="80"/>
      <c r="CU17" s="81">
        <f>CU84</f>
        <v>-0.14269999999999999</v>
      </c>
      <c r="CW17" s="81">
        <f>CW84</f>
        <v>-0.14269999999999999</v>
      </c>
      <c r="CY17" s="82">
        <f>CY84</f>
        <v>-0.14269999999999999</v>
      </c>
      <c r="DA17" s="81">
        <f>DA88</f>
        <v>0.10929999999999999</v>
      </c>
      <c r="DC17" s="81">
        <f>DC88</f>
        <v>0.10929999999999999</v>
      </c>
      <c r="DE17" s="81">
        <f>DE88</f>
        <v>0.10929999999999999</v>
      </c>
      <c r="DF17" s="80"/>
      <c r="DG17" s="81">
        <f>DG92</f>
        <v>-0.14599999999999999</v>
      </c>
      <c r="DI17" s="81">
        <f>DI92</f>
        <v>-0.14599999999999999</v>
      </c>
      <c r="DK17" s="81">
        <f>DK92</f>
        <v>-0.14599999999999999</v>
      </c>
      <c r="DL17" s="80"/>
      <c r="DM17" s="81">
        <f>DM96</f>
        <v>0.1217</v>
      </c>
      <c r="DO17" s="81"/>
      <c r="DQ17" s="82"/>
      <c r="DS17" s="81"/>
      <c r="DU17" s="81"/>
      <c r="DW17" s="82"/>
      <c r="DY17" s="81"/>
      <c r="EA17" s="81"/>
      <c r="EC17" s="82"/>
      <c r="EE17" s="81"/>
      <c r="EG17" s="81"/>
      <c r="EI17" s="82"/>
      <c r="EK17" s="81"/>
      <c r="EM17" s="81"/>
      <c r="EO17" s="82"/>
      <c r="EQ17" s="81"/>
      <c r="ES17" s="81"/>
      <c r="EU17" s="82"/>
      <c r="EW17" s="81"/>
      <c r="EY17" s="81"/>
      <c r="FA17" s="82"/>
      <c r="FC17" s="81"/>
      <c r="FE17" s="81"/>
      <c r="FG17" s="82"/>
      <c r="FI17" s="81"/>
      <c r="FK17" s="81"/>
      <c r="FM17" s="82"/>
      <c r="FO17" s="81"/>
      <c r="FQ17" s="81"/>
      <c r="FS17" s="82"/>
    </row>
    <row r="18" spans="3:175">
      <c r="G18" s="81"/>
      <c r="I18" s="81"/>
      <c r="K18" s="81"/>
      <c r="M18" s="81"/>
      <c r="N18" s="244"/>
      <c r="O18" s="246">
        <v>0.1686</v>
      </c>
      <c r="P18" s="244"/>
      <c r="Q18" s="246">
        <v>0.1686</v>
      </c>
      <c r="R18" s="244"/>
      <c r="S18" s="246">
        <v>0.1686</v>
      </c>
      <c r="T18" s="245"/>
      <c r="U18" s="246">
        <v>0.90820000000000001</v>
      </c>
      <c r="V18" s="244"/>
      <c r="W18" s="83">
        <v>0.90820000000000001</v>
      </c>
      <c r="Y18" s="83">
        <v>0.90820000000000001</v>
      </c>
      <c r="Z18" s="80"/>
      <c r="AA18" s="83">
        <v>1.3729</v>
      </c>
      <c r="AC18" s="83">
        <v>1.3729</v>
      </c>
      <c r="AE18" s="83">
        <v>1.3729</v>
      </c>
      <c r="AF18" s="80"/>
      <c r="AG18" s="83">
        <v>1.8119000000000001</v>
      </c>
      <c r="AI18" s="83">
        <v>1.8119000000000001</v>
      </c>
      <c r="AK18" s="83">
        <v>1.8119000000000001</v>
      </c>
      <c r="AL18" s="80"/>
      <c r="AM18" s="83">
        <v>1.8416999999999999</v>
      </c>
      <c r="AO18" s="83">
        <v>1.8416999999999999</v>
      </c>
      <c r="AQ18" s="83">
        <v>1.8416999999999999</v>
      </c>
      <c r="AR18" s="80"/>
      <c r="AS18" s="83">
        <v>-9.2600000000000238E-2</v>
      </c>
      <c r="AU18" s="83">
        <v>-9.2600000000000238E-2</v>
      </c>
      <c r="AW18" s="83">
        <v>-9.2600000000000238E-2</v>
      </c>
      <c r="AX18" s="80"/>
      <c r="AY18" s="83">
        <v>-2.4247000000000001</v>
      </c>
      <c r="BA18" s="83">
        <v>-2.4247000000000001</v>
      </c>
      <c r="BC18" s="83">
        <v>-2.4247000000000001</v>
      </c>
      <c r="BD18" s="80"/>
      <c r="BE18" s="83">
        <v>-3.4342000000000001</v>
      </c>
      <c r="BG18" s="83">
        <v>-3.4342000000000001</v>
      </c>
      <c r="BI18" s="83">
        <v>-3.4342000000000001</v>
      </c>
      <c r="BJ18" s="80"/>
      <c r="BK18" s="83">
        <v>-3.6326000000000001</v>
      </c>
      <c r="BM18" s="83">
        <v>-3.6326000000000001</v>
      </c>
      <c r="BO18" s="83">
        <v>-3.6326000000000001</v>
      </c>
      <c r="BP18" s="80"/>
      <c r="BQ18" s="83">
        <v>-2.4379</v>
      </c>
      <c r="BS18" s="83">
        <v>-2.4379</v>
      </c>
      <c r="BU18" s="83">
        <v>-2.4379</v>
      </c>
      <c r="BV18" s="80"/>
      <c r="BW18" s="83">
        <v>-0.57050000000000001</v>
      </c>
      <c r="BY18" s="83">
        <v>-0.57050000000000001</v>
      </c>
      <c r="CA18" s="83">
        <v>-0.57050000000000001</v>
      </c>
      <c r="CB18" s="80"/>
      <c r="CC18" s="83">
        <v>0</v>
      </c>
      <c r="CE18" s="83">
        <v>0</v>
      </c>
      <c r="CG18" s="83">
        <v>0</v>
      </c>
      <c r="CH18" s="80"/>
      <c r="CI18" s="81"/>
      <c r="CK18" s="81"/>
      <c r="CM18" s="81"/>
      <c r="CN18" s="80"/>
      <c r="CO18" s="81"/>
      <c r="CQ18" s="81"/>
      <c r="CS18" s="82"/>
      <c r="CW18" s="81"/>
      <c r="CY18" s="82"/>
      <c r="DA18" s="83">
        <f>SUM(DA14:DA17)</f>
        <v>2.7615000000000003</v>
      </c>
      <c r="DC18" s="83">
        <f>SUM(DC14:DC17)</f>
        <v>2.7615000000000003</v>
      </c>
      <c r="DE18" s="83">
        <f>SUM(DE14:DE17)</f>
        <v>2.7615000000000003</v>
      </c>
      <c r="DF18" s="80"/>
      <c r="DG18" s="83">
        <f>SUM(DG14:DG17)</f>
        <v>1.2473000000000001</v>
      </c>
      <c r="DI18" s="83">
        <f>SUM(DI14:DI17)</f>
        <v>1.2473000000000001</v>
      </c>
      <c r="DK18" s="83">
        <f>SUM(DK14:DK17)</f>
        <v>1.2473000000000001</v>
      </c>
      <c r="DL18" s="80"/>
      <c r="DM18" s="83">
        <f>SUM(DM14:DM17)</f>
        <v>-5.7700000000000001E-2</v>
      </c>
      <c r="DO18" s="83"/>
      <c r="DQ18" s="84"/>
      <c r="DS18" s="83"/>
      <c r="DU18" s="83"/>
      <c r="DW18" s="84"/>
      <c r="DY18" s="83"/>
      <c r="EA18" s="83"/>
      <c r="EC18" s="84"/>
      <c r="EE18" s="83"/>
      <c r="EG18" s="83"/>
      <c r="EI18" s="84"/>
      <c r="EK18" s="83"/>
      <c r="EM18" s="83"/>
      <c r="EO18" s="84"/>
      <c r="EQ18" s="83"/>
      <c r="ES18" s="83"/>
      <c r="EU18" s="84"/>
      <c r="EW18" s="83"/>
      <c r="EY18" s="83"/>
      <c r="FA18" s="84"/>
      <c r="FC18" s="83"/>
      <c r="FE18" s="83"/>
      <c r="FG18" s="84"/>
      <c r="FI18" s="83"/>
      <c r="FK18" s="83"/>
      <c r="FM18" s="84"/>
      <c r="FO18" s="83"/>
      <c r="FQ18" s="83"/>
      <c r="FS18" s="84"/>
    </row>
    <row r="19" spans="3:175">
      <c r="N19" s="244"/>
      <c r="O19" s="244"/>
      <c r="P19" s="244"/>
      <c r="Q19" s="244"/>
      <c r="R19" s="244"/>
      <c r="S19" s="247"/>
      <c r="T19" s="244"/>
      <c r="U19" s="244"/>
      <c r="V19" s="244"/>
      <c r="Y19" s="79"/>
      <c r="AE19" s="79"/>
      <c r="AK19" s="79"/>
      <c r="AQ19" s="79"/>
      <c r="AW19" s="79"/>
      <c r="BC19" s="79"/>
      <c r="BI19" s="79"/>
      <c r="BO19" s="79"/>
      <c r="BU19" s="79"/>
      <c r="CA19" s="79"/>
      <c r="CG19" s="79"/>
      <c r="CM19" s="79"/>
      <c r="CS19" s="79"/>
      <c r="CT19" s="80"/>
      <c r="CY19" s="79"/>
      <c r="DF19" s="80"/>
      <c r="DK19" s="79"/>
      <c r="DQ19" s="79"/>
      <c r="DW19" s="79"/>
      <c r="EC19" s="79"/>
      <c r="EI19" s="79"/>
      <c r="EO19" s="79"/>
      <c r="EU19" s="79"/>
      <c r="FA19" s="79"/>
      <c r="FG19" s="79"/>
      <c r="FM19" s="79"/>
      <c r="FS19" s="79"/>
    </row>
    <row r="20" spans="3:175">
      <c r="N20" s="244"/>
      <c r="O20" s="244"/>
      <c r="P20" s="244"/>
      <c r="Q20" s="244"/>
      <c r="R20" s="244"/>
      <c r="S20" s="244"/>
      <c r="T20" s="245"/>
      <c r="U20" s="244"/>
      <c r="V20" s="244"/>
      <c r="Z20" s="80"/>
      <c r="AF20" s="80"/>
      <c r="AL20" s="80"/>
      <c r="AR20" s="80"/>
      <c r="AX20" s="80"/>
      <c r="BD20" s="80"/>
      <c r="BI20" s="79"/>
      <c r="BO20" s="79"/>
      <c r="BU20" s="79"/>
      <c r="CA20" s="79"/>
      <c r="CG20" s="79"/>
      <c r="CM20" s="79"/>
      <c r="CS20" s="79"/>
      <c r="CT20" s="80"/>
      <c r="CY20" s="79"/>
      <c r="DF20" s="80"/>
      <c r="DK20" s="79"/>
      <c r="DQ20" s="79"/>
      <c r="DW20" s="79"/>
      <c r="EC20" s="79"/>
      <c r="EI20" s="79"/>
      <c r="EO20" s="79"/>
      <c r="EU20" s="79"/>
      <c r="FA20" s="79"/>
      <c r="FG20" s="79"/>
      <c r="FM20" s="79"/>
      <c r="FS20" s="79"/>
    </row>
    <row r="21" spans="3:175">
      <c r="C21" s="85" t="s">
        <v>249</v>
      </c>
      <c r="G21" s="49" t="s">
        <v>145</v>
      </c>
      <c r="N21" s="244"/>
      <c r="O21" s="248">
        <v>0.1686</v>
      </c>
      <c r="P21" s="249"/>
      <c r="Q21" s="250">
        <v>0.1686</v>
      </c>
      <c r="R21" s="244"/>
      <c r="S21" s="251">
        <v>0.1686</v>
      </c>
      <c r="T21" s="244"/>
      <c r="U21" s="250">
        <v>0.1686</v>
      </c>
      <c r="V21" s="244"/>
      <c r="W21" s="88">
        <v>0.1686</v>
      </c>
      <c r="X21" s="81"/>
      <c r="Y21" s="89">
        <v>0.1686</v>
      </c>
      <c r="Z21" s="81"/>
      <c r="AA21" s="88">
        <v>0.1686</v>
      </c>
      <c r="AB21" s="81"/>
      <c r="AC21" s="88">
        <v>0.1686</v>
      </c>
      <c r="AD21" s="81"/>
      <c r="AE21" s="89">
        <v>0.1686</v>
      </c>
      <c r="AF21" s="81"/>
      <c r="AG21" s="88">
        <v>0.1686</v>
      </c>
      <c r="AH21" s="81"/>
      <c r="AI21" s="88">
        <v>0.1686</v>
      </c>
      <c r="AJ21" s="81"/>
      <c r="AK21" s="89">
        <v>0.1686</v>
      </c>
      <c r="AL21" s="90"/>
      <c r="AM21" s="81"/>
      <c r="AN21" s="81"/>
      <c r="AO21" s="81"/>
      <c r="AP21" s="81"/>
      <c r="AQ21" s="49" t="s">
        <v>146</v>
      </c>
      <c r="AR21" s="81"/>
      <c r="AS21" s="91">
        <v>7.8100000000000003E-2</v>
      </c>
      <c r="AT21" s="81"/>
      <c r="AU21" s="88">
        <v>7.8100000000000003E-2</v>
      </c>
      <c r="AV21" s="81"/>
      <c r="AW21" s="89">
        <v>7.8100000000000003E-2</v>
      </c>
      <c r="AX21" s="81"/>
      <c r="AY21" s="88">
        <v>7.8100000000000003E-2</v>
      </c>
      <c r="AZ21" s="81"/>
      <c r="BA21" s="88">
        <v>7.8100000000000003E-2</v>
      </c>
      <c r="BB21" s="81"/>
      <c r="BC21" s="89">
        <v>7.8100000000000003E-2</v>
      </c>
      <c r="BD21" s="81"/>
      <c r="BE21" s="88">
        <v>7.8100000000000003E-2</v>
      </c>
      <c r="BF21" s="81"/>
      <c r="BG21" s="88">
        <v>7.8100000000000003E-2</v>
      </c>
      <c r="BH21" s="81"/>
      <c r="BI21" s="89">
        <v>7.8100000000000003E-2</v>
      </c>
      <c r="BJ21" s="81"/>
      <c r="BK21" s="88">
        <v>7.8100000000000003E-2</v>
      </c>
      <c r="BL21" s="81"/>
      <c r="BM21" s="88">
        <v>7.8100000000000003E-2</v>
      </c>
      <c r="BN21" s="81"/>
      <c r="BO21" s="89">
        <v>7.8100000000000003E-2</v>
      </c>
      <c r="BQ21" s="81"/>
      <c r="BR21" s="81"/>
      <c r="BS21" s="81"/>
      <c r="BT21" s="81"/>
      <c r="BU21" s="82"/>
      <c r="BW21" s="81"/>
      <c r="BX21" s="81"/>
      <c r="BY21" s="81"/>
      <c r="BZ21" s="81"/>
      <c r="CA21" s="82"/>
      <c r="CC21" s="81"/>
      <c r="CD21" s="81"/>
      <c r="CE21" s="81"/>
      <c r="CF21" s="81"/>
      <c r="CG21" s="82"/>
      <c r="CI21" s="81"/>
      <c r="CJ21" s="81"/>
      <c r="CK21" s="81"/>
      <c r="CL21" s="81"/>
      <c r="CM21" s="82"/>
      <c r="CO21" s="81"/>
      <c r="CP21" s="81"/>
      <c r="CQ21" s="81"/>
      <c r="CR21" s="81"/>
      <c r="CS21" s="82"/>
      <c r="CT21" s="80"/>
      <c r="CU21" s="81"/>
      <c r="CV21" s="81"/>
      <c r="CW21" s="81"/>
      <c r="CX21" s="81"/>
      <c r="CY21" s="82"/>
      <c r="DA21" s="81"/>
      <c r="DB21" s="81"/>
      <c r="DC21" s="81"/>
      <c r="DD21" s="81"/>
      <c r="DE21" s="81"/>
      <c r="DF21" s="80"/>
      <c r="DG21" s="81"/>
      <c r="DH21" s="81"/>
      <c r="DI21" s="81"/>
      <c r="DJ21" s="81"/>
      <c r="DK21" s="82"/>
      <c r="DM21" s="81"/>
      <c r="DN21" s="81"/>
      <c r="DO21" s="81"/>
      <c r="DP21" s="81"/>
      <c r="DQ21" s="82"/>
      <c r="DS21" s="81"/>
      <c r="DT21" s="81"/>
      <c r="DU21" s="81"/>
      <c r="DV21" s="81"/>
      <c r="DW21" s="82"/>
      <c r="DY21" s="81"/>
      <c r="DZ21" s="81"/>
      <c r="EA21" s="81"/>
      <c r="EB21" s="81"/>
      <c r="EC21" s="82"/>
      <c r="EE21" s="81"/>
      <c r="EF21" s="81"/>
      <c r="EG21" s="81"/>
      <c r="EH21" s="81"/>
      <c r="EI21" s="82"/>
      <c r="EK21" s="81"/>
      <c r="EL21" s="81"/>
      <c r="EM21" s="81"/>
      <c r="EN21" s="81"/>
      <c r="EO21" s="82"/>
      <c r="EQ21" s="81"/>
      <c r="ER21" s="81"/>
      <c r="ES21" s="81"/>
      <c r="ET21" s="81"/>
      <c r="EU21" s="82"/>
      <c r="EW21" s="81"/>
      <c r="EX21" s="81"/>
      <c r="EY21" s="81"/>
      <c r="EZ21" s="81"/>
      <c r="FA21" s="82"/>
      <c r="FC21" s="81"/>
      <c r="FD21" s="81"/>
      <c r="FE21" s="81"/>
      <c r="FF21" s="81"/>
      <c r="FG21" s="82"/>
      <c r="FI21" s="81"/>
      <c r="FJ21" s="81"/>
      <c r="FK21" s="81"/>
      <c r="FL21" s="81"/>
      <c r="FM21" s="82"/>
      <c r="FO21" s="81"/>
      <c r="FP21" s="81"/>
      <c r="FQ21" s="81"/>
      <c r="FR21" s="81"/>
      <c r="FS21" s="82"/>
    </row>
    <row r="22" spans="3:175">
      <c r="G22" s="92">
        <v>21501.063953852514</v>
      </c>
      <c r="N22" s="244"/>
      <c r="O22" s="250">
        <v>19603.639553852514</v>
      </c>
      <c r="P22" s="244"/>
      <c r="Q22" s="250">
        <v>18053.193953852515</v>
      </c>
      <c r="R22" s="244"/>
      <c r="S22" s="251">
        <v>17080.540553852516</v>
      </c>
      <c r="T22" s="244"/>
      <c r="U22" s="250">
        <v>16605.021113852516</v>
      </c>
      <c r="V22" s="244"/>
      <c r="W22" s="93">
        <v>16225.468793852515</v>
      </c>
      <c r="Y22" s="94">
        <v>15743.930333852515</v>
      </c>
      <c r="AA22" s="93">
        <v>15470.225093852516</v>
      </c>
      <c r="AC22" s="93">
        <v>15113.686673852515</v>
      </c>
      <c r="AE22" s="94">
        <v>14278.998653852515</v>
      </c>
      <c r="AG22" s="93">
        <v>13069.411673852515</v>
      </c>
      <c r="AI22" s="93">
        <v>11059.042133852516</v>
      </c>
      <c r="AK22" s="94">
        <v>9311.6885938525156</v>
      </c>
      <c r="AL22" s="95"/>
      <c r="AM22" s="68">
        <v>9311.6885938525156</v>
      </c>
      <c r="AN22" s="68"/>
      <c r="AO22" s="68">
        <v>9311.6885938525156</v>
      </c>
      <c r="AP22" s="68"/>
      <c r="AQ22" s="96">
        <v>9311.6885938525156</v>
      </c>
      <c r="AS22" s="93">
        <v>9115.4857738525152</v>
      </c>
      <c r="AU22" s="93">
        <v>8940.1044138525158</v>
      </c>
      <c r="AW22" s="94">
        <v>8788.629463852516</v>
      </c>
      <c r="AY22" s="93">
        <v>8662.3417638525152</v>
      </c>
      <c r="BA22" s="93">
        <v>8518.9501638525144</v>
      </c>
      <c r="BC22" s="94">
        <v>8191.3284738525144</v>
      </c>
      <c r="BE22" s="93">
        <v>7636.5373138525147</v>
      </c>
      <c r="BG22" s="93">
        <v>6787.9886238525141</v>
      </c>
      <c r="BI22" s="94">
        <v>5881.0367538525143</v>
      </c>
      <c r="BK22" s="93">
        <v>5096.1005138525143</v>
      </c>
      <c r="BM22" s="93">
        <v>4567.4181838525146</v>
      </c>
      <c r="BO22" s="97">
        <v>4187.5866438525145</v>
      </c>
      <c r="BQ22" s="98" t="s">
        <v>147</v>
      </c>
      <c r="BS22" s="68"/>
      <c r="BU22" s="99"/>
      <c r="BW22" s="68"/>
      <c r="BY22" s="68"/>
      <c r="CA22" s="99"/>
      <c r="CC22" s="68"/>
      <c r="CE22" s="68"/>
      <c r="CG22" s="99"/>
      <c r="CI22" s="68"/>
      <c r="CK22" s="68"/>
      <c r="CM22" s="99"/>
      <c r="CO22" s="68"/>
      <c r="CQ22" s="68"/>
      <c r="CS22" s="99"/>
      <c r="CT22" s="80"/>
      <c r="CU22" s="68"/>
      <c r="CW22" s="68"/>
      <c r="CY22" s="99"/>
      <c r="DA22" s="68"/>
      <c r="DC22" s="68"/>
      <c r="DE22" s="68"/>
      <c r="DF22" s="80"/>
      <c r="DG22" s="68"/>
      <c r="DI22" s="68"/>
      <c r="DK22" s="99"/>
      <c r="DM22" s="68"/>
      <c r="DO22" s="68"/>
      <c r="DQ22" s="99"/>
      <c r="DS22" s="68"/>
      <c r="DU22" s="68"/>
      <c r="DW22" s="99"/>
      <c r="DY22" s="68"/>
      <c r="EA22" s="68"/>
      <c r="EC22" s="99"/>
      <c r="EE22" s="68"/>
      <c r="EG22" s="68"/>
      <c r="EI22" s="99"/>
      <c r="EK22" s="68"/>
      <c r="EM22" s="68"/>
      <c r="EO22" s="99"/>
      <c r="EQ22" s="68"/>
      <c r="ES22" s="68"/>
      <c r="EU22" s="99"/>
      <c r="EW22" s="68"/>
      <c r="EY22" s="68"/>
      <c r="FA22" s="99"/>
      <c r="FC22" s="68"/>
      <c r="FE22" s="68"/>
      <c r="FG22" s="99"/>
      <c r="FI22" s="68"/>
      <c r="FK22" s="68"/>
      <c r="FM22" s="99"/>
      <c r="FO22" s="68"/>
      <c r="FQ22" s="68"/>
      <c r="FS22" s="99"/>
    </row>
    <row r="23" spans="3:175">
      <c r="N23" s="244"/>
      <c r="O23" s="244"/>
      <c r="P23" s="244"/>
      <c r="Q23" s="244"/>
      <c r="R23" s="244"/>
      <c r="S23" s="247"/>
      <c r="T23" s="244"/>
      <c r="U23" s="244"/>
      <c r="V23" s="244"/>
      <c r="Y23" s="79"/>
      <c r="AE23" s="79"/>
      <c r="AK23" s="100"/>
      <c r="AQ23" s="101">
        <v>7.8100000000000003E-2</v>
      </c>
      <c r="AW23" s="79"/>
      <c r="BC23" s="79"/>
      <c r="BI23" s="79"/>
      <c r="BO23" s="79"/>
      <c r="BU23" s="79"/>
      <c r="CA23" s="79"/>
      <c r="CG23" s="79"/>
      <c r="CM23" s="79"/>
      <c r="CS23" s="79"/>
      <c r="CT23" s="80"/>
      <c r="CY23" s="79"/>
      <c r="DF23" s="80"/>
      <c r="DK23" s="79"/>
      <c r="DQ23" s="79"/>
      <c r="DW23" s="79"/>
      <c r="EC23" s="79"/>
      <c r="EI23" s="79"/>
      <c r="EO23" s="79"/>
      <c r="EU23" s="79"/>
      <c r="FA23" s="79"/>
      <c r="FG23" s="79"/>
      <c r="FM23" s="79"/>
      <c r="FS23" s="79"/>
    </row>
    <row r="24" spans="3:175">
      <c r="N24" s="244"/>
      <c r="O24" s="244"/>
      <c r="P24" s="244"/>
      <c r="Q24" s="244"/>
      <c r="R24" s="244"/>
      <c r="S24" s="244"/>
      <c r="T24" s="244"/>
      <c r="U24" s="244"/>
      <c r="V24" s="244"/>
      <c r="Z24" s="80"/>
      <c r="AF24" s="80"/>
      <c r="AL24" s="80"/>
      <c r="AR24" s="80"/>
      <c r="AX24" s="80"/>
      <c r="BD24" s="80"/>
      <c r="BJ24" s="80"/>
      <c r="BP24" s="80"/>
      <c r="BV24" s="80"/>
      <c r="CB24" s="80"/>
      <c r="CH24" s="80"/>
      <c r="CN24" s="80"/>
      <c r="CS24" s="79"/>
      <c r="CT24" s="80"/>
      <c r="CZ24" s="80"/>
      <c r="DF24" s="80"/>
      <c r="DL24" s="80"/>
      <c r="DR24" s="80"/>
      <c r="DX24" s="80"/>
      <c r="ED24" s="80"/>
      <c r="EJ24" s="80"/>
      <c r="EP24" s="80"/>
      <c r="EV24" s="80"/>
      <c r="FA24" s="79"/>
      <c r="FB24" s="80"/>
      <c r="FG24" s="79"/>
      <c r="FH24" s="80"/>
      <c r="FM24" s="79"/>
      <c r="FN24" s="80"/>
      <c r="FS24" s="79"/>
    </row>
    <row r="25" spans="3:175">
      <c r="C25" s="85" t="s">
        <v>249</v>
      </c>
      <c r="M25" s="49" t="s">
        <v>148</v>
      </c>
      <c r="N25" s="244"/>
      <c r="O25" s="244"/>
      <c r="P25" s="244"/>
      <c r="Q25" s="244"/>
      <c r="R25" s="244"/>
      <c r="S25" s="244"/>
      <c r="T25" s="244"/>
      <c r="U25" s="248">
        <v>0.73960000000000004</v>
      </c>
      <c r="V25" s="249"/>
      <c r="W25" s="88">
        <v>0.73960000000000004</v>
      </c>
      <c r="X25" s="81"/>
      <c r="Y25" s="89">
        <v>0.73960000000000004</v>
      </c>
      <c r="Z25" s="81"/>
      <c r="AA25" s="88">
        <v>0.73960000000000004</v>
      </c>
      <c r="AB25" s="81"/>
      <c r="AC25" s="88">
        <v>0.73960000000000004</v>
      </c>
      <c r="AD25" s="81"/>
      <c r="AE25" s="89">
        <v>0.73960000000000004</v>
      </c>
      <c r="AF25" s="81"/>
      <c r="AG25" s="88">
        <v>0.73960000000000004</v>
      </c>
      <c r="AH25" s="81"/>
      <c r="AI25" s="88">
        <v>0.73960000000000004</v>
      </c>
      <c r="AJ25" s="81"/>
      <c r="AK25" s="89">
        <v>0.73960000000000004</v>
      </c>
      <c r="AL25" s="81"/>
      <c r="AM25" s="88">
        <v>0.73960000000000004</v>
      </c>
      <c r="AN25" s="81"/>
      <c r="AO25" s="88">
        <v>0.73960000000000004</v>
      </c>
      <c r="AP25" s="81"/>
      <c r="AQ25" s="89">
        <v>0.73960000000000004</v>
      </c>
      <c r="AR25" s="90"/>
      <c r="AS25" s="81"/>
      <c r="AT25" s="81"/>
      <c r="AU25" s="81"/>
      <c r="AV25" s="81"/>
      <c r="AW25" s="49" t="s">
        <v>149</v>
      </c>
      <c r="AX25" s="81"/>
      <c r="AY25" s="91">
        <v>0.28189999999999998</v>
      </c>
      <c r="AZ25" s="81"/>
      <c r="BA25" s="88">
        <v>0.28189999999999998</v>
      </c>
      <c r="BB25" s="81"/>
      <c r="BC25" s="89">
        <v>0.28189999999999998</v>
      </c>
      <c r="BD25" s="81"/>
      <c r="BE25" s="88">
        <v>0.28189999999999998</v>
      </c>
      <c r="BF25" s="81"/>
      <c r="BG25" s="88">
        <v>0.28189999999999998</v>
      </c>
      <c r="BH25" s="81"/>
      <c r="BI25" s="89">
        <v>0.28189999999999998</v>
      </c>
      <c r="BJ25" s="81"/>
      <c r="BK25" s="88">
        <v>0.28189999999999998</v>
      </c>
      <c r="BL25" s="81"/>
      <c r="BM25" s="88">
        <v>0.28189999999999998</v>
      </c>
      <c r="BN25" s="81"/>
      <c r="BO25" s="89">
        <v>0.28189999999999998</v>
      </c>
      <c r="BP25" s="81"/>
      <c r="BQ25" s="88">
        <v>0.28189999999999998</v>
      </c>
      <c r="BR25" s="81"/>
      <c r="BS25" s="88">
        <v>0.28189999999999998</v>
      </c>
      <c r="BT25" s="81"/>
      <c r="BU25" s="89">
        <v>0.28189999999999998</v>
      </c>
      <c r="BW25" s="81"/>
      <c r="BX25" s="81"/>
      <c r="BY25" s="81"/>
      <c r="BZ25" s="81"/>
      <c r="CA25" s="82"/>
      <c r="CC25" s="81"/>
      <c r="CD25" s="81"/>
      <c r="CE25" s="81"/>
      <c r="CF25" s="81"/>
      <c r="CG25" s="82"/>
      <c r="CI25" s="81"/>
      <c r="CJ25" s="81"/>
      <c r="CK25" s="81"/>
      <c r="CL25" s="81"/>
      <c r="CM25" s="82"/>
      <c r="CO25" s="81"/>
      <c r="CP25" s="81"/>
      <c r="CQ25" s="81"/>
      <c r="CR25" s="81"/>
      <c r="CS25" s="82"/>
      <c r="CT25" s="80"/>
      <c r="CU25" s="81"/>
      <c r="CV25" s="81"/>
      <c r="CW25" s="81"/>
      <c r="CX25" s="81"/>
      <c r="CY25" s="82"/>
      <c r="DA25" s="81"/>
      <c r="DB25" s="81"/>
      <c r="DC25" s="81"/>
      <c r="DD25" s="81"/>
      <c r="DE25" s="81"/>
      <c r="DF25" s="80"/>
      <c r="DG25" s="81"/>
      <c r="DH25" s="81"/>
      <c r="DI25" s="81"/>
      <c r="DJ25" s="81"/>
      <c r="DK25" s="82"/>
      <c r="DM25" s="81"/>
      <c r="DN25" s="81"/>
      <c r="DO25" s="81"/>
      <c r="DP25" s="81"/>
      <c r="DQ25" s="82"/>
      <c r="DS25" s="81"/>
      <c r="DT25" s="81"/>
      <c r="DU25" s="81"/>
      <c r="DV25" s="81"/>
      <c r="DW25" s="82"/>
      <c r="DY25" s="81"/>
      <c r="DZ25" s="81"/>
      <c r="EA25" s="81"/>
      <c r="EB25" s="81"/>
      <c r="EC25" s="82"/>
      <c r="EE25" s="81"/>
      <c r="EF25" s="81"/>
      <c r="EG25" s="81"/>
      <c r="EH25" s="81"/>
      <c r="EI25" s="82"/>
      <c r="EK25" s="81"/>
      <c r="EL25" s="81"/>
      <c r="EM25" s="81"/>
      <c r="EN25" s="81"/>
      <c r="EO25" s="82"/>
      <c r="EQ25" s="81"/>
      <c r="ER25" s="81"/>
      <c r="ES25" s="81"/>
      <c r="ET25" s="81"/>
      <c r="EU25" s="82"/>
      <c r="EW25" s="81"/>
      <c r="EX25" s="81"/>
      <c r="EY25" s="81"/>
      <c r="EZ25" s="81"/>
      <c r="FA25" s="82"/>
      <c r="FC25" s="81"/>
      <c r="FD25" s="81"/>
      <c r="FE25" s="81"/>
      <c r="FF25" s="81"/>
      <c r="FG25" s="82"/>
      <c r="FI25" s="81"/>
      <c r="FJ25" s="81"/>
      <c r="FK25" s="81"/>
      <c r="FL25" s="81"/>
      <c r="FM25" s="82"/>
      <c r="FO25" s="81"/>
      <c r="FP25" s="81"/>
      <c r="FQ25" s="81"/>
      <c r="FR25" s="81"/>
      <c r="FS25" s="82"/>
    </row>
    <row r="26" spans="3:175">
      <c r="M26" s="92">
        <v>93731.205208687912</v>
      </c>
      <c r="N26" s="244"/>
      <c r="O26" s="244"/>
      <c r="P26" s="244"/>
      <c r="Q26" s="244"/>
      <c r="R26" s="244"/>
      <c r="S26" s="244"/>
      <c r="T26" s="244"/>
      <c r="U26" s="250">
        <v>91645.237368687915</v>
      </c>
      <c r="V26" s="244"/>
      <c r="W26" s="93">
        <v>89980.249848687919</v>
      </c>
      <c r="Y26" s="94">
        <v>87867.87828868792</v>
      </c>
      <c r="AA26" s="93">
        <v>86667.211648687924</v>
      </c>
      <c r="AC26" s="93">
        <v>85103.179528687921</v>
      </c>
      <c r="AE26" s="94">
        <v>81441.641808687913</v>
      </c>
      <c r="AG26" s="93">
        <v>76135.529528687912</v>
      </c>
      <c r="AI26" s="93">
        <v>67316.613088687911</v>
      </c>
      <c r="AK26" s="94">
        <v>59651.472648687908</v>
      </c>
      <c r="AM26" s="93">
        <v>54103.067408687908</v>
      </c>
      <c r="AO26" s="93">
        <v>47747.610648687907</v>
      </c>
      <c r="AQ26" s="94">
        <v>42772.913128687906</v>
      </c>
      <c r="AR26" s="95"/>
      <c r="AS26" s="68">
        <v>42772.913128687906</v>
      </c>
      <c r="AT26" s="68"/>
      <c r="AU26" s="68">
        <v>42772.913128687906</v>
      </c>
      <c r="AV26" s="68"/>
      <c r="AW26" s="96">
        <v>42772.913128687906</v>
      </c>
      <c r="AY26" s="93">
        <v>42317.080828687904</v>
      </c>
      <c r="BA26" s="93">
        <v>41799.512428687907</v>
      </c>
      <c r="BC26" s="94">
        <v>40616.97011868791</v>
      </c>
      <c r="BE26" s="93">
        <v>38614.465278687909</v>
      </c>
      <c r="BG26" s="93">
        <v>35551.649968687911</v>
      </c>
      <c r="BI26" s="94">
        <v>32278.029838687911</v>
      </c>
      <c r="BK26" s="93">
        <v>29444.82207868791</v>
      </c>
      <c r="BM26" s="93">
        <v>27536.556408687909</v>
      </c>
      <c r="BO26" s="94">
        <v>26165.563948687908</v>
      </c>
      <c r="BQ26" s="93">
        <v>25355.270588687908</v>
      </c>
      <c r="BS26" s="93">
        <v>24763.280588687907</v>
      </c>
      <c r="BU26" s="97">
        <v>23850.206488687905</v>
      </c>
      <c r="BW26" s="98" t="s">
        <v>147</v>
      </c>
      <c r="BY26" s="68"/>
      <c r="CA26" s="99"/>
      <c r="CC26" s="68"/>
      <c r="CE26" s="68"/>
      <c r="CG26" s="99"/>
      <c r="CI26" s="68"/>
      <c r="CK26" s="68"/>
      <c r="CM26" s="99"/>
      <c r="CO26" s="68"/>
      <c r="CQ26" s="68"/>
      <c r="CS26" s="99"/>
      <c r="CT26" s="80"/>
      <c r="CU26" s="68"/>
      <c r="CW26" s="68"/>
      <c r="CY26" s="99"/>
      <c r="DA26" s="68"/>
      <c r="DC26" s="68"/>
      <c r="DE26" s="68"/>
      <c r="DF26" s="80"/>
      <c r="DG26" s="68"/>
      <c r="DI26" s="68"/>
      <c r="DK26" s="99"/>
      <c r="DM26" s="68"/>
      <c r="DO26" s="68"/>
      <c r="DQ26" s="99"/>
      <c r="DS26" s="68"/>
      <c r="DU26" s="68"/>
      <c r="DW26" s="99"/>
      <c r="DY26" s="68"/>
      <c r="EA26" s="68"/>
      <c r="EC26" s="99"/>
      <c r="EE26" s="68"/>
      <c r="EG26" s="68"/>
      <c r="EI26" s="99"/>
      <c r="EK26" s="68"/>
      <c r="EM26" s="68"/>
      <c r="EO26" s="99"/>
      <c r="EQ26" s="68"/>
      <c r="ES26" s="68"/>
      <c r="EU26" s="99"/>
      <c r="EW26" s="68"/>
      <c r="EY26" s="68"/>
      <c r="FA26" s="99"/>
      <c r="FC26" s="68"/>
      <c r="FE26" s="68"/>
      <c r="FG26" s="99"/>
      <c r="FI26" s="68"/>
      <c r="FK26" s="68"/>
      <c r="FM26" s="99"/>
      <c r="FO26" s="68"/>
      <c r="FQ26" s="68"/>
      <c r="FS26" s="99"/>
    </row>
    <row r="27" spans="3:175">
      <c r="N27" s="244"/>
      <c r="O27" s="244"/>
      <c r="P27" s="244"/>
      <c r="Q27" s="244"/>
      <c r="R27" s="244"/>
      <c r="S27" s="244"/>
      <c r="T27" s="244"/>
      <c r="U27" s="244"/>
      <c r="V27" s="244"/>
      <c r="Y27" s="79"/>
      <c r="AE27" s="79"/>
      <c r="AK27" s="79"/>
      <c r="AQ27" s="100"/>
      <c r="AW27" s="101">
        <v>0.63720716282145562</v>
      </c>
      <c r="BC27" s="79"/>
      <c r="BI27" s="79"/>
      <c r="BO27" s="79"/>
      <c r="BU27" s="79"/>
      <c r="CA27" s="79"/>
      <c r="CG27" s="79"/>
      <c r="CM27" s="79"/>
      <c r="CS27" s="79"/>
      <c r="CT27" s="80"/>
      <c r="CY27" s="79"/>
      <c r="DF27" s="80"/>
      <c r="DK27" s="79"/>
      <c r="DQ27" s="79"/>
      <c r="DW27" s="79"/>
      <c r="EC27" s="79"/>
      <c r="EI27" s="79"/>
      <c r="EO27" s="79"/>
      <c r="EU27" s="79"/>
      <c r="FA27" s="79"/>
      <c r="FG27" s="79"/>
      <c r="FM27" s="79"/>
      <c r="FS27" s="79"/>
    </row>
    <row r="28" spans="3:175">
      <c r="N28" s="244"/>
      <c r="O28" s="244"/>
      <c r="P28" s="244"/>
      <c r="Q28" s="244"/>
      <c r="R28" s="244"/>
      <c r="S28" s="244"/>
      <c r="T28" s="244"/>
      <c r="U28" s="244"/>
      <c r="V28" s="244"/>
      <c r="Z28" s="80"/>
      <c r="AF28" s="80"/>
      <c r="AL28" s="80"/>
      <c r="AR28" s="80"/>
      <c r="AX28" s="80"/>
      <c r="BD28" s="80"/>
      <c r="BJ28" s="80"/>
      <c r="BP28" s="80"/>
      <c r="BV28" s="80"/>
      <c r="CB28" s="80"/>
      <c r="CH28" s="80"/>
      <c r="CN28" s="80"/>
      <c r="CS28" s="79"/>
      <c r="CT28" s="80"/>
      <c r="CZ28" s="80"/>
      <c r="DF28" s="80"/>
      <c r="DL28" s="80"/>
      <c r="DR28" s="80"/>
      <c r="DX28" s="80"/>
      <c r="ED28" s="80"/>
      <c r="EJ28" s="80"/>
      <c r="EP28" s="80"/>
      <c r="EV28" s="80"/>
      <c r="FA28" s="79"/>
      <c r="FB28" s="80"/>
      <c r="FG28" s="79"/>
      <c r="FH28" s="80"/>
      <c r="FM28" s="79"/>
      <c r="FN28" s="80"/>
      <c r="FS28" s="79"/>
    </row>
    <row r="29" spans="3:175">
      <c r="C29" s="85" t="s">
        <v>249</v>
      </c>
      <c r="N29" s="244"/>
      <c r="O29" s="244"/>
      <c r="P29" s="244"/>
      <c r="Q29" s="244"/>
      <c r="R29" s="244"/>
      <c r="S29" s="252" t="s">
        <v>150</v>
      </c>
      <c r="T29" s="244"/>
      <c r="U29" s="244"/>
      <c r="V29" s="244"/>
      <c r="AA29" s="86">
        <v>0.4647</v>
      </c>
      <c r="AB29" s="87"/>
      <c r="AC29" s="88">
        <v>0.4647</v>
      </c>
      <c r="AD29" s="81"/>
      <c r="AE29" s="89">
        <v>0.4647</v>
      </c>
      <c r="AF29" s="81"/>
      <c r="AG29" s="88">
        <v>0.4647</v>
      </c>
      <c r="AH29" s="81"/>
      <c r="AI29" s="88">
        <v>0.4647</v>
      </c>
      <c r="AJ29" s="81"/>
      <c r="AK29" s="89">
        <v>0.4647</v>
      </c>
      <c r="AL29" s="81"/>
      <c r="AM29" s="88">
        <v>0.4647</v>
      </c>
      <c r="AN29" s="81"/>
      <c r="AO29" s="88">
        <v>0.4647</v>
      </c>
      <c r="AP29" s="81"/>
      <c r="AQ29" s="89">
        <v>0.4647</v>
      </c>
      <c r="AR29" s="81"/>
      <c r="AS29" s="88">
        <v>0.4647</v>
      </c>
      <c r="AT29" s="81"/>
      <c r="AU29" s="88">
        <v>0.4647</v>
      </c>
      <c r="AV29" s="81"/>
      <c r="AW29" s="89">
        <v>0.4647</v>
      </c>
      <c r="AX29" s="90"/>
      <c r="AY29" s="81"/>
      <c r="AZ29" s="81"/>
      <c r="BA29" s="81"/>
      <c r="BB29" s="81"/>
      <c r="BC29" s="49" t="s">
        <v>151</v>
      </c>
      <c r="BD29" s="81"/>
      <c r="BE29" s="91">
        <v>0.1434</v>
      </c>
      <c r="BF29" s="81"/>
      <c r="BG29" s="88">
        <v>0.1434</v>
      </c>
      <c r="BH29" s="81"/>
      <c r="BI29" s="89">
        <v>0.1434</v>
      </c>
      <c r="BJ29" s="81"/>
      <c r="BK29" s="88">
        <v>0.1434</v>
      </c>
      <c r="BL29" s="81"/>
      <c r="BM29" s="88">
        <v>0.1434</v>
      </c>
      <c r="BN29" s="81"/>
      <c r="BO29" s="89">
        <v>0.1434</v>
      </c>
      <c r="BP29" s="81"/>
      <c r="BQ29" s="88">
        <v>0.1434</v>
      </c>
      <c r="BR29" s="81"/>
      <c r="BS29" s="88">
        <v>0.1434</v>
      </c>
      <c r="BT29" s="81"/>
      <c r="BU29" s="89">
        <v>0.1434</v>
      </c>
      <c r="BV29" s="81"/>
      <c r="BW29" s="88">
        <v>0.1434</v>
      </c>
      <c r="BX29" s="81"/>
      <c r="BY29" s="88">
        <v>0.1434</v>
      </c>
      <c r="BZ29" s="81"/>
      <c r="CA29" s="89">
        <v>0.1434</v>
      </c>
      <c r="CC29" s="81"/>
      <c r="CD29" s="81"/>
      <c r="CE29" s="81"/>
      <c r="CF29" s="81"/>
      <c r="CG29" s="82"/>
      <c r="CI29" s="81"/>
      <c r="CJ29" s="81"/>
      <c r="CK29" s="81"/>
      <c r="CL29" s="81"/>
      <c r="CM29" s="82"/>
      <c r="CO29" s="81"/>
      <c r="CP29" s="81"/>
      <c r="CQ29" s="81"/>
      <c r="CR29" s="81"/>
      <c r="CS29" s="82"/>
      <c r="CT29" s="80"/>
      <c r="CU29" s="81"/>
      <c r="CV29" s="81"/>
      <c r="CW29" s="81"/>
      <c r="CX29" s="81"/>
      <c r="CY29" s="82"/>
      <c r="DA29" s="81"/>
      <c r="DB29" s="81"/>
      <c r="DC29" s="81"/>
      <c r="DD29" s="81"/>
      <c r="DE29" s="81"/>
      <c r="DF29" s="80"/>
      <c r="DG29" s="81"/>
      <c r="DH29" s="81"/>
      <c r="DI29" s="81"/>
      <c r="DJ29" s="81"/>
      <c r="DK29" s="82"/>
      <c r="DM29" s="81"/>
      <c r="DN29" s="81"/>
      <c r="DO29" s="81"/>
      <c r="DP29" s="81"/>
      <c r="DQ29" s="82"/>
      <c r="DS29" s="81"/>
      <c r="DT29" s="81"/>
      <c r="DU29" s="81"/>
      <c r="DV29" s="81"/>
      <c r="DW29" s="82"/>
      <c r="DY29" s="81"/>
      <c r="DZ29" s="81"/>
      <c r="EA29" s="81"/>
      <c r="EB29" s="81"/>
      <c r="EC29" s="82"/>
      <c r="EE29" s="81"/>
      <c r="EF29" s="81"/>
      <c r="EG29" s="81"/>
      <c r="EH29" s="81"/>
      <c r="EI29" s="82"/>
      <c r="EK29" s="81"/>
      <c r="EL29" s="81"/>
      <c r="EM29" s="81"/>
      <c r="EN29" s="81"/>
      <c r="EO29" s="82"/>
      <c r="EQ29" s="81"/>
      <c r="ER29" s="81"/>
      <c r="ES29" s="81"/>
      <c r="ET29" s="81"/>
      <c r="EU29" s="82"/>
      <c r="EW29" s="81"/>
      <c r="EX29" s="81"/>
      <c r="EY29" s="81"/>
      <c r="EZ29" s="81"/>
      <c r="FA29" s="82"/>
      <c r="FC29" s="81"/>
      <c r="FD29" s="81"/>
      <c r="FE29" s="81"/>
      <c r="FF29" s="81"/>
      <c r="FG29" s="82"/>
      <c r="FI29" s="81"/>
      <c r="FJ29" s="81"/>
      <c r="FK29" s="81"/>
      <c r="FL29" s="81"/>
      <c r="FM29" s="82"/>
      <c r="FO29" s="81"/>
      <c r="FP29" s="81"/>
      <c r="FQ29" s="81"/>
      <c r="FR29" s="81"/>
      <c r="FS29" s="82"/>
    </row>
    <row r="30" spans="3:175">
      <c r="N30" s="244"/>
      <c r="O30" s="244"/>
      <c r="P30" s="244"/>
      <c r="Q30" s="244"/>
      <c r="R30" s="244"/>
      <c r="S30" s="248">
        <v>58542.815247980208</v>
      </c>
      <c r="T30" s="244"/>
      <c r="U30" s="244"/>
      <c r="V30" s="244"/>
      <c r="AA30" s="93">
        <v>57788.421267980208</v>
      </c>
      <c r="AC30" s="93">
        <v>56805.720177980205</v>
      </c>
      <c r="AE30" s="94">
        <v>54505.129887980205</v>
      </c>
      <c r="AG30" s="93">
        <v>51171.232677980202</v>
      </c>
      <c r="AI30" s="93">
        <v>45630.1963479802</v>
      </c>
      <c r="AK30" s="94">
        <v>40814.092017980198</v>
      </c>
      <c r="AM30" s="93">
        <v>37327.959087980198</v>
      </c>
      <c r="AO30" s="93">
        <v>33334.745517980198</v>
      </c>
      <c r="AQ30" s="94">
        <v>30209.080377980197</v>
      </c>
      <c r="AS30" s="93">
        <v>29041.661037980197</v>
      </c>
      <c r="AU30" s="93">
        <v>27998.130717980195</v>
      </c>
      <c r="AW30" s="94">
        <v>27096.845067980194</v>
      </c>
      <c r="AX30" s="95"/>
      <c r="AY30" s="68">
        <v>27096.845067980194</v>
      </c>
      <c r="AZ30" s="68"/>
      <c r="BA30" s="68">
        <v>27096.845067980194</v>
      </c>
      <c r="BB30" s="68"/>
      <c r="BC30" s="96">
        <v>27096.845067980194</v>
      </c>
      <c r="BE30" s="93">
        <v>26078.188827980193</v>
      </c>
      <c r="BG30" s="93">
        <v>24520.162167980194</v>
      </c>
      <c r="BI30" s="94">
        <v>22854.900987980192</v>
      </c>
      <c r="BK30" s="93">
        <v>21413.673627980192</v>
      </c>
      <c r="BM30" s="93">
        <v>20442.956007980192</v>
      </c>
      <c r="BO30" s="94">
        <v>19745.544447980192</v>
      </c>
      <c r="BQ30" s="93">
        <v>19333.355487980192</v>
      </c>
      <c r="BS30" s="93">
        <v>19032.215487980193</v>
      </c>
      <c r="BU30" s="94">
        <v>18567.742887980192</v>
      </c>
      <c r="BW30" s="93">
        <v>17778.651405980192</v>
      </c>
      <c r="BY30" s="93">
        <v>17259.227925980191</v>
      </c>
      <c r="CA30" s="97">
        <v>16679.891925980191</v>
      </c>
      <c r="CC30" s="98" t="s">
        <v>147</v>
      </c>
      <c r="CE30" s="68"/>
      <c r="CG30" s="99"/>
      <c r="CI30" s="68"/>
      <c r="CK30" s="68"/>
      <c r="CM30" s="99"/>
      <c r="CO30" s="68"/>
      <c r="CQ30" s="68"/>
      <c r="CS30" s="99"/>
      <c r="CT30" s="80"/>
      <c r="CU30" s="68"/>
      <c r="CW30" s="68"/>
      <c r="CY30" s="99"/>
      <c r="DA30" s="68"/>
      <c r="DC30" s="68"/>
      <c r="DE30" s="68"/>
      <c r="DF30" s="80"/>
      <c r="DG30" s="68"/>
      <c r="DI30" s="68"/>
      <c r="DK30" s="99"/>
      <c r="DM30" s="68"/>
      <c r="DO30" s="68"/>
      <c r="DQ30" s="99"/>
      <c r="DS30" s="68"/>
      <c r="DU30" s="68"/>
      <c r="DW30" s="99"/>
      <c r="DY30" s="68"/>
      <c r="EA30" s="68"/>
      <c r="EC30" s="99"/>
      <c r="EE30" s="68"/>
      <c r="EG30" s="68"/>
      <c r="EI30" s="99"/>
      <c r="EK30" s="68"/>
      <c r="EM30" s="68"/>
      <c r="EO30" s="99"/>
      <c r="EQ30" s="68"/>
      <c r="ES30" s="68"/>
      <c r="EU30" s="99"/>
      <c r="EW30" s="68"/>
      <c r="EY30" s="68"/>
      <c r="FA30" s="99"/>
      <c r="FC30" s="68"/>
      <c r="FE30" s="68"/>
      <c r="FG30" s="99"/>
      <c r="FI30" s="68"/>
      <c r="FK30" s="68"/>
      <c r="FM30" s="99"/>
      <c r="FO30" s="68"/>
      <c r="FQ30" s="68"/>
      <c r="FS30" s="99"/>
    </row>
    <row r="31" spans="3:175">
      <c r="N31" s="244"/>
      <c r="O31" s="244"/>
      <c r="P31" s="244"/>
      <c r="Q31" s="244"/>
      <c r="R31" s="244"/>
      <c r="S31" s="244"/>
      <c r="T31" s="244"/>
      <c r="U31" s="244"/>
      <c r="V31" s="244"/>
      <c r="AE31" s="79"/>
      <c r="AK31" s="79"/>
      <c r="AQ31" s="79"/>
      <c r="AW31" s="100"/>
      <c r="BC31" s="101">
        <v>0.37301574940197224</v>
      </c>
      <c r="BI31" s="79"/>
      <c r="BO31" s="79"/>
      <c r="BU31" s="79"/>
      <c r="CA31" s="79"/>
      <c r="CG31" s="79"/>
      <c r="CM31" s="79"/>
      <c r="CS31" s="79"/>
      <c r="CT31" s="80"/>
      <c r="CY31" s="79"/>
      <c r="DF31" s="80"/>
      <c r="DK31" s="79"/>
      <c r="DQ31" s="79"/>
      <c r="DW31" s="79"/>
      <c r="EC31" s="79"/>
      <c r="EI31" s="79"/>
      <c r="EO31" s="79"/>
      <c r="EU31" s="79"/>
      <c r="FA31" s="79"/>
      <c r="FG31" s="79"/>
      <c r="FM31" s="79"/>
      <c r="FS31" s="79"/>
    </row>
    <row r="32" spans="3:175">
      <c r="N32" s="244"/>
      <c r="O32" s="244"/>
      <c r="P32" s="244"/>
      <c r="Q32" s="244"/>
      <c r="R32" s="244"/>
      <c r="S32" s="244"/>
      <c r="T32" s="244"/>
      <c r="U32" s="244"/>
      <c r="V32" s="244"/>
      <c r="AF32" s="80"/>
      <c r="AL32" s="80"/>
      <c r="AR32" s="80"/>
      <c r="AX32" s="80"/>
      <c r="BD32" s="80"/>
      <c r="BJ32" s="80"/>
      <c r="BP32" s="80"/>
      <c r="BV32" s="80"/>
      <c r="CB32" s="80"/>
      <c r="CH32" s="80"/>
      <c r="CN32" s="80"/>
      <c r="CS32" s="79"/>
      <c r="CT32" s="80"/>
      <c r="CZ32" s="80"/>
      <c r="DF32" s="80"/>
      <c r="DL32" s="80"/>
      <c r="DR32" s="80"/>
      <c r="DX32" s="80"/>
      <c r="ED32" s="80"/>
      <c r="EJ32" s="80"/>
      <c r="EP32" s="80"/>
      <c r="EV32" s="80"/>
      <c r="FA32" s="79"/>
      <c r="FB32" s="80"/>
      <c r="FG32" s="79"/>
      <c r="FH32" s="80"/>
      <c r="FM32" s="79"/>
      <c r="FN32" s="80"/>
      <c r="FS32" s="79"/>
    </row>
    <row r="33" spans="3:175">
      <c r="C33" s="85" t="s">
        <v>249</v>
      </c>
      <c r="N33" s="244"/>
      <c r="O33" s="244"/>
      <c r="P33" s="244"/>
      <c r="Q33" s="244"/>
      <c r="R33" s="244"/>
      <c r="S33" s="244"/>
      <c r="T33" s="244"/>
      <c r="U33" s="244"/>
      <c r="V33" s="244"/>
      <c r="W33" s="68"/>
      <c r="Y33" s="49" t="s">
        <v>152</v>
      </c>
      <c r="AG33" s="86">
        <v>0.439</v>
      </c>
      <c r="AH33" s="87"/>
      <c r="AI33" s="88">
        <v>0.439</v>
      </c>
      <c r="AJ33" s="81"/>
      <c r="AK33" s="89">
        <v>0.439</v>
      </c>
      <c r="AL33" s="81"/>
      <c r="AM33" s="88">
        <v>0.439</v>
      </c>
      <c r="AN33" s="81"/>
      <c r="AO33" s="88">
        <v>0.439</v>
      </c>
      <c r="AP33" s="81"/>
      <c r="AQ33" s="89">
        <v>0.439</v>
      </c>
      <c r="AR33" s="81"/>
      <c r="AS33" s="88">
        <v>0.439</v>
      </c>
      <c r="AT33" s="81"/>
      <c r="AU33" s="88">
        <v>0.439</v>
      </c>
      <c r="AV33" s="81"/>
      <c r="AW33" s="89">
        <v>0.439</v>
      </c>
      <c r="AX33" s="81"/>
      <c r="AY33" s="88">
        <v>0.439</v>
      </c>
      <c r="AZ33" s="81"/>
      <c r="BA33" s="88">
        <v>0.439</v>
      </c>
      <c r="BB33" s="81"/>
      <c r="BC33" s="89">
        <v>0.439</v>
      </c>
      <c r="BD33" s="90"/>
      <c r="BE33" s="81"/>
      <c r="BF33" s="81"/>
      <c r="BG33" s="81"/>
      <c r="BH33" s="81"/>
      <c r="BI33" s="49" t="s">
        <v>226</v>
      </c>
      <c r="BJ33" s="81"/>
      <c r="BK33" s="91">
        <v>0</v>
      </c>
      <c r="BL33" s="81"/>
      <c r="BM33" s="88">
        <v>0</v>
      </c>
      <c r="BN33" s="81"/>
      <c r="BO33" s="89">
        <v>0</v>
      </c>
      <c r="BP33" s="81"/>
      <c r="BQ33" s="88">
        <v>0</v>
      </c>
      <c r="BR33" s="81"/>
      <c r="BS33" s="88">
        <v>0</v>
      </c>
      <c r="BT33" s="81"/>
      <c r="BU33" s="89">
        <v>0</v>
      </c>
      <c r="BV33" s="81"/>
      <c r="BW33" s="88">
        <v>0</v>
      </c>
      <c r="BX33" s="81"/>
      <c r="BY33" s="88">
        <v>0</v>
      </c>
      <c r="BZ33" s="81"/>
      <c r="CA33" s="89">
        <v>0</v>
      </c>
      <c r="CB33" s="81"/>
      <c r="CC33" s="88">
        <v>0</v>
      </c>
      <c r="CD33" s="81"/>
      <c r="CE33" s="88">
        <v>0</v>
      </c>
      <c r="CF33" s="81"/>
      <c r="CG33" s="89">
        <v>0</v>
      </c>
      <c r="CI33" s="81"/>
      <c r="CJ33" s="81"/>
      <c r="CK33" s="81"/>
      <c r="CL33" s="81"/>
      <c r="CM33" s="82"/>
      <c r="CO33" s="81"/>
      <c r="CP33" s="81"/>
      <c r="CQ33" s="81"/>
      <c r="CR33" s="81"/>
      <c r="CS33" s="82"/>
      <c r="CT33" s="80"/>
      <c r="CU33" s="81"/>
      <c r="CV33" s="81"/>
      <c r="CW33" s="81"/>
      <c r="CX33" s="81"/>
      <c r="CY33" s="82"/>
      <c r="DA33" s="81"/>
      <c r="DB33" s="81"/>
      <c r="DC33" s="81"/>
      <c r="DD33" s="81"/>
      <c r="DE33" s="81"/>
      <c r="DF33" s="80"/>
      <c r="DG33" s="81"/>
      <c r="DH33" s="81"/>
      <c r="DI33" s="81"/>
      <c r="DJ33" s="81"/>
      <c r="DK33" s="82"/>
      <c r="DM33" s="81"/>
      <c r="DN33" s="81"/>
      <c r="DO33" s="81"/>
      <c r="DP33" s="81"/>
      <c r="DQ33" s="82"/>
      <c r="DS33" s="81"/>
      <c r="DT33" s="81"/>
      <c r="DU33" s="81"/>
      <c r="DV33" s="81"/>
      <c r="DW33" s="82"/>
      <c r="DY33" s="81"/>
      <c r="DZ33" s="81"/>
      <c r="EA33" s="81"/>
      <c r="EB33" s="81"/>
      <c r="EC33" s="82"/>
      <c r="EE33" s="81"/>
      <c r="EF33" s="81"/>
      <c r="EG33" s="81"/>
      <c r="EH33" s="81"/>
      <c r="EI33" s="82"/>
      <c r="EK33" s="81"/>
      <c r="EL33" s="81"/>
      <c r="EM33" s="81"/>
      <c r="EN33" s="81"/>
      <c r="EO33" s="82"/>
      <c r="EQ33" s="81"/>
      <c r="ER33" s="81"/>
      <c r="ES33" s="81"/>
      <c r="ET33" s="81"/>
      <c r="EU33" s="82"/>
      <c r="EW33" s="81"/>
      <c r="EX33" s="81"/>
      <c r="EY33" s="81"/>
      <c r="EZ33" s="81"/>
      <c r="FA33" s="82"/>
      <c r="FC33" s="81"/>
      <c r="FD33" s="81"/>
      <c r="FE33" s="81"/>
      <c r="FF33" s="81"/>
      <c r="FG33" s="82"/>
      <c r="FI33" s="81"/>
      <c r="FJ33" s="81"/>
      <c r="FK33" s="81"/>
      <c r="FL33" s="81"/>
      <c r="FM33" s="82"/>
      <c r="FO33" s="81"/>
      <c r="FP33" s="81"/>
      <c r="FQ33" s="81"/>
      <c r="FR33" s="81"/>
      <c r="FS33" s="82"/>
    </row>
    <row r="34" spans="3:175">
      <c r="N34" s="244"/>
      <c r="O34" s="244"/>
      <c r="P34" s="244"/>
      <c r="Q34" s="244"/>
      <c r="R34" s="244"/>
      <c r="S34" s="244"/>
      <c r="T34" s="244"/>
      <c r="U34" s="244"/>
      <c r="V34" s="244"/>
      <c r="Y34" s="92">
        <v>51564.689735336426</v>
      </c>
      <c r="AG34" s="93">
        <v>48415.172035336429</v>
      </c>
      <c r="AI34" s="93">
        <v>43180.579935336427</v>
      </c>
      <c r="AK34" s="94">
        <v>38630.827835336429</v>
      </c>
      <c r="AM34" s="93">
        <v>35337.493735336429</v>
      </c>
      <c r="AO34" s="93">
        <v>31565.122835336428</v>
      </c>
      <c r="AQ34" s="94">
        <v>28612.321035336427</v>
      </c>
      <c r="AS34" s="93">
        <v>27509.465235336425</v>
      </c>
      <c r="AU34" s="93">
        <v>26523.646835336425</v>
      </c>
      <c r="AW34" s="94">
        <v>25672.206335336425</v>
      </c>
      <c r="AY34" s="93">
        <v>24962.343335336423</v>
      </c>
      <c r="BA34" s="93">
        <v>24156.339335336423</v>
      </c>
      <c r="BC34" s="94">
        <v>22314.778235336424</v>
      </c>
      <c r="BD34" s="95"/>
      <c r="BE34" s="68">
        <v>22314.778235336424</v>
      </c>
      <c r="BF34" s="68"/>
      <c r="BG34" s="68">
        <v>22314.778235336424</v>
      </c>
      <c r="BH34" s="68"/>
      <c r="BI34" s="96">
        <v>22314.778235336424</v>
      </c>
      <c r="BK34" s="93">
        <v>22314.778235336424</v>
      </c>
      <c r="BM34" s="93">
        <v>22314.778235336424</v>
      </c>
      <c r="BO34" s="94">
        <v>22314.778235336424</v>
      </c>
      <c r="BQ34" s="93">
        <v>22314.778235336424</v>
      </c>
      <c r="BS34" s="93">
        <v>22314.778235336424</v>
      </c>
      <c r="BU34" s="94">
        <v>22314.778235336424</v>
      </c>
      <c r="BW34" s="93">
        <v>22314.778235336424</v>
      </c>
      <c r="BY34" s="93">
        <v>22314.778235336424</v>
      </c>
      <c r="CA34" s="94">
        <v>22314.778235336424</v>
      </c>
      <c r="CC34" s="93">
        <v>22314.778235336424</v>
      </c>
      <c r="CE34" s="93">
        <v>22314.778235336424</v>
      </c>
      <c r="CG34" s="97">
        <v>22314.778235336424</v>
      </c>
      <c r="CI34" s="98" t="s">
        <v>163</v>
      </c>
      <c r="CK34" s="68"/>
      <c r="CM34" s="99"/>
      <c r="CO34" s="68"/>
      <c r="CQ34" s="68"/>
      <c r="CS34" s="99"/>
      <c r="CT34" s="80"/>
      <c r="CU34" s="68"/>
      <c r="CW34" s="68"/>
      <c r="CY34" s="99"/>
      <c r="DA34" s="68"/>
      <c r="DC34" s="68"/>
      <c r="DE34" s="68"/>
      <c r="DF34" s="80"/>
      <c r="DG34" s="68"/>
      <c r="DI34" s="68"/>
      <c r="DK34" s="99"/>
      <c r="DM34" s="68"/>
      <c r="DO34" s="68"/>
      <c r="DQ34" s="99"/>
      <c r="DS34" s="68"/>
      <c r="DU34" s="68"/>
      <c r="DW34" s="99"/>
      <c r="DY34" s="68"/>
      <c r="EA34" s="68"/>
      <c r="EC34" s="99"/>
      <c r="EE34" s="68"/>
      <c r="EG34" s="68"/>
      <c r="EI34" s="99"/>
      <c r="EK34" s="68"/>
      <c r="EM34" s="68"/>
      <c r="EO34" s="99"/>
      <c r="EQ34" s="68"/>
      <c r="ES34" s="68"/>
      <c r="EU34" s="99"/>
      <c r="EW34" s="68"/>
      <c r="EY34" s="68"/>
      <c r="FA34" s="99"/>
      <c r="FC34" s="68"/>
      <c r="FE34" s="68"/>
      <c r="FG34" s="99"/>
      <c r="FI34" s="68"/>
      <c r="FK34" s="68"/>
      <c r="FM34" s="99"/>
      <c r="FO34" s="68"/>
      <c r="FQ34" s="68"/>
      <c r="FS34" s="99"/>
    </row>
    <row r="35" spans="3:175">
      <c r="N35" s="244"/>
      <c r="O35" s="244"/>
      <c r="P35" s="244"/>
      <c r="Q35" s="244"/>
      <c r="R35" s="244"/>
      <c r="S35" s="244"/>
      <c r="T35" s="244"/>
      <c r="U35" s="244"/>
      <c r="V35" s="244"/>
      <c r="AK35" s="79"/>
      <c r="AQ35" s="79"/>
      <c r="AW35" s="79"/>
      <c r="BC35" s="100"/>
      <c r="BI35" s="101"/>
      <c r="BO35" s="79"/>
      <c r="BU35" s="79"/>
      <c r="CA35" s="79"/>
      <c r="CG35" s="79"/>
      <c r="CM35" s="79"/>
      <c r="CS35" s="79"/>
      <c r="CT35" s="80"/>
      <c r="CY35" s="79"/>
      <c r="DF35" s="80"/>
      <c r="DK35" s="79"/>
      <c r="DQ35" s="79"/>
      <c r="DW35" s="79"/>
      <c r="EC35" s="79"/>
      <c r="EI35" s="79"/>
      <c r="EO35" s="79"/>
      <c r="EU35" s="79"/>
      <c r="FA35" s="79"/>
      <c r="FG35" s="79"/>
      <c r="FM35" s="79"/>
      <c r="FS35" s="79"/>
    </row>
    <row r="36" spans="3:175">
      <c r="N36" s="244">
        <v>-0.14610000000000001</v>
      </c>
      <c r="O36" s="244"/>
      <c r="P36" s="244"/>
      <c r="Q36" s="244"/>
      <c r="R36" s="244"/>
      <c r="S36" s="244"/>
      <c r="T36" s="255"/>
      <c r="U36" s="244"/>
      <c r="V36" s="244"/>
      <c r="AK36" s="79"/>
      <c r="AM36" s="81"/>
      <c r="AO36" s="81"/>
      <c r="AP36" s="81"/>
      <c r="AQ36" s="82"/>
      <c r="AR36" s="81"/>
      <c r="AS36" s="81"/>
      <c r="AT36" s="81"/>
      <c r="AU36" s="81"/>
      <c r="AV36" s="81"/>
      <c r="AW36" s="82"/>
      <c r="AX36" s="81"/>
      <c r="AY36" s="81"/>
      <c r="AZ36" s="81"/>
      <c r="BA36" s="81"/>
      <c r="BB36" s="81"/>
      <c r="BC36" s="82"/>
      <c r="BD36" s="81"/>
      <c r="BE36" s="81"/>
      <c r="BF36" s="81"/>
      <c r="BG36" s="81"/>
      <c r="BH36" s="81"/>
      <c r="BI36" s="82"/>
      <c r="BJ36" s="90"/>
      <c r="BK36" s="81"/>
      <c r="BL36" s="81"/>
      <c r="BM36" s="81"/>
      <c r="BN36" s="81"/>
      <c r="BO36" s="82"/>
      <c r="BP36" s="81"/>
      <c r="BR36" s="81"/>
      <c r="BS36" s="81"/>
      <c r="BT36" s="81"/>
      <c r="BU36" s="82"/>
      <c r="BV36" s="81"/>
      <c r="BW36" s="81"/>
      <c r="BX36" s="81"/>
      <c r="BY36" s="81"/>
      <c r="BZ36" s="81"/>
      <c r="CA36" s="82"/>
      <c r="CB36" s="81"/>
      <c r="CC36" s="81"/>
      <c r="CD36" s="81"/>
      <c r="CE36" s="81"/>
      <c r="CF36" s="81"/>
      <c r="CG36" s="82"/>
      <c r="CH36" s="81"/>
      <c r="CI36" s="81"/>
      <c r="CJ36" s="81"/>
      <c r="CK36" s="81"/>
      <c r="CL36" s="81"/>
      <c r="CM36" s="82"/>
      <c r="CO36" s="81"/>
      <c r="CP36" s="81"/>
      <c r="CQ36" s="81"/>
      <c r="CR36" s="81"/>
      <c r="CS36" s="82"/>
      <c r="CT36" s="80"/>
      <c r="CU36" s="81"/>
      <c r="CV36" s="81"/>
      <c r="CW36" s="81"/>
      <c r="CX36" s="81"/>
      <c r="CY36" s="82"/>
      <c r="DA36" s="81"/>
      <c r="DB36" s="81"/>
      <c r="DC36" s="81"/>
      <c r="DD36" s="81"/>
      <c r="DE36" s="81"/>
      <c r="DF36" s="80"/>
      <c r="DG36" s="81"/>
      <c r="DH36" s="81"/>
      <c r="DI36" s="81"/>
      <c r="DJ36" s="81"/>
      <c r="DK36" s="82"/>
      <c r="DM36" s="81"/>
      <c r="DN36" s="81"/>
      <c r="DO36" s="81"/>
      <c r="DP36" s="81"/>
      <c r="DQ36" s="82"/>
      <c r="DS36" s="81"/>
      <c r="DT36" s="81"/>
      <c r="DU36" s="81"/>
      <c r="DV36" s="81"/>
      <c r="DW36" s="82"/>
      <c r="DY36" s="81"/>
      <c r="DZ36" s="81"/>
      <c r="EA36" s="81"/>
      <c r="EB36" s="81"/>
      <c r="EC36" s="82"/>
      <c r="EE36" s="81"/>
      <c r="EF36" s="81"/>
      <c r="EG36" s="81"/>
      <c r="EH36" s="81"/>
      <c r="EI36" s="82"/>
      <c r="EK36" s="81"/>
      <c r="EL36" s="81"/>
      <c r="EM36" s="81"/>
      <c r="EN36" s="81"/>
      <c r="EO36" s="82"/>
      <c r="EQ36" s="81"/>
      <c r="ER36" s="81"/>
      <c r="ES36" s="81"/>
      <c r="ET36" s="81"/>
      <c r="EU36" s="82"/>
      <c r="EW36" s="81"/>
      <c r="EX36" s="81"/>
      <c r="EY36" s="81"/>
      <c r="EZ36" s="81"/>
      <c r="FA36" s="82"/>
      <c r="FC36" s="81"/>
      <c r="FD36" s="81"/>
      <c r="FE36" s="81"/>
      <c r="FF36" s="81"/>
      <c r="FG36" s="82"/>
      <c r="FI36" s="81"/>
      <c r="FJ36" s="81"/>
      <c r="FK36" s="81"/>
      <c r="FL36" s="81"/>
      <c r="FM36" s="82"/>
      <c r="FO36" s="81"/>
      <c r="FP36" s="81"/>
      <c r="FQ36" s="81"/>
      <c r="FR36" s="81"/>
      <c r="FS36" s="82"/>
    </row>
    <row r="37" spans="3:175">
      <c r="C37" s="85" t="s">
        <v>249</v>
      </c>
      <c r="N37" s="244"/>
      <c r="O37" s="244"/>
      <c r="P37" s="244"/>
      <c r="Q37" s="244"/>
      <c r="R37" s="255"/>
      <c r="S37" s="244"/>
      <c r="T37" s="244"/>
      <c r="U37" s="244"/>
      <c r="V37" s="244"/>
      <c r="AE37" s="49" t="s">
        <v>153</v>
      </c>
      <c r="AM37" s="86">
        <v>0.19839999999999999</v>
      </c>
      <c r="AN37" s="87"/>
      <c r="AO37" s="88">
        <v>0.19839999999999999</v>
      </c>
      <c r="AP37" s="81"/>
      <c r="AQ37" s="89">
        <v>0.19839999999999999</v>
      </c>
      <c r="AR37" s="81"/>
      <c r="AS37" s="88">
        <v>0.19839999999999999</v>
      </c>
      <c r="AT37" s="81"/>
      <c r="AU37" s="88">
        <v>0.19839999999999999</v>
      </c>
      <c r="AV37" s="81"/>
      <c r="AW37" s="89">
        <v>0.19839999999999999</v>
      </c>
      <c r="AX37" s="81"/>
      <c r="AY37" s="88">
        <v>0.19839999999999999</v>
      </c>
      <c r="AZ37" s="81"/>
      <c r="BA37" s="88">
        <v>0.19839999999999999</v>
      </c>
      <c r="BB37" s="81"/>
      <c r="BC37" s="89">
        <v>0.19839999999999999</v>
      </c>
      <c r="BD37" s="81"/>
      <c r="BE37" s="88">
        <v>0.19839999999999999</v>
      </c>
      <c r="BF37" s="81"/>
      <c r="BG37" s="88">
        <v>0.19839999999999999</v>
      </c>
      <c r="BH37" s="81"/>
      <c r="BI37" s="89">
        <v>0.19839999999999999</v>
      </c>
      <c r="BJ37" s="90"/>
      <c r="BK37" s="81"/>
      <c r="BL37" s="81"/>
      <c r="BM37" s="81"/>
      <c r="BN37" s="81"/>
      <c r="BO37" s="49" t="s">
        <v>227</v>
      </c>
      <c r="BP37" s="81"/>
      <c r="BQ37" s="91">
        <v>0</v>
      </c>
      <c r="BR37" s="81"/>
      <c r="BS37" s="88">
        <v>0</v>
      </c>
      <c r="BT37" s="81"/>
      <c r="BU37" s="89">
        <v>0</v>
      </c>
      <c r="BV37" s="81"/>
      <c r="BW37" s="88">
        <v>0</v>
      </c>
      <c r="BX37" s="81"/>
      <c r="BY37" s="88">
        <v>0</v>
      </c>
      <c r="BZ37" s="81"/>
      <c r="CA37" s="89">
        <v>0</v>
      </c>
      <c r="CB37" s="81"/>
      <c r="CC37" s="88">
        <v>0</v>
      </c>
      <c r="CD37" s="81"/>
      <c r="CE37" s="88">
        <v>0</v>
      </c>
      <c r="CF37" s="81"/>
      <c r="CG37" s="89">
        <v>0</v>
      </c>
      <c r="CH37" s="81"/>
      <c r="CI37" s="88">
        <v>0</v>
      </c>
      <c r="CJ37" s="81"/>
      <c r="CK37" s="88">
        <v>0</v>
      </c>
      <c r="CL37" s="81"/>
      <c r="CM37" s="89">
        <v>0</v>
      </c>
      <c r="CO37" s="81"/>
      <c r="CP37" s="81"/>
      <c r="CQ37" s="81"/>
      <c r="CR37" s="81"/>
      <c r="CS37" s="82"/>
      <c r="CT37" s="80"/>
      <c r="CU37" s="81"/>
      <c r="CV37" s="81"/>
      <c r="CW37" s="81"/>
      <c r="CX37" s="81"/>
      <c r="CY37" s="82"/>
      <c r="DA37" s="81"/>
      <c r="DB37" s="81"/>
      <c r="DC37" s="81"/>
      <c r="DD37" s="81"/>
      <c r="DE37" s="81"/>
      <c r="DF37" s="80"/>
      <c r="DG37" s="81"/>
      <c r="DH37" s="81"/>
      <c r="DI37" s="81"/>
      <c r="DJ37" s="81"/>
      <c r="DK37" s="82"/>
      <c r="DM37" s="81"/>
      <c r="DN37" s="81"/>
      <c r="DO37" s="81"/>
      <c r="DP37" s="81"/>
      <c r="DQ37" s="82"/>
      <c r="DS37" s="81"/>
      <c r="DT37" s="81"/>
      <c r="DU37" s="81"/>
      <c r="DV37" s="81"/>
      <c r="DW37" s="82"/>
      <c r="DY37" s="81"/>
      <c r="DZ37" s="81"/>
      <c r="EA37" s="81"/>
      <c r="EB37" s="81"/>
      <c r="EC37" s="82"/>
      <c r="EE37" s="81"/>
      <c r="EF37" s="81"/>
      <c r="EG37" s="81"/>
      <c r="EH37" s="81"/>
      <c r="EI37" s="82"/>
      <c r="EK37" s="81"/>
      <c r="EL37" s="81"/>
      <c r="EM37" s="81"/>
      <c r="EN37" s="81"/>
      <c r="EO37" s="82"/>
      <c r="EQ37" s="81"/>
      <c r="ER37" s="81"/>
      <c r="ES37" s="81"/>
      <c r="ET37" s="81"/>
      <c r="EU37" s="82"/>
      <c r="EW37" s="81"/>
      <c r="EX37" s="81"/>
      <c r="EY37" s="81"/>
      <c r="EZ37" s="81"/>
      <c r="FA37" s="82"/>
      <c r="FC37" s="81"/>
      <c r="FD37" s="81"/>
      <c r="FE37" s="81"/>
      <c r="FF37" s="81"/>
      <c r="FG37" s="82"/>
      <c r="FI37" s="81"/>
      <c r="FJ37" s="81"/>
      <c r="FK37" s="81"/>
      <c r="FL37" s="81"/>
      <c r="FM37" s="82"/>
      <c r="FO37" s="81"/>
      <c r="FP37" s="81"/>
      <c r="FQ37" s="81"/>
      <c r="FR37" s="81"/>
      <c r="FS37" s="82"/>
    </row>
    <row r="38" spans="3:175">
      <c r="N38" s="244"/>
      <c r="O38" s="244"/>
      <c r="P38" s="255"/>
      <c r="Q38" s="244"/>
      <c r="R38" s="244"/>
      <c r="S38" s="244"/>
      <c r="T38" s="244"/>
      <c r="U38" s="244"/>
      <c r="V38" s="244"/>
      <c r="AE38" s="92">
        <v>20744.769812498915</v>
      </c>
      <c r="AM38" s="93">
        <v>19256.392852498913</v>
      </c>
      <c r="AO38" s="93">
        <v>17551.521812498911</v>
      </c>
      <c r="AQ38" s="94">
        <v>16217.043732498911</v>
      </c>
      <c r="AS38" s="93">
        <v>15718.62325249891</v>
      </c>
      <c r="AU38" s="93">
        <v>15273.096212498909</v>
      </c>
      <c r="AW38" s="94">
        <v>14888.299412498909</v>
      </c>
      <c r="AY38" s="93">
        <v>14567.486612498909</v>
      </c>
      <c r="BA38" s="93">
        <v>14203.22421249891</v>
      </c>
      <c r="BC38" s="94">
        <v>13370.95605249891</v>
      </c>
      <c r="BE38" s="93">
        <v>11961.60181249891</v>
      </c>
      <c r="BG38" s="93">
        <v>9806.0056524989086</v>
      </c>
      <c r="BI38" s="94">
        <v>7502.0459724989087</v>
      </c>
      <c r="BJ38" s="95"/>
      <c r="BK38" s="68">
        <v>7502.0459724989087</v>
      </c>
      <c r="BL38" s="68"/>
      <c r="BM38" s="68">
        <v>7502.0459724989087</v>
      </c>
      <c r="BN38" s="68"/>
      <c r="BO38" s="96">
        <v>7502.0459724989087</v>
      </c>
      <c r="BQ38" s="93">
        <v>7502.0459724989087</v>
      </c>
      <c r="BS38" s="93">
        <v>7502.0459724989087</v>
      </c>
      <c r="BU38" s="94">
        <v>7502.0459724989087</v>
      </c>
      <c r="BW38" s="93">
        <v>7502.0459724989087</v>
      </c>
      <c r="BY38" s="93">
        <v>7502.0459724989087</v>
      </c>
      <c r="CA38" s="94">
        <v>7502.0459724989087</v>
      </c>
      <c r="CC38" s="93">
        <v>7502.0459724989087</v>
      </c>
      <c r="CE38" s="93">
        <v>7502.0459724989087</v>
      </c>
      <c r="CG38" s="94">
        <v>7502.0459724989087</v>
      </c>
      <c r="CI38" s="93">
        <v>7502.0459724989087</v>
      </c>
      <c r="CK38" s="93">
        <v>7502.0459724989087</v>
      </c>
      <c r="CM38" s="97">
        <v>7502.0459724989087</v>
      </c>
      <c r="CO38" s="98" t="s">
        <v>225</v>
      </c>
      <c r="CQ38" s="68"/>
      <c r="CS38" s="99"/>
      <c r="CT38" s="80"/>
      <c r="CU38" s="68"/>
      <c r="CW38" s="68"/>
      <c r="CY38" s="99"/>
      <c r="DA38" s="68"/>
      <c r="DC38" s="68"/>
      <c r="DE38" s="68"/>
      <c r="DF38" s="80"/>
      <c r="DG38" s="68"/>
      <c r="DI38" s="68"/>
      <c r="DK38" s="99"/>
      <c r="DM38" s="68"/>
      <c r="DO38" s="68"/>
      <c r="DQ38" s="99"/>
      <c r="DS38" s="68"/>
      <c r="DU38" s="68"/>
      <c r="DW38" s="99"/>
      <c r="DY38" s="68"/>
      <c r="EA38" s="68"/>
      <c r="EC38" s="99"/>
      <c r="EE38" s="68"/>
      <c r="EG38" s="68"/>
      <c r="EI38" s="99"/>
      <c r="EK38" s="68"/>
      <c r="EM38" s="68"/>
      <c r="EO38" s="99"/>
      <c r="EQ38" s="68"/>
      <c r="ES38" s="68"/>
      <c r="EU38" s="99"/>
      <c r="EW38" s="68"/>
      <c r="EY38" s="68"/>
      <c r="FA38" s="99"/>
      <c r="FC38" s="68"/>
      <c r="FE38" s="68"/>
      <c r="FG38" s="99"/>
      <c r="FI38" s="68"/>
      <c r="FK38" s="68"/>
      <c r="FM38" s="99"/>
      <c r="FO38" s="68"/>
      <c r="FQ38" s="68"/>
      <c r="FS38" s="99"/>
    </row>
    <row r="39" spans="3:175">
      <c r="N39" s="255"/>
      <c r="O39" s="244"/>
      <c r="P39" s="244"/>
      <c r="Q39" s="244"/>
      <c r="R39" s="244"/>
      <c r="S39" s="244"/>
      <c r="T39" s="244"/>
      <c r="U39" s="244"/>
      <c r="V39" s="244"/>
      <c r="AQ39" s="79"/>
      <c r="AW39" s="79"/>
      <c r="BC39" s="79"/>
      <c r="BI39" s="100"/>
      <c r="BO39" s="101"/>
      <c r="BU39" s="79"/>
      <c r="CA39" s="79"/>
      <c r="CG39" s="79"/>
      <c r="CM39" s="79"/>
      <c r="CN39" s="80"/>
      <c r="CS39" s="79"/>
      <c r="CT39" s="80"/>
      <c r="CY39" s="79"/>
      <c r="DF39" s="80"/>
      <c r="DK39" s="79"/>
      <c r="DQ39" s="79"/>
      <c r="DW39" s="79"/>
      <c r="EC39" s="79"/>
      <c r="EI39" s="79"/>
      <c r="EO39" s="79"/>
      <c r="EU39" s="79"/>
      <c r="FA39" s="79"/>
      <c r="FG39" s="79"/>
      <c r="FM39" s="79"/>
      <c r="FS39" s="79"/>
    </row>
    <row r="40" spans="3:175">
      <c r="N40" s="244"/>
      <c r="O40" s="244"/>
      <c r="P40" s="244"/>
      <c r="Q40" s="244"/>
      <c r="R40" s="244"/>
      <c r="S40" s="244"/>
      <c r="T40" s="244"/>
      <c r="U40" s="244"/>
      <c r="V40" s="244"/>
      <c r="AR40" s="80"/>
      <c r="AX40" s="80"/>
      <c r="BD40" s="80"/>
      <c r="BJ40" s="80"/>
      <c r="BO40" s="79"/>
      <c r="BV40" s="80"/>
      <c r="CB40" s="80"/>
      <c r="CH40" s="80"/>
      <c r="CN40" s="80"/>
      <c r="CS40" s="79"/>
      <c r="CT40" s="80"/>
      <c r="CZ40" s="80"/>
      <c r="DF40" s="80"/>
      <c r="DL40" s="80"/>
      <c r="DR40" s="80"/>
      <c r="DX40" s="80"/>
      <c r="ED40" s="80"/>
      <c r="EJ40" s="80"/>
      <c r="EP40" s="80"/>
      <c r="EV40" s="80"/>
      <c r="FA40" s="79"/>
      <c r="FB40" s="80"/>
      <c r="FG40" s="79"/>
      <c r="FH40" s="80"/>
      <c r="FM40" s="79"/>
      <c r="FN40" s="80"/>
      <c r="FS40" s="79"/>
    </row>
    <row r="41" spans="3:175">
      <c r="C41" s="85" t="s">
        <v>249</v>
      </c>
      <c r="N41" s="244"/>
      <c r="O41" s="244"/>
      <c r="P41" s="244"/>
      <c r="Q41" s="244"/>
      <c r="R41" s="244"/>
      <c r="S41" s="244"/>
      <c r="T41" s="244"/>
      <c r="U41" s="244"/>
      <c r="V41" s="244"/>
      <c r="AK41" s="49" t="s">
        <v>146</v>
      </c>
      <c r="AS41" s="86">
        <v>-1.1947000000000001</v>
      </c>
      <c r="AT41" s="87"/>
      <c r="AU41" s="88">
        <v>-1.1947000000000001</v>
      </c>
      <c r="AV41" s="81"/>
      <c r="AW41" s="89">
        <v>-1.1947000000000001</v>
      </c>
      <c r="AX41" s="81"/>
      <c r="AY41" s="88">
        <v>-1.1947000000000001</v>
      </c>
      <c r="AZ41" s="81"/>
      <c r="BA41" s="88">
        <v>-1.1947000000000001</v>
      </c>
      <c r="BB41" s="81"/>
      <c r="BC41" s="89">
        <v>-1.1947000000000001</v>
      </c>
      <c r="BD41" s="81"/>
      <c r="BE41" s="88">
        <v>-1.1947000000000001</v>
      </c>
      <c r="BF41" s="81"/>
      <c r="BG41" s="88">
        <v>-1.1947000000000001</v>
      </c>
      <c r="BH41" s="81"/>
      <c r="BI41" s="89">
        <v>-1.1947000000000001</v>
      </c>
      <c r="BJ41" s="81"/>
      <c r="BK41" s="88">
        <v>-1.1947000000000001</v>
      </c>
      <c r="BL41" s="81"/>
      <c r="BM41" s="88">
        <v>-1.1947000000000001</v>
      </c>
      <c r="BN41" s="81"/>
      <c r="BO41" s="89">
        <v>-1.1947000000000001</v>
      </c>
      <c r="BP41" s="90"/>
      <c r="BQ41" s="81"/>
      <c r="BR41" s="81"/>
      <c r="BS41" s="81"/>
      <c r="BT41" s="81"/>
      <c r="BU41" s="49" t="s">
        <v>228</v>
      </c>
      <c r="BV41" s="81"/>
      <c r="BW41" s="91">
        <v>0</v>
      </c>
      <c r="BX41" s="81"/>
      <c r="BY41" s="88">
        <v>0</v>
      </c>
      <c r="BZ41" s="81"/>
      <c r="CA41" s="89">
        <v>0</v>
      </c>
      <c r="CB41" s="81"/>
      <c r="CC41" s="88">
        <v>0</v>
      </c>
      <c r="CD41" s="81"/>
      <c r="CE41" s="88">
        <v>0</v>
      </c>
      <c r="CF41" s="81"/>
      <c r="CG41" s="89">
        <v>0</v>
      </c>
      <c r="CH41" s="81"/>
      <c r="CI41" s="88">
        <v>0</v>
      </c>
      <c r="CJ41" s="81"/>
      <c r="CK41" s="88">
        <v>0</v>
      </c>
      <c r="CL41" s="81"/>
      <c r="CM41" s="89">
        <v>0</v>
      </c>
      <c r="CN41" s="81"/>
      <c r="CO41" s="88">
        <v>0</v>
      </c>
      <c r="CP41" s="81"/>
      <c r="CQ41" s="88">
        <v>0</v>
      </c>
      <c r="CR41" s="81"/>
      <c r="CS41" s="89">
        <v>0</v>
      </c>
      <c r="CT41" s="80"/>
      <c r="CV41" s="81"/>
      <c r="CW41" s="81"/>
      <c r="CX41" s="81"/>
      <c r="CY41" s="81"/>
      <c r="CZ41" s="80"/>
      <c r="DA41" s="81"/>
      <c r="DB41" s="81"/>
      <c r="DC41" s="81"/>
      <c r="DD41" s="81"/>
      <c r="DE41" s="81"/>
      <c r="DF41" s="80"/>
      <c r="DG41" s="81"/>
      <c r="DH41" s="81"/>
      <c r="DI41" s="81"/>
      <c r="DJ41" s="81"/>
      <c r="DK41" s="81"/>
      <c r="DL41" s="80"/>
      <c r="DM41" s="81"/>
      <c r="DN41" s="81"/>
      <c r="DO41" s="81"/>
      <c r="DP41" s="81"/>
      <c r="DQ41" s="81"/>
      <c r="DR41" s="80"/>
      <c r="DS41" s="81"/>
      <c r="DT41" s="81"/>
      <c r="DU41" s="81"/>
      <c r="DV41" s="81"/>
      <c r="DW41" s="81"/>
      <c r="DX41" s="80"/>
      <c r="DY41" s="81"/>
      <c r="DZ41" s="81"/>
      <c r="EA41" s="81"/>
      <c r="EB41" s="81"/>
      <c r="EC41" s="81"/>
      <c r="ED41" s="80"/>
      <c r="EE41" s="81"/>
      <c r="EF41" s="81"/>
      <c r="EG41" s="81"/>
      <c r="EH41" s="81"/>
      <c r="EI41" s="81"/>
      <c r="EJ41" s="80"/>
      <c r="EK41" s="81"/>
      <c r="EL41" s="81"/>
      <c r="EM41" s="81"/>
      <c r="EN41" s="81"/>
      <c r="EO41" s="81"/>
      <c r="EP41" s="80"/>
      <c r="EQ41" s="81"/>
      <c r="ER41" s="81"/>
      <c r="ES41" s="81"/>
      <c r="ET41" s="81"/>
      <c r="EU41" s="81"/>
      <c r="EV41" s="80"/>
      <c r="EW41" s="81"/>
      <c r="EX41" s="81"/>
      <c r="EY41" s="81"/>
      <c r="EZ41" s="81"/>
      <c r="FA41" s="82"/>
      <c r="FB41" s="80"/>
      <c r="FC41" s="81"/>
      <c r="FD41" s="81"/>
      <c r="FE41" s="81"/>
      <c r="FF41" s="81"/>
      <c r="FG41" s="82"/>
      <c r="FH41" s="80"/>
      <c r="FI41" s="81"/>
      <c r="FJ41" s="81"/>
      <c r="FK41" s="81"/>
      <c r="FL41" s="81"/>
      <c r="FM41" s="82"/>
      <c r="FN41" s="80"/>
      <c r="FO41" s="81"/>
      <c r="FP41" s="81"/>
      <c r="FQ41" s="81"/>
      <c r="FR41" s="81"/>
      <c r="FS41" s="82"/>
    </row>
    <row r="42" spans="3:175">
      <c r="N42" s="244"/>
      <c r="O42" s="244"/>
      <c r="P42" s="244"/>
      <c r="Q42" s="244"/>
      <c r="R42" s="244"/>
      <c r="S42" s="244"/>
      <c r="T42" s="244"/>
      <c r="U42" s="244"/>
      <c r="V42" s="244"/>
      <c r="AK42" s="92">
        <v>-142494.47509074249</v>
      </c>
      <c r="AS42" s="93">
        <v>-139493.14975074248</v>
      </c>
      <c r="AU42" s="93">
        <v>-136810.33143074249</v>
      </c>
      <c r="AW42" s="94">
        <v>-134493.21078074249</v>
      </c>
      <c r="AY42" s="93">
        <v>-132561.38088074248</v>
      </c>
      <c r="BA42" s="93">
        <v>-130367.91168074247</v>
      </c>
      <c r="BC42" s="94">
        <v>-125356.26465074247</v>
      </c>
      <c r="BE42" s="93">
        <v>-116869.59373074246</v>
      </c>
      <c r="BG42" s="93">
        <v>-103889.29770074246</v>
      </c>
      <c r="BI42" s="94">
        <v>-90015.605010742467</v>
      </c>
      <c r="BK42" s="93">
        <v>-78008.392130742461</v>
      </c>
      <c r="BM42" s="93">
        <v>-69921.109420742461</v>
      </c>
      <c r="BO42" s="94">
        <v>-64110.805440742457</v>
      </c>
      <c r="BP42" s="95"/>
      <c r="BQ42" s="68">
        <v>-64110.805440742457</v>
      </c>
      <c r="BR42" s="68"/>
      <c r="BS42" s="68">
        <v>-64110.805440742457</v>
      </c>
      <c r="BT42" s="68"/>
      <c r="BU42" s="96">
        <v>-64110.805440742457</v>
      </c>
      <c r="BW42" s="93">
        <v>-64110.805440742457</v>
      </c>
      <c r="BY42" s="93">
        <v>-64110.805440742457</v>
      </c>
      <c r="CA42" s="94">
        <v>-64110.805440742457</v>
      </c>
      <c r="CC42" s="93">
        <v>-64110.805440742457</v>
      </c>
      <c r="CE42" s="93">
        <v>-64110.805440742457</v>
      </c>
      <c r="CG42" s="94">
        <v>-64110.805440742457</v>
      </c>
      <c r="CI42" s="93">
        <v>-64110.805440742457</v>
      </c>
      <c r="CK42" s="93">
        <v>-64110.805440742457</v>
      </c>
      <c r="CM42" s="94">
        <v>-64110.805440742457</v>
      </c>
      <c r="CO42" s="93">
        <v>-64110.805440742457</v>
      </c>
      <c r="CQ42" s="93">
        <v>-64110.805440742457</v>
      </c>
      <c r="CS42" s="97">
        <v>-64110.805440742457</v>
      </c>
      <c r="CT42" s="80"/>
      <c r="CU42" s="98" t="s">
        <v>238</v>
      </c>
      <c r="CW42" s="68"/>
      <c r="CY42" s="68"/>
      <c r="CZ42" s="80"/>
      <c r="DA42" s="68"/>
      <c r="DC42" s="68"/>
      <c r="DE42" s="68"/>
      <c r="DF42" s="80"/>
      <c r="DG42" s="68"/>
      <c r="DI42" s="68"/>
      <c r="DK42" s="68"/>
      <c r="DL42" s="80"/>
      <c r="DM42" s="68"/>
      <c r="DO42" s="68"/>
      <c r="DQ42" s="68"/>
      <c r="DR42" s="80"/>
      <c r="DS42" s="68"/>
      <c r="DU42" s="68"/>
      <c r="DW42" s="68"/>
      <c r="DX42" s="80"/>
      <c r="DY42" s="68"/>
      <c r="EA42" s="68"/>
      <c r="EC42" s="68"/>
      <c r="ED42" s="80"/>
      <c r="EE42" s="68"/>
      <c r="EG42" s="68"/>
      <c r="EI42" s="68"/>
      <c r="EJ42" s="80"/>
      <c r="EK42" s="68"/>
      <c r="EM42" s="68"/>
      <c r="EO42" s="68"/>
      <c r="EP42" s="80"/>
      <c r="EQ42" s="68"/>
      <c r="ES42" s="68"/>
      <c r="EU42" s="68"/>
      <c r="EV42" s="80"/>
      <c r="EW42" s="68"/>
      <c r="EY42" s="68"/>
      <c r="FA42" s="99"/>
      <c r="FB42" s="80"/>
      <c r="FC42" s="68"/>
      <c r="FE42" s="68"/>
      <c r="FG42" s="99"/>
      <c r="FH42" s="80"/>
      <c r="FI42" s="68"/>
      <c r="FK42" s="68"/>
      <c r="FM42" s="99"/>
      <c r="FN42" s="80"/>
      <c r="FO42" s="68"/>
      <c r="FQ42" s="68"/>
      <c r="FS42" s="99"/>
    </row>
    <row r="43" spans="3:175">
      <c r="N43" s="244"/>
      <c r="O43" s="244"/>
      <c r="P43" s="244"/>
      <c r="Q43" s="244"/>
      <c r="R43" s="244"/>
      <c r="S43" s="244"/>
      <c r="T43" s="244"/>
      <c r="U43" s="244"/>
      <c r="V43" s="244"/>
      <c r="AW43" s="79"/>
      <c r="BC43" s="79"/>
      <c r="BI43" s="79"/>
      <c r="BO43" s="100"/>
      <c r="BU43" s="101"/>
      <c r="CA43" s="79"/>
      <c r="CG43" s="79"/>
      <c r="CM43" s="79"/>
      <c r="CS43" s="79"/>
      <c r="CT43" s="80"/>
      <c r="CZ43" s="80"/>
      <c r="DF43" s="80"/>
      <c r="DL43" s="80"/>
      <c r="DR43" s="80"/>
      <c r="DX43" s="80"/>
      <c r="ED43" s="80"/>
      <c r="EJ43" s="80"/>
      <c r="EP43" s="80"/>
      <c r="EV43" s="80"/>
      <c r="FA43" s="79"/>
      <c r="FB43" s="80"/>
      <c r="FG43" s="79"/>
      <c r="FH43" s="80"/>
      <c r="FM43" s="79"/>
      <c r="FN43" s="80"/>
      <c r="FS43" s="79"/>
    </row>
    <row r="44" spans="3:175">
      <c r="N44" s="244">
        <v>0.59740000000000004</v>
      </c>
      <c r="O44" s="244"/>
      <c r="P44" s="244"/>
      <c r="Q44" s="244"/>
      <c r="R44" s="244"/>
      <c r="S44" s="244"/>
      <c r="T44" s="244"/>
      <c r="U44" s="244"/>
      <c r="V44" s="244"/>
      <c r="AX44" s="80"/>
      <c r="BD44" s="80"/>
      <c r="BJ44" s="80"/>
      <c r="BP44" s="80"/>
      <c r="BU44" s="79"/>
      <c r="BV44" s="80"/>
      <c r="CB44" s="80"/>
      <c r="CH44" s="80"/>
      <c r="CN44" s="80"/>
      <c r="CS44" s="79"/>
      <c r="CT44" s="80"/>
      <c r="CZ44" s="80"/>
      <c r="DF44" s="80"/>
      <c r="DL44" s="80"/>
      <c r="DR44" s="80"/>
      <c r="DX44" s="80"/>
      <c r="ED44" s="80"/>
      <c r="EJ44" s="80"/>
      <c r="EP44" s="80"/>
      <c r="EV44" s="80"/>
      <c r="FA44" s="79"/>
      <c r="FB44" s="80"/>
      <c r="FG44" s="79"/>
      <c r="FH44" s="80"/>
      <c r="FM44" s="79"/>
      <c r="FN44" s="80"/>
      <c r="FS44" s="79"/>
    </row>
    <row r="45" spans="3:175">
      <c r="C45" s="85" t="s">
        <v>249</v>
      </c>
      <c r="N45" s="244"/>
      <c r="O45" s="244"/>
      <c r="P45" s="244"/>
      <c r="Q45" s="244"/>
      <c r="R45" s="244"/>
      <c r="S45" s="244"/>
      <c r="T45" s="244"/>
      <c r="U45" s="244"/>
      <c r="V45" s="244"/>
      <c r="AQ45" s="49" t="s">
        <v>149</v>
      </c>
      <c r="AY45" s="86">
        <v>-1.8673999999999999</v>
      </c>
      <c r="AZ45" s="87"/>
      <c r="BA45" s="88">
        <v>-1.8673999999999999</v>
      </c>
      <c r="BB45" s="81"/>
      <c r="BC45" s="89">
        <v>-1.8673999999999999</v>
      </c>
      <c r="BD45" s="81"/>
      <c r="BE45" s="88">
        <v>-1.8673999999999999</v>
      </c>
      <c r="BF45" s="81"/>
      <c r="BG45" s="88">
        <v>-1.8673999999999999</v>
      </c>
      <c r="BH45" s="81"/>
      <c r="BI45" s="89">
        <v>-1.8673999999999999</v>
      </c>
      <c r="BJ45" s="81"/>
      <c r="BK45" s="88">
        <v>-1.8673999999999999</v>
      </c>
      <c r="BL45" s="81"/>
      <c r="BM45" s="88">
        <v>-1.8673999999999999</v>
      </c>
      <c r="BN45" s="81"/>
      <c r="BO45" s="89">
        <v>-1.8673999999999999</v>
      </c>
      <c r="BP45" s="81"/>
      <c r="BQ45" s="88">
        <v>-1.8673999999999999</v>
      </c>
      <c r="BR45" s="81"/>
      <c r="BS45" s="88">
        <v>-1.8673999999999999</v>
      </c>
      <c r="BT45" s="81"/>
      <c r="BU45" s="89">
        <v>-1.8673999999999999</v>
      </c>
      <c r="BV45" s="90"/>
      <c r="BW45" s="81"/>
      <c r="BX45" s="81"/>
      <c r="BY45" s="81"/>
      <c r="BZ45" s="81"/>
      <c r="CA45" s="49" t="s">
        <v>229</v>
      </c>
      <c r="CB45" s="81"/>
      <c r="CC45" s="91">
        <v>0</v>
      </c>
      <c r="CD45" s="81"/>
      <c r="CE45" s="88">
        <v>0</v>
      </c>
      <c r="CF45" s="81"/>
      <c r="CG45" s="89">
        <v>0</v>
      </c>
      <c r="CH45" s="81"/>
      <c r="CI45" s="88">
        <v>0</v>
      </c>
      <c r="CJ45" s="81"/>
      <c r="CK45" s="88">
        <v>0</v>
      </c>
      <c r="CL45" s="81"/>
      <c r="CM45" s="89">
        <v>0</v>
      </c>
      <c r="CN45" s="81"/>
      <c r="CO45" s="88">
        <v>0</v>
      </c>
      <c r="CP45" s="81"/>
      <c r="CQ45" s="88">
        <v>0</v>
      </c>
      <c r="CR45" s="81"/>
      <c r="CS45" s="89">
        <v>0</v>
      </c>
      <c r="CT45" s="81"/>
      <c r="CU45" s="88">
        <v>0</v>
      </c>
      <c r="CV45" s="81"/>
      <c r="CW45" s="88">
        <v>0</v>
      </c>
      <c r="CX45" s="81"/>
      <c r="CY45" s="89">
        <v>0</v>
      </c>
      <c r="CZ45" s="80"/>
      <c r="DA45" s="81"/>
      <c r="DB45" s="81"/>
      <c r="DC45" s="81"/>
      <c r="DD45" s="81"/>
      <c r="DE45" s="81"/>
      <c r="DF45" s="80"/>
      <c r="DG45" s="81"/>
      <c r="DH45" s="81"/>
      <c r="DI45" s="81"/>
      <c r="DJ45" s="81"/>
      <c r="DK45" s="81"/>
      <c r="DL45" s="80"/>
      <c r="DM45" s="81"/>
      <c r="DN45" s="81"/>
      <c r="DO45" s="81"/>
      <c r="DP45" s="81"/>
      <c r="DQ45" s="81"/>
      <c r="DR45" s="80"/>
      <c r="DS45" s="81"/>
      <c r="DT45" s="81"/>
      <c r="DU45" s="81"/>
      <c r="DV45" s="81"/>
      <c r="DW45" s="81"/>
      <c r="DX45" s="80"/>
      <c r="DY45" s="81"/>
      <c r="DZ45" s="81"/>
      <c r="EA45" s="81"/>
      <c r="EB45" s="81"/>
      <c r="EC45" s="81"/>
      <c r="ED45" s="80"/>
      <c r="EE45" s="81"/>
      <c r="EF45" s="81"/>
      <c r="EG45" s="81"/>
      <c r="EH45" s="81"/>
      <c r="EI45" s="81"/>
      <c r="EJ45" s="80"/>
      <c r="EK45" s="81"/>
      <c r="EL45" s="81"/>
      <c r="EM45" s="81"/>
      <c r="EN45" s="81"/>
      <c r="EO45" s="81"/>
      <c r="EP45" s="80"/>
      <c r="EQ45" s="81"/>
      <c r="ER45" s="81"/>
      <c r="ES45" s="81"/>
      <c r="ET45" s="81"/>
      <c r="EU45" s="81"/>
      <c r="EV45" s="80"/>
      <c r="EW45" s="81"/>
      <c r="EX45" s="81"/>
      <c r="EY45" s="81"/>
      <c r="EZ45" s="81"/>
      <c r="FA45" s="82"/>
      <c r="FB45" s="80"/>
      <c r="FC45" s="81"/>
      <c r="FD45" s="81"/>
      <c r="FE45" s="81"/>
      <c r="FF45" s="81"/>
      <c r="FG45" s="82"/>
      <c r="FH45" s="80"/>
      <c r="FI45" s="81"/>
      <c r="FJ45" s="81"/>
      <c r="FK45" s="81"/>
      <c r="FL45" s="81"/>
      <c r="FM45" s="82"/>
      <c r="FN45" s="80"/>
      <c r="FO45" s="81"/>
      <c r="FP45" s="81"/>
      <c r="FQ45" s="81"/>
      <c r="FR45" s="81"/>
      <c r="FS45" s="82"/>
    </row>
    <row r="46" spans="3:175">
      <c r="C46" s="85"/>
      <c r="N46" s="244"/>
      <c r="O46" s="244"/>
      <c r="P46" s="244"/>
      <c r="Q46" s="244"/>
      <c r="R46" s="244"/>
      <c r="S46" s="244"/>
      <c r="T46" s="244"/>
      <c r="U46" s="244"/>
      <c r="V46" s="244"/>
      <c r="AQ46" s="92">
        <v>-79698.355192625386</v>
      </c>
      <c r="AY46" s="93">
        <v>-76678.769392625385</v>
      </c>
      <c r="BA46" s="93">
        <v>-73250.222992625379</v>
      </c>
      <c r="BC46" s="94">
        <v>-65416.666732625381</v>
      </c>
      <c r="BE46" s="93">
        <v>-52151.40409262538</v>
      </c>
      <c r="BG46" s="93">
        <v>-31862.289832625378</v>
      </c>
      <c r="BI46" s="94">
        <v>-10176.733852625377</v>
      </c>
      <c r="BK46" s="93">
        <v>8591.3831073746223</v>
      </c>
      <c r="BM46" s="93">
        <v>21232.373927374625</v>
      </c>
      <c r="BO46" s="94">
        <v>30314.287087374625</v>
      </c>
      <c r="BQ46" s="93">
        <v>35681.941647374624</v>
      </c>
      <c r="BS46" s="93">
        <v>39603.481647374625</v>
      </c>
      <c r="BU46" s="94">
        <v>45651.990247374626</v>
      </c>
      <c r="BV46" s="95"/>
      <c r="BW46" s="68">
        <v>45651.990247374626</v>
      </c>
      <c r="BX46" s="68"/>
      <c r="BY46" s="68">
        <v>45651.990247374626</v>
      </c>
      <c r="BZ46" s="68"/>
      <c r="CA46" s="96">
        <v>45651.990247374626</v>
      </c>
      <c r="CC46" s="93">
        <v>45651.990247374626</v>
      </c>
      <c r="CE46" s="93">
        <v>45651.990247374626</v>
      </c>
      <c r="CG46" s="94">
        <v>45651.990247374626</v>
      </c>
      <c r="CI46" s="93">
        <v>45651.990247374626</v>
      </c>
      <c r="CK46" s="93">
        <v>45651.990247374626</v>
      </c>
      <c r="CM46" s="94">
        <v>45651.990247374626</v>
      </c>
      <c r="CO46" s="93">
        <v>45651.990247374626</v>
      </c>
      <c r="CQ46" s="93">
        <v>45651.990247374626</v>
      </c>
      <c r="CS46" s="94">
        <v>45651.990247374626</v>
      </c>
      <c r="CU46" s="93">
        <v>45651.990247374626</v>
      </c>
      <c r="CW46" s="93">
        <v>45651.990247374626</v>
      </c>
      <c r="CY46" s="97">
        <v>45651.990247374626</v>
      </c>
      <c r="CZ46" s="80"/>
      <c r="DA46" s="98" t="s">
        <v>239</v>
      </c>
      <c r="DC46" s="68"/>
      <c r="DF46" s="80"/>
      <c r="DG46" s="68"/>
      <c r="DI46" s="68"/>
      <c r="DK46" s="68"/>
      <c r="DL46" s="80"/>
      <c r="DM46" s="68"/>
      <c r="DO46" s="68"/>
      <c r="DQ46" s="68"/>
      <c r="DR46" s="80"/>
      <c r="DS46" s="68"/>
      <c r="DU46" s="68"/>
      <c r="DW46" s="68"/>
      <c r="DX46" s="80"/>
      <c r="DY46" s="68"/>
      <c r="EA46" s="68"/>
      <c r="EC46" s="68"/>
      <c r="ED46" s="80"/>
      <c r="EE46" s="68"/>
      <c r="EG46" s="68"/>
      <c r="EI46" s="68"/>
      <c r="EJ46" s="80"/>
      <c r="EK46" s="68"/>
      <c r="EM46" s="68"/>
      <c r="EO46" s="68"/>
      <c r="EP46" s="80"/>
      <c r="EQ46" s="68"/>
      <c r="ES46" s="68"/>
      <c r="EU46" s="68"/>
      <c r="EV46" s="80"/>
      <c r="EW46" s="68"/>
      <c r="EY46" s="68"/>
      <c r="FA46" s="99"/>
      <c r="FB46" s="80"/>
      <c r="FC46" s="68"/>
      <c r="FE46" s="68"/>
      <c r="FG46" s="99"/>
      <c r="FH46" s="80"/>
      <c r="FI46" s="68"/>
      <c r="FK46" s="68"/>
      <c r="FM46" s="99"/>
      <c r="FN46" s="80"/>
      <c r="FO46" s="68"/>
      <c r="FQ46" s="68"/>
      <c r="FS46" s="99"/>
    </row>
    <row r="47" spans="3:175">
      <c r="N47" s="244"/>
      <c r="O47" s="244"/>
      <c r="P47" s="244"/>
      <c r="Q47" s="244"/>
      <c r="R47" s="244"/>
      <c r="S47" s="244"/>
      <c r="T47" s="244"/>
      <c r="U47" s="244"/>
      <c r="V47" s="244"/>
      <c r="BC47" s="79"/>
      <c r="BI47" s="79"/>
      <c r="BO47" s="79"/>
      <c r="BU47" s="100"/>
      <c r="CA47" s="101"/>
      <c r="CG47" s="79"/>
      <c r="CM47" s="79"/>
      <c r="CS47" s="79"/>
      <c r="CY47" s="79"/>
      <c r="CZ47" s="80"/>
      <c r="DF47" s="80"/>
      <c r="DL47" s="80"/>
      <c r="DR47" s="80"/>
      <c r="DX47" s="80"/>
      <c r="ED47" s="80"/>
      <c r="EJ47" s="80"/>
      <c r="EP47" s="80"/>
      <c r="EV47" s="80"/>
      <c r="FA47" s="79"/>
      <c r="FB47" s="80"/>
      <c r="FG47" s="79"/>
      <c r="FH47" s="80"/>
      <c r="FM47" s="79"/>
      <c r="FN47" s="80"/>
      <c r="FS47" s="79"/>
    </row>
    <row r="48" spans="3:175">
      <c r="N48" s="244"/>
      <c r="O48" s="244"/>
      <c r="P48" s="244"/>
      <c r="Q48" s="244"/>
      <c r="R48" s="244"/>
      <c r="S48" s="244"/>
      <c r="T48" s="244"/>
      <c r="U48" s="244"/>
      <c r="V48" s="244"/>
      <c r="BU48" s="230"/>
      <c r="CA48" s="276"/>
      <c r="CS48" s="79"/>
      <c r="CZ48" s="80"/>
      <c r="DE48" s="277">
        <v>4.5</v>
      </c>
      <c r="DF48" s="80"/>
      <c r="DL48" s="80"/>
      <c r="DR48" s="80"/>
      <c r="DX48" s="80"/>
      <c r="ED48" s="80"/>
      <c r="EJ48" s="80"/>
      <c r="EP48" s="80"/>
      <c r="EV48" s="80"/>
      <c r="FA48" s="79"/>
      <c r="FB48" s="80"/>
      <c r="FG48" s="79"/>
      <c r="FH48" s="80"/>
      <c r="FM48" s="79"/>
      <c r="FN48" s="80"/>
      <c r="FS48" s="79"/>
    </row>
    <row r="49" spans="3:175">
      <c r="N49" s="244"/>
      <c r="O49" s="244"/>
      <c r="P49" s="244"/>
      <c r="Q49" s="244"/>
      <c r="R49" s="244"/>
      <c r="S49" s="244"/>
      <c r="T49" s="244"/>
      <c r="U49" s="244"/>
      <c r="V49" s="244"/>
      <c r="BU49" s="230"/>
      <c r="CA49" s="276"/>
      <c r="CS49" s="79"/>
      <c r="CZ49" s="80"/>
      <c r="DE49" s="277">
        <f>DE5*DE48</f>
        <v>66890.7</v>
      </c>
      <c r="DF49" s="80"/>
      <c r="DG49" s="49" t="s">
        <v>255</v>
      </c>
      <c r="DL49" s="80"/>
      <c r="DR49" s="80"/>
      <c r="DX49" s="80"/>
      <c r="ED49" s="80"/>
      <c r="EJ49" s="80"/>
      <c r="EP49" s="80"/>
      <c r="EV49" s="80"/>
      <c r="FA49" s="79"/>
      <c r="FB49" s="80"/>
      <c r="FG49" s="79"/>
      <c r="FH49" s="80"/>
      <c r="FM49" s="79"/>
      <c r="FN49" s="80"/>
      <c r="FS49" s="79"/>
    </row>
    <row r="50" spans="3:175">
      <c r="N50" s="244"/>
      <c r="O50" s="244"/>
      <c r="P50" s="244"/>
      <c r="Q50" s="244"/>
      <c r="R50" s="244"/>
      <c r="S50" s="244"/>
      <c r="T50" s="244"/>
      <c r="U50" s="244"/>
      <c r="V50" s="244"/>
      <c r="BD50" s="80"/>
      <c r="BJ50" s="80"/>
      <c r="BP50" s="80"/>
      <c r="BV50" s="80"/>
      <c r="CB50" s="80"/>
      <c r="CH50" s="80"/>
      <c r="CN50" s="80"/>
      <c r="CS50" s="79"/>
      <c r="CT50" s="80"/>
      <c r="CZ50" s="80"/>
      <c r="DF50" s="80"/>
      <c r="DL50" s="80"/>
      <c r="DR50" s="80"/>
      <c r="DX50" s="80"/>
      <c r="ED50" s="80"/>
      <c r="EJ50" s="80"/>
      <c r="EP50" s="80"/>
      <c r="EV50" s="80"/>
      <c r="FA50" s="79"/>
      <c r="FB50" s="80"/>
      <c r="FG50" s="79"/>
      <c r="FH50" s="80"/>
      <c r="FM50" s="79"/>
      <c r="FN50" s="80"/>
      <c r="FS50" s="79"/>
    </row>
    <row r="51" spans="3:175">
      <c r="N51" s="244"/>
      <c r="O51" s="244"/>
      <c r="P51" s="244"/>
      <c r="Q51" s="244"/>
      <c r="R51" s="244"/>
      <c r="S51" s="244"/>
      <c r="T51" s="244"/>
      <c r="U51" s="244"/>
      <c r="V51" s="244"/>
      <c r="CB51" s="80"/>
      <c r="CS51" s="79"/>
      <c r="DE51" s="277">
        <v>5091.8500000000004</v>
      </c>
      <c r="DF51" s="80"/>
      <c r="DG51" s="49" t="s">
        <v>257</v>
      </c>
      <c r="DL51" s="80"/>
      <c r="DR51" s="80"/>
      <c r="DX51" s="80"/>
      <c r="ED51" s="80"/>
      <c r="EJ51" s="80"/>
      <c r="EP51" s="80"/>
      <c r="EV51" s="80"/>
      <c r="FA51" s="79"/>
      <c r="FB51" s="80"/>
      <c r="FG51" s="79"/>
      <c r="FH51" s="80"/>
      <c r="FM51" s="79"/>
      <c r="FN51" s="80"/>
      <c r="FS51" s="79"/>
    </row>
    <row r="52" spans="3:175">
      <c r="N52" s="244"/>
      <c r="O52" s="244"/>
      <c r="P52" s="244"/>
      <c r="Q52" s="244"/>
      <c r="R52" s="244"/>
      <c r="S52" s="244"/>
      <c r="T52" s="244"/>
      <c r="U52" s="244"/>
      <c r="V52" s="244"/>
      <c r="CB52" s="80"/>
      <c r="CS52" s="79"/>
      <c r="DF52" s="80"/>
      <c r="DL52" s="80"/>
      <c r="DR52" s="80"/>
      <c r="DX52" s="80"/>
      <c r="ED52" s="80"/>
      <c r="EJ52" s="80"/>
      <c r="EP52" s="80"/>
      <c r="EV52" s="80"/>
      <c r="FA52" s="79"/>
      <c r="FB52" s="80"/>
      <c r="FG52" s="79"/>
      <c r="FH52" s="80"/>
      <c r="FM52" s="79"/>
      <c r="FN52" s="80"/>
      <c r="FS52" s="79"/>
    </row>
    <row r="53" spans="3:175">
      <c r="N53" s="244"/>
      <c r="O53" s="244"/>
      <c r="P53" s="244"/>
      <c r="Q53" s="244"/>
      <c r="R53" s="244"/>
      <c r="S53" s="244"/>
      <c r="T53" s="244"/>
      <c r="U53" s="244"/>
      <c r="V53" s="244"/>
      <c r="CB53" s="80"/>
      <c r="CS53" s="79"/>
      <c r="DF53" s="80"/>
      <c r="DL53" s="80"/>
      <c r="DR53" s="80"/>
      <c r="DX53" s="80"/>
      <c r="ED53" s="80"/>
      <c r="EJ53" s="80"/>
      <c r="EP53" s="80"/>
      <c r="EV53" s="80"/>
      <c r="FA53" s="79"/>
      <c r="FB53" s="80"/>
      <c r="FG53" s="79"/>
      <c r="FH53" s="80"/>
      <c r="FM53" s="79"/>
      <c r="FN53" s="80"/>
      <c r="FS53" s="79"/>
    </row>
    <row r="54" spans="3:175">
      <c r="C54" s="85" t="s">
        <v>248</v>
      </c>
      <c r="AW54" s="49" t="s">
        <v>151</v>
      </c>
      <c r="BE54" s="86">
        <v>-0.57050000000000001</v>
      </c>
      <c r="BF54" s="87"/>
      <c r="BG54" s="88">
        <v>-0.57050000000000001</v>
      </c>
      <c r="BH54" s="81"/>
      <c r="BI54" s="89">
        <v>-0.57050000000000001</v>
      </c>
      <c r="BJ54" s="81"/>
      <c r="BK54" s="88">
        <v>-0.57050000000000001</v>
      </c>
      <c r="BL54" s="81"/>
      <c r="BM54" s="88">
        <v>-0.57050000000000001</v>
      </c>
      <c r="BN54" s="81"/>
      <c r="BO54" s="89">
        <v>-0.57050000000000001</v>
      </c>
      <c r="BP54" s="81"/>
      <c r="BQ54" s="88">
        <v>-0.57050000000000001</v>
      </c>
      <c r="BR54" s="81"/>
      <c r="BS54" s="88">
        <v>-0.57050000000000001</v>
      </c>
      <c r="BT54" s="81"/>
      <c r="BU54" s="89">
        <v>-0.57050000000000001</v>
      </c>
      <c r="BV54" s="81"/>
      <c r="BW54" s="88">
        <v>-0.57050000000000001</v>
      </c>
      <c r="BX54" s="81"/>
      <c r="BY54" s="88">
        <v>-0.57050000000000001</v>
      </c>
      <c r="BZ54" s="81"/>
      <c r="CA54" s="89">
        <v>-0.57050000000000001</v>
      </c>
      <c r="CB54" s="90"/>
      <c r="CC54" s="81"/>
      <c r="CD54" s="81"/>
      <c r="CE54" s="81"/>
      <c r="CF54" s="81"/>
      <c r="CG54" s="49" t="s">
        <v>158</v>
      </c>
      <c r="CH54" s="81"/>
      <c r="CI54" s="91">
        <v>0.61560000000000004</v>
      </c>
      <c r="CJ54" s="81"/>
      <c r="CK54" s="88">
        <f>CI54</f>
        <v>0.61560000000000004</v>
      </c>
      <c r="CL54" s="81"/>
      <c r="CM54" s="89">
        <f>CK54</f>
        <v>0.61560000000000004</v>
      </c>
      <c r="CN54" s="81"/>
      <c r="CO54" s="88">
        <f>CM54</f>
        <v>0.61560000000000004</v>
      </c>
      <c r="CP54" s="81"/>
      <c r="CQ54" s="88">
        <f>CO54</f>
        <v>0.61560000000000004</v>
      </c>
      <c r="CR54" s="81"/>
      <c r="CS54" s="89">
        <f>CQ54</f>
        <v>0.61560000000000004</v>
      </c>
      <c r="CT54" s="81"/>
      <c r="CU54" s="88">
        <f>CS54</f>
        <v>0.61560000000000004</v>
      </c>
      <c r="CV54" s="81"/>
      <c r="CW54" s="88">
        <f>CU54</f>
        <v>0.61560000000000004</v>
      </c>
      <c r="CX54" s="81"/>
      <c r="CY54" s="89">
        <f>CW54</f>
        <v>0.61560000000000004</v>
      </c>
      <c r="CZ54" s="81"/>
      <c r="DA54" s="88">
        <f>CY54</f>
        <v>0.61560000000000004</v>
      </c>
      <c r="DB54" s="81"/>
      <c r="DC54" s="88">
        <f>DA54</f>
        <v>0.61560000000000004</v>
      </c>
      <c r="DD54" s="81"/>
      <c r="DE54" s="88">
        <f>DC54</f>
        <v>0.61560000000000004</v>
      </c>
      <c r="DF54" s="80"/>
      <c r="DG54" s="81"/>
      <c r="DH54" s="81"/>
      <c r="DI54" s="81"/>
      <c r="DJ54" s="81"/>
      <c r="DK54" s="81"/>
      <c r="DL54" s="80"/>
      <c r="DM54" s="81"/>
      <c r="DN54" s="81"/>
      <c r="DO54" s="81"/>
      <c r="DP54" s="81"/>
      <c r="DQ54" s="81"/>
      <c r="DR54" s="80"/>
      <c r="DS54" s="81"/>
      <c r="DT54" s="81"/>
      <c r="DU54" s="81"/>
      <c r="DV54" s="81"/>
      <c r="DW54" s="81"/>
      <c r="DX54" s="80"/>
      <c r="DY54" s="81"/>
      <c r="DZ54" s="81"/>
      <c r="EA54" s="81"/>
      <c r="EB54" s="81"/>
      <c r="EC54" s="81"/>
      <c r="ED54" s="80"/>
      <c r="EE54" s="81"/>
      <c r="EF54" s="81"/>
      <c r="EG54" s="81"/>
      <c r="EH54" s="81"/>
      <c r="EI54" s="81"/>
      <c r="EJ54" s="80"/>
      <c r="EK54" s="81"/>
      <c r="EL54" s="81"/>
      <c r="EM54" s="81"/>
      <c r="EN54" s="81"/>
      <c r="EO54" s="81"/>
      <c r="EP54" s="80"/>
      <c r="EQ54" s="81"/>
      <c r="ER54" s="81"/>
      <c r="ES54" s="81"/>
      <c r="ET54" s="81"/>
      <c r="EU54" s="81"/>
      <c r="EV54" s="80"/>
      <c r="EW54" s="81"/>
      <c r="EX54" s="81"/>
      <c r="EY54" s="81"/>
      <c r="EZ54" s="81"/>
      <c r="FA54" s="82"/>
      <c r="FB54" s="80"/>
      <c r="FC54" s="81"/>
      <c r="FD54" s="81"/>
      <c r="FE54" s="81"/>
      <c r="FF54" s="81"/>
      <c r="FG54" s="82"/>
      <c r="FH54" s="80"/>
      <c r="FI54" s="81"/>
      <c r="FJ54" s="81"/>
      <c r="FK54" s="81"/>
      <c r="FL54" s="81"/>
      <c r="FM54" s="82"/>
      <c r="FN54" s="80"/>
      <c r="FO54" s="81"/>
      <c r="FP54" s="81"/>
      <c r="FQ54" s="81"/>
      <c r="FR54" s="81"/>
      <c r="FS54" s="82"/>
    </row>
    <row r="55" spans="3:175">
      <c r="C55" s="85"/>
      <c r="AW55" s="92">
        <v>20573.011312868715</v>
      </c>
      <c r="BE55" s="93">
        <v>24625.615112868716</v>
      </c>
      <c r="BG55" s="93">
        <v>30824.040562868715</v>
      </c>
      <c r="BI55" s="94">
        <v>37449.085912868715</v>
      </c>
      <c r="BK55" s="93">
        <v>43182.839112868714</v>
      </c>
      <c r="BM55" s="93">
        <v>47044.724762868718</v>
      </c>
      <c r="BO55" s="94">
        <v>49819.294462868718</v>
      </c>
      <c r="BQ55" s="93">
        <v>51459.139662868722</v>
      </c>
      <c r="BS55" s="93">
        <v>52657.189662868725</v>
      </c>
      <c r="BU55" s="94">
        <v>54505.039162868721</v>
      </c>
      <c r="BW55" s="93">
        <v>57644.346627868719</v>
      </c>
      <c r="BY55" s="93">
        <v>59710.81172786872</v>
      </c>
      <c r="CA55" s="94">
        <v>62015.63172786872</v>
      </c>
      <c r="CB55" s="95"/>
      <c r="CC55" s="68">
        <v>62015.63172786872</v>
      </c>
      <c r="CD55" s="68"/>
      <c r="CE55" s="68">
        <v>62015.63172786872</v>
      </c>
      <c r="CF55" s="68"/>
      <c r="CG55" s="96">
        <f>CE55+(CA30+BU26+BO22)</f>
        <v>106733.31678638933</v>
      </c>
      <c r="CI55" s="93">
        <f>CG55-(CI54*CI$5)</f>
        <v>99977.045226389338</v>
      </c>
      <c r="CK55" s="93">
        <f>CI55-(CK54*CK$5)</f>
        <v>95263.826946389338</v>
      </c>
      <c r="CM55" s="94">
        <f>CK55-(CM54*CM$5)</f>
        <v>92484.762306389341</v>
      </c>
      <c r="CO55" s="93">
        <f>CM55-(CO54*CO$5)</f>
        <v>90811.192146389338</v>
      </c>
      <c r="CQ55" s="93">
        <f>CO55-(CQ54*CQ$5)</f>
        <v>89413.164546389336</v>
      </c>
      <c r="CS55" s="94">
        <f>CQ55-(CS54*CS$5)</f>
        <v>88059.213906389341</v>
      </c>
      <c r="CU55" s="93">
        <f>CS55-(CU54*CU$5)</f>
        <v>86405.096706389348</v>
      </c>
      <c r="CW55" s="93">
        <f>CU55-(CW54*CW$5)</f>
        <v>83675.526306389351</v>
      </c>
      <c r="CY55" s="94">
        <f>CW55-(CY54*CY$5)</f>
        <v>80325.431106389355</v>
      </c>
      <c r="DA55" s="93">
        <f>CY55-(DA54*DA$5)</f>
        <v>75240.575106389355</v>
      </c>
      <c r="DC55" s="93">
        <f>DA55-(DC54*DC$5)</f>
        <v>68372.941506389354</v>
      </c>
      <c r="DE55" s="229">
        <f>DC55-(DE54*DE$5)+-DE49+-DE51</f>
        <v>-12760.256253610643</v>
      </c>
      <c r="DF55" s="80"/>
      <c r="DG55" s="98" t="s">
        <v>259</v>
      </c>
      <c r="DI55" s="68"/>
      <c r="DK55" s="68"/>
      <c r="DL55" s="80"/>
      <c r="DM55" s="68"/>
      <c r="DO55" s="68"/>
      <c r="DQ55" s="68"/>
      <c r="DR55" s="80"/>
      <c r="DS55" s="68"/>
      <c r="DU55" s="68"/>
      <c r="DW55" s="68"/>
      <c r="DX55" s="80"/>
      <c r="DY55" s="68"/>
      <c r="EA55" s="68"/>
      <c r="EC55" s="68"/>
      <c r="ED55" s="80"/>
      <c r="EE55" s="68"/>
      <c r="EG55" s="68"/>
      <c r="EI55" s="68"/>
      <c r="EJ55" s="80"/>
      <c r="EK55" s="68"/>
      <c r="EM55" s="68"/>
      <c r="EO55" s="68"/>
      <c r="EP55" s="80"/>
      <c r="EQ55" s="68"/>
      <c r="ES55" s="68"/>
      <c r="EU55" s="68"/>
      <c r="EV55" s="80"/>
      <c r="EW55" s="68"/>
      <c r="EY55" s="68"/>
      <c r="FA55" s="99"/>
      <c r="FB55" s="80"/>
      <c r="FC55" s="68"/>
      <c r="FE55" s="68"/>
      <c r="FG55" s="99"/>
      <c r="FH55" s="80"/>
      <c r="FI55" s="68"/>
      <c r="FK55" s="68"/>
      <c r="FM55" s="99"/>
      <c r="FN55" s="80"/>
      <c r="FO55" s="68"/>
      <c r="FQ55" s="68"/>
      <c r="FS55" s="99"/>
    </row>
    <row r="56" spans="3:175">
      <c r="C56" s="72"/>
      <c r="BI56" s="79"/>
      <c r="BO56" s="79"/>
      <c r="BU56" s="79"/>
      <c r="CA56" s="100"/>
      <c r="CG56" s="101"/>
      <c r="CM56" s="79"/>
      <c r="CS56" s="79"/>
      <c r="CY56" s="79"/>
      <c r="DF56" s="80"/>
      <c r="DL56" s="80"/>
      <c r="DR56" s="80"/>
      <c r="DX56" s="80"/>
      <c r="ED56" s="80"/>
      <c r="EJ56" s="80"/>
      <c r="EP56" s="80"/>
      <c r="EV56" s="80"/>
      <c r="FA56" s="79"/>
      <c r="FB56" s="80"/>
      <c r="FG56" s="79"/>
      <c r="FH56" s="80"/>
      <c r="FM56" s="79"/>
      <c r="FN56" s="80"/>
      <c r="FS56" s="79"/>
    </row>
    <row r="57" spans="3:175">
      <c r="C57" s="72"/>
      <c r="CA57" s="230"/>
      <c r="CG57" s="276"/>
      <c r="CS57" s="79"/>
      <c r="DF57" s="80"/>
      <c r="DG57" s="277">
        <v>4.5</v>
      </c>
      <c r="DL57" s="80"/>
      <c r="DR57" s="80"/>
      <c r="DX57" s="80"/>
      <c r="ED57" s="80"/>
      <c r="EJ57" s="80"/>
      <c r="EP57" s="80"/>
      <c r="EV57" s="80"/>
      <c r="FA57" s="79"/>
      <c r="FB57" s="80"/>
      <c r="FG57" s="79"/>
      <c r="FH57" s="80"/>
      <c r="FM57" s="79"/>
      <c r="FN57" s="80"/>
      <c r="FS57" s="79"/>
    </row>
    <row r="58" spans="3:175">
      <c r="C58" s="72"/>
      <c r="CA58" s="230"/>
      <c r="CG58" s="276"/>
      <c r="CS58" s="79"/>
      <c r="DF58" s="80"/>
      <c r="DG58" s="277">
        <f>DG5*DG57</f>
        <v>51855.704999999987</v>
      </c>
      <c r="DI58" s="49" t="s">
        <v>256</v>
      </c>
      <c r="DL58" s="80"/>
      <c r="DR58" s="80"/>
      <c r="DX58" s="80"/>
      <c r="ED58" s="80"/>
      <c r="EJ58" s="80"/>
      <c r="EP58" s="80"/>
      <c r="EV58" s="80"/>
      <c r="FA58" s="79"/>
      <c r="FB58" s="80"/>
      <c r="FG58" s="79"/>
      <c r="FH58" s="80"/>
      <c r="FM58" s="79"/>
      <c r="FN58" s="80"/>
      <c r="FS58" s="79"/>
    </row>
    <row r="59" spans="3:175">
      <c r="C59" s="72"/>
      <c r="BJ59" s="80"/>
      <c r="BP59" s="80"/>
      <c r="BV59" s="80"/>
      <c r="CB59" s="80"/>
      <c r="CH59" s="80"/>
      <c r="CN59" s="80"/>
      <c r="CS59" s="79"/>
      <c r="CT59" s="80"/>
      <c r="CZ59" s="80"/>
      <c r="DF59" s="80"/>
      <c r="DL59" s="80"/>
      <c r="DR59" s="80"/>
      <c r="DX59" s="80"/>
      <c r="ED59" s="80"/>
      <c r="EJ59" s="80"/>
      <c r="EP59" s="80"/>
      <c r="EV59" s="80"/>
      <c r="FA59" s="79"/>
      <c r="FB59" s="80"/>
      <c r="FG59" s="79"/>
      <c r="FH59" s="80"/>
      <c r="FM59" s="79"/>
      <c r="FN59" s="80"/>
      <c r="FS59" s="79"/>
    </row>
    <row r="60" spans="3:175">
      <c r="C60" s="85" t="s">
        <v>247</v>
      </c>
      <c r="BC60" s="64" t="s">
        <v>154</v>
      </c>
      <c r="BK60" s="86">
        <v>0</v>
      </c>
      <c r="BL60" s="87"/>
      <c r="BM60" s="88">
        <v>0</v>
      </c>
      <c r="BN60" s="81"/>
      <c r="BO60" s="89">
        <v>0</v>
      </c>
      <c r="BP60" s="81"/>
      <c r="BQ60" s="88">
        <v>0</v>
      </c>
      <c r="BR60" s="81"/>
      <c r="BS60" s="88">
        <v>0</v>
      </c>
      <c r="BT60" s="81"/>
      <c r="BU60" s="89">
        <v>0</v>
      </c>
      <c r="BV60" s="81"/>
      <c r="BW60" s="88">
        <v>0</v>
      </c>
      <c r="BX60" s="81"/>
      <c r="BY60" s="88">
        <v>0</v>
      </c>
      <c r="BZ60" s="81"/>
      <c r="CA60" s="89">
        <v>0</v>
      </c>
      <c r="CB60" s="81"/>
      <c r="CC60" s="88">
        <v>0</v>
      </c>
      <c r="CD60" s="81"/>
      <c r="CE60" s="88">
        <v>0</v>
      </c>
      <c r="CF60" s="81"/>
      <c r="CG60" s="89">
        <v>0</v>
      </c>
      <c r="CH60" s="90"/>
      <c r="CI60" s="81"/>
      <c r="CJ60" s="81"/>
      <c r="CK60" s="81"/>
      <c r="CL60" s="81"/>
      <c r="CM60" s="49" t="s">
        <v>230</v>
      </c>
      <c r="CN60" s="81"/>
      <c r="CO60" s="91">
        <v>0.2908</v>
      </c>
      <c r="CP60" s="81"/>
      <c r="CQ60" s="88">
        <f>CO60</f>
        <v>0.2908</v>
      </c>
      <c r="CR60" s="81"/>
      <c r="CS60" s="89">
        <f>CQ60</f>
        <v>0.2908</v>
      </c>
      <c r="CT60" s="81"/>
      <c r="CU60" s="88">
        <f>CS60</f>
        <v>0.2908</v>
      </c>
      <c r="CV60" s="81"/>
      <c r="CW60" s="88">
        <f>CU60</f>
        <v>0.2908</v>
      </c>
      <c r="CX60" s="81"/>
      <c r="CY60" s="89">
        <f>CW60</f>
        <v>0.2908</v>
      </c>
      <c r="CZ60" s="81"/>
      <c r="DA60" s="88">
        <f>CY60</f>
        <v>0.2908</v>
      </c>
      <c r="DB60" s="81"/>
      <c r="DC60" s="88">
        <f>DA60</f>
        <v>0.2908</v>
      </c>
      <c r="DD60" s="81"/>
      <c r="DE60" s="88">
        <f>DC60</f>
        <v>0.2908</v>
      </c>
      <c r="DF60" s="90"/>
      <c r="DG60" s="88">
        <f>DE60</f>
        <v>0.2908</v>
      </c>
      <c r="DH60" s="81"/>
      <c r="DI60" s="88">
        <f>DG60</f>
        <v>0.2908</v>
      </c>
      <c r="DJ60" s="81"/>
      <c r="DK60" s="89">
        <f>DI60</f>
        <v>0.2908</v>
      </c>
      <c r="DL60" s="80"/>
      <c r="DM60" s="81"/>
      <c r="DN60" s="81"/>
      <c r="DO60" s="81"/>
      <c r="DP60" s="81"/>
      <c r="DQ60" s="81"/>
      <c r="DR60" s="80"/>
      <c r="DS60" s="81"/>
      <c r="DT60" s="81"/>
      <c r="DU60" s="81"/>
      <c r="DV60" s="81"/>
      <c r="DW60" s="81"/>
      <c r="DX60" s="80"/>
      <c r="DY60" s="81"/>
      <c r="DZ60" s="81"/>
      <c r="EA60" s="81"/>
      <c r="EB60" s="81"/>
      <c r="EC60" s="81"/>
      <c r="ED60" s="80"/>
      <c r="EE60" s="81"/>
      <c r="EF60" s="81"/>
      <c r="EG60" s="81"/>
      <c r="EH60" s="81"/>
      <c r="EI60" s="81"/>
      <c r="EJ60" s="80"/>
      <c r="EK60" s="81"/>
      <c r="EL60" s="81"/>
      <c r="EM60" s="81"/>
      <c r="EN60" s="81"/>
      <c r="EO60" s="81"/>
      <c r="EP60" s="80"/>
      <c r="EQ60" s="81"/>
      <c r="ER60" s="81"/>
      <c r="ES60" s="81"/>
      <c r="ET60" s="81"/>
      <c r="EU60" s="81"/>
      <c r="EV60" s="80"/>
      <c r="EW60" s="81"/>
      <c r="EX60" s="81"/>
      <c r="EY60" s="81"/>
      <c r="EZ60" s="81"/>
      <c r="FA60" s="82"/>
      <c r="FB60" s="80"/>
      <c r="FC60" s="81"/>
      <c r="FD60" s="81"/>
      <c r="FE60" s="81"/>
      <c r="FF60" s="81"/>
      <c r="FG60" s="82"/>
      <c r="FH60" s="80"/>
      <c r="FI60" s="81"/>
      <c r="FJ60" s="81"/>
      <c r="FK60" s="81"/>
      <c r="FL60" s="81"/>
      <c r="FM60" s="82"/>
      <c r="FN60" s="80"/>
      <c r="FO60" s="81"/>
      <c r="FP60" s="81"/>
      <c r="FQ60" s="81"/>
      <c r="FR60" s="81"/>
      <c r="FS60" s="82"/>
    </row>
    <row r="61" spans="3:175">
      <c r="C61" s="72"/>
      <c r="BC61" s="92">
        <v>39902.253173637335</v>
      </c>
      <c r="BK61" s="93">
        <v>39902.253173637335</v>
      </c>
      <c r="BM61" s="93">
        <v>39902.253173637335</v>
      </c>
      <c r="BO61" s="94">
        <v>39902.253173637335</v>
      </c>
      <c r="BQ61" s="93">
        <v>39902.253173637335</v>
      </c>
      <c r="BS61" s="93">
        <v>39902.253173637335</v>
      </c>
      <c r="BU61" s="94">
        <v>39902.253173637335</v>
      </c>
      <c r="BW61" s="93">
        <v>39902.253173637335</v>
      </c>
      <c r="BY61" s="93">
        <v>39902.253173637335</v>
      </c>
      <c r="CA61" s="94">
        <v>39902.253173637335</v>
      </c>
      <c r="CC61" s="93">
        <v>39902.253173637335</v>
      </c>
      <c r="CE61" s="93">
        <v>39902.253173637335</v>
      </c>
      <c r="CG61" s="94">
        <v>39902.253173637335</v>
      </c>
      <c r="CH61" s="95"/>
      <c r="CI61" s="212">
        <f>CG61+CG34</f>
        <v>62217.031408973759</v>
      </c>
      <c r="CJ61" s="68"/>
      <c r="CK61" s="68">
        <f>CI61</f>
        <v>62217.031408973759</v>
      </c>
      <c r="CL61" s="68"/>
      <c r="CM61" s="99">
        <f>CK61</f>
        <v>62217.031408973759</v>
      </c>
      <c r="CO61" s="93">
        <f>CM61-(CO60*CO$5)</f>
        <v>61426.46252897376</v>
      </c>
      <c r="CQ61" s="93">
        <f>CO61-(CQ60*CQ$5)</f>
        <v>60766.055728973763</v>
      </c>
      <c r="CS61" s="94">
        <f>CQ61-(CS60*CS$5)</f>
        <v>60126.470208973762</v>
      </c>
      <c r="CU61" s="93">
        <f>CS61-(CU60*CU$5)</f>
        <v>59345.090608973762</v>
      </c>
      <c r="CW61" s="93">
        <f>CU61-(CW60*CW$5)</f>
        <v>58055.68340897376</v>
      </c>
      <c r="CY61" s="94">
        <f>CW61-(CY60*CY$5)</f>
        <v>56473.149808973758</v>
      </c>
      <c r="DA61" s="93">
        <f>CY61-(DA60*DA$5)</f>
        <v>54071.141808973756</v>
      </c>
      <c r="DC61" s="93">
        <f>DA61-(DC60*DC$5)</f>
        <v>50826.977008973758</v>
      </c>
      <c r="DE61" s="93">
        <f>DC61-(DE60*DE$5)</f>
        <v>46504.35132897376</v>
      </c>
      <c r="DF61" s="80"/>
      <c r="DG61" s="93">
        <f>DE61-(DG60*DG$5)+-DG58</f>
        <v>-8702.3845630262294</v>
      </c>
      <c r="DI61" s="93">
        <f>DG61-(DI60*DI$5)</f>
        <v>-11547.05413902623</v>
      </c>
      <c r="DK61" s="97">
        <f>DI61-(DK60*DK$5)</f>
        <v>-13546.48443502623</v>
      </c>
      <c r="DM61" s="75">
        <v>46203</v>
      </c>
      <c r="DR61" s="80"/>
      <c r="DX61" s="80"/>
      <c r="ED61" s="80"/>
      <c r="EJ61" s="80"/>
      <c r="EP61" s="80"/>
      <c r="EV61" s="80"/>
      <c r="FA61" s="79"/>
      <c r="FB61" s="80"/>
      <c r="FG61" s="79"/>
      <c r="FH61" s="80"/>
      <c r="FM61" s="79"/>
      <c r="FN61" s="80"/>
      <c r="FS61" s="79"/>
    </row>
    <row r="62" spans="3:175">
      <c r="C62" s="72"/>
      <c r="BO62" s="79"/>
      <c r="BU62" s="79"/>
      <c r="CA62" s="79"/>
      <c r="CG62" s="100"/>
      <c r="CM62" s="79"/>
      <c r="CS62" s="79"/>
      <c r="CY62" s="79"/>
      <c r="DF62" s="80"/>
      <c r="DK62" s="79"/>
      <c r="DR62" s="80"/>
      <c r="DX62" s="80"/>
      <c r="ED62" s="80"/>
      <c r="EJ62" s="80"/>
      <c r="EP62" s="80"/>
      <c r="EV62" s="80"/>
      <c r="FA62" s="79"/>
      <c r="FB62" s="80"/>
      <c r="FG62" s="79"/>
      <c r="FH62" s="80"/>
      <c r="FM62" s="79"/>
      <c r="FN62" s="80"/>
      <c r="FS62" s="79"/>
    </row>
    <row r="63" spans="3:175">
      <c r="C63" s="72"/>
      <c r="BO63" s="79"/>
      <c r="BU63" s="79"/>
      <c r="CA63" s="79"/>
      <c r="CG63" s="100"/>
      <c r="CM63" s="100"/>
      <c r="CS63" s="79"/>
      <c r="CY63" s="79"/>
      <c r="DF63" s="80"/>
      <c r="DK63" s="79"/>
      <c r="DR63" s="80"/>
      <c r="DX63" s="80"/>
      <c r="ED63" s="80"/>
      <c r="EJ63" s="80"/>
      <c r="EP63" s="80"/>
      <c r="EV63" s="80"/>
      <c r="FA63" s="79"/>
      <c r="FB63" s="80"/>
      <c r="FG63" s="79"/>
      <c r="FH63" s="80"/>
      <c r="FM63" s="79"/>
      <c r="FN63" s="80"/>
      <c r="FS63" s="79"/>
    </row>
    <row r="64" spans="3:175">
      <c r="C64" s="85" t="s">
        <v>246</v>
      </c>
      <c r="BI64" s="64" t="s">
        <v>155</v>
      </c>
      <c r="BQ64" s="86">
        <v>0</v>
      </c>
      <c r="BR64" s="87"/>
      <c r="BS64" s="88">
        <v>0</v>
      </c>
      <c r="BT64" s="81"/>
      <c r="BU64" s="89">
        <v>0</v>
      </c>
      <c r="BV64" s="81"/>
      <c r="BW64" s="88">
        <v>0</v>
      </c>
      <c r="BX64" s="81"/>
      <c r="BY64" s="88">
        <v>0</v>
      </c>
      <c r="BZ64" s="81"/>
      <c r="CA64" s="89">
        <v>0</v>
      </c>
      <c r="CB64" s="81"/>
      <c r="CC64" s="88">
        <v>0</v>
      </c>
      <c r="CD64" s="81"/>
      <c r="CE64" s="88">
        <v>0</v>
      </c>
      <c r="CF64" s="81"/>
      <c r="CG64" s="89">
        <v>0</v>
      </c>
      <c r="CH64" s="81"/>
      <c r="CI64" s="88">
        <v>0</v>
      </c>
      <c r="CJ64" s="81"/>
      <c r="CK64" s="88">
        <v>0</v>
      </c>
      <c r="CL64" s="81"/>
      <c r="CM64" s="89">
        <v>0</v>
      </c>
      <c r="CN64" s="90"/>
      <c r="CO64" s="81"/>
      <c r="CP64" s="81"/>
      <c r="CQ64" s="81"/>
      <c r="CR64" s="81"/>
      <c r="CS64" s="49" t="s">
        <v>231</v>
      </c>
      <c r="CT64" s="81"/>
      <c r="CU64" s="91">
        <v>9.6100000000000005E-2</v>
      </c>
      <c r="CV64" s="81"/>
      <c r="CW64" s="88">
        <f>CU64</f>
        <v>9.6100000000000005E-2</v>
      </c>
      <c r="CX64" s="81"/>
      <c r="CY64" s="89">
        <f>CW64</f>
        <v>9.6100000000000005E-2</v>
      </c>
      <c r="CZ64" s="81"/>
      <c r="DA64" s="88">
        <f>CY64</f>
        <v>9.6100000000000005E-2</v>
      </c>
      <c r="DB64" s="81"/>
      <c r="DC64" s="88">
        <f>DA64</f>
        <v>9.6100000000000005E-2</v>
      </c>
      <c r="DD64" s="81"/>
      <c r="DE64" s="88">
        <f>DC64</f>
        <v>9.6100000000000005E-2</v>
      </c>
      <c r="DF64" s="90"/>
      <c r="DG64" s="88">
        <f>DE64</f>
        <v>9.6100000000000005E-2</v>
      </c>
      <c r="DH64" s="81"/>
      <c r="DI64" s="88">
        <f>DG64</f>
        <v>9.6100000000000005E-2</v>
      </c>
      <c r="DJ64" s="81"/>
      <c r="DK64" s="89">
        <f>DI64</f>
        <v>9.6100000000000005E-2</v>
      </c>
      <c r="DL64" s="81"/>
      <c r="DM64" s="88">
        <f>DK64</f>
        <v>9.6100000000000005E-2</v>
      </c>
      <c r="DN64" s="81"/>
      <c r="DO64" s="88">
        <f>DM64</f>
        <v>9.6100000000000005E-2</v>
      </c>
      <c r="DP64" s="81"/>
      <c r="DQ64" s="89">
        <f>DO64</f>
        <v>9.6100000000000005E-2</v>
      </c>
      <c r="DX64" s="80"/>
      <c r="ED64" s="80"/>
      <c r="EJ64" s="80"/>
      <c r="EP64" s="80"/>
      <c r="EV64" s="80"/>
      <c r="FA64" s="79"/>
      <c r="FB64" s="80"/>
      <c r="FG64" s="79"/>
      <c r="FH64" s="80"/>
      <c r="FM64" s="79"/>
      <c r="FN64" s="80"/>
      <c r="FS64" s="79"/>
    </row>
    <row r="65" spans="3:175">
      <c r="C65" s="72"/>
      <c r="BI65" s="92">
        <v>35101.864311265163</v>
      </c>
      <c r="BQ65" s="93">
        <v>35101.864311265163</v>
      </c>
      <c r="BS65" s="93">
        <v>35101.864311265163</v>
      </c>
      <c r="BU65" s="94">
        <v>35101.864311265163</v>
      </c>
      <c r="BW65" s="93">
        <v>35101.864311265163</v>
      </c>
      <c r="BY65" s="93">
        <v>35101.864311265163</v>
      </c>
      <c r="CA65" s="94">
        <v>35101.864311265163</v>
      </c>
      <c r="CC65" s="93">
        <v>35101.864311265163</v>
      </c>
      <c r="CE65" s="93">
        <v>35101.864311265163</v>
      </c>
      <c r="CG65" s="94">
        <v>35101.864311265163</v>
      </c>
      <c r="CI65" s="93">
        <v>35101.864311265163</v>
      </c>
      <c r="CK65" s="93">
        <v>35101.864311265163</v>
      </c>
      <c r="CM65" s="94">
        <v>35101.864311265163</v>
      </c>
      <c r="CN65" s="95"/>
      <c r="CO65" s="212">
        <f>CM65+CM38</f>
        <v>42603.910283764068</v>
      </c>
      <c r="CP65" s="68"/>
      <c r="CQ65" s="68">
        <f>CO65</f>
        <v>42603.910283764068</v>
      </c>
      <c r="CR65" s="68"/>
      <c r="CS65" s="99">
        <f>CQ65</f>
        <v>42603.910283764068</v>
      </c>
      <c r="CU65" s="93">
        <f>CS65-(CU64*CU$5)</f>
        <v>42345.68958376407</v>
      </c>
      <c r="CW65" s="93">
        <f>CU65-(CW64*CW$5)</f>
        <v>41919.582183764069</v>
      </c>
      <c r="CY65" s="94">
        <f>CW65-(CY64*CY$5)</f>
        <v>41396.605983764071</v>
      </c>
      <c r="DA65" s="93">
        <f>CY65-(DA64*DA$5)</f>
        <v>40602.819983764071</v>
      </c>
      <c r="DC65" s="93">
        <f>DA65-(DC64*DC$5)</f>
        <v>39530.728383764072</v>
      </c>
      <c r="DE65" s="93">
        <f>DC65-(DE64*DE$5)</f>
        <v>38102.240323764068</v>
      </c>
      <c r="DF65" s="80"/>
      <c r="DG65" s="93">
        <f>DE65-(DG64*DG$5)</f>
        <v>36994.832934764068</v>
      </c>
      <c r="DI65" s="93">
        <f>DG65-(DI64*DI$5)</f>
        <v>36054.761592764065</v>
      </c>
      <c r="DK65" s="94">
        <f>DI65-(DK64*DK$5)</f>
        <v>35394.014510764064</v>
      </c>
      <c r="DM65" s="93">
        <f>DK65-(DM64*DM$5)</f>
        <v>35011.409658764067</v>
      </c>
      <c r="DO65" s="93">
        <f>DM65-(DO64*DO$5)</f>
        <v>34702.311696764067</v>
      </c>
      <c r="DQ65" s="97">
        <f>DO65-(DQ64*DQ$5)</f>
        <v>34429.241624764065</v>
      </c>
      <c r="DS65" s="75">
        <v>46295</v>
      </c>
      <c r="DX65" s="80"/>
      <c r="ED65" s="80"/>
      <c r="EJ65" s="80"/>
      <c r="EP65" s="80"/>
      <c r="EV65" s="80"/>
      <c r="FA65" s="79"/>
      <c r="FB65" s="80"/>
      <c r="FG65" s="79"/>
      <c r="FH65" s="80"/>
      <c r="FM65" s="79"/>
      <c r="FN65" s="80"/>
      <c r="FS65" s="79"/>
    </row>
    <row r="66" spans="3:175">
      <c r="C66" s="72"/>
      <c r="BU66" s="79"/>
      <c r="CA66" s="79"/>
      <c r="CG66" s="79"/>
      <c r="CM66" s="100"/>
      <c r="CS66" s="79"/>
      <c r="CY66" s="79"/>
      <c r="DF66" s="80"/>
      <c r="DK66" s="79"/>
      <c r="DQ66" s="79"/>
      <c r="DX66" s="80"/>
      <c r="ED66" s="80"/>
      <c r="EJ66" s="80"/>
      <c r="EP66" s="80"/>
      <c r="EV66" s="80"/>
      <c r="FA66" s="79"/>
      <c r="FB66" s="80"/>
      <c r="FG66" s="79"/>
      <c r="FH66" s="80"/>
      <c r="FM66" s="79"/>
      <c r="FN66" s="80"/>
      <c r="FS66" s="79"/>
    </row>
    <row r="67" spans="3:175">
      <c r="C67" s="72"/>
      <c r="BU67" s="79"/>
      <c r="CA67" s="79"/>
      <c r="CG67" s="79"/>
      <c r="CM67" s="100"/>
      <c r="CS67" s="100"/>
      <c r="CY67" s="79"/>
      <c r="DF67" s="80"/>
      <c r="DK67" s="79"/>
      <c r="DQ67" s="79"/>
      <c r="DX67" s="80"/>
      <c r="EC67" s="79"/>
      <c r="EI67" s="79"/>
      <c r="EO67" s="79"/>
      <c r="EU67" s="79"/>
      <c r="FA67" s="79"/>
      <c r="FG67" s="79"/>
      <c r="FM67" s="79"/>
      <c r="FS67" s="79"/>
    </row>
    <row r="68" spans="3:175">
      <c r="C68" s="85" t="s">
        <v>167</v>
      </c>
      <c r="BO68" s="64" t="s">
        <v>156</v>
      </c>
      <c r="BW68" s="86">
        <v>0</v>
      </c>
      <c r="BX68" s="87"/>
      <c r="BY68" s="88">
        <v>0</v>
      </c>
      <c r="BZ68" s="81"/>
      <c r="CA68" s="89">
        <v>0</v>
      </c>
      <c r="CB68" s="81"/>
      <c r="CC68" s="88">
        <v>0</v>
      </c>
      <c r="CD68" s="81"/>
      <c r="CE68" s="88">
        <v>0</v>
      </c>
      <c r="CF68" s="81"/>
      <c r="CG68" s="89">
        <v>0</v>
      </c>
      <c r="CH68" s="81"/>
      <c r="CI68" s="88">
        <v>0</v>
      </c>
      <c r="CJ68" s="81"/>
      <c r="CK68" s="88">
        <v>0</v>
      </c>
      <c r="CL68" s="81"/>
      <c r="CM68" s="89">
        <v>0</v>
      </c>
      <c r="CN68" s="81"/>
      <c r="CO68" s="88">
        <v>0</v>
      </c>
      <c r="CP68" s="81"/>
      <c r="CQ68" s="88">
        <v>0</v>
      </c>
      <c r="CR68" s="81"/>
      <c r="CS68" s="89">
        <v>0</v>
      </c>
      <c r="CT68" s="90"/>
      <c r="CU68" s="81"/>
      <c r="CV68" s="81"/>
      <c r="CW68" s="81"/>
      <c r="CX68" s="81"/>
      <c r="CY68" s="49" t="s">
        <v>233</v>
      </c>
      <c r="CZ68" s="81"/>
      <c r="DA68" s="91">
        <v>-0.83240000000000003</v>
      </c>
      <c r="DB68" s="81"/>
      <c r="DC68" s="88">
        <f>DA68</f>
        <v>-0.83240000000000003</v>
      </c>
      <c r="DD68" s="81"/>
      <c r="DE68" s="88">
        <f>DC68</f>
        <v>-0.83240000000000003</v>
      </c>
      <c r="DF68" s="90"/>
      <c r="DG68" s="88">
        <f>DE68</f>
        <v>-0.83240000000000003</v>
      </c>
      <c r="DH68" s="81"/>
      <c r="DI68" s="88">
        <f>DG68</f>
        <v>-0.83240000000000003</v>
      </c>
      <c r="DJ68" s="81"/>
      <c r="DK68" s="89">
        <f>DI68</f>
        <v>-0.83240000000000003</v>
      </c>
      <c r="DL68" s="81"/>
      <c r="DM68" s="88">
        <f>DK68</f>
        <v>-0.83240000000000003</v>
      </c>
      <c r="DN68" s="81"/>
      <c r="DO68" s="88">
        <f>DM68</f>
        <v>-0.83240000000000003</v>
      </c>
      <c r="DP68" s="81"/>
      <c r="DQ68" s="89">
        <f>DO68</f>
        <v>-0.83240000000000003</v>
      </c>
      <c r="DR68" s="81"/>
      <c r="DS68" s="88">
        <f>DQ68</f>
        <v>-0.83240000000000003</v>
      </c>
      <c r="DT68" s="81"/>
      <c r="DU68" s="88">
        <f>DS68</f>
        <v>-0.83240000000000003</v>
      </c>
      <c r="DV68" s="81"/>
      <c r="DW68" s="89">
        <f>DU68</f>
        <v>-0.83240000000000003</v>
      </c>
      <c r="DY68" s="81"/>
      <c r="DZ68" s="81"/>
      <c r="EA68" s="81"/>
      <c r="EB68" s="81"/>
      <c r="EC68" s="82"/>
      <c r="EE68" s="81"/>
      <c r="EF68" s="81"/>
      <c r="EG68" s="81"/>
      <c r="EH68" s="81"/>
      <c r="EI68" s="82"/>
      <c r="EK68" s="81"/>
      <c r="EL68" s="81"/>
      <c r="EM68" s="81"/>
      <c r="EN68" s="81"/>
      <c r="EO68" s="82"/>
      <c r="EQ68" s="81"/>
      <c r="ER68" s="81"/>
      <c r="ES68" s="81"/>
      <c r="ET68" s="81"/>
      <c r="EU68" s="82"/>
      <c r="EW68" s="81"/>
      <c r="EX68" s="81"/>
      <c r="EY68" s="81"/>
      <c r="EZ68" s="81"/>
      <c r="FA68" s="82"/>
      <c r="FC68" s="81"/>
      <c r="FD68" s="81"/>
      <c r="FE68" s="81"/>
      <c r="FF68" s="81"/>
      <c r="FG68" s="82"/>
      <c r="FI68" s="81"/>
      <c r="FJ68" s="81"/>
      <c r="FK68" s="81"/>
      <c r="FL68" s="81"/>
      <c r="FM68" s="82"/>
      <c r="FO68" s="81"/>
      <c r="FP68" s="81"/>
      <c r="FQ68" s="81"/>
      <c r="FR68" s="81"/>
      <c r="FS68" s="82"/>
    </row>
    <row r="69" spans="3:175">
      <c r="C69" s="85"/>
      <c r="BO69" s="92">
        <v>-658.26014620994874</v>
      </c>
      <c r="BW69" s="93">
        <v>-658.26014620994874</v>
      </c>
      <c r="BY69" s="93">
        <v>-658.26014620994874</v>
      </c>
      <c r="CA69" s="94">
        <v>-658.26014620994874</v>
      </c>
      <c r="CC69" s="93">
        <v>-658.26014620994874</v>
      </c>
      <c r="CE69" s="93">
        <v>-658.26014620994874</v>
      </c>
      <c r="CG69" s="94">
        <v>-658.26014620994874</v>
      </c>
      <c r="CI69" s="93">
        <v>-658.26014620994874</v>
      </c>
      <c r="CK69" s="93">
        <v>-658.26014620994874</v>
      </c>
      <c r="CM69" s="94">
        <v>-658.26014620994874</v>
      </c>
      <c r="CO69" s="93">
        <v>-658.26014620994874</v>
      </c>
      <c r="CQ69" s="93">
        <v>-658.26014620994874</v>
      </c>
      <c r="CS69" s="94">
        <v>-658.26014620994874</v>
      </c>
      <c r="CT69" s="95"/>
      <c r="CU69" s="212">
        <f>CS69+CS42</f>
        <v>-64769.065586952405</v>
      </c>
      <c r="CV69" s="68"/>
      <c r="CW69" s="68">
        <f>CU69</f>
        <v>-64769.065586952405</v>
      </c>
      <c r="CX69" s="68"/>
      <c r="CY69" s="99">
        <f>CW69</f>
        <v>-64769.065586952405</v>
      </c>
      <c r="DA69" s="93">
        <f>CY69-(DA68*DA$5)</f>
        <v>-57893.441586952409</v>
      </c>
      <c r="DC69" s="93">
        <f>DA69-(DC68*DC$5)</f>
        <v>-48607.187186952411</v>
      </c>
      <c r="DE69" s="93">
        <f>DC69-(DE68*DE$5)</f>
        <v>-36233.894146952414</v>
      </c>
      <c r="DF69" s="80"/>
      <c r="DG69" s="93">
        <f>DE69-(DG68*DG$5)</f>
        <v>-26641.741070952416</v>
      </c>
      <c r="DI69" s="93">
        <f>DG69-(DI68*DI$5)</f>
        <v>-18499.021142952413</v>
      </c>
      <c r="DK69" s="94">
        <f>DI69-(DK68*DK$5)</f>
        <v>-12775.755054952413</v>
      </c>
      <c r="DM69" s="93">
        <f>DK69-(DM68*DM$5)</f>
        <v>-9461.7042869524121</v>
      </c>
      <c r="DO69" s="93">
        <f>DM69-(DO68*DO$5)</f>
        <v>-6784.3562789524121</v>
      </c>
      <c r="DQ69" s="94">
        <f>DO69-(DQ68*DQ$5)</f>
        <v>-4419.0750309524119</v>
      </c>
      <c r="DS69" s="93">
        <f>DQ69-(DS68*DS$5)</f>
        <v>-2053.4058845524119</v>
      </c>
      <c r="DU69" s="93">
        <f>DS69-(DU68*DU$5)</f>
        <v>358.63959544758791</v>
      </c>
      <c r="DW69" s="97">
        <f>DU69-(DW68*DW$5)</f>
        <v>4285.5198914475877</v>
      </c>
      <c r="DY69" s="75">
        <v>46387</v>
      </c>
      <c r="EC69" s="99"/>
      <c r="EE69" s="68"/>
      <c r="EG69" s="68"/>
      <c r="EI69" s="99"/>
      <c r="EK69" s="68"/>
      <c r="EM69" s="68"/>
      <c r="EO69" s="99"/>
      <c r="EQ69" s="68"/>
      <c r="ES69" s="68"/>
      <c r="EU69" s="99"/>
      <c r="EW69" s="68"/>
      <c r="EY69" s="68"/>
      <c r="FA69" s="99"/>
      <c r="FC69" s="68"/>
      <c r="FE69" s="68"/>
      <c r="FG69" s="99"/>
      <c r="FI69" s="68"/>
      <c r="FK69" s="68"/>
      <c r="FM69" s="99"/>
      <c r="FO69" s="68"/>
      <c r="FQ69" s="68"/>
      <c r="FS69" s="99"/>
    </row>
    <row r="70" spans="3:175">
      <c r="C70" s="72"/>
      <c r="CA70" s="79"/>
      <c r="CG70" s="79"/>
      <c r="CM70" s="79"/>
      <c r="CS70" s="100"/>
      <c r="CY70" s="79"/>
      <c r="DF70" s="80"/>
      <c r="DK70" s="79"/>
      <c r="DQ70" s="79"/>
      <c r="DW70" s="79"/>
      <c r="ED70" s="80"/>
      <c r="EJ70" s="80"/>
      <c r="EP70" s="80"/>
      <c r="EV70" s="80"/>
      <c r="FA70" s="79"/>
      <c r="FB70" s="80"/>
      <c r="FG70" s="79"/>
      <c r="FH70" s="80"/>
      <c r="FM70" s="79"/>
      <c r="FN70" s="80"/>
      <c r="FS70" s="79"/>
    </row>
    <row r="71" spans="3:175">
      <c r="C71" s="72"/>
      <c r="CA71" s="79"/>
      <c r="CG71" s="79"/>
      <c r="CM71" s="79"/>
      <c r="CS71" s="100"/>
      <c r="CY71" s="100"/>
      <c r="DF71" s="80"/>
      <c r="DK71" s="79"/>
      <c r="DQ71" s="79"/>
      <c r="DW71" s="79"/>
      <c r="ED71" s="80"/>
      <c r="EJ71" s="80"/>
      <c r="EP71" s="80"/>
      <c r="EV71" s="80"/>
      <c r="FA71" s="79"/>
      <c r="FB71" s="80"/>
      <c r="FG71" s="79"/>
      <c r="FH71" s="80"/>
      <c r="FM71" s="79"/>
      <c r="FN71" s="80"/>
      <c r="FS71" s="79"/>
    </row>
    <row r="72" spans="3:175">
      <c r="C72" s="102" t="s">
        <v>166</v>
      </c>
      <c r="BU72" s="64" t="s">
        <v>157</v>
      </c>
      <c r="CC72" s="86">
        <v>0</v>
      </c>
      <c r="CD72" s="87"/>
      <c r="CE72" s="88">
        <v>0</v>
      </c>
      <c r="CF72" s="81"/>
      <c r="CG72" s="89">
        <v>0</v>
      </c>
      <c r="CH72" s="81"/>
      <c r="CI72" s="88">
        <v>0</v>
      </c>
      <c r="CJ72" s="81"/>
      <c r="CK72" s="88">
        <v>0</v>
      </c>
      <c r="CL72" s="81"/>
      <c r="CM72" s="89">
        <v>0</v>
      </c>
      <c r="CN72" s="81"/>
      <c r="CO72" s="88">
        <v>0</v>
      </c>
      <c r="CP72" s="81"/>
      <c r="CQ72" s="88">
        <v>0</v>
      </c>
      <c r="CR72" s="81"/>
      <c r="CS72" s="89">
        <v>0</v>
      </c>
      <c r="CT72" s="81"/>
      <c r="CU72" s="88">
        <v>0</v>
      </c>
      <c r="CV72" s="81"/>
      <c r="CW72" s="88">
        <v>0</v>
      </c>
      <c r="CX72" s="81"/>
      <c r="CY72" s="89">
        <v>0</v>
      </c>
      <c r="CZ72" s="90"/>
      <c r="DA72" s="81"/>
      <c r="DB72" s="81"/>
      <c r="DC72" s="81"/>
      <c r="DD72" s="81"/>
      <c r="DE72" s="49" t="s">
        <v>236</v>
      </c>
      <c r="DF72" s="90"/>
      <c r="DG72" s="91">
        <v>0.59740000000000004</v>
      </c>
      <c r="DH72" s="81"/>
      <c r="DI72" s="88">
        <f>DG72</f>
        <v>0.59740000000000004</v>
      </c>
      <c r="DJ72" s="81"/>
      <c r="DK72" s="89">
        <f>DI72</f>
        <v>0.59740000000000004</v>
      </c>
      <c r="DL72" s="81"/>
      <c r="DM72" s="88">
        <f>DK72</f>
        <v>0.59740000000000004</v>
      </c>
      <c r="DN72" s="81"/>
      <c r="DO72" s="88">
        <f>DM72</f>
        <v>0.59740000000000004</v>
      </c>
      <c r="DP72" s="81"/>
      <c r="DQ72" s="89">
        <f>DO72</f>
        <v>0.59740000000000004</v>
      </c>
      <c r="DR72" s="81"/>
      <c r="DS72" s="88">
        <f>DQ72</f>
        <v>0.59740000000000004</v>
      </c>
      <c r="DT72" s="81"/>
      <c r="DU72" s="88">
        <f>DS72</f>
        <v>0.59740000000000004</v>
      </c>
      <c r="DV72" s="81"/>
      <c r="DW72" s="89">
        <f>DU72</f>
        <v>0.59740000000000004</v>
      </c>
      <c r="DX72" s="81"/>
      <c r="DY72" s="88">
        <f>DW72</f>
        <v>0.59740000000000004</v>
      </c>
      <c r="DZ72" s="81"/>
      <c r="EA72" s="88">
        <f>DY72</f>
        <v>0.59740000000000004</v>
      </c>
      <c r="EB72" s="81"/>
      <c r="EC72" s="89">
        <f>EA72</f>
        <v>0.59740000000000004</v>
      </c>
      <c r="EE72" s="81"/>
      <c r="EF72" s="81"/>
      <c r="EG72" s="81"/>
      <c r="EH72" s="81"/>
      <c r="EI72" s="82"/>
      <c r="EK72" s="81"/>
      <c r="EL72" s="81"/>
      <c r="EM72" s="81"/>
      <c r="EN72" s="81"/>
      <c r="EO72" s="82"/>
      <c r="EQ72" s="81"/>
      <c r="ER72" s="81"/>
      <c r="ES72" s="81"/>
      <c r="ET72" s="81"/>
      <c r="EU72" s="82"/>
      <c r="EW72" s="81"/>
      <c r="EX72" s="81"/>
      <c r="EY72" s="81"/>
      <c r="EZ72" s="81"/>
      <c r="FA72" s="82"/>
      <c r="FC72" s="81"/>
      <c r="FD72" s="81"/>
      <c r="FE72" s="81"/>
      <c r="FF72" s="81"/>
      <c r="FG72" s="82"/>
      <c r="FI72" s="81"/>
      <c r="FJ72" s="81"/>
      <c r="FK72" s="81"/>
      <c r="FL72" s="81"/>
      <c r="FM72" s="82"/>
      <c r="FO72" s="81"/>
      <c r="FP72" s="81"/>
      <c r="FQ72" s="81"/>
      <c r="FR72" s="81"/>
      <c r="FS72" s="82"/>
    </row>
    <row r="73" spans="3:175">
      <c r="C73" s="72"/>
      <c r="BU73" s="92">
        <v>38854.414045283309</v>
      </c>
      <c r="BW73" s="68">
        <v>38854.414045283309</v>
      </c>
      <c r="BY73" s="68">
        <v>38854.414045283309</v>
      </c>
      <c r="CA73" s="68">
        <v>38854.414045283309</v>
      </c>
      <c r="CC73" s="93">
        <v>38854.414045283309</v>
      </c>
      <c r="CE73" s="93">
        <v>38854.414045283309</v>
      </c>
      <c r="CG73" s="94">
        <v>38854.414045283309</v>
      </c>
      <c r="CI73" s="93">
        <v>38854.414045283309</v>
      </c>
      <c r="CK73" s="93">
        <v>38854.414045283309</v>
      </c>
      <c r="CM73" s="94">
        <v>38854.414045283309</v>
      </c>
      <c r="CO73" s="93">
        <v>38854.414045283309</v>
      </c>
      <c r="CQ73" s="93">
        <v>38854.414045283309</v>
      </c>
      <c r="CS73" s="94">
        <v>38854.414045283309</v>
      </c>
      <c r="CU73" s="93">
        <v>38854.414045283309</v>
      </c>
      <c r="CW73" s="93">
        <v>38854.414045283309</v>
      </c>
      <c r="CY73" s="94">
        <v>38854.414045283309</v>
      </c>
      <c r="CZ73" s="95"/>
      <c r="DA73" s="212">
        <f>CY73+CY46</f>
        <v>84506.404292657942</v>
      </c>
      <c r="DB73" s="68"/>
      <c r="DC73" s="68">
        <f>DA73</f>
        <v>84506.404292657942</v>
      </c>
      <c r="DD73" s="68"/>
      <c r="DE73" s="68">
        <f>DC73</f>
        <v>84506.404292657942</v>
      </c>
      <c r="DF73" s="80"/>
      <c r="DG73" s="93">
        <f>DE73-(DG72*DG$5)</f>
        <v>77622.271366657937</v>
      </c>
      <c r="DI73" s="93">
        <f>DG73-(DI72*DI$5)</f>
        <v>71778.373138657931</v>
      </c>
      <c r="DK73" s="94">
        <f>DI73-(DK72*DK$5)</f>
        <v>67670.877750657935</v>
      </c>
      <c r="DM73" s="93">
        <f>DK73-(DM72*DM$5)</f>
        <v>65292.437182657937</v>
      </c>
      <c r="DO73" s="93">
        <f>DM73-(DO72*DO$5)</f>
        <v>63370.947874657941</v>
      </c>
      <c r="DQ73" s="94">
        <f>DO73-(DQ72*DQ$5)</f>
        <v>61673.423826657941</v>
      </c>
      <c r="DS73" s="93">
        <f>DQ73-(DS72*DS$5)</f>
        <v>59975.62139025794</v>
      </c>
      <c r="DU73" s="93">
        <f>DS73-(DU72*DU$5)</f>
        <v>58244.535410257937</v>
      </c>
      <c r="DW73" s="94">
        <f>DU73-(DW72*DW$5)</f>
        <v>55426.277014257939</v>
      </c>
      <c r="DY73" s="93">
        <f>DW73-(DY72*DY$5)</f>
        <v>50922.920490257937</v>
      </c>
      <c r="EA73" s="93">
        <f>DY73-(EA72*EA$5)</f>
        <v>44721.000442257937</v>
      </c>
      <c r="EC73" s="97">
        <f>EA73-(EC72*EC$5)</f>
        <v>36555.008414257936</v>
      </c>
      <c r="EE73" s="75">
        <v>46477</v>
      </c>
      <c r="EI73" s="99"/>
      <c r="EK73" s="68"/>
      <c r="EM73" s="68"/>
      <c r="EO73" s="99"/>
      <c r="EQ73" s="68"/>
      <c r="ES73" s="68"/>
      <c r="EU73" s="99"/>
      <c r="EW73" s="68"/>
      <c r="EY73" s="68"/>
      <c r="FA73" s="99"/>
      <c r="FC73" s="68"/>
      <c r="FE73" s="68"/>
      <c r="FG73" s="99"/>
      <c r="FI73" s="68"/>
      <c r="FK73" s="68"/>
      <c r="FM73" s="99"/>
      <c r="FO73" s="68"/>
      <c r="FQ73" s="68"/>
      <c r="FS73" s="99"/>
    </row>
    <row r="74" spans="3:175">
      <c r="C74" s="72"/>
      <c r="CG74" s="79"/>
      <c r="CM74" s="79"/>
      <c r="CS74" s="79"/>
      <c r="CY74" s="100"/>
      <c r="DF74" s="80"/>
      <c r="DK74" s="79"/>
      <c r="DQ74" s="79"/>
      <c r="DW74" s="79"/>
      <c r="EC74" s="79"/>
      <c r="EJ74" s="80"/>
      <c r="EP74" s="80"/>
      <c r="EV74" s="80"/>
      <c r="FA74" s="79"/>
      <c r="FB74" s="80"/>
      <c r="FG74" s="79"/>
      <c r="FH74" s="80"/>
      <c r="FM74" s="79"/>
      <c r="FN74" s="80"/>
      <c r="FS74" s="79"/>
    </row>
    <row r="75" spans="3:175">
      <c r="C75" s="72"/>
      <c r="CG75" s="79"/>
      <c r="CM75" s="79"/>
      <c r="CS75" s="79"/>
      <c r="CY75" s="100"/>
      <c r="DE75" s="230"/>
      <c r="DF75" s="80"/>
      <c r="DK75" s="79"/>
      <c r="DQ75" s="79"/>
      <c r="DW75" s="79"/>
      <c r="EC75" s="79"/>
      <c r="EJ75" s="80"/>
      <c r="EP75" s="80"/>
      <c r="EV75" s="80"/>
      <c r="FA75" s="79"/>
      <c r="FB75" s="80"/>
      <c r="FG75" s="79"/>
      <c r="FH75" s="80"/>
      <c r="FM75" s="79"/>
      <c r="FN75" s="80"/>
      <c r="FS75" s="79"/>
    </row>
    <row r="76" spans="3:175">
      <c r="C76" s="85" t="s">
        <v>164</v>
      </c>
      <c r="CA76" s="49" t="s">
        <v>158</v>
      </c>
      <c r="CI76" s="86">
        <v>1.3682000000000001</v>
      </c>
      <c r="CJ76" s="87"/>
      <c r="CK76" s="88">
        <f>CI76</f>
        <v>1.3682000000000001</v>
      </c>
      <c r="CL76" s="81"/>
      <c r="CM76" s="89">
        <f>CK76</f>
        <v>1.3682000000000001</v>
      </c>
      <c r="CN76" s="81"/>
      <c r="CO76" s="88">
        <f>CM76</f>
        <v>1.3682000000000001</v>
      </c>
      <c r="CP76" s="81"/>
      <c r="CQ76" s="88">
        <f>CO76</f>
        <v>1.3682000000000001</v>
      </c>
      <c r="CR76" s="81"/>
      <c r="CS76" s="89">
        <f>CQ76</f>
        <v>1.3682000000000001</v>
      </c>
      <c r="CT76" s="81"/>
      <c r="CU76" s="88">
        <f>CS76</f>
        <v>1.3682000000000001</v>
      </c>
      <c r="CV76" s="81"/>
      <c r="CW76" s="88">
        <f>CU76</f>
        <v>1.3682000000000001</v>
      </c>
      <c r="CX76" s="81"/>
      <c r="CY76" s="89">
        <f>CW76</f>
        <v>1.3682000000000001</v>
      </c>
      <c r="CZ76" s="81"/>
      <c r="DA76" s="88">
        <f>CY76</f>
        <v>1.3682000000000001</v>
      </c>
      <c r="DB76" s="81"/>
      <c r="DC76" s="88">
        <f>DA76</f>
        <v>1.3682000000000001</v>
      </c>
      <c r="DD76" s="81"/>
      <c r="DE76" s="88">
        <f>DC76</f>
        <v>1.3682000000000001</v>
      </c>
      <c r="DF76" s="90"/>
      <c r="DG76" s="81"/>
      <c r="DH76" s="81"/>
      <c r="DI76" s="81"/>
      <c r="DJ76" s="81"/>
      <c r="DK76" s="82"/>
      <c r="DL76" s="81"/>
      <c r="DM76" s="91">
        <f>'Sch V BA'!J53</f>
        <v>-0.2457</v>
      </c>
      <c r="DN76" s="81"/>
      <c r="DO76" s="88">
        <f>DM76</f>
        <v>-0.2457</v>
      </c>
      <c r="DP76" s="81"/>
      <c r="DQ76" s="89">
        <f>DO76</f>
        <v>-0.2457</v>
      </c>
      <c r="DR76" s="81"/>
      <c r="DS76" s="88">
        <f>DQ76</f>
        <v>-0.2457</v>
      </c>
      <c r="DT76" s="81"/>
      <c r="DU76" s="88">
        <f>DS76</f>
        <v>-0.2457</v>
      </c>
      <c r="DV76" s="81"/>
      <c r="DW76" s="89">
        <f>DU76</f>
        <v>-0.2457</v>
      </c>
      <c r="DX76" s="81"/>
      <c r="DY76" s="88">
        <f>DW76</f>
        <v>-0.2457</v>
      </c>
      <c r="DZ76" s="81"/>
      <c r="EA76" s="88">
        <f>DY76</f>
        <v>-0.2457</v>
      </c>
      <c r="EB76" s="81"/>
      <c r="EC76" s="89">
        <f>EA76</f>
        <v>-0.2457</v>
      </c>
      <c r="ED76" s="81"/>
      <c r="EE76" s="88">
        <f>EC76</f>
        <v>-0.2457</v>
      </c>
      <c r="EF76" s="81"/>
      <c r="EG76" s="88">
        <f>EE76</f>
        <v>-0.2457</v>
      </c>
      <c r="EH76" s="81"/>
      <c r="EI76" s="89">
        <f>EG76</f>
        <v>-0.2457</v>
      </c>
      <c r="EP76" s="80"/>
      <c r="EV76" s="80"/>
      <c r="FA76" s="79"/>
      <c r="FB76" s="80"/>
      <c r="FG76" s="79"/>
      <c r="FH76" s="80"/>
      <c r="FM76" s="79"/>
      <c r="FN76" s="80"/>
      <c r="FS76" s="79"/>
    </row>
    <row r="77" spans="3:175">
      <c r="C77" s="72"/>
      <c r="CA77" s="92">
        <v>99390.269489158352</v>
      </c>
      <c r="CC77" s="68">
        <v>99390.269489158352</v>
      </c>
      <c r="CE77" s="68">
        <v>99390.269489158352</v>
      </c>
      <c r="CG77" s="68">
        <v>99390.269489158352</v>
      </c>
      <c r="CI77" s="93">
        <f>CG77-(CI76*CI$5)</f>
        <v>84374.137669158357</v>
      </c>
      <c r="CK77" s="93">
        <f>CI77-(CK76*CK$5)</f>
        <v>73898.78800915835</v>
      </c>
      <c r="CM77" s="94">
        <f>CK77-(CM76*CM$5)</f>
        <v>67722.185929158353</v>
      </c>
      <c r="CO77" s="93">
        <f>CM77-(CO76*CO$5)</f>
        <v>64002.597409158356</v>
      </c>
      <c r="CQ77" s="93">
        <f>CO77-(CQ76*CQ$5)</f>
        <v>60895.415209158353</v>
      </c>
      <c r="CS77" s="94">
        <f>CQ77-(CS76*CS$5)</f>
        <v>57886.19612915835</v>
      </c>
      <c r="CU77" s="93">
        <f>CS77-(CU76*CU$5)</f>
        <v>54209.84272915835</v>
      </c>
      <c r="CW77" s="93">
        <f>CU77-(CW76*CW$5)</f>
        <v>48143.243929158351</v>
      </c>
      <c r="CY77" s="94">
        <f>CW77-(CY76*CY$5)</f>
        <v>40697.499529158347</v>
      </c>
      <c r="DA77" s="93">
        <f>CY77-(DA76*DA$5)</f>
        <v>29396.167529158345</v>
      </c>
      <c r="DC77" s="93">
        <f>DA77-(DC76*DC$5)</f>
        <v>14132.528329158344</v>
      </c>
      <c r="DE77" s="93">
        <f>DC77-(DE76*DE$5)</f>
        <v>-6205.2173908416553</v>
      </c>
      <c r="DF77" s="95"/>
      <c r="DG77" s="212">
        <f>DE77+DE55</f>
        <v>-18965.473644452301</v>
      </c>
      <c r="DH77" s="68"/>
      <c r="DI77" s="68">
        <f>DG77</f>
        <v>-18965.473644452301</v>
      </c>
      <c r="DJ77" s="68"/>
      <c r="DK77" s="99">
        <f>DI77</f>
        <v>-18965.473644452301</v>
      </c>
      <c r="DM77" s="93">
        <f>DK77-(DM76*DM$5)</f>
        <v>-17987.263320452301</v>
      </c>
      <c r="DO77" s="93">
        <f>DM77-(DO76*DO$5)</f>
        <v>-17196.988926452301</v>
      </c>
      <c r="DQ77" s="94">
        <f>DO77-(DQ76*DQ$5)</f>
        <v>-16498.8274624523</v>
      </c>
      <c r="DS77" s="93">
        <f>DQ77-(DS76*DS$5)</f>
        <v>-15800.5515022523</v>
      </c>
      <c r="DU77" s="93">
        <f>DS77-(DU76*DU$5)</f>
        <v>-15088.5866122523</v>
      </c>
      <c r="DW77" s="94">
        <f>DU77-(DW76*DW$5)</f>
        <v>-13929.487034252301</v>
      </c>
      <c r="DY77" s="93">
        <f>DW77-(DY76*DY$5)</f>
        <v>-12077.336552252302</v>
      </c>
      <c r="EA77" s="93">
        <f>DY77-(EA76*EA$5)</f>
        <v>-9526.5970882523015</v>
      </c>
      <c r="EC77" s="94">
        <f>EA77-(EC76*EC$5)</f>
        <v>-6168.0697342523017</v>
      </c>
      <c r="EE77" s="93">
        <f>EC77-(EE76*EE$5)</f>
        <v>-3336.7482412523023</v>
      </c>
      <c r="EG77" s="93">
        <f>EE77-(EG76*EG$5)</f>
        <v>-933.25678725230182</v>
      </c>
      <c r="EI77" s="97">
        <f>EG77-(EI76*EI$5)</f>
        <v>756.08304674769829</v>
      </c>
      <c r="EP77" s="80"/>
      <c r="EV77" s="80"/>
      <c r="FA77" s="79"/>
      <c r="FB77" s="80"/>
      <c r="FG77" s="79"/>
      <c r="FH77" s="80"/>
      <c r="FM77" s="79"/>
      <c r="FN77" s="80"/>
      <c r="FS77" s="79"/>
    </row>
    <row r="78" spans="3:175">
      <c r="C78" s="72"/>
      <c r="CM78" s="79"/>
      <c r="CS78" s="79"/>
      <c r="CY78" s="79"/>
      <c r="DE78" s="230"/>
      <c r="DF78" s="80"/>
      <c r="DK78" s="79"/>
      <c r="DQ78" s="79"/>
      <c r="DW78" s="79"/>
      <c r="EC78" s="79"/>
      <c r="EI78" s="79"/>
      <c r="EP78" s="80"/>
      <c r="EV78" s="80"/>
      <c r="FA78" s="79"/>
      <c r="FB78" s="80"/>
      <c r="FG78" s="79"/>
      <c r="FH78" s="80"/>
      <c r="FM78" s="79"/>
      <c r="FN78" s="80"/>
      <c r="FS78" s="79"/>
    </row>
    <row r="79" spans="3:175">
      <c r="C79" s="72"/>
      <c r="CM79" s="79"/>
      <c r="CS79" s="79"/>
      <c r="CY79" s="79"/>
      <c r="DE79" s="230"/>
      <c r="DF79" s="80"/>
      <c r="DK79" s="100"/>
      <c r="DQ79" s="79"/>
      <c r="DW79" s="79"/>
      <c r="EC79" s="79"/>
      <c r="EI79" s="79"/>
      <c r="EP79" s="80"/>
      <c r="EV79" s="80"/>
      <c r="FA79" s="79"/>
      <c r="FB79" s="80"/>
      <c r="FG79" s="79"/>
      <c r="FH79" s="80"/>
      <c r="FM79" s="79"/>
      <c r="FN79" s="80"/>
      <c r="FS79" s="79"/>
    </row>
    <row r="80" spans="3:175">
      <c r="C80" s="85" t="s">
        <v>162</v>
      </c>
      <c r="CG80" s="64" t="s">
        <v>159</v>
      </c>
      <c r="CO80" s="86">
        <v>1.4267000000000001</v>
      </c>
      <c r="CP80" s="87"/>
      <c r="CQ80" s="88">
        <f>CO80</f>
        <v>1.4267000000000001</v>
      </c>
      <c r="CR80" s="81"/>
      <c r="CS80" s="89">
        <f>CQ80</f>
        <v>1.4267000000000001</v>
      </c>
      <c r="CT80" s="81"/>
      <c r="CU80" s="256">
        <f>CS80</f>
        <v>1.4267000000000001</v>
      </c>
      <c r="CV80" s="257"/>
      <c r="CW80" s="256">
        <f>CU80</f>
        <v>1.4267000000000001</v>
      </c>
      <c r="CX80" s="257"/>
      <c r="CY80" s="258">
        <f>CW80</f>
        <v>1.4267000000000001</v>
      </c>
      <c r="CZ80" s="257"/>
      <c r="DA80" s="256">
        <f>CY80</f>
        <v>1.4267000000000001</v>
      </c>
      <c r="DB80" s="257"/>
      <c r="DC80" s="256">
        <f>DA80</f>
        <v>1.4267000000000001</v>
      </c>
      <c r="DD80" s="257"/>
      <c r="DE80" s="256">
        <f>DC80</f>
        <v>1.4267000000000001</v>
      </c>
      <c r="DF80" s="90"/>
      <c r="DG80" s="88">
        <v>1.4267000000000001</v>
      </c>
      <c r="DH80" s="81"/>
      <c r="DI80" s="88">
        <f>DG80</f>
        <v>1.4267000000000001</v>
      </c>
      <c r="DJ80" s="81"/>
      <c r="DK80" s="89">
        <f>DI80</f>
        <v>1.4267000000000001</v>
      </c>
      <c r="DL80" s="90"/>
      <c r="DM80" s="81"/>
      <c r="DN80" s="81"/>
      <c r="DO80" s="81"/>
      <c r="DP80" s="81"/>
      <c r="DQ80" s="82"/>
      <c r="DR80" s="81"/>
      <c r="DS80" s="91">
        <f>DM81/SUM(DS$5:EO$5)</f>
        <v>6.9779358957923661E-4</v>
      </c>
      <c r="DT80" s="81"/>
      <c r="DU80" s="88">
        <f>DS80</f>
        <v>6.9779358957923661E-4</v>
      </c>
      <c r="DV80" s="81"/>
      <c r="DW80" s="89">
        <f>DU80</f>
        <v>6.9779358957923661E-4</v>
      </c>
      <c r="DX80" s="81"/>
      <c r="DY80" s="88">
        <f>DW80</f>
        <v>6.9779358957923661E-4</v>
      </c>
      <c r="DZ80" s="81"/>
      <c r="EA80" s="88">
        <f>DY80</f>
        <v>6.9779358957923661E-4</v>
      </c>
      <c r="EB80" s="81"/>
      <c r="EC80" s="89">
        <f>EA80</f>
        <v>6.9779358957923661E-4</v>
      </c>
      <c r="ED80" s="81"/>
      <c r="EE80" s="88">
        <f>EC80</f>
        <v>6.9779358957923661E-4</v>
      </c>
      <c r="EF80" s="81"/>
      <c r="EG80" s="88">
        <f>EE80</f>
        <v>6.9779358957923661E-4</v>
      </c>
      <c r="EH80" s="81"/>
      <c r="EI80" s="89">
        <f>EG80</f>
        <v>6.9779358957923661E-4</v>
      </c>
      <c r="EJ80" s="81"/>
      <c r="EK80" s="88">
        <f>EI80</f>
        <v>6.9779358957923661E-4</v>
      </c>
      <c r="EL80" s="81"/>
      <c r="EM80" s="88">
        <f>EK80</f>
        <v>6.9779358957923661E-4</v>
      </c>
      <c r="EN80" s="81"/>
      <c r="EO80" s="89">
        <f>EM80</f>
        <v>6.9779358957923661E-4</v>
      </c>
      <c r="EQ80" s="81"/>
      <c r="ER80" s="81"/>
      <c r="ES80" s="81"/>
      <c r="ET80" s="81"/>
      <c r="EU80" s="82"/>
      <c r="EW80" s="81"/>
      <c r="EX80" s="81"/>
      <c r="EY80" s="81"/>
      <c r="EZ80" s="81"/>
      <c r="FA80" s="82"/>
      <c r="FC80" s="81"/>
      <c r="FD80" s="81"/>
      <c r="FE80" s="81"/>
      <c r="FF80" s="81"/>
      <c r="FG80" s="82"/>
      <c r="FI80" s="81"/>
      <c r="FJ80" s="81"/>
      <c r="FK80" s="81"/>
      <c r="FL80" s="81"/>
      <c r="FM80" s="82"/>
      <c r="FO80" s="81"/>
      <c r="FP80" s="81"/>
      <c r="FQ80" s="81"/>
      <c r="FR80" s="81"/>
      <c r="FS80" s="82"/>
    </row>
    <row r="81" spans="3:175">
      <c r="C81" s="72"/>
      <c r="CG81" s="92">
        <v>130897.10803568698</v>
      </c>
      <c r="CI81" s="68">
        <v>130897.10803568698</v>
      </c>
      <c r="CK81" s="68">
        <v>130897.10803568698</v>
      </c>
      <c r="CM81" s="68">
        <v>130897.10803568698</v>
      </c>
      <c r="CO81" s="93">
        <f>CM81-(CO80*CO$5)</f>
        <v>127018.48141568698</v>
      </c>
      <c r="CQ81" s="93">
        <f>CO81-(CQ80*CQ$5)</f>
        <v>123778.44571568698</v>
      </c>
      <c r="CS81" s="94">
        <f>CQ81-(CS80*CS$5)</f>
        <v>120640.56173568698</v>
      </c>
      <c r="CU81" s="93">
        <f>CS81-(CU80*CU$5)</f>
        <v>116807.01883568698</v>
      </c>
      <c r="CW81" s="93">
        <f>CU81-(CW80*CW$5)</f>
        <v>110481.03103568697</v>
      </c>
      <c r="CY81" s="94">
        <f>CW81-(CY80*CY$5)</f>
        <v>102716.92963568697</v>
      </c>
      <c r="DA81" s="93">
        <f>CY81-(DA80*DA$5)</f>
        <v>90932.387635686973</v>
      </c>
      <c r="DC81" s="93">
        <f>DA81-(DC80*DC$5)</f>
        <v>75016.122435686964</v>
      </c>
      <c r="DE81" s="93">
        <f>DC81-(DE80*DE$5)</f>
        <v>53808.79761568697</v>
      </c>
      <c r="DF81" s="80"/>
      <c r="DG81" s="93">
        <f>DE81-(DG80*DG$5)</f>
        <v>37368.234432686972</v>
      </c>
      <c r="DI81" s="93">
        <f>DG81-(DI80*DI$5)</f>
        <v>23411.941158686968</v>
      </c>
      <c r="DK81" s="94">
        <f>DI81-(DK80*DK$5)</f>
        <v>13602.494104686966</v>
      </c>
      <c r="DL81" s="95"/>
      <c r="DM81" s="212">
        <f>DK81+DK61</f>
        <v>56.009669660736108</v>
      </c>
      <c r="DN81" s="68"/>
      <c r="DO81" s="68">
        <f>DM81</f>
        <v>56.009669660736108</v>
      </c>
      <c r="DP81" s="68"/>
      <c r="DQ81" s="99">
        <f>DO81</f>
        <v>56.009669660736108</v>
      </c>
      <c r="DS81" s="93">
        <f>DQ81-(DS80*DS$5)</f>
        <v>54.026550048262173</v>
      </c>
      <c r="DU81" s="93">
        <f>DS81-(DU80*DU$5)</f>
        <v>52.004553563738419</v>
      </c>
      <c r="DW81" s="94">
        <f>DU81-(DW80*DW$5)</f>
        <v>48.712684393154788</v>
      </c>
      <c r="DY81" s="93">
        <f>DW81-(DY80*DY$5)</f>
        <v>43.452534888573211</v>
      </c>
      <c r="EA81" s="93">
        <f>DY81-(EA80*EA$5)</f>
        <v>36.208376782484578</v>
      </c>
      <c r="EC81" s="94">
        <f>EA81-(EC80*EC$5)</f>
        <v>26.670082691936287</v>
      </c>
      <c r="EE81" s="93">
        <f>EC81-(EE80*EE$5)</f>
        <v>18.62906524035585</v>
      </c>
      <c r="EG81" s="93">
        <f>EE81-(EG80*EG$5)</f>
        <v>11.803094832502049</v>
      </c>
      <c r="EI81" s="94">
        <f>EG81-(EI80*EI$5)</f>
        <v>7.0053312721192578</v>
      </c>
      <c r="EK81" s="93">
        <f>EI81-(EK80*EK$5)</f>
        <v>4.2271916980556519</v>
      </c>
      <c r="EM81" s="93">
        <f>EK81-(EM80*EM$5)</f>
        <v>1.9827944406612041</v>
      </c>
      <c r="EO81" s="97">
        <f>EM81-(EO80*EO$5)</f>
        <v>1.1768364061026659E-14</v>
      </c>
      <c r="EQ81" s="68"/>
      <c r="ES81" s="68"/>
      <c r="EU81" s="99"/>
      <c r="EW81" s="68"/>
      <c r="EY81" s="68"/>
      <c r="FA81" s="99"/>
      <c r="FC81" s="68"/>
      <c r="FE81" s="68"/>
      <c r="FG81" s="99"/>
      <c r="FI81" s="68"/>
      <c r="FK81" s="68"/>
      <c r="FM81" s="99"/>
      <c r="FO81" s="68"/>
      <c r="FQ81" s="68"/>
      <c r="FS81" s="99"/>
    </row>
    <row r="82" spans="3:175">
      <c r="C82" s="72"/>
      <c r="CS82" s="79"/>
      <c r="CY82" s="79"/>
      <c r="DF82" s="80"/>
      <c r="DK82" s="100"/>
      <c r="DQ82" s="79"/>
      <c r="DW82" s="79"/>
      <c r="EC82" s="79"/>
      <c r="EI82" s="79"/>
      <c r="EO82" s="79"/>
      <c r="EV82" s="80"/>
      <c r="FA82" s="79"/>
      <c r="FB82" s="80"/>
      <c r="FG82" s="79"/>
      <c r="FH82" s="80"/>
      <c r="FM82" s="79"/>
      <c r="FN82" s="80"/>
      <c r="FS82" s="79"/>
    </row>
    <row r="83" spans="3:175">
      <c r="C83" s="72"/>
      <c r="CS83" s="79"/>
      <c r="CY83" s="79"/>
      <c r="DF83" s="80"/>
      <c r="DK83" s="100"/>
      <c r="DQ83" s="100"/>
      <c r="DW83" s="79"/>
      <c r="EC83" s="79"/>
      <c r="EI83" s="79"/>
      <c r="EO83" s="79"/>
      <c r="EV83" s="80"/>
      <c r="FA83" s="79"/>
      <c r="FB83" s="80"/>
      <c r="FG83" s="79"/>
      <c r="FH83" s="80"/>
      <c r="FM83" s="79"/>
      <c r="FN83" s="80"/>
      <c r="FS83" s="79"/>
    </row>
    <row r="84" spans="3:175">
      <c r="C84" s="85" t="s">
        <v>161</v>
      </c>
      <c r="CM84" s="64" t="s">
        <v>234</v>
      </c>
      <c r="CU84" s="86">
        <v>-0.14269999999999999</v>
      </c>
      <c r="CV84" s="87"/>
      <c r="CW84" s="88">
        <f>CU84</f>
        <v>-0.14269999999999999</v>
      </c>
      <c r="CX84" s="81"/>
      <c r="CY84" s="89">
        <f>CW84</f>
        <v>-0.14269999999999999</v>
      </c>
      <c r="CZ84" s="81"/>
      <c r="DA84" s="88">
        <f>CY84</f>
        <v>-0.14269999999999999</v>
      </c>
      <c r="DB84" s="81"/>
      <c r="DC84" s="88">
        <f>DA84</f>
        <v>-0.14269999999999999</v>
      </c>
      <c r="DD84" s="81"/>
      <c r="DE84" s="88">
        <f>DC84</f>
        <v>-0.14269999999999999</v>
      </c>
      <c r="DF84" s="90"/>
      <c r="DG84" s="88">
        <f>DE84</f>
        <v>-0.14269999999999999</v>
      </c>
      <c r="DH84" s="81"/>
      <c r="DI84" s="88">
        <f>DG84</f>
        <v>-0.14269999999999999</v>
      </c>
      <c r="DJ84" s="81"/>
      <c r="DK84" s="89">
        <f>DI84</f>
        <v>-0.14269999999999999</v>
      </c>
      <c r="DL84" s="81"/>
      <c r="DM84" s="88">
        <f>DK84</f>
        <v>-0.14269999999999999</v>
      </c>
      <c r="DN84" s="81"/>
      <c r="DO84" s="88">
        <f>DM84</f>
        <v>-0.14269999999999999</v>
      </c>
      <c r="DP84" s="81"/>
      <c r="DQ84" s="89">
        <f>DO84</f>
        <v>-0.14269999999999999</v>
      </c>
      <c r="DR84" s="90"/>
      <c r="DS84" s="81"/>
      <c r="DT84" s="81"/>
      <c r="DU84" s="81"/>
      <c r="DV84" s="81"/>
      <c r="DW84" s="82"/>
      <c r="DX84" s="81"/>
      <c r="DY84" s="91">
        <f>DS85/SUM(DY$5:EU$5)</f>
        <v>0.44138070419290187</v>
      </c>
      <c r="DZ84" s="81"/>
      <c r="EA84" s="88">
        <f>DY84</f>
        <v>0.44138070419290187</v>
      </c>
      <c r="EB84" s="81"/>
      <c r="EC84" s="89">
        <f>EA84</f>
        <v>0.44138070419290187</v>
      </c>
      <c r="ED84" s="81"/>
      <c r="EE84" s="88">
        <f>EC84</f>
        <v>0.44138070419290187</v>
      </c>
      <c r="EF84" s="81"/>
      <c r="EG84" s="88">
        <f>EE84</f>
        <v>0.44138070419290187</v>
      </c>
      <c r="EH84" s="81"/>
      <c r="EI84" s="89">
        <f>EG84</f>
        <v>0.44138070419290187</v>
      </c>
      <c r="EJ84" s="81"/>
      <c r="EK84" s="88">
        <f>EI84</f>
        <v>0.44138070419290187</v>
      </c>
      <c r="EL84" s="81"/>
      <c r="EM84" s="88">
        <f>EK84</f>
        <v>0.44138070419290187</v>
      </c>
      <c r="EN84" s="81"/>
      <c r="EO84" s="89">
        <f>EM84</f>
        <v>0.44138070419290187</v>
      </c>
      <c r="EP84" s="81"/>
      <c r="EQ84" s="88">
        <f>EO84</f>
        <v>0.44138070419290187</v>
      </c>
      <c r="ER84" s="81"/>
      <c r="ES84" s="88">
        <f>EQ84</f>
        <v>0.44138070419290187</v>
      </c>
      <c r="ET84" s="81"/>
      <c r="EU84" s="89">
        <f>ES84</f>
        <v>0.44138070419290187</v>
      </c>
      <c r="EW84" s="81"/>
      <c r="EX84" s="81"/>
      <c r="EY84" s="81"/>
      <c r="EZ84" s="81"/>
      <c r="FA84" s="82"/>
      <c r="FC84" s="81"/>
      <c r="FD84" s="81"/>
      <c r="FE84" s="81"/>
      <c r="FF84" s="81"/>
      <c r="FG84" s="82"/>
      <c r="FI84" s="81"/>
      <c r="FJ84" s="81"/>
      <c r="FK84" s="81"/>
      <c r="FL84" s="81"/>
      <c r="FM84" s="82"/>
      <c r="FO84" s="81"/>
      <c r="FP84" s="81"/>
      <c r="FQ84" s="81"/>
      <c r="FR84" s="81"/>
      <c r="FS84" s="82"/>
    </row>
    <row r="85" spans="3:175">
      <c r="C85" s="72"/>
      <c r="CM85" s="211">
        <v>-11139.677768361973</v>
      </c>
      <c r="CO85" s="22">
        <f>CM85</f>
        <v>-11139.677768361973</v>
      </c>
      <c r="CQ85" s="22">
        <f>CO85</f>
        <v>-11139.677768361973</v>
      </c>
      <c r="CS85" s="22">
        <f>CQ85</f>
        <v>-11139.677768361973</v>
      </c>
      <c r="CU85" s="93">
        <f>CS85-(CU84*CU$5)</f>
        <v>-10756.242868361973</v>
      </c>
      <c r="CW85" s="93">
        <f>CU85-(CW84*CW$5)</f>
        <v>-10123.511068361973</v>
      </c>
      <c r="CY85" s="94">
        <f>CW85-(CY84*CY$5)</f>
        <v>-9346.9376683619739</v>
      </c>
      <c r="DA85" s="93">
        <f>CY85-(DA84*DA$5)</f>
        <v>-8168.2356683619737</v>
      </c>
      <c r="DC85" s="93">
        <f>DA85-(DC84*DC$5)</f>
        <v>-6576.274468361974</v>
      </c>
      <c r="DE85" s="93">
        <f>DC85-(DE84*DE$5)</f>
        <v>-4455.0960483619747</v>
      </c>
      <c r="DF85" s="80"/>
      <c r="DG85" s="93">
        <f>DE85-(DG84*DG$5)</f>
        <v>-2810.694025361975</v>
      </c>
      <c r="DI85" s="93">
        <f>DG85-(DI84*DI$5)</f>
        <v>-1414.771231361975</v>
      </c>
      <c r="DK85" s="94">
        <f>DI85-(DK84*DK$5)</f>
        <v>-433.62025736197495</v>
      </c>
      <c r="DM85" s="93">
        <f>DK85-(DM84*DM$5)</f>
        <v>134.51410663802505</v>
      </c>
      <c r="DO85" s="93">
        <f>DM85-(DO84*DO$5)</f>
        <v>593.497240638025</v>
      </c>
      <c r="DQ85" s="94">
        <f>DO85-(DQ84*DQ$5)</f>
        <v>998.98214463802492</v>
      </c>
      <c r="DR85" s="95"/>
      <c r="DS85" s="212">
        <f>DQ85+DQ65</f>
        <v>35428.223769402088</v>
      </c>
      <c r="DT85" s="68"/>
      <c r="DU85" s="68">
        <f>DS85</f>
        <v>35428.223769402088</v>
      </c>
      <c r="DV85" s="68"/>
      <c r="DW85" s="99">
        <f>DU85</f>
        <v>35428.223769402088</v>
      </c>
      <c r="DY85" s="93">
        <f>DW85-(DY84*DY$5)</f>
        <v>32100.981262212903</v>
      </c>
      <c r="EA85" s="93">
        <f>DY85-(EA84*EA$5)</f>
        <v>27518.778654020207</v>
      </c>
      <c r="EC85" s="94">
        <f>EA85-(EC84*EC$5)</f>
        <v>21485.44870465251</v>
      </c>
      <c r="EE85" s="93">
        <f>EC85-(EE84*EE$5)</f>
        <v>16399.202573692648</v>
      </c>
      <c r="EG85" s="93">
        <f>EE85-(EG84*EG$5)</f>
        <v>12081.51942152276</v>
      </c>
      <c r="EI85" s="94">
        <f>EG85-(EI84*EI$5)</f>
        <v>9046.7534241599606</v>
      </c>
      <c r="EK85" s="93">
        <f>EI85-(EK84*EK$5)</f>
        <v>7289.4755989426767</v>
      </c>
      <c r="EM85" s="93">
        <f>EK85-(EM84*EM$5)</f>
        <v>5869.8098743625433</v>
      </c>
      <c r="EO85" s="94">
        <f>EM85-(EO84*EO$5)</f>
        <v>4615.6177757843288</v>
      </c>
      <c r="EQ85" s="93">
        <f>EO85-(EQ84*EQ$5)</f>
        <v>3361.2199937979603</v>
      </c>
      <c r="ES85" s="93">
        <f>EQ85-(ES84*ES$5)</f>
        <v>2082.2311272581887</v>
      </c>
      <c r="EU85" s="97">
        <f>ES85-(EU84*EU$5)</f>
        <v>6.3664629124104977E-12</v>
      </c>
      <c r="EW85" s="68"/>
      <c r="EY85" s="68"/>
      <c r="FA85" s="99"/>
      <c r="FC85" s="68"/>
      <c r="FE85" s="68"/>
      <c r="FG85" s="99"/>
      <c r="FI85" s="68"/>
      <c r="FK85" s="68"/>
      <c r="FM85" s="99"/>
      <c r="FO85" s="68"/>
      <c r="FQ85" s="68"/>
      <c r="FS85" s="99"/>
    </row>
    <row r="86" spans="3:175">
      <c r="C86" s="72"/>
      <c r="CY86" s="79"/>
      <c r="DF86" s="80"/>
      <c r="DK86" s="79"/>
      <c r="DQ86" s="100"/>
      <c r="DW86" s="79"/>
      <c r="EC86" s="79"/>
      <c r="EI86" s="79"/>
      <c r="EO86" s="79"/>
      <c r="EU86" s="79"/>
      <c r="FB86" s="80"/>
      <c r="FH86" s="80"/>
      <c r="FN86" s="80"/>
    </row>
    <row r="87" spans="3:175">
      <c r="C87" s="72"/>
      <c r="CY87" s="79"/>
      <c r="DF87" s="80"/>
      <c r="DK87" s="79"/>
      <c r="DQ87" s="100"/>
      <c r="DW87" s="100"/>
      <c r="EC87" s="79"/>
      <c r="EI87" s="79"/>
      <c r="EO87" s="79"/>
      <c r="EU87" s="79"/>
      <c r="FB87" s="80"/>
      <c r="FH87" s="80"/>
      <c r="FN87" s="80"/>
    </row>
    <row r="88" spans="3:175">
      <c r="C88" s="85" t="s">
        <v>160</v>
      </c>
      <c r="CS88" s="64" t="s">
        <v>240</v>
      </c>
      <c r="DA88" s="86">
        <v>0.10929999999999999</v>
      </c>
      <c r="DB88" s="87"/>
      <c r="DC88" s="88">
        <f>DA88</f>
        <v>0.10929999999999999</v>
      </c>
      <c r="DD88" s="81"/>
      <c r="DE88" s="88">
        <f>DC88</f>
        <v>0.10929999999999999</v>
      </c>
      <c r="DF88" s="90"/>
      <c r="DG88" s="88">
        <f>DE88</f>
        <v>0.10929999999999999</v>
      </c>
      <c r="DH88" s="81"/>
      <c r="DI88" s="88">
        <f>DG88</f>
        <v>0.10929999999999999</v>
      </c>
      <c r="DJ88" s="81"/>
      <c r="DK88" s="89">
        <f>DI88</f>
        <v>0.10929999999999999</v>
      </c>
      <c r="DL88" s="81"/>
      <c r="DM88" s="88">
        <f>DK88</f>
        <v>0.10929999999999999</v>
      </c>
      <c r="DN88" s="81"/>
      <c r="DO88" s="88">
        <f>DM88</f>
        <v>0.10929999999999999</v>
      </c>
      <c r="DP88" s="81"/>
      <c r="DQ88" s="89">
        <f>DO88</f>
        <v>0.10929999999999999</v>
      </c>
      <c r="DR88" s="81"/>
      <c r="DS88" s="88">
        <f>DQ88</f>
        <v>0.10929999999999999</v>
      </c>
      <c r="DT88" s="81"/>
      <c r="DU88" s="88">
        <f>DS88</f>
        <v>0.10929999999999999</v>
      </c>
      <c r="DV88" s="81"/>
      <c r="DW88" s="89">
        <f>DU88</f>
        <v>0.10929999999999999</v>
      </c>
      <c r="DX88" s="90"/>
      <c r="DY88" s="81"/>
      <c r="DZ88" s="81"/>
      <c r="EA88" s="81"/>
      <c r="EB88" s="81"/>
      <c r="EC88" s="82"/>
      <c r="ED88" s="81"/>
      <c r="EE88" s="91">
        <f>DY89/SUM(EE$5:FA$5)</f>
        <v>4.6751761308777812E-2</v>
      </c>
      <c r="EF88" s="81"/>
      <c r="EG88" s="88">
        <f>EE88</f>
        <v>4.6751761308777812E-2</v>
      </c>
      <c r="EH88" s="81"/>
      <c r="EI88" s="89">
        <f>EG88</f>
        <v>4.6751761308777812E-2</v>
      </c>
      <c r="EJ88" s="81"/>
      <c r="EK88" s="88">
        <f>EI88</f>
        <v>4.6751761308777812E-2</v>
      </c>
      <c r="EL88" s="81"/>
      <c r="EM88" s="88">
        <f>EK88</f>
        <v>4.6751761308777812E-2</v>
      </c>
      <c r="EN88" s="81"/>
      <c r="EO88" s="89">
        <f>EM88</f>
        <v>4.6751761308777812E-2</v>
      </c>
      <c r="EP88" s="81"/>
      <c r="EQ88" s="88">
        <f>EO88</f>
        <v>4.6751761308777812E-2</v>
      </c>
      <c r="ER88" s="81"/>
      <c r="ES88" s="88">
        <f>EQ88</f>
        <v>4.6751761308777812E-2</v>
      </c>
      <c r="ET88" s="81"/>
      <c r="EU88" s="89">
        <f>ES88</f>
        <v>4.6751761308777812E-2</v>
      </c>
      <c r="EV88" s="81"/>
      <c r="EW88" s="88">
        <f>EU88</f>
        <v>4.6751761308777812E-2</v>
      </c>
      <c r="EX88" s="81"/>
      <c r="EY88" s="88">
        <f>EW88</f>
        <v>4.6751761308777812E-2</v>
      </c>
      <c r="EZ88" s="81"/>
      <c r="FA88" s="89">
        <f>EY88</f>
        <v>4.6751761308777812E-2</v>
      </c>
    </row>
    <row r="89" spans="3:175">
      <c r="C89" s="72"/>
      <c r="CS89" s="211">
        <v>8534.4500000000007</v>
      </c>
      <c r="CU89" s="22">
        <f>CS89</f>
        <v>8534.4500000000007</v>
      </c>
      <c r="CW89" s="22">
        <f>CU89</f>
        <v>8534.4500000000007</v>
      </c>
      <c r="CY89" s="22">
        <f>CW89</f>
        <v>8534.4500000000007</v>
      </c>
      <c r="DA89" s="93">
        <f>CY89-(DA88*DA$5)</f>
        <v>7631.6320000000005</v>
      </c>
      <c r="DC89" s="93">
        <f>DA89-(DC88*DC$5)</f>
        <v>6412.2812000000004</v>
      </c>
      <c r="DE89" s="93">
        <f>DC89-(DE88*DE$5)</f>
        <v>4787.5804200000002</v>
      </c>
      <c r="DF89" s="80"/>
      <c r="DG89" s="93">
        <f>DE89-(DG88*DG$5)</f>
        <v>3528.0629630000003</v>
      </c>
      <c r="DI89" s="93">
        <f>DG89-(DI88*DI$5)</f>
        <v>2458.866317</v>
      </c>
      <c r="DK89" s="94">
        <f>DI89-(DK88*DK$5)</f>
        <v>1707.3610509999999</v>
      </c>
      <c r="DM89" s="93">
        <f>DK89-(DM88*DM$5)</f>
        <v>1272.2027749999997</v>
      </c>
      <c r="DO89" s="93">
        <f>DM89-(DO88*DO$5)</f>
        <v>920.64806899999985</v>
      </c>
      <c r="DQ89" s="94">
        <f>DO89-(DQ88*DQ$5)</f>
        <v>610.06993299999988</v>
      </c>
      <c r="DS89" s="93">
        <f>DQ89-(DS88*DS$5)</f>
        <v>299.44086319999991</v>
      </c>
      <c r="DU89" s="93">
        <f>DS89-(DU88*DU$5)</f>
        <v>-17.277746800000045</v>
      </c>
      <c r="DW89" s="94">
        <f>DU89-(DW88*DW$5)</f>
        <v>-532.90486880000003</v>
      </c>
      <c r="DX89" s="95"/>
      <c r="DY89" s="212">
        <f>DW89+DW69</f>
        <v>3752.6150226475875</v>
      </c>
      <c r="DZ89" s="68"/>
      <c r="EA89" s="68">
        <f>DY89</f>
        <v>3752.6150226475875</v>
      </c>
      <c r="EB89" s="68"/>
      <c r="EC89" s="99">
        <f>EA89</f>
        <v>3752.6150226475875</v>
      </c>
      <c r="EE89" s="93">
        <f>EC89-(EE88*EE$5)</f>
        <v>3213.8715687234994</v>
      </c>
      <c r="EG89" s="93">
        <f>EE89-(EG88*EG$5)</f>
        <v>2756.5355542135467</v>
      </c>
      <c r="EI89" s="94">
        <f>EG89-(EI88*EI$5)</f>
        <v>2435.0882091236876</v>
      </c>
      <c r="EK89" s="93">
        <f>EI89-(EK88*EK$5)</f>
        <v>2248.9544867898244</v>
      </c>
      <c r="EM89" s="93">
        <f>EK89-(EM88*EM$5)</f>
        <v>2098.5811866810454</v>
      </c>
      <c r="EO89" s="94">
        <f>EM89-(EO88*EO$5)</f>
        <v>1965.7351218869271</v>
      </c>
      <c r="EQ89" s="93">
        <f>EO89-(EQ88*EQ$5)</f>
        <v>1832.8672707720389</v>
      </c>
      <c r="ES89" s="93">
        <f>EQ89-(ES88*ES$5)</f>
        <v>1697.3946920275935</v>
      </c>
      <c r="EU89" s="94">
        <f>ES89-(EU88*EU$5)</f>
        <v>1476.8413879829818</v>
      </c>
      <c r="EW89" s="93">
        <f>EU89-(EW88*EW$5)</f>
        <v>1124.4144557794743</v>
      </c>
      <c r="EY89" s="93">
        <f>EW89-(EY88*EY$5)</f>
        <v>639.06011071717126</v>
      </c>
      <c r="FA89" s="97">
        <f>EY89-(FA88*FA$5)</f>
        <v>0</v>
      </c>
    </row>
    <row r="90" spans="3:175">
      <c r="C90" s="72"/>
      <c r="DF90" s="80"/>
      <c r="DK90" s="79"/>
      <c r="DQ90" s="79"/>
      <c r="DW90" s="100"/>
      <c r="EC90" s="79"/>
      <c r="EI90" s="79"/>
      <c r="EO90" s="79"/>
      <c r="EU90" s="79"/>
      <c r="FA90" s="79"/>
      <c r="FH90" s="80"/>
      <c r="FN90" s="80"/>
    </row>
    <row r="91" spans="3:175">
      <c r="C91" s="72"/>
      <c r="DF91" s="80"/>
      <c r="DK91" s="79"/>
      <c r="DQ91" s="79"/>
      <c r="DW91" s="100"/>
      <c r="EC91" s="100"/>
      <c r="EI91" s="79"/>
      <c r="EO91" s="79"/>
      <c r="EU91" s="79"/>
      <c r="FA91" s="79"/>
      <c r="FH91" s="80"/>
      <c r="FN91" s="80"/>
    </row>
    <row r="92" spans="3:175">
      <c r="C92" s="102" t="s">
        <v>165</v>
      </c>
      <c r="CY92" s="64" t="s">
        <v>250</v>
      </c>
      <c r="DF92" s="80"/>
      <c r="DG92" s="86">
        <f>-0.146</f>
        <v>-0.14599999999999999</v>
      </c>
      <c r="DH92" s="87"/>
      <c r="DI92" s="88">
        <f>DG92</f>
        <v>-0.14599999999999999</v>
      </c>
      <c r="DJ92" s="81"/>
      <c r="DK92" s="89">
        <f>DI92</f>
        <v>-0.14599999999999999</v>
      </c>
      <c r="DL92" s="81"/>
      <c r="DM92" s="88">
        <f>DK92</f>
        <v>-0.14599999999999999</v>
      </c>
      <c r="DN92" s="81"/>
      <c r="DO92" s="88">
        <f>DM92</f>
        <v>-0.14599999999999999</v>
      </c>
      <c r="DP92" s="81"/>
      <c r="DQ92" s="89">
        <f>DO92</f>
        <v>-0.14599999999999999</v>
      </c>
      <c r="DR92" s="81"/>
      <c r="DS92" s="88">
        <f>DQ92</f>
        <v>-0.14599999999999999</v>
      </c>
      <c r="DT92" s="81"/>
      <c r="DU92" s="88">
        <f>DS92</f>
        <v>-0.14599999999999999</v>
      </c>
      <c r="DV92" s="81"/>
      <c r="DW92" s="89">
        <f>DU92</f>
        <v>-0.14599999999999999</v>
      </c>
      <c r="DX92" s="81"/>
      <c r="DY92" s="88">
        <f>DW92</f>
        <v>-0.14599999999999999</v>
      </c>
      <c r="DZ92" s="81"/>
      <c r="EA92" s="88">
        <f>DY92</f>
        <v>-0.14599999999999999</v>
      </c>
      <c r="EB92" s="81"/>
      <c r="EC92" s="89">
        <f>EA92</f>
        <v>-0.14599999999999999</v>
      </c>
      <c r="ED92" s="90"/>
      <c r="EE92" s="81"/>
      <c r="EF92" s="81"/>
      <c r="EG92" s="81"/>
      <c r="EH92" s="81"/>
      <c r="EI92" s="82"/>
      <c r="EJ92" s="81"/>
      <c r="EK92" s="91">
        <f>EE93/SUM(EK$5:FG$5)</f>
        <v>0.46237206606348935</v>
      </c>
      <c r="EL92" s="81"/>
      <c r="EM92" s="88">
        <f>EK92</f>
        <v>0.46237206606348935</v>
      </c>
      <c r="EN92" s="81"/>
      <c r="EO92" s="89">
        <f>EM92</f>
        <v>0.46237206606348935</v>
      </c>
      <c r="EP92" s="81"/>
      <c r="EQ92" s="88">
        <f>EO92</f>
        <v>0.46237206606348935</v>
      </c>
      <c r="ER92" s="81"/>
      <c r="ES92" s="88">
        <f>EQ92</f>
        <v>0.46237206606348935</v>
      </c>
      <c r="ET92" s="81"/>
      <c r="EU92" s="89">
        <f>ES92</f>
        <v>0.46237206606348935</v>
      </c>
      <c r="EV92" s="81"/>
      <c r="EW92" s="88">
        <f>EU92</f>
        <v>0.46237206606348935</v>
      </c>
      <c r="EX92" s="81"/>
      <c r="EY92" s="88">
        <f>EW92</f>
        <v>0.46237206606348935</v>
      </c>
      <c r="EZ92" s="81"/>
      <c r="FA92" s="89">
        <f>EY92</f>
        <v>0.46237206606348935</v>
      </c>
      <c r="FB92" s="81"/>
      <c r="FC92" s="88">
        <f>FA92</f>
        <v>0.46237206606348935</v>
      </c>
      <c r="FD92" s="81"/>
      <c r="FE92" s="88">
        <f>FC92</f>
        <v>0.46237206606348935</v>
      </c>
      <c r="FF92" s="81"/>
      <c r="FG92" s="89">
        <f>FE92</f>
        <v>0.46237206606348935</v>
      </c>
    </row>
    <row r="93" spans="3:175">
      <c r="CY93" s="211">
        <v>-11160.83</v>
      </c>
      <c r="DA93" s="22">
        <f>CY93</f>
        <v>-11160.83</v>
      </c>
      <c r="DC93" s="22">
        <f>DA93</f>
        <v>-11160.83</v>
      </c>
      <c r="DE93" s="22">
        <f>DC93</f>
        <v>-11160.83</v>
      </c>
      <c r="DF93" s="80"/>
      <c r="DG93" s="93">
        <f>DE93-(DG92*DG$5)</f>
        <v>-9478.4004600000007</v>
      </c>
      <c r="DI93" s="93">
        <f>DG93-(DI92*DI$5)</f>
        <v>-8050.1963400000004</v>
      </c>
      <c r="DK93" s="94">
        <f>DI93-(DK92*DK$5)</f>
        <v>-7046.3558200000007</v>
      </c>
      <c r="DM93" s="93">
        <f>DK93-(DM92*DM$5)</f>
        <v>-6465.0831000000007</v>
      </c>
      <c r="DO93" s="93">
        <f>DM93-(DO92*DO$5)</f>
        <v>-5995.4857800000009</v>
      </c>
      <c r="DQ93" s="94">
        <f>DO93-(DQ92*DQ$5)</f>
        <v>-5580.6238600000006</v>
      </c>
      <c r="DS93" s="93">
        <f>DQ93-(DS92*DS$5)</f>
        <v>-5165.6939040000007</v>
      </c>
      <c r="DU93" s="93">
        <f>DS93-(DU92*DU$5)</f>
        <v>-4742.6297040000009</v>
      </c>
      <c r="DW93" s="94">
        <f>DU93-(DW92*DW$5)</f>
        <v>-4053.8688640000009</v>
      </c>
      <c r="DY93" s="93">
        <f>DW93-(DY92*DY$5)</f>
        <v>-2953.2829040000011</v>
      </c>
      <c r="EA93" s="93">
        <f>DY93-(EA92*EA$5)</f>
        <v>-1437.5809840000011</v>
      </c>
      <c r="EC93" s="94">
        <f>EA93-(EC92*EC$5)</f>
        <v>558.12513599999897</v>
      </c>
      <c r="ED93" s="95"/>
      <c r="EE93" s="212">
        <f>EC93+EC73</f>
        <v>37113.133550257939</v>
      </c>
      <c r="EF93" s="68"/>
      <c r="EG93" s="68">
        <f>EE93</f>
        <v>37113.133550257939</v>
      </c>
      <c r="EH93" s="68"/>
      <c r="EI93" s="99">
        <f>EG93</f>
        <v>37113.133550257939</v>
      </c>
      <c r="EK93" s="93">
        <f>EI93-(EK92*EK$5)</f>
        <v>35272.282396198047</v>
      </c>
      <c r="EM93" s="93">
        <f>EK93-(EM92*EM$5)</f>
        <v>33785.09963547012</v>
      </c>
      <c r="EO93" s="94">
        <f>EM93-(EO92*EO$5)</f>
        <v>32471.260162309394</v>
      </c>
      <c r="EQ93" s="93">
        <f>EO93-(EQ92*EQ$5)</f>
        <v>31157.205223765883</v>
      </c>
      <c r="ES93" s="93">
        <f>EQ93-(ES92*ES$5)</f>
        <v>29817.389687933708</v>
      </c>
      <c r="EU93" s="94">
        <f>ES93-(EU92*EU$5)</f>
        <v>27636.130971396553</v>
      </c>
      <c r="EW93" s="93">
        <f>EU93-(EW92*EW$5)</f>
        <v>24150.650120672795</v>
      </c>
      <c r="EY93" s="93">
        <f>EW93-(EY92*EY$5)</f>
        <v>19350.525269393358</v>
      </c>
      <c r="FA93" s="94">
        <f>EY93-(FA92*FA$5)</f>
        <v>13030.259776516988</v>
      </c>
      <c r="FC93" s="93">
        <f>FA93-(FC92*FC$5)</f>
        <v>7702.1198969550305</v>
      </c>
      <c r="FE93" s="93">
        <f>FC93-(FE92*FE$5)</f>
        <v>3179.0946248674436</v>
      </c>
      <c r="FG93" s="97">
        <f>FE93-(FG92*FG$5)</f>
        <v>-5.4569682106375694E-12</v>
      </c>
    </row>
    <row r="94" spans="3:175">
      <c r="DL94" s="80"/>
      <c r="DQ94" s="79"/>
      <c r="DW94" s="79"/>
      <c r="EC94" s="100"/>
      <c r="EI94" s="79"/>
      <c r="EO94" s="79"/>
      <c r="EU94" s="79"/>
      <c r="FA94" s="79"/>
      <c r="FG94" s="79"/>
      <c r="FN94" s="80"/>
    </row>
    <row r="95" spans="3:175">
      <c r="DL95" s="80"/>
      <c r="DQ95" s="79"/>
      <c r="DW95" s="79"/>
      <c r="EC95" s="100"/>
      <c r="EI95" s="100"/>
      <c r="EO95" s="79"/>
      <c r="EU95" s="79"/>
      <c r="FA95" s="79"/>
      <c r="FG95" s="79"/>
      <c r="FN95" s="80"/>
    </row>
    <row r="96" spans="3:175">
      <c r="DE96" s="64" t="s">
        <v>258</v>
      </c>
      <c r="DL96" s="80"/>
      <c r="DM96" s="86">
        <f>'Sch IV AA'!I25</f>
        <v>0.1217</v>
      </c>
      <c r="DN96" s="87"/>
      <c r="DO96" s="88">
        <f>DM96</f>
        <v>0.1217</v>
      </c>
      <c r="DP96" s="81"/>
      <c r="DQ96" s="89">
        <f>DO96</f>
        <v>0.1217</v>
      </c>
      <c r="DR96" s="81"/>
      <c r="DS96" s="88">
        <f>DQ96</f>
        <v>0.1217</v>
      </c>
      <c r="DT96" s="81"/>
      <c r="DU96" s="88">
        <f>DS96</f>
        <v>0.1217</v>
      </c>
      <c r="DV96" s="81"/>
      <c r="DW96" s="89">
        <f>DU96</f>
        <v>0.1217</v>
      </c>
      <c r="DX96" s="81"/>
      <c r="DY96" s="88">
        <f>DW96</f>
        <v>0.1217</v>
      </c>
      <c r="DZ96" s="81"/>
      <c r="EA96" s="88">
        <f>DY96</f>
        <v>0.1217</v>
      </c>
      <c r="EB96" s="81"/>
      <c r="EC96" s="89">
        <f>EA96</f>
        <v>0.1217</v>
      </c>
      <c r="ED96" s="81"/>
      <c r="EE96" s="88">
        <f>EC96</f>
        <v>0.1217</v>
      </c>
      <c r="EF96" s="81"/>
      <c r="EG96" s="88">
        <f>EE96</f>
        <v>0.1217</v>
      </c>
      <c r="EH96" s="81"/>
      <c r="EI96" s="89">
        <f>EG96</f>
        <v>0.1217</v>
      </c>
      <c r="EJ96" s="90"/>
      <c r="EK96" s="81"/>
      <c r="EL96" s="81"/>
      <c r="EM96" s="81"/>
      <c r="EN96" s="81"/>
      <c r="EO96" s="82"/>
      <c r="EP96" s="81"/>
      <c r="EQ96" s="91">
        <f>EK97/SUM(EQ$5:FM$5)</f>
        <v>4.7309045904086432E-3</v>
      </c>
      <c r="ER96" s="81"/>
      <c r="ES96" s="88">
        <f>EQ96</f>
        <v>4.7309045904086432E-3</v>
      </c>
      <c r="ET96" s="81"/>
      <c r="EU96" s="89">
        <f>ES96</f>
        <v>4.7309045904086432E-3</v>
      </c>
      <c r="EV96" s="81"/>
      <c r="EW96" s="88">
        <f>EU96</f>
        <v>4.7309045904086432E-3</v>
      </c>
      <c r="EX96" s="81"/>
      <c r="EY96" s="88">
        <f>EW96</f>
        <v>4.7309045904086432E-3</v>
      </c>
      <c r="EZ96" s="81"/>
      <c r="FA96" s="89">
        <f>EY96</f>
        <v>4.7309045904086432E-3</v>
      </c>
      <c r="FB96" s="81"/>
      <c r="FC96" s="88">
        <f>FA96</f>
        <v>4.7309045904086432E-3</v>
      </c>
      <c r="FD96" s="81"/>
      <c r="FE96" s="88">
        <f>FC96</f>
        <v>4.7309045904086432E-3</v>
      </c>
      <c r="FF96" s="81"/>
      <c r="FG96" s="89">
        <f>FE96</f>
        <v>4.7309045904086432E-3</v>
      </c>
      <c r="FH96" s="81"/>
      <c r="FI96" s="88">
        <f>FG96</f>
        <v>4.7309045904086432E-3</v>
      </c>
      <c r="FJ96" s="81"/>
      <c r="FK96" s="88">
        <f>FI96</f>
        <v>4.7309045904086432E-3</v>
      </c>
      <c r="FL96" s="81"/>
      <c r="FM96" s="89">
        <f>FK96</f>
        <v>4.7309045904086432E-3</v>
      </c>
    </row>
    <row r="97" spans="109:169">
      <c r="DE97" s="211">
        <f>'Sch IV AA'!I23</f>
        <v>9392.1231087241867</v>
      </c>
      <c r="DG97" s="22">
        <f>DE97</f>
        <v>9392.1231087241867</v>
      </c>
      <c r="DI97" s="22">
        <f>DG97</f>
        <v>9392.1231087241867</v>
      </c>
      <c r="DK97" s="22">
        <f>DI97</f>
        <v>9392.1231087241867</v>
      </c>
      <c r="DL97" s="80"/>
      <c r="DM97" s="93">
        <f>DK97-(DM96*DM$5)</f>
        <v>8907.5964647241872</v>
      </c>
      <c r="DO97" s="93">
        <f>DM97-(DO96*DO$5)</f>
        <v>8516.1581507241881</v>
      </c>
      <c r="DQ97" s="94">
        <f>DO97-(DQ96*DQ$5)</f>
        <v>8170.3451667241879</v>
      </c>
      <c r="DS97" s="93">
        <f>DQ97-(DS96*DS$5)</f>
        <v>7824.4754705241876</v>
      </c>
      <c r="DU97" s="93">
        <f>DS97-(DU96*DU$5)</f>
        <v>7471.8253805241875</v>
      </c>
      <c r="DW97" s="94">
        <f>DU97-(DW96*DW$5)</f>
        <v>6897.7007625241877</v>
      </c>
      <c r="DY97" s="93">
        <f>DW97-(DY96*DY$5)</f>
        <v>5980.2945205241876</v>
      </c>
      <c r="EA97" s="93">
        <f>DY97-(EA96*EA$5)</f>
        <v>4716.863536524188</v>
      </c>
      <c r="EC97" s="94">
        <f>EA97-(EC96*EC$5)</f>
        <v>3053.3194625241877</v>
      </c>
      <c r="EE97" s="93">
        <f>EC97-(EE96*EE$5)</f>
        <v>1650.9107295241879</v>
      </c>
      <c r="EG97" s="93">
        <f>EE97-(EG96*EG$5)</f>
        <v>460.41455552418779</v>
      </c>
      <c r="EI97" s="94">
        <f>EG97-(EI96*EI$5)</f>
        <v>-376.34839847581236</v>
      </c>
      <c r="EJ97" s="95"/>
      <c r="EK97" s="212">
        <f>EI97+EI77</f>
        <v>379.73464827188593</v>
      </c>
      <c r="EL97" s="68"/>
      <c r="EM97" s="68">
        <f>EK97</f>
        <v>379.73464827188593</v>
      </c>
      <c r="EN97" s="68"/>
      <c r="EO97" s="99">
        <f>EM97</f>
        <v>379.73464827188593</v>
      </c>
      <c r="EQ97" s="93">
        <f>EO97-(EQ96*EQ$5)</f>
        <v>366.28948365860884</v>
      </c>
      <c r="ES97" s="93">
        <f>EQ97-(ES96*ES$5)</f>
        <v>352.58074142698172</v>
      </c>
      <c r="EU97" s="94">
        <f>ES97-(EU96*EU$5)</f>
        <v>330.26250978554532</v>
      </c>
      <c r="EW97" s="93">
        <f>EU97-(EW96*EW$5)</f>
        <v>294.59972094785144</v>
      </c>
      <c r="EY97" s="93">
        <f>EW97-(EY96*EY$5)</f>
        <v>245.4857403244323</v>
      </c>
      <c r="FA97" s="94">
        <f>EY97-(FA96*FA$5)</f>
        <v>180.81796467912665</v>
      </c>
      <c r="FC97" s="93">
        <f>FA97-(FC96*FC$5)</f>
        <v>126.30143294059856</v>
      </c>
      <c r="FE97" s="93">
        <f>FC97-(FE96*FE$5)</f>
        <v>80.022683438211317</v>
      </c>
      <c r="FG97" s="94">
        <f>FE97-(FG96*FG$5)</f>
        <v>47.494781218305839</v>
      </c>
      <c r="FI97" s="93">
        <f>FG97-(FI96*FI$5)</f>
        <v>28.659536154420099</v>
      </c>
      <c r="FK97" s="93">
        <f>FI97-(FK96*FK$5)</f>
        <v>13.442960011737933</v>
      </c>
      <c r="FM97" s="97">
        <f>FK97-(FM96*FM$5)</f>
        <v>-3.5527136788005009E-14</v>
      </c>
    </row>
  </sheetData>
  <pageMargins left="0.7" right="0.7" top="0.75" bottom="0.75" header="0.3" footer="0.3"/>
  <pageSetup orientation="portrait" horizontalDpi="4294967295" verticalDpi="4294967295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842D6-41CF-429B-B18A-8C5251DD9ECF}">
  <sheetPr>
    <pageSetUpPr fitToPage="1"/>
  </sheetPr>
  <dimension ref="A1:AG113"/>
  <sheetViews>
    <sheetView zoomScaleNormal="100" workbookViewId="0">
      <pane xSplit="4" ySplit="2" topLeftCell="E52" activePane="bottomRight" state="frozen"/>
      <selection activeCell="F39" sqref="F39"/>
      <selection pane="topRight" activeCell="F39" sqref="F39"/>
      <selection pane="bottomLeft" activeCell="F39" sqref="F39"/>
      <selection pane="bottomRight" activeCell="F51" sqref="F51"/>
    </sheetView>
  </sheetViews>
  <sheetFormatPr defaultColWidth="9.109375" defaultRowHeight="13.2"/>
  <cols>
    <col min="1" max="2" width="1.44140625" style="103" customWidth="1"/>
    <col min="3" max="3" width="10.5546875" style="103" customWidth="1"/>
    <col min="4" max="5" width="1.44140625" style="103" customWidth="1"/>
    <col min="6" max="6" width="9.5546875" style="103" customWidth="1"/>
    <col min="7" max="7" width="1.44140625" style="103" customWidth="1"/>
    <col min="8" max="8" width="9.5546875" style="103" customWidth="1"/>
    <col min="9" max="9" width="1.44140625" style="103" customWidth="1"/>
    <col min="10" max="10" width="9.5546875" style="103" customWidth="1"/>
    <col min="11" max="11" width="1.44140625" style="103" customWidth="1"/>
    <col min="12" max="12" width="9.5546875" style="103" customWidth="1"/>
    <col min="13" max="13" width="1.44140625" style="103" customWidth="1"/>
    <col min="14" max="14" width="9.5546875" style="103" customWidth="1"/>
    <col min="15" max="15" width="1.44140625" style="103" customWidth="1"/>
    <col min="16" max="16" width="9.5546875" style="103" customWidth="1"/>
    <col min="17" max="17" width="1.44140625" style="103" customWidth="1"/>
    <col min="18" max="18" width="9.5546875" style="103" customWidth="1"/>
    <col min="19" max="19" width="1.44140625" style="103" customWidth="1"/>
    <col min="20" max="20" width="9.5546875" style="103" customWidth="1"/>
    <col min="21" max="21" width="1.44140625" style="103" customWidth="1"/>
    <col min="22" max="22" width="9.5546875" style="103" customWidth="1"/>
    <col min="23" max="23" width="1.44140625" style="103" customWidth="1"/>
    <col min="24" max="24" width="9.5546875" style="103" customWidth="1"/>
    <col min="25" max="25" width="1.44140625" style="103" customWidth="1"/>
    <col min="26" max="26" width="9.5546875" style="103" customWidth="1"/>
    <col min="27" max="27" width="1.44140625" style="103" customWidth="1"/>
    <col min="28" max="28" width="9.5546875" style="103" customWidth="1"/>
    <col min="29" max="29" width="1.44140625" style="103" customWidth="1"/>
    <col min="30" max="30" width="10.5546875" style="103" customWidth="1"/>
    <col min="31" max="31" width="9.109375" style="103"/>
    <col min="32" max="32" width="6.44140625" style="103" bestFit="1" customWidth="1"/>
    <col min="33" max="33" width="9.5546875" style="103" customWidth="1"/>
    <col min="34" max="16384" width="9.109375" style="103"/>
  </cols>
  <sheetData>
    <row r="1" spans="1:32">
      <c r="A1" s="103" t="s">
        <v>135</v>
      </c>
    </row>
    <row r="2" spans="1:32" s="104" customFormat="1">
      <c r="F2" s="105">
        <v>45688</v>
      </c>
      <c r="G2" s="105"/>
      <c r="H2" s="105">
        <v>45716</v>
      </c>
      <c r="I2" s="105"/>
      <c r="J2" s="105">
        <v>45747</v>
      </c>
      <c r="K2" s="105"/>
      <c r="L2" s="105">
        <v>45777</v>
      </c>
      <c r="M2" s="105"/>
      <c r="N2" s="105">
        <v>45808</v>
      </c>
      <c r="O2" s="105"/>
      <c r="P2" s="105">
        <v>45838</v>
      </c>
      <c r="Q2" s="105"/>
      <c r="R2" s="105">
        <v>45869</v>
      </c>
      <c r="S2" s="105"/>
      <c r="T2" s="105">
        <v>45900</v>
      </c>
      <c r="U2" s="105"/>
      <c r="V2" s="105">
        <v>45930</v>
      </c>
      <c r="W2" s="105"/>
      <c r="X2" s="105">
        <v>45961</v>
      </c>
      <c r="Y2" s="105"/>
      <c r="Z2" s="105">
        <v>45991</v>
      </c>
      <c r="AA2" s="105"/>
      <c r="AB2" s="105">
        <v>46022</v>
      </c>
      <c r="AC2" s="105"/>
      <c r="AD2" s="106" t="s">
        <v>123</v>
      </c>
    </row>
    <row r="3" spans="1:32">
      <c r="B3" s="103" t="s">
        <v>168</v>
      </c>
    </row>
    <row r="4" spans="1:32" s="160" customFormat="1" ht="10.199999999999999">
      <c r="C4" s="160">
        <v>2016</v>
      </c>
      <c r="F4" s="163">
        <v>11015</v>
      </c>
      <c r="G4" s="161"/>
      <c r="H4" s="163">
        <v>10109</v>
      </c>
      <c r="I4" s="161"/>
      <c r="J4" s="163">
        <v>9340</v>
      </c>
      <c r="K4" s="161"/>
      <c r="L4" s="163">
        <v>7794</v>
      </c>
      <c r="M4" s="161"/>
      <c r="N4" s="163">
        <v>5474</v>
      </c>
      <c r="O4" s="161"/>
      <c r="P4" s="163">
        <v>4778</v>
      </c>
      <c r="Q4" s="161"/>
      <c r="R4" s="163">
        <v>4594</v>
      </c>
      <c r="S4" s="161"/>
      <c r="T4" s="163">
        <v>4462</v>
      </c>
      <c r="U4" s="161"/>
      <c r="V4" s="163">
        <v>5505</v>
      </c>
      <c r="W4" s="161"/>
      <c r="X4" s="163">
        <v>5465</v>
      </c>
      <c r="Y4" s="161"/>
      <c r="Z4" s="163">
        <v>7363</v>
      </c>
      <c r="AA4" s="161"/>
      <c r="AB4" s="163">
        <v>8826</v>
      </c>
      <c r="AD4" s="161">
        <f t="shared" ref="AD4:AD12" si="0">SUM(F4:AB4)</f>
        <v>84725</v>
      </c>
    </row>
    <row r="5" spans="1:32" s="160" customFormat="1" ht="10.199999999999999">
      <c r="C5" s="160">
        <v>2017</v>
      </c>
      <c r="F5" s="163">
        <v>7634</v>
      </c>
      <c r="G5" s="161"/>
      <c r="H5" s="163">
        <v>6393</v>
      </c>
      <c r="I5" s="161"/>
      <c r="J5" s="163">
        <v>7774</v>
      </c>
      <c r="K5" s="161"/>
      <c r="L5" s="163">
        <v>6650</v>
      </c>
      <c r="M5" s="161"/>
      <c r="N5" s="163">
        <v>3981</v>
      </c>
      <c r="O5" s="161"/>
      <c r="P5" s="163">
        <v>3459</v>
      </c>
      <c r="Q5" s="161"/>
      <c r="R5" s="163">
        <v>2704</v>
      </c>
      <c r="S5" s="161"/>
      <c r="T5" s="163">
        <v>4983</v>
      </c>
      <c r="U5" s="161"/>
      <c r="V5" s="163">
        <v>6437</v>
      </c>
      <c r="W5" s="161"/>
      <c r="X5" s="163">
        <v>6306</v>
      </c>
      <c r="Y5" s="161"/>
      <c r="Z5" s="163">
        <v>10869</v>
      </c>
      <c r="AA5" s="161"/>
      <c r="AB5" s="163">
        <v>13716</v>
      </c>
      <c r="AD5" s="161">
        <f t="shared" si="0"/>
        <v>80906</v>
      </c>
    </row>
    <row r="6" spans="1:32" s="160" customFormat="1" ht="10.199999999999999">
      <c r="C6" s="160">
        <v>2018</v>
      </c>
      <c r="F6" s="163">
        <v>13306</v>
      </c>
      <c r="G6" s="161"/>
      <c r="H6" s="163">
        <v>13391</v>
      </c>
      <c r="I6" s="161"/>
      <c r="J6" s="163">
        <v>14164</v>
      </c>
      <c r="K6" s="161"/>
      <c r="L6" s="163">
        <v>10761</v>
      </c>
      <c r="M6" s="161"/>
      <c r="N6" s="163">
        <v>6961</v>
      </c>
      <c r="O6" s="161"/>
      <c r="P6" s="163">
        <v>6678</v>
      </c>
      <c r="Q6" s="161"/>
      <c r="R6" s="163">
        <v>5672</v>
      </c>
      <c r="S6" s="161"/>
      <c r="T6" s="163">
        <v>6855</v>
      </c>
      <c r="U6" s="161"/>
      <c r="V6" s="163">
        <v>6082.8</v>
      </c>
      <c r="W6" s="161"/>
      <c r="X6" s="163">
        <v>7301.3</v>
      </c>
      <c r="Y6" s="161"/>
      <c r="Z6" s="163">
        <v>14375.6</v>
      </c>
      <c r="AA6" s="161"/>
      <c r="AB6" s="163">
        <v>14910</v>
      </c>
      <c r="AD6" s="161">
        <f t="shared" si="0"/>
        <v>120457.70000000001</v>
      </c>
      <c r="AE6" s="161"/>
      <c r="AF6" s="162"/>
    </row>
    <row r="7" spans="1:32" s="160" customFormat="1" ht="10.199999999999999">
      <c r="C7" s="160">
        <v>2019</v>
      </c>
      <c r="F7" s="163">
        <v>13228</v>
      </c>
      <c r="G7" s="161"/>
      <c r="H7" s="163">
        <v>14660</v>
      </c>
      <c r="I7" s="161"/>
      <c r="J7" s="163">
        <v>13783</v>
      </c>
      <c r="K7" s="161"/>
      <c r="L7" s="163">
        <v>9302</v>
      </c>
      <c r="M7" s="161"/>
      <c r="N7" s="163">
        <v>9488</v>
      </c>
      <c r="O7" s="161"/>
      <c r="P7" s="163">
        <v>6501</v>
      </c>
      <c r="Q7" s="161"/>
      <c r="R7" s="163">
        <v>6289</v>
      </c>
      <c r="S7" s="161"/>
      <c r="T7" s="163">
        <v>6925</v>
      </c>
      <c r="U7" s="161"/>
      <c r="V7" s="163">
        <v>4629</v>
      </c>
      <c r="W7" s="161"/>
      <c r="X7" s="163">
        <v>5670</v>
      </c>
      <c r="Y7" s="161"/>
      <c r="Z7" s="163">
        <f>(8157+25419+79254+1932)/10</f>
        <v>11476.2</v>
      </c>
      <c r="AA7" s="161"/>
      <c r="AB7" s="163">
        <f>110608/10</f>
        <v>11060.8</v>
      </c>
      <c r="AD7" s="161">
        <f t="shared" si="0"/>
        <v>113012</v>
      </c>
      <c r="AE7" s="161"/>
      <c r="AF7" s="162"/>
    </row>
    <row r="8" spans="1:32" s="160" customFormat="1" ht="10.199999999999999">
      <c r="C8" s="160">
        <v>2020</v>
      </c>
      <c r="F8" s="163">
        <f>136026/10</f>
        <v>13602.6</v>
      </c>
      <c r="G8" s="161"/>
      <c r="H8" s="163">
        <f>131576/10</f>
        <v>13157.6</v>
      </c>
      <c r="I8" s="161"/>
      <c r="J8" s="163">
        <f>137017/10</f>
        <v>13701.7</v>
      </c>
      <c r="K8" s="161"/>
      <c r="L8" s="163">
        <f>103242/10</f>
        <v>10324.200000000001</v>
      </c>
      <c r="M8" s="161"/>
      <c r="N8" s="163">
        <f>75817/10</f>
        <v>7581.7</v>
      </c>
      <c r="O8" s="161"/>
      <c r="P8" s="163">
        <f>58765/10</f>
        <v>5876.5</v>
      </c>
      <c r="Q8" s="161"/>
      <c r="R8" s="163">
        <f>59521/10</f>
        <v>5952.1</v>
      </c>
      <c r="S8" s="161"/>
      <c r="T8" s="163">
        <f>51603/10</f>
        <v>5160.3</v>
      </c>
      <c r="U8" s="161"/>
      <c r="V8" s="163">
        <f>63345/10</f>
        <v>6334.5</v>
      </c>
      <c r="W8" s="161"/>
      <c r="X8" s="163">
        <f>77349/10</f>
        <v>7734.9</v>
      </c>
      <c r="Y8" s="161"/>
      <c r="Z8" s="163">
        <f>91968/10</f>
        <v>9196.7999999999993</v>
      </c>
      <c r="AA8" s="161"/>
      <c r="AB8" s="163">
        <f>147696/10</f>
        <v>14769.6</v>
      </c>
      <c r="AD8" s="161">
        <f t="shared" si="0"/>
        <v>113392.50000000001</v>
      </c>
      <c r="AE8" s="161"/>
      <c r="AF8" s="162"/>
    </row>
    <row r="9" spans="1:32" s="160" customFormat="1" ht="10.199999999999999">
      <c r="C9" s="160">
        <v>2021</v>
      </c>
      <c r="F9" s="163">
        <f>90889/10</f>
        <v>9088.9</v>
      </c>
      <c r="G9" s="161"/>
      <c r="H9" s="163">
        <f>96265/10</f>
        <v>9626.5</v>
      </c>
      <c r="I9" s="161"/>
      <c r="J9" s="163">
        <f>130724/10</f>
        <v>13072.4</v>
      </c>
      <c r="K9" s="161"/>
      <c r="L9" s="163">
        <f>103411/10</f>
        <v>10341.1</v>
      </c>
      <c r="M9" s="161"/>
      <c r="N9" s="163">
        <f>(780+7910+57187+3491)/10</f>
        <v>6936.8</v>
      </c>
      <c r="O9" s="161"/>
      <c r="P9" s="163">
        <f>(338+9258+56577+278)/10</f>
        <v>6645.1</v>
      </c>
      <c r="Q9" s="161"/>
      <c r="R9" s="163">
        <f>(179+6383+26737+702)/10</f>
        <v>3400.1</v>
      </c>
      <c r="S9" s="161"/>
      <c r="T9" s="165">
        <f>(228+8044+11759+137)/10</f>
        <v>2016.8</v>
      </c>
      <c r="U9" s="161"/>
      <c r="V9" s="165">
        <f>(221+7391+9874+454)/10</f>
        <v>1794</v>
      </c>
      <c r="W9" s="161"/>
      <c r="X9" s="163">
        <f>(1955+14716+14135+6268)/10</f>
        <v>3707.4</v>
      </c>
      <c r="Y9" s="161"/>
      <c r="Z9" s="163">
        <f>(3844+21408+16336+2574)/10</f>
        <v>4416.2</v>
      </c>
      <c r="AA9" s="161"/>
      <c r="AB9" s="163">
        <v>3163</v>
      </c>
      <c r="AD9" s="161">
        <f t="shared" si="0"/>
        <v>74208.3</v>
      </c>
      <c r="AE9" s="161"/>
      <c r="AF9" s="162"/>
    </row>
    <row r="10" spans="1:32" s="160" customFormat="1" ht="10.199999999999999">
      <c r="C10" s="160">
        <v>2022</v>
      </c>
      <c r="F10" s="163">
        <v>9748</v>
      </c>
      <c r="G10" s="161"/>
      <c r="H10" s="163">
        <v>6389</v>
      </c>
      <c r="I10" s="161"/>
      <c r="J10" s="163">
        <v>5426</v>
      </c>
      <c r="K10" s="161"/>
      <c r="L10" s="163">
        <v>4056</v>
      </c>
      <c r="M10" s="161"/>
      <c r="N10" s="163">
        <v>2246</v>
      </c>
      <c r="O10" s="161"/>
      <c r="P10" s="163">
        <f>(314+8038+3505+5119)/10</f>
        <v>1697.6</v>
      </c>
      <c r="Q10" s="161"/>
      <c r="R10" s="163">
        <f>(240+9172+11833+301)/10</f>
        <v>2154.6</v>
      </c>
      <c r="S10" s="161"/>
      <c r="T10" s="163">
        <f>(148+6040+8100+98)/10</f>
        <v>1438.6</v>
      </c>
      <c r="U10" s="161"/>
      <c r="V10" s="163">
        <f>(320+7603+9966+6)/10</f>
        <v>1789.5</v>
      </c>
      <c r="W10" s="161"/>
      <c r="X10" s="163">
        <v>3440.2</v>
      </c>
      <c r="Y10" s="161"/>
      <c r="Z10" s="163">
        <v>4157.8999999999996</v>
      </c>
      <c r="AA10" s="161"/>
      <c r="AB10" s="163">
        <v>6814.1</v>
      </c>
      <c r="AD10" s="161">
        <f t="shared" si="0"/>
        <v>49357.499999999993</v>
      </c>
      <c r="AE10" s="161"/>
      <c r="AF10" s="162"/>
    </row>
    <row r="11" spans="1:32" s="160" customFormat="1" ht="10.199999999999999">
      <c r="C11" s="160">
        <v>2023</v>
      </c>
      <c r="F11" s="163">
        <v>5578.7</v>
      </c>
      <c r="G11" s="161"/>
      <c r="H11" s="163">
        <v>4258.3</v>
      </c>
      <c r="I11" s="161"/>
      <c r="J11" s="163">
        <v>5276</v>
      </c>
      <c r="K11" s="161"/>
      <c r="L11" s="163">
        <v>5318.8</v>
      </c>
      <c r="M11" s="161"/>
      <c r="N11" s="163">
        <v>1883.5</v>
      </c>
      <c r="O11" s="161"/>
      <c r="P11" s="163">
        <v>1871.3</v>
      </c>
      <c r="Q11" s="161"/>
      <c r="R11" s="163">
        <v>1651.1</v>
      </c>
      <c r="S11" s="161"/>
      <c r="T11" s="163">
        <v>1394</v>
      </c>
      <c r="U11" s="161"/>
      <c r="V11" s="163">
        <v>1478</v>
      </c>
      <c r="W11" s="161"/>
      <c r="X11" s="163">
        <f>(1138+8040+19622+618)/10</f>
        <v>2941.8</v>
      </c>
      <c r="Y11" s="161"/>
      <c r="Z11" s="163">
        <f>(2977+14837+18049+2767)/10</f>
        <v>3863</v>
      </c>
      <c r="AA11" s="161"/>
      <c r="AB11" s="163">
        <v>6850.5</v>
      </c>
      <c r="AD11" s="161">
        <f t="shared" si="0"/>
        <v>42365</v>
      </c>
      <c r="AE11" s="161"/>
      <c r="AF11" s="162"/>
    </row>
    <row r="12" spans="1:32" s="160" customFormat="1" ht="10.199999999999999">
      <c r="C12" s="160">
        <v>2024</v>
      </c>
      <c r="F12" s="163">
        <v>6009</v>
      </c>
      <c r="G12" s="161"/>
      <c r="H12" s="163">
        <v>6279</v>
      </c>
      <c r="I12" s="161"/>
      <c r="J12" s="163">
        <v>4648.5</v>
      </c>
      <c r="K12" s="161"/>
      <c r="L12" s="163">
        <v>3619.8</v>
      </c>
      <c r="M12" s="161"/>
      <c r="N12" s="163">
        <v>2391.9</v>
      </c>
      <c r="O12" s="161"/>
      <c r="P12" s="163">
        <v>1825</v>
      </c>
      <c r="Q12" s="161"/>
      <c r="R12" s="164">
        <v>2935</v>
      </c>
      <c r="S12" s="161"/>
      <c r="T12" s="164">
        <f>1914+3233.23</f>
        <v>5147.2299999999996</v>
      </c>
      <c r="U12" s="161"/>
      <c r="V12" s="163">
        <v>3220.5</v>
      </c>
      <c r="W12" s="161"/>
      <c r="X12" s="163">
        <v>2989.6</v>
      </c>
      <c r="Y12" s="161"/>
      <c r="Z12" s="163">
        <v>3937.1</v>
      </c>
      <c r="AA12" s="161"/>
      <c r="AB12" s="163">
        <v>6778</v>
      </c>
      <c r="AD12" s="161">
        <f t="shared" si="0"/>
        <v>49780.63</v>
      </c>
      <c r="AE12" s="161"/>
    </row>
    <row r="13" spans="1:32" s="160" customFormat="1" ht="10.199999999999999">
      <c r="C13" s="160">
        <v>2025</v>
      </c>
      <c r="F13" s="163">
        <v>9624.2000000000007</v>
      </c>
      <c r="G13" s="161"/>
      <c r="H13" s="163">
        <v>6591.4</v>
      </c>
      <c r="I13" s="161"/>
      <c r="J13" s="163">
        <v>5204.8</v>
      </c>
      <c r="K13" s="161"/>
      <c r="L13" s="163">
        <v>3310</v>
      </c>
      <c r="M13" s="161"/>
      <c r="N13" s="163">
        <v>2149.6</v>
      </c>
      <c r="O13" s="161"/>
      <c r="P13" s="163">
        <v>1691.5</v>
      </c>
      <c r="Q13" s="161"/>
      <c r="R13" s="163">
        <v>1919.7</v>
      </c>
      <c r="S13" s="161"/>
      <c r="T13" s="164">
        <v>2441</v>
      </c>
      <c r="U13" s="161"/>
      <c r="V13" s="163">
        <v>3999</v>
      </c>
      <c r="W13" s="161"/>
      <c r="X13" s="163">
        <v>4163</v>
      </c>
      <c r="Y13" s="161"/>
      <c r="Z13" s="163">
        <v>5358</v>
      </c>
      <c r="AA13" s="161"/>
      <c r="AB13" s="163">
        <v>6540</v>
      </c>
      <c r="AD13" s="161">
        <f>SUM(F13:AB13)</f>
        <v>52992.2</v>
      </c>
      <c r="AE13" s="161"/>
    </row>
    <row r="14" spans="1:32" s="160" customFormat="1" ht="10.199999999999999">
      <c r="C14" s="160">
        <v>2026</v>
      </c>
      <c r="F14" s="163">
        <v>6765.4</v>
      </c>
      <c r="G14" s="161"/>
      <c r="H14" s="163">
        <v>9132.7000000000007</v>
      </c>
      <c r="I14" s="161"/>
      <c r="J14" s="161"/>
      <c r="K14" s="161"/>
      <c r="L14" s="161"/>
      <c r="M14" s="161"/>
      <c r="N14" s="161"/>
      <c r="O14" s="161"/>
      <c r="Q14" s="161"/>
      <c r="R14" s="161"/>
      <c r="S14" s="161"/>
      <c r="T14" s="237"/>
      <c r="U14" s="161"/>
      <c r="V14" s="161"/>
      <c r="W14" s="161"/>
      <c r="X14" s="161"/>
      <c r="Y14" s="161"/>
      <c r="Z14" s="161"/>
      <c r="AA14" s="161"/>
      <c r="AB14" s="161"/>
      <c r="AD14" s="161"/>
      <c r="AE14" s="161"/>
    </row>
    <row r="15" spans="1:32"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D15" s="107"/>
      <c r="AE15" s="107"/>
    </row>
    <row r="16" spans="1:32">
      <c r="C16" s="103" t="s">
        <v>169</v>
      </c>
      <c r="F16" s="107">
        <f>SUM(H13:AB13)+SUM(F14)</f>
        <v>50133.4</v>
      </c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D16" s="107"/>
    </row>
    <row r="17" spans="2:31">
      <c r="C17" s="103" t="s">
        <v>170</v>
      </c>
      <c r="F17" s="107">
        <f>AVERAGE(F10:F14)</f>
        <v>7545.06</v>
      </c>
      <c r="G17" s="107"/>
      <c r="H17" s="107">
        <f>AVERAGE(H9:H14)</f>
        <v>7046.1499999999987</v>
      </c>
      <c r="I17" s="107"/>
      <c r="J17" s="107">
        <f>AVERAGE(J9:J13)</f>
        <v>6725.5400000000009</v>
      </c>
      <c r="K17" s="107"/>
      <c r="L17" s="107">
        <f>AVERAGE(L9:L13)</f>
        <v>5329.14</v>
      </c>
      <c r="M17" s="107"/>
      <c r="N17" s="107">
        <f>AVERAGE(N9:N13)</f>
        <v>3121.56</v>
      </c>
      <c r="O17" s="107"/>
      <c r="P17" s="107">
        <f>AVERAGE(P9:P13)</f>
        <v>2746.1</v>
      </c>
      <c r="Q17" s="107"/>
      <c r="R17" s="107">
        <f>AVERAGE(R9:R13)</f>
        <v>2412.1</v>
      </c>
      <c r="S17" s="107"/>
      <c r="T17" s="107">
        <f>AVERAGE(T9:T13)</f>
        <v>2487.5259999999998</v>
      </c>
      <c r="U17" s="107"/>
      <c r="V17" s="107">
        <f>AVERAGE(V9:V13)</f>
        <v>2456.1999999999998</v>
      </c>
      <c r="W17" s="107"/>
      <c r="X17" s="107">
        <f>AVERAGE(X9:X13)</f>
        <v>3448.4</v>
      </c>
      <c r="Y17" s="107"/>
      <c r="Z17" s="107">
        <f>AVERAGE(Z9:Z13)</f>
        <v>4346.4399999999996</v>
      </c>
      <c r="AA17" s="107"/>
      <c r="AB17" s="107">
        <f>AVERAGE(AB9:AB13)</f>
        <v>6029.12</v>
      </c>
      <c r="AD17" s="107">
        <f>SUM(F17:AB17)</f>
        <v>53693.336000000003</v>
      </c>
    </row>
    <row r="18" spans="2:31"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D18" s="107"/>
    </row>
    <row r="19" spans="2:31">
      <c r="B19" s="103" t="s">
        <v>126</v>
      </c>
    </row>
    <row r="20" spans="2:31" s="160" customFormat="1" ht="10.199999999999999">
      <c r="C20" s="160">
        <v>2016</v>
      </c>
      <c r="F20" s="163">
        <v>3400</v>
      </c>
      <c r="G20" s="161"/>
      <c r="H20" s="163">
        <v>2723</v>
      </c>
      <c r="I20" s="161"/>
      <c r="J20" s="163">
        <v>1476</v>
      </c>
      <c r="K20" s="161"/>
      <c r="L20" s="163">
        <v>914</v>
      </c>
      <c r="M20" s="161"/>
      <c r="N20" s="163">
        <v>406</v>
      </c>
      <c r="O20" s="161"/>
      <c r="P20" s="163">
        <v>247</v>
      </c>
      <c r="Q20" s="161"/>
      <c r="R20" s="163">
        <v>223</v>
      </c>
      <c r="S20" s="161"/>
      <c r="T20" s="163">
        <v>221</v>
      </c>
      <c r="U20" s="161"/>
      <c r="V20" s="163">
        <v>235</v>
      </c>
      <c r="W20" s="161"/>
      <c r="X20" s="163">
        <v>443</v>
      </c>
      <c r="Y20" s="161"/>
      <c r="Z20" s="163">
        <v>1501</v>
      </c>
      <c r="AA20" s="161"/>
      <c r="AB20" s="163">
        <v>2532</v>
      </c>
      <c r="AD20" s="161">
        <f>SUM(F20:AB20)</f>
        <v>14321</v>
      </c>
    </row>
    <row r="21" spans="2:31" s="160" customFormat="1" ht="10.199999999999999">
      <c r="C21" s="160">
        <v>2017</v>
      </c>
      <c r="F21" s="163">
        <v>2547</v>
      </c>
      <c r="G21" s="161"/>
      <c r="H21" s="163">
        <v>1913</v>
      </c>
      <c r="I21" s="161"/>
      <c r="J21" s="163">
        <v>1990</v>
      </c>
      <c r="K21" s="161"/>
      <c r="L21" s="163">
        <v>659</v>
      </c>
      <c r="M21" s="161"/>
      <c r="N21" s="163">
        <v>481</v>
      </c>
      <c r="O21" s="161"/>
      <c r="P21" s="163">
        <v>285</v>
      </c>
      <c r="Q21" s="161"/>
      <c r="R21" s="163">
        <v>284</v>
      </c>
      <c r="S21" s="161"/>
      <c r="T21" s="163">
        <v>298</v>
      </c>
      <c r="U21" s="161"/>
      <c r="V21" s="163">
        <v>289</v>
      </c>
      <c r="W21" s="161"/>
      <c r="X21" s="163">
        <v>754</v>
      </c>
      <c r="Y21" s="161"/>
      <c r="Z21" s="163">
        <v>1828</v>
      </c>
      <c r="AA21" s="161"/>
      <c r="AB21" s="163">
        <v>2501</v>
      </c>
      <c r="AD21" s="161">
        <f t="shared" ref="AD21:AD29" si="1">SUM(F21:AB21)</f>
        <v>13829</v>
      </c>
    </row>
    <row r="22" spans="2:31" s="160" customFormat="1" ht="10.199999999999999">
      <c r="C22" s="160">
        <v>2018</v>
      </c>
      <c r="F22" s="163">
        <v>4102</v>
      </c>
      <c r="G22" s="161"/>
      <c r="H22" s="163">
        <v>2020</v>
      </c>
      <c r="I22" s="161"/>
      <c r="J22" s="163">
        <v>2241</v>
      </c>
      <c r="K22" s="161"/>
      <c r="L22" s="163">
        <v>1481</v>
      </c>
      <c r="M22" s="161"/>
      <c r="N22" s="163">
        <v>392</v>
      </c>
      <c r="O22" s="161"/>
      <c r="P22" s="163">
        <v>303</v>
      </c>
      <c r="Q22" s="161"/>
      <c r="R22" s="163">
        <v>298</v>
      </c>
      <c r="S22" s="161"/>
      <c r="T22" s="163">
        <v>316</v>
      </c>
      <c r="U22" s="161"/>
      <c r="V22" s="163">
        <v>260</v>
      </c>
      <c r="W22" s="161"/>
      <c r="X22" s="163">
        <v>813</v>
      </c>
      <c r="Y22" s="161"/>
      <c r="Z22" s="163">
        <v>2151</v>
      </c>
      <c r="AA22" s="161"/>
      <c r="AB22" s="163">
        <v>2602</v>
      </c>
      <c r="AD22" s="161">
        <f t="shared" si="1"/>
        <v>16979</v>
      </c>
    </row>
    <row r="23" spans="2:31" s="160" customFormat="1" ht="10.199999999999999">
      <c r="C23" s="160">
        <v>2019</v>
      </c>
      <c r="F23" s="163">
        <v>2898</v>
      </c>
      <c r="G23" s="161"/>
      <c r="H23" s="163">
        <v>2333</v>
      </c>
      <c r="I23" s="161"/>
      <c r="J23" s="163">
        <v>2073</v>
      </c>
      <c r="K23" s="161"/>
      <c r="L23" s="163">
        <v>913</v>
      </c>
      <c r="M23" s="161"/>
      <c r="N23" s="163">
        <v>369</v>
      </c>
      <c r="O23" s="161"/>
      <c r="P23" s="163">
        <v>320</v>
      </c>
      <c r="Q23" s="161"/>
      <c r="R23" s="163">
        <v>335</v>
      </c>
      <c r="S23" s="161"/>
      <c r="T23" s="163">
        <v>289</v>
      </c>
      <c r="U23" s="161"/>
      <c r="V23" s="163">
        <v>365</v>
      </c>
      <c r="W23" s="161"/>
      <c r="X23" s="163">
        <v>628</v>
      </c>
      <c r="Y23" s="161"/>
      <c r="Z23" s="163">
        <v>2233</v>
      </c>
      <c r="AA23" s="161"/>
      <c r="AB23" s="163">
        <v>2655</v>
      </c>
      <c r="AD23" s="161">
        <f t="shared" si="1"/>
        <v>15411</v>
      </c>
    </row>
    <row r="24" spans="2:31" s="160" customFormat="1" ht="10.199999999999999">
      <c r="C24" s="160">
        <v>2020</v>
      </c>
      <c r="F24" s="163">
        <v>2719</v>
      </c>
      <c r="G24" s="161"/>
      <c r="H24" s="163">
        <v>2400</v>
      </c>
      <c r="I24" s="161"/>
      <c r="J24" s="163">
        <v>1653</v>
      </c>
      <c r="K24" s="161"/>
      <c r="L24" s="163">
        <v>1142</v>
      </c>
      <c r="M24" s="161"/>
      <c r="N24" s="163">
        <v>847</v>
      </c>
      <c r="O24" s="161"/>
      <c r="P24" s="163">
        <v>448</v>
      </c>
      <c r="Q24" s="161"/>
      <c r="R24" s="163">
        <v>414</v>
      </c>
      <c r="S24" s="161"/>
      <c r="T24" s="163">
        <v>313</v>
      </c>
      <c r="U24" s="161"/>
      <c r="V24" s="163">
        <v>441</v>
      </c>
      <c r="W24" s="161"/>
      <c r="X24" s="163">
        <v>639</v>
      </c>
      <c r="Y24" s="161"/>
      <c r="Z24" s="163">
        <v>1890</v>
      </c>
      <c r="AA24" s="161"/>
      <c r="AB24" s="163">
        <v>2795</v>
      </c>
      <c r="AD24" s="161">
        <f t="shared" si="1"/>
        <v>15701</v>
      </c>
    </row>
    <row r="25" spans="2:31" s="160" customFormat="1" ht="10.199999999999999">
      <c r="C25" s="160">
        <v>2021</v>
      </c>
      <c r="F25" s="163">
        <v>3070</v>
      </c>
      <c r="G25" s="161"/>
      <c r="H25" s="163">
        <v>3329</v>
      </c>
      <c r="I25" s="161"/>
      <c r="J25" s="163">
        <v>1992</v>
      </c>
      <c r="K25" s="161"/>
      <c r="L25" s="163">
        <v>1347</v>
      </c>
      <c r="M25" s="161"/>
      <c r="N25" s="163">
        <f>(9615+3840)/10</f>
        <v>1345.5</v>
      </c>
      <c r="O25" s="161"/>
      <c r="P25" s="163">
        <v>414.7</v>
      </c>
      <c r="Q25" s="161"/>
      <c r="R25" s="163">
        <v>364.5</v>
      </c>
      <c r="S25" s="161"/>
      <c r="T25" s="147">
        <f>(1422+3378)/10</f>
        <v>480</v>
      </c>
      <c r="U25" s="139"/>
      <c r="V25" s="147">
        <f>(1434+2548)/10</f>
        <v>398.2</v>
      </c>
      <c r="W25" s="161"/>
      <c r="X25" s="163">
        <f>(4102+2983)/10</f>
        <v>708.5</v>
      </c>
      <c r="Y25" s="161"/>
      <c r="Z25" s="163">
        <f>(16114+6018)/10</f>
        <v>2213.1999999999998</v>
      </c>
      <c r="AA25" s="161"/>
      <c r="AB25" s="163">
        <v>2434</v>
      </c>
      <c r="AD25" s="161">
        <f t="shared" si="1"/>
        <v>18096.600000000002</v>
      </c>
    </row>
    <row r="26" spans="2:31" s="160" customFormat="1" ht="10.199999999999999">
      <c r="C26" s="160">
        <v>2022</v>
      </c>
      <c r="F26" s="163">
        <v>2640</v>
      </c>
      <c r="H26" s="163">
        <v>2602</v>
      </c>
      <c r="J26" s="163">
        <v>2119</v>
      </c>
      <c r="L26" s="163">
        <v>855</v>
      </c>
      <c r="N26" s="163">
        <v>265</v>
      </c>
      <c r="P26" s="163">
        <f>(2005+538)/10</f>
        <v>254.3</v>
      </c>
      <c r="Q26" s="161"/>
      <c r="R26" s="163">
        <f>(1313+501)/10</f>
        <v>181.4</v>
      </c>
      <c r="S26" s="161"/>
      <c r="T26" s="163">
        <f>(747+329)/10</f>
        <v>107.6</v>
      </c>
      <c r="U26" s="161"/>
      <c r="V26" s="163">
        <f>(1178+445)/10</f>
        <v>162.30000000000001</v>
      </c>
      <c r="W26" s="161"/>
      <c r="X26" s="163">
        <v>685.5</v>
      </c>
      <c r="Y26" s="161"/>
      <c r="Z26" s="163">
        <v>1511</v>
      </c>
      <c r="AB26" s="163">
        <v>2602.1999999999998</v>
      </c>
      <c r="AD26" s="161">
        <f t="shared" si="1"/>
        <v>13985.3</v>
      </c>
    </row>
    <row r="27" spans="2:31" s="160" customFormat="1" ht="10.199999999999999">
      <c r="C27" s="160">
        <v>2023</v>
      </c>
      <c r="F27" s="163">
        <v>2525.4</v>
      </c>
      <c r="H27" s="163">
        <v>1678.4</v>
      </c>
      <c r="J27" s="163">
        <v>1655.3</v>
      </c>
      <c r="L27" s="163">
        <v>759.5</v>
      </c>
      <c r="N27" s="163">
        <v>388.5</v>
      </c>
      <c r="P27" s="163">
        <v>202.3</v>
      </c>
      <c r="Q27" s="161"/>
      <c r="R27" s="163">
        <v>117.2</v>
      </c>
      <c r="S27" s="161"/>
      <c r="T27" s="163">
        <v>153</v>
      </c>
      <c r="U27" s="161"/>
      <c r="V27" s="163">
        <v>159</v>
      </c>
      <c r="W27" s="161"/>
      <c r="X27" s="163">
        <f>(4527+894)/10</f>
        <v>542.1</v>
      </c>
      <c r="Y27" s="161"/>
      <c r="Z27" s="163">
        <f>(14006+2962)/10</f>
        <v>1696.8</v>
      </c>
      <c r="AB27" s="163">
        <v>2027.2</v>
      </c>
      <c r="AD27" s="161">
        <f t="shared" si="1"/>
        <v>11904.7</v>
      </c>
      <c r="AE27" s="161"/>
    </row>
    <row r="28" spans="2:31" s="160" customFormat="1" ht="10.199999999999999">
      <c r="C28" s="160">
        <v>2024</v>
      </c>
      <c r="F28" s="163">
        <v>2826.2</v>
      </c>
      <c r="H28" s="163">
        <v>1923.5</v>
      </c>
      <c r="J28" s="163">
        <v>1061.0999999999999</v>
      </c>
      <c r="L28" s="163">
        <v>666.8</v>
      </c>
      <c r="N28" s="163">
        <v>234.3</v>
      </c>
      <c r="P28" s="163">
        <v>154</v>
      </c>
      <c r="Q28" s="161"/>
      <c r="R28" s="163">
        <v>169</v>
      </c>
      <c r="S28" s="161"/>
      <c r="T28" s="163">
        <v>161.19999999999999</v>
      </c>
      <c r="U28" s="161"/>
      <c r="V28" s="163">
        <v>182.2</v>
      </c>
      <c r="W28" s="161"/>
      <c r="X28" s="163">
        <v>468.7</v>
      </c>
      <c r="Y28" s="161"/>
      <c r="Z28" s="163">
        <v>1358</v>
      </c>
      <c r="AB28" s="163">
        <v>1881</v>
      </c>
      <c r="AD28" s="161">
        <f t="shared" si="1"/>
        <v>11086</v>
      </c>
      <c r="AE28" s="161"/>
    </row>
    <row r="29" spans="2:31" s="160" customFormat="1" ht="10.199999999999999">
      <c r="C29" s="160">
        <v>2025</v>
      </c>
      <c r="F29" s="163">
        <v>3539.5</v>
      </c>
      <c r="H29" s="163">
        <v>2148.8000000000002</v>
      </c>
      <c r="J29" s="163">
        <v>1308.7</v>
      </c>
      <c r="L29" s="163">
        <v>570.29999999999995</v>
      </c>
      <c r="N29" s="163">
        <v>269.10000000000002</v>
      </c>
      <c r="P29" s="163">
        <v>357.7</v>
      </c>
      <c r="Q29" s="161"/>
      <c r="R29" s="163">
        <v>142.30000000000001</v>
      </c>
      <c r="S29" s="161"/>
      <c r="T29" s="163">
        <v>101</v>
      </c>
      <c r="U29" s="161"/>
      <c r="V29" s="163">
        <v>148</v>
      </c>
      <c r="W29" s="161"/>
      <c r="X29" s="163">
        <v>556</v>
      </c>
      <c r="Y29" s="161"/>
      <c r="Z29" s="163">
        <v>1477</v>
      </c>
      <c r="AB29" s="163">
        <v>2233</v>
      </c>
      <c r="AD29" s="161">
        <f t="shared" si="1"/>
        <v>12851.4</v>
      </c>
      <c r="AE29" s="161"/>
    </row>
    <row r="30" spans="2:31" s="160" customFormat="1" ht="10.199999999999999">
      <c r="C30" s="160">
        <v>2026</v>
      </c>
      <c r="F30" s="163">
        <v>4050.5</v>
      </c>
      <c r="H30" s="163">
        <v>2109.6</v>
      </c>
      <c r="J30" s="161"/>
      <c r="L30" s="161"/>
      <c r="N30" s="161"/>
      <c r="Q30" s="161"/>
      <c r="R30" s="161"/>
      <c r="S30" s="161"/>
      <c r="T30" s="161"/>
      <c r="U30" s="161"/>
      <c r="V30" s="161"/>
      <c r="W30" s="161"/>
      <c r="X30" s="161"/>
      <c r="Y30" s="161"/>
      <c r="Z30" s="161"/>
      <c r="AB30" s="161"/>
      <c r="AD30" s="161"/>
      <c r="AE30" s="161"/>
    </row>
    <row r="31" spans="2:31">
      <c r="F31" s="107"/>
      <c r="H31" s="107"/>
      <c r="J31" s="107"/>
      <c r="L31" s="107"/>
      <c r="N31" s="107"/>
      <c r="P31" s="107"/>
      <c r="R31" s="107"/>
      <c r="AE31" s="107"/>
    </row>
    <row r="32" spans="2:31">
      <c r="C32" s="103" t="s">
        <v>169</v>
      </c>
      <c r="F32" s="107">
        <f>SUM(H29:AB29)+SUM(F30)</f>
        <v>13362.400000000001</v>
      </c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</row>
    <row r="33" spans="2:31">
      <c r="C33" s="103" t="s">
        <v>170</v>
      </c>
      <c r="F33" s="107">
        <f>AVERAGE(F26:F30)</f>
        <v>3116.3199999999997</v>
      </c>
      <c r="G33" s="107"/>
      <c r="H33" s="107">
        <f>AVERAGE(H25:H29)</f>
        <v>2336.34</v>
      </c>
      <c r="I33" s="107"/>
      <c r="J33" s="107">
        <f>AVERAGE(J25:J29)</f>
        <v>1627.2199999999998</v>
      </c>
      <c r="K33" s="107"/>
      <c r="L33" s="107">
        <f>AVERAGE(L25:L29)</f>
        <v>839.72</v>
      </c>
      <c r="M33" s="107"/>
      <c r="N33" s="107">
        <f>AVERAGE(N25:N29)</f>
        <v>500.48</v>
      </c>
      <c r="O33" s="107"/>
      <c r="P33" s="107">
        <f>AVERAGE(P25:P29)</f>
        <v>276.60000000000002</v>
      </c>
      <c r="Q33" s="107"/>
      <c r="R33" s="107">
        <f>AVERAGE(R25:R29)</f>
        <v>194.88000000000002</v>
      </c>
      <c r="S33" s="107"/>
      <c r="T33" s="107">
        <f>AVERAGE(T25:T29)</f>
        <v>200.56</v>
      </c>
      <c r="U33" s="107"/>
      <c r="V33" s="107">
        <f>AVERAGE(V25:V29)</f>
        <v>209.94</v>
      </c>
      <c r="W33" s="107"/>
      <c r="X33" s="107">
        <f>AVERAGE(X25:X29)</f>
        <v>592.16</v>
      </c>
      <c r="Y33" s="107"/>
      <c r="Z33" s="107">
        <f>AVERAGE(Z25:Z29)</f>
        <v>1651.2</v>
      </c>
      <c r="AA33" s="107"/>
      <c r="AB33" s="107">
        <f>AVERAGE(AB25:AB29)</f>
        <v>2235.48</v>
      </c>
      <c r="AD33" s="107">
        <f>SUM(F33:AB33)</f>
        <v>13780.9</v>
      </c>
    </row>
    <row r="34" spans="2:31">
      <c r="L34" s="107"/>
    </row>
    <row r="35" spans="2:31">
      <c r="B35" s="103" t="s">
        <v>127</v>
      </c>
    </row>
    <row r="36" spans="2:31" s="160" customFormat="1" ht="10.199999999999999">
      <c r="C36" s="160">
        <v>2016</v>
      </c>
      <c r="F36" s="163">
        <v>2914</v>
      </c>
      <c r="G36" s="161"/>
      <c r="H36" s="163">
        <v>2325</v>
      </c>
      <c r="I36" s="161"/>
      <c r="J36" s="163">
        <v>1485</v>
      </c>
      <c r="K36" s="161"/>
      <c r="L36" s="163">
        <v>663</v>
      </c>
      <c r="M36" s="161"/>
      <c r="N36" s="163">
        <v>362</v>
      </c>
      <c r="O36" s="161"/>
      <c r="P36" s="163">
        <v>103</v>
      </c>
      <c r="Q36" s="161"/>
      <c r="R36" s="163">
        <v>105</v>
      </c>
      <c r="S36" s="161"/>
      <c r="T36" s="163">
        <v>74</v>
      </c>
      <c r="U36" s="161"/>
      <c r="V36" s="163">
        <v>175</v>
      </c>
      <c r="W36" s="161"/>
      <c r="X36" s="163">
        <v>314</v>
      </c>
      <c r="Y36" s="161"/>
      <c r="Z36" s="163">
        <v>1461</v>
      </c>
      <c r="AA36" s="161"/>
      <c r="AB36" s="163">
        <v>1998</v>
      </c>
      <c r="AD36" s="161">
        <f>SUM(F36:AB36)</f>
        <v>11979</v>
      </c>
    </row>
    <row r="37" spans="2:31" s="160" customFormat="1" ht="10.199999999999999">
      <c r="C37" s="160">
        <v>2017</v>
      </c>
      <c r="F37" s="163">
        <v>2142</v>
      </c>
      <c r="G37" s="161"/>
      <c r="H37" s="163">
        <v>1591</v>
      </c>
      <c r="I37" s="161"/>
      <c r="J37" s="163">
        <v>1662</v>
      </c>
      <c r="K37" s="161"/>
      <c r="L37" s="163">
        <v>498</v>
      </c>
      <c r="M37" s="161"/>
      <c r="N37" s="163">
        <v>272</v>
      </c>
      <c r="O37" s="161"/>
      <c r="P37" s="163">
        <v>147</v>
      </c>
      <c r="Q37" s="161"/>
      <c r="R37" s="163">
        <v>135</v>
      </c>
      <c r="S37" s="161"/>
      <c r="T37" s="163">
        <v>113</v>
      </c>
      <c r="U37" s="161"/>
      <c r="V37" s="163">
        <v>146</v>
      </c>
      <c r="W37" s="161"/>
      <c r="X37" s="163">
        <v>503</v>
      </c>
      <c r="Y37" s="161"/>
      <c r="Z37" s="163">
        <v>1424</v>
      </c>
      <c r="AA37" s="161"/>
      <c r="AB37" s="163">
        <v>2076</v>
      </c>
      <c r="AD37" s="161">
        <f t="shared" ref="AD37:AD45" si="2">SUM(F37:AB37)</f>
        <v>10709</v>
      </c>
    </row>
    <row r="38" spans="2:31" s="160" customFormat="1" ht="10.199999999999999">
      <c r="C38" s="160">
        <v>2018</v>
      </c>
      <c r="F38" s="163">
        <v>3491</v>
      </c>
      <c r="G38" s="161"/>
      <c r="H38" s="163">
        <v>1682</v>
      </c>
      <c r="I38" s="161"/>
      <c r="J38" s="163">
        <v>1932</v>
      </c>
      <c r="K38" s="161"/>
      <c r="L38" s="163">
        <v>1338</v>
      </c>
      <c r="M38" s="161"/>
      <c r="N38" s="163">
        <v>169</v>
      </c>
      <c r="O38" s="161"/>
      <c r="P38" s="163">
        <v>108</v>
      </c>
      <c r="Q38" s="161"/>
      <c r="R38" s="163">
        <v>114</v>
      </c>
      <c r="S38" s="161"/>
      <c r="T38" s="163">
        <v>130</v>
      </c>
      <c r="U38" s="161"/>
      <c r="V38" s="163">
        <v>76</v>
      </c>
      <c r="W38" s="161"/>
      <c r="X38" s="163">
        <v>670</v>
      </c>
      <c r="Y38" s="161"/>
      <c r="Z38" s="163">
        <v>1714</v>
      </c>
      <c r="AA38" s="161"/>
      <c r="AB38" s="163">
        <v>2044</v>
      </c>
      <c r="AD38" s="161">
        <f t="shared" si="2"/>
        <v>13468</v>
      </c>
    </row>
    <row r="39" spans="2:31" s="160" customFormat="1" ht="10.199999999999999">
      <c r="C39" s="160">
        <v>2019</v>
      </c>
      <c r="F39" s="163">
        <v>2854</v>
      </c>
      <c r="G39" s="161"/>
      <c r="H39" s="163">
        <v>1720</v>
      </c>
      <c r="I39" s="161"/>
      <c r="J39" s="163">
        <v>1809</v>
      </c>
      <c r="K39" s="161"/>
      <c r="L39" s="163">
        <v>703</v>
      </c>
      <c r="M39" s="161"/>
      <c r="N39" s="163">
        <v>191</v>
      </c>
      <c r="O39" s="161"/>
      <c r="P39" s="163">
        <v>148</v>
      </c>
      <c r="Q39" s="161"/>
      <c r="R39" s="163">
        <v>133</v>
      </c>
      <c r="S39" s="161"/>
      <c r="T39" s="163">
        <v>138</v>
      </c>
      <c r="U39" s="161"/>
      <c r="V39" s="163">
        <v>151</v>
      </c>
      <c r="W39" s="161"/>
      <c r="X39" s="163">
        <v>439</v>
      </c>
      <c r="Y39" s="161"/>
      <c r="Z39" s="163">
        <v>1651</v>
      </c>
      <c r="AA39" s="161"/>
      <c r="AB39" s="163">
        <v>2141</v>
      </c>
      <c r="AD39" s="161">
        <f t="shared" si="2"/>
        <v>12078</v>
      </c>
    </row>
    <row r="40" spans="2:31" s="160" customFormat="1" ht="10.199999999999999">
      <c r="C40" s="160">
        <v>2020</v>
      </c>
      <c r="F40" s="163">
        <v>2141</v>
      </c>
      <c r="G40" s="161"/>
      <c r="H40" s="163">
        <v>1951</v>
      </c>
      <c r="I40" s="161"/>
      <c r="J40" s="163">
        <v>1427</v>
      </c>
      <c r="K40" s="161"/>
      <c r="L40" s="163">
        <v>957</v>
      </c>
      <c r="M40" s="161"/>
      <c r="N40" s="163">
        <v>530</v>
      </c>
      <c r="O40" s="161"/>
      <c r="P40" s="163">
        <v>170</v>
      </c>
      <c r="Q40" s="161"/>
      <c r="R40" s="163">
        <v>118</v>
      </c>
      <c r="S40" s="161"/>
      <c r="T40" s="163">
        <v>142</v>
      </c>
      <c r="U40" s="161"/>
      <c r="V40" s="163">
        <v>280</v>
      </c>
      <c r="W40" s="161"/>
      <c r="X40" s="163">
        <v>453</v>
      </c>
      <c r="Y40" s="161"/>
      <c r="Z40" s="163">
        <v>1396</v>
      </c>
      <c r="AA40" s="161"/>
      <c r="AB40" s="163">
        <v>2369</v>
      </c>
      <c r="AD40" s="161">
        <f t="shared" si="2"/>
        <v>11934</v>
      </c>
    </row>
    <row r="41" spans="2:31" s="160" customFormat="1" ht="10.199999999999999">
      <c r="C41" s="160">
        <v>2021</v>
      </c>
      <c r="F41" s="163">
        <v>2462</v>
      </c>
      <c r="G41" s="161"/>
      <c r="H41" s="163">
        <v>2794</v>
      </c>
      <c r="I41" s="161"/>
      <c r="J41" s="163">
        <v>1632</v>
      </c>
      <c r="K41" s="161"/>
      <c r="L41" s="163">
        <v>817</v>
      </c>
      <c r="M41" s="161"/>
      <c r="N41" s="163">
        <f>(6568+419)/10</f>
        <v>698.7</v>
      </c>
      <c r="O41" s="161"/>
      <c r="P41" s="163">
        <v>144.30000000000001</v>
      </c>
      <c r="Q41" s="161"/>
      <c r="R41" s="163">
        <v>178.9</v>
      </c>
      <c r="S41" s="161"/>
      <c r="T41" s="147">
        <f>(1517+303)/10</f>
        <v>182</v>
      </c>
      <c r="U41" s="139"/>
      <c r="V41" s="147">
        <f>(2749+145)/10</f>
        <v>289.39999999999998</v>
      </c>
      <c r="W41" s="161"/>
      <c r="X41" s="163">
        <f>(5109+323)/10</f>
        <v>543.20000000000005</v>
      </c>
      <c r="Y41" s="161"/>
      <c r="Z41" s="163">
        <f>(16330+750)/10</f>
        <v>1708</v>
      </c>
      <c r="AA41" s="161"/>
      <c r="AB41" s="163">
        <v>1832</v>
      </c>
      <c r="AD41" s="161">
        <f t="shared" si="2"/>
        <v>13281.5</v>
      </c>
    </row>
    <row r="42" spans="2:31" s="160" customFormat="1" ht="10.199999999999999">
      <c r="C42" s="160">
        <v>2022</v>
      </c>
      <c r="F42" s="163">
        <v>2503</v>
      </c>
      <c r="H42" s="163">
        <v>2263</v>
      </c>
      <c r="J42" s="163">
        <v>1651</v>
      </c>
      <c r="L42" s="163">
        <v>858</v>
      </c>
      <c r="N42" s="163">
        <f>(2873+221)/10</f>
        <v>309.39999999999998</v>
      </c>
      <c r="P42" s="163">
        <f>(2782+213)/10</f>
        <v>299.5</v>
      </c>
      <c r="R42" s="163">
        <f>(1465+3937)/10</f>
        <v>540.20000000000005</v>
      </c>
      <c r="T42" s="163">
        <f>(624+148)/10</f>
        <v>77.2</v>
      </c>
      <c r="V42" s="163">
        <f>(1426+203)/10</f>
        <v>162.9</v>
      </c>
      <c r="X42" s="163">
        <v>825</v>
      </c>
      <c r="Z42" s="163">
        <v>1505.4</v>
      </c>
      <c r="AB42" s="163">
        <v>2507.6</v>
      </c>
      <c r="AD42" s="161">
        <f t="shared" si="2"/>
        <v>13502.2</v>
      </c>
    </row>
    <row r="43" spans="2:31" s="160" customFormat="1" ht="10.199999999999999">
      <c r="C43" s="160">
        <v>2023</v>
      </c>
      <c r="F43" s="163">
        <v>2259.8000000000002</v>
      </c>
      <c r="H43" s="163">
        <v>1565.2</v>
      </c>
      <c r="J43" s="163">
        <v>1661.8</v>
      </c>
      <c r="L43" s="163">
        <v>647.9</v>
      </c>
      <c r="N43" s="163">
        <v>240.2</v>
      </c>
      <c r="P43" s="163">
        <v>172</v>
      </c>
      <c r="R43" s="163">
        <v>171.2</v>
      </c>
      <c r="T43" s="163">
        <v>170</v>
      </c>
      <c r="V43" s="163">
        <v>199</v>
      </c>
      <c r="X43" s="163">
        <f>(6820+300)/10</f>
        <v>712</v>
      </c>
      <c r="Z43" s="163">
        <f>(15629+809)/10</f>
        <v>1643.8</v>
      </c>
      <c r="AB43" s="163">
        <v>1987.2</v>
      </c>
      <c r="AD43" s="161">
        <f t="shared" si="2"/>
        <v>11430.1</v>
      </c>
    </row>
    <row r="44" spans="2:31" s="160" customFormat="1" ht="10.199999999999999">
      <c r="C44" s="160">
        <v>2024</v>
      </c>
      <c r="F44" s="163">
        <v>2777.5</v>
      </c>
      <c r="H44" s="163">
        <v>1847.9</v>
      </c>
      <c r="J44" s="163">
        <v>1059.7</v>
      </c>
      <c r="L44" s="163">
        <v>576.79999999999995</v>
      </c>
      <c r="N44" s="163">
        <v>248.2</v>
      </c>
      <c r="P44" s="163">
        <v>131</v>
      </c>
      <c r="R44" s="163">
        <v>145</v>
      </c>
      <c r="T44" s="163">
        <v>195.3</v>
      </c>
      <c r="V44" s="163">
        <v>219.5</v>
      </c>
      <c r="X44" s="163">
        <v>581.70000000000005</v>
      </c>
      <c r="Z44" s="163">
        <v>1420.9</v>
      </c>
      <c r="AB44" s="163">
        <v>1874.8</v>
      </c>
      <c r="AD44" s="161">
        <f t="shared" si="2"/>
        <v>11078.3</v>
      </c>
      <c r="AE44" s="161"/>
    </row>
    <row r="45" spans="2:31" s="160" customFormat="1" ht="10.199999999999999">
      <c r="C45" s="160">
        <v>2025</v>
      </c>
      <c r="F45" s="163">
        <v>3450.2</v>
      </c>
      <c r="H45" s="163">
        <v>2234.9</v>
      </c>
      <c r="J45" s="163">
        <v>1142.8</v>
      </c>
      <c r="L45" s="163">
        <v>634.1</v>
      </c>
      <c r="N45" s="163">
        <v>299.89999999999998</v>
      </c>
      <c r="P45" s="163">
        <v>221.8</v>
      </c>
      <c r="R45" s="163">
        <v>137.4</v>
      </c>
      <c r="T45" s="163">
        <v>145</v>
      </c>
      <c r="V45" s="163">
        <v>287</v>
      </c>
      <c r="X45" s="163">
        <v>723</v>
      </c>
      <c r="Z45" s="163">
        <v>1425</v>
      </c>
      <c r="AB45" s="163">
        <v>2383</v>
      </c>
      <c r="AD45" s="161">
        <f t="shared" si="2"/>
        <v>13084.1</v>
      </c>
      <c r="AE45" s="161"/>
    </row>
    <row r="46" spans="2:31" s="160" customFormat="1" ht="10.199999999999999">
      <c r="C46" s="160">
        <v>2026</v>
      </c>
      <c r="F46" s="163">
        <v>4048.7</v>
      </c>
      <c r="H46" s="163">
        <v>1384.9</v>
      </c>
      <c r="J46" s="161"/>
      <c r="L46" s="161"/>
      <c r="N46" s="161"/>
      <c r="R46" s="161"/>
      <c r="T46" s="161"/>
      <c r="V46" s="161"/>
      <c r="X46" s="161"/>
      <c r="Z46" s="161"/>
      <c r="AB46" s="161"/>
      <c r="AD46" s="161"/>
      <c r="AE46" s="161"/>
    </row>
    <row r="47" spans="2:31">
      <c r="F47" s="107"/>
      <c r="H47" s="107"/>
      <c r="J47" s="107"/>
      <c r="L47" s="107"/>
      <c r="N47" s="107"/>
      <c r="P47" s="107"/>
      <c r="R47" s="107"/>
      <c r="T47" s="107"/>
      <c r="AE47" s="107"/>
    </row>
    <row r="48" spans="2:31">
      <c r="C48" s="103" t="s">
        <v>169</v>
      </c>
      <c r="F48" s="107">
        <f>SUM(H45:AB45)+SUM(F46)</f>
        <v>13682.599999999999</v>
      </c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</row>
    <row r="49" spans="1:33">
      <c r="C49" s="103" t="s">
        <v>170</v>
      </c>
      <c r="F49" s="107">
        <f>AVERAGE(F42:F46)</f>
        <v>3007.84</v>
      </c>
      <c r="G49" s="107"/>
      <c r="H49" s="107">
        <f>AVERAGE(H41:H45)</f>
        <v>2141</v>
      </c>
      <c r="I49" s="107"/>
      <c r="J49" s="107">
        <f>AVERAGE(J41:J45)</f>
        <v>1429.46</v>
      </c>
      <c r="K49" s="107"/>
      <c r="L49" s="107">
        <f>AVERAGE(L41:L45)</f>
        <v>706.76</v>
      </c>
      <c r="M49" s="107"/>
      <c r="N49" s="107">
        <f>AVERAGE(N41:N45)</f>
        <v>359.28000000000003</v>
      </c>
      <c r="O49" s="107"/>
      <c r="P49" s="107">
        <f>AVERAGE(P41:P45)</f>
        <v>193.71999999999997</v>
      </c>
      <c r="Q49" s="107"/>
      <c r="R49" s="107">
        <f>AVERAGE(R41:R45)</f>
        <v>234.54000000000002</v>
      </c>
      <c r="S49" s="107"/>
      <c r="T49" s="107">
        <f>AVERAGE(T41:T45)</f>
        <v>153.9</v>
      </c>
      <c r="U49" s="107"/>
      <c r="V49" s="107">
        <f>AVERAGE(V41:V45)</f>
        <v>231.56</v>
      </c>
      <c r="W49" s="107"/>
      <c r="X49" s="107">
        <f>AVERAGE(X41:X45)</f>
        <v>676.9799999999999</v>
      </c>
      <c r="Y49" s="107"/>
      <c r="Z49" s="107">
        <f>AVERAGE(Z41:Z45)</f>
        <v>1540.6200000000001</v>
      </c>
      <c r="AA49" s="107"/>
      <c r="AB49" s="107">
        <f>AVERAGE(AB41:AB45)</f>
        <v>2116.92</v>
      </c>
      <c r="AD49" s="107">
        <f>SUM(F49:AB49)</f>
        <v>12792.58</v>
      </c>
    </row>
    <row r="51" spans="1:33">
      <c r="A51" s="103" t="s">
        <v>171</v>
      </c>
      <c r="F51" s="107">
        <f>F17+F33+F49</f>
        <v>13669.220000000001</v>
      </c>
      <c r="H51" s="107">
        <f>H17+H33+H49</f>
        <v>11523.489999999998</v>
      </c>
      <c r="J51" s="107">
        <f>J17+J33+J49</f>
        <v>9782.2200000000012</v>
      </c>
      <c r="L51" s="107">
        <f>L17+L33+L49</f>
        <v>6875.6200000000008</v>
      </c>
      <c r="N51" s="107">
        <f>N17+N33+N49</f>
        <v>3981.32</v>
      </c>
      <c r="P51" s="107">
        <f>P17+P33+P49</f>
        <v>3216.4199999999996</v>
      </c>
      <c r="R51" s="107">
        <f>R17+R33+R49</f>
        <v>2841.52</v>
      </c>
      <c r="T51" s="107">
        <f>T17+T33+T49</f>
        <v>2841.9859999999999</v>
      </c>
      <c r="V51" s="107">
        <f>V17+V33+V49</f>
        <v>2897.7</v>
      </c>
      <c r="X51" s="107">
        <f>X17+X33+X49</f>
        <v>4717.54</v>
      </c>
      <c r="Z51" s="107">
        <f>Z17+Z33+Z49</f>
        <v>7538.2599999999993</v>
      </c>
      <c r="AB51" s="107">
        <f>AB17+AB33+AB49</f>
        <v>10381.52</v>
      </c>
      <c r="AD51" s="107">
        <f>SUM(F51:AB51)</f>
        <v>80266.815999999992</v>
      </c>
    </row>
    <row r="52" spans="1:33">
      <c r="B52" s="103" t="s">
        <v>172</v>
      </c>
      <c r="F52" s="109">
        <f>F17/F$51</f>
        <v>0.55197443599561646</v>
      </c>
      <c r="H52" s="109">
        <f>H17/H$51</f>
        <v>0.6114597227055345</v>
      </c>
      <c r="J52" s="109">
        <f>J17/J$51</f>
        <v>0.6875269621824085</v>
      </c>
      <c r="L52" s="109">
        <f>L17/L$51</f>
        <v>0.77507773844395123</v>
      </c>
      <c r="N52" s="109">
        <f>N17/N$51</f>
        <v>0.78405152060120764</v>
      </c>
      <c r="P52" s="109">
        <f>P17/P$51</f>
        <v>0.85377531541278817</v>
      </c>
      <c r="R52" s="109">
        <f>R17/R$51</f>
        <v>0.84887665756355746</v>
      </c>
      <c r="T52" s="109">
        <f>T17/T$51</f>
        <v>0.87527735886102187</v>
      </c>
      <c r="V52" s="109">
        <f>V17/V$51</f>
        <v>0.84763778168892567</v>
      </c>
      <c r="X52" s="109">
        <f>X17/X$51</f>
        <v>0.73097419417747389</v>
      </c>
      <c r="Z52" s="109">
        <f>Z17/Z$51</f>
        <v>0.57658398622493789</v>
      </c>
      <c r="AB52" s="109">
        <f>AB17/AB$51</f>
        <v>0.58075503394493289</v>
      </c>
      <c r="AD52" s="110">
        <f>AD17/AD$51</f>
        <v>0.66893566576753227</v>
      </c>
    </row>
    <row r="53" spans="1:33">
      <c r="B53" s="103" t="s">
        <v>173</v>
      </c>
      <c r="F53" s="109">
        <f>F33/F$51</f>
        <v>0.22798082114414717</v>
      </c>
      <c r="H53" s="109">
        <f>H33/H$51</f>
        <v>0.20274586952390297</v>
      </c>
      <c r="J53" s="109">
        <f>J33/J$51</f>
        <v>0.16634465387202491</v>
      </c>
      <c r="L53" s="109">
        <f>L33/L$51</f>
        <v>0.12213007699669265</v>
      </c>
      <c r="N53" s="109">
        <f>N33/N$51</f>
        <v>0.12570705193252488</v>
      </c>
      <c r="P53" s="109">
        <f t="shared" ref="P53:Q53" si="3">P33/P$51</f>
        <v>8.5996231835394649E-2</v>
      </c>
      <c r="Q53" s="109" t="e">
        <f t="shared" si="3"/>
        <v>#DIV/0!</v>
      </c>
      <c r="R53" s="109">
        <f>R33/R$51</f>
        <v>6.8583011909119071E-2</v>
      </c>
      <c r="T53" s="109">
        <f>T33/T$51</f>
        <v>7.057036874917752E-2</v>
      </c>
      <c r="V53" s="109">
        <f>V33/V$51</f>
        <v>7.2450564240604615E-2</v>
      </c>
      <c r="X53" s="109">
        <f>X33/X$51</f>
        <v>0.12552304802926947</v>
      </c>
      <c r="Z53" s="109">
        <f>Z33/Z$51</f>
        <v>0.2190425907304869</v>
      </c>
      <c r="AB53" s="109">
        <f>AB33/AB$51</f>
        <v>0.21533262951860613</v>
      </c>
      <c r="AD53" s="110">
        <f>AD33/AD$51</f>
        <v>0.17168863406765755</v>
      </c>
    </row>
    <row r="54" spans="1:33">
      <c r="B54" s="103" t="s">
        <v>174</v>
      </c>
      <c r="F54" s="109">
        <f>F49/F$51</f>
        <v>0.22004474286023634</v>
      </c>
      <c r="H54" s="109">
        <f>H49/H$51</f>
        <v>0.18579440777056261</v>
      </c>
      <c r="J54" s="109">
        <f>J49/J$51</f>
        <v>0.14612838394556654</v>
      </c>
      <c r="L54" s="109">
        <f>L49/L$51</f>
        <v>0.10279218455935608</v>
      </c>
      <c r="N54" s="109">
        <f>N49/N$51</f>
        <v>9.0241427466267468E-2</v>
      </c>
      <c r="P54" s="109">
        <f>P49/P$51</f>
        <v>6.0228452751817235E-2</v>
      </c>
      <c r="R54" s="109">
        <f>R49/R$51</f>
        <v>8.2540330527323416E-2</v>
      </c>
      <c r="T54" s="109">
        <f>T49/T$51</f>
        <v>5.4152272389800658E-2</v>
      </c>
      <c r="V54" s="109">
        <f>V49/V$51</f>
        <v>7.9911654070469684E-2</v>
      </c>
      <c r="X54" s="109">
        <f>X49/X$51</f>
        <v>0.14350275779325664</v>
      </c>
      <c r="Z54" s="109">
        <f>Z49/Z$51</f>
        <v>0.20437342304457531</v>
      </c>
      <c r="AB54" s="109">
        <f>AB49/AB$51</f>
        <v>0.20391233653646093</v>
      </c>
      <c r="AD54" s="110">
        <f>AD49/AD$51</f>
        <v>0.15937570016481034</v>
      </c>
    </row>
    <row r="56" spans="1:33">
      <c r="B56" s="103" t="s">
        <v>175</v>
      </c>
      <c r="AD56" s="111" t="s">
        <v>176</v>
      </c>
      <c r="AE56" s="111" t="s">
        <v>177</v>
      </c>
    </row>
    <row r="57" spans="1:33">
      <c r="C57" s="103">
        <v>2020</v>
      </c>
      <c r="P57" s="169">
        <f>P40+P24+P8</f>
        <v>6494.5</v>
      </c>
      <c r="R57" s="169">
        <f>R40+R24+R8</f>
        <v>6484.1</v>
      </c>
      <c r="T57" s="169">
        <f>T40+T24+T8</f>
        <v>5615.3</v>
      </c>
      <c r="V57" s="169">
        <f>V40+V24+V8</f>
        <v>7055.5</v>
      </c>
      <c r="X57" s="169">
        <f>X40+X24+X8</f>
        <v>8826.9</v>
      </c>
      <c r="Z57" s="169">
        <f>Z40+Z24+Z8</f>
        <v>12482.8</v>
      </c>
      <c r="AB57" s="169">
        <f>AB40+AB24+AB8</f>
        <v>19933.599999999999</v>
      </c>
      <c r="AD57" s="107"/>
    </row>
    <row r="58" spans="1:33">
      <c r="C58" s="103">
        <v>2021</v>
      </c>
      <c r="F58" s="169">
        <f>F41+F25+F9</f>
        <v>14620.9</v>
      </c>
      <c r="H58" s="169">
        <f>H41+H25+H9</f>
        <v>15749.5</v>
      </c>
      <c r="J58" s="169">
        <f>J41+J25+J9</f>
        <v>16696.400000000001</v>
      </c>
      <c r="L58" s="169">
        <f>L41+L25+L9</f>
        <v>12505.1</v>
      </c>
      <c r="N58" s="169">
        <f>N41+N25+N9</f>
        <v>8981</v>
      </c>
      <c r="P58" s="169">
        <f>P41+P25+P9</f>
        <v>7204.1</v>
      </c>
      <c r="R58" s="169">
        <f>R41+R25+R9</f>
        <v>3943.5</v>
      </c>
      <c r="T58" s="169">
        <f>T41+T25+T9</f>
        <v>2678.8</v>
      </c>
      <c r="V58" s="169">
        <f>V41+V25+V9</f>
        <v>2481.6</v>
      </c>
      <c r="X58" s="169">
        <f>X41+X25+X9</f>
        <v>4959.1000000000004</v>
      </c>
      <c r="Z58" s="169">
        <f>N9+N25+N41</f>
        <v>8981</v>
      </c>
      <c r="AB58" s="169">
        <f>AB9+AB25+AB41</f>
        <v>7429</v>
      </c>
      <c r="AD58" s="107">
        <f>SUM(F58:AB58)</f>
        <v>106230.00000000001</v>
      </c>
      <c r="AE58" s="107">
        <f>Purchases!AD150</f>
        <v>107842.96415071048</v>
      </c>
      <c r="AF58" s="112">
        <f>(AE58-AD58)/AE58</f>
        <v>1.4956600677781366E-2</v>
      </c>
    </row>
    <row r="59" spans="1:33">
      <c r="C59" s="103">
        <v>2022</v>
      </c>
      <c r="F59" s="169">
        <f>F10+F26+F42</f>
        <v>14891</v>
      </c>
      <c r="H59" s="169">
        <f>H10+H26+H42</f>
        <v>11254</v>
      </c>
      <c r="J59" s="169">
        <f>J10+J26+J42</f>
        <v>9196</v>
      </c>
      <c r="L59" s="169">
        <f>L10+L26+L42</f>
        <v>5769</v>
      </c>
      <c r="N59" s="169">
        <f>N10+N26+N42</f>
        <v>2820.4</v>
      </c>
      <c r="P59" s="169">
        <f>P10+P26+P42</f>
        <v>2251.3999999999996</v>
      </c>
      <c r="R59" s="169">
        <f>R10+R26+R42</f>
        <v>2876.2</v>
      </c>
      <c r="T59" s="169">
        <f>T10+T26+T42</f>
        <v>1623.3999999999999</v>
      </c>
      <c r="V59" s="169">
        <f>V10+V26+V42</f>
        <v>2114.6999999999998</v>
      </c>
      <c r="X59" s="169">
        <f>X10+X26+X42</f>
        <v>4950.7</v>
      </c>
      <c r="Z59" s="169">
        <f>Z10+Z26+Z42</f>
        <v>7174.2999999999993</v>
      </c>
      <c r="AB59" s="169">
        <f>AB10+AB26+AB42</f>
        <v>11923.9</v>
      </c>
      <c r="AD59" s="107">
        <f t="shared" ref="AD59:AD62" si="4">SUM(F59:AB59)</f>
        <v>76844.999999999985</v>
      </c>
      <c r="AE59" s="107">
        <f>Purchases!AD151</f>
        <v>79509.959152001684</v>
      </c>
      <c r="AF59" s="112">
        <f>(AE59-AD59)/AE59</f>
        <v>3.3517299976308784E-2</v>
      </c>
    </row>
    <row r="60" spans="1:33">
      <c r="C60" s="103">
        <v>2023</v>
      </c>
      <c r="F60" s="169">
        <f>F11+F27+F43</f>
        <v>10363.900000000001</v>
      </c>
      <c r="H60" s="169">
        <f>H11+H27+H43</f>
        <v>7501.9000000000005</v>
      </c>
      <c r="J60" s="169">
        <f>J11+J27+J43</f>
        <v>8593.1</v>
      </c>
      <c r="L60" s="169">
        <f>L11+L27+L43</f>
        <v>6726.2</v>
      </c>
      <c r="N60" s="169">
        <f>N11+N27+N43</f>
        <v>2512.1999999999998</v>
      </c>
      <c r="P60" s="169">
        <f>P11+P27+P43</f>
        <v>2245.6</v>
      </c>
      <c r="R60" s="169">
        <f>R11+R27+R43</f>
        <v>1939.5</v>
      </c>
      <c r="T60" s="169">
        <f>T11+T27+T43</f>
        <v>1717</v>
      </c>
      <c r="V60" s="169">
        <f>V11+V27+V43</f>
        <v>1836</v>
      </c>
      <c r="X60" s="169">
        <f>X11+X27+X43</f>
        <v>4195.8999999999996</v>
      </c>
      <c r="Z60" s="169">
        <f>Z11+Z27+Z43</f>
        <v>7203.6</v>
      </c>
      <c r="AB60" s="169">
        <f>AB11+AB27+AB43</f>
        <v>10864.900000000001</v>
      </c>
      <c r="AD60" s="107">
        <f t="shared" si="4"/>
        <v>65699.799999999988</v>
      </c>
      <c r="AE60" s="107">
        <f>Purchases!AD152</f>
        <v>65641.435842685401</v>
      </c>
      <c r="AF60" s="112">
        <f>(AE60-AD60)/AE60</f>
        <v>-8.8913590273163705E-4</v>
      </c>
      <c r="AG60" s="113">
        <v>1.1100000000000001</v>
      </c>
    </row>
    <row r="61" spans="1:33">
      <c r="C61" s="103">
        <v>2024</v>
      </c>
      <c r="F61" s="169">
        <f>F12+F28+F44</f>
        <v>11612.7</v>
      </c>
      <c r="H61" s="169">
        <f>H12+H28+H44</f>
        <v>10050.4</v>
      </c>
      <c r="J61" s="169">
        <f>J12+J28+J44</f>
        <v>6769.3</v>
      </c>
      <c r="L61" s="169">
        <f>L12+L28+L44</f>
        <v>4863.4000000000005</v>
      </c>
      <c r="N61" s="169">
        <f>N12+N28+N44</f>
        <v>2874.4</v>
      </c>
      <c r="P61" s="169">
        <f>P12+P28+P44</f>
        <v>2110</v>
      </c>
      <c r="R61" s="169">
        <f>R12+R28+R44</f>
        <v>3249</v>
      </c>
      <c r="T61" s="169">
        <f>T12+T28+T44</f>
        <v>5503.73</v>
      </c>
      <c r="V61" s="169">
        <f>V12+V28+V44</f>
        <v>3622.2</v>
      </c>
      <c r="X61" s="169">
        <f>X12+X28+X44</f>
        <v>4040</v>
      </c>
      <c r="Z61" s="169">
        <f>Z12+Z28+Z44</f>
        <v>6716</v>
      </c>
      <c r="AB61" s="169">
        <f>AB12+AB28+AB44</f>
        <v>10533.8</v>
      </c>
      <c r="AD61" s="107">
        <f t="shared" si="4"/>
        <v>71944.929999999993</v>
      </c>
      <c r="AE61" s="107">
        <f>Purchases!AD153</f>
        <v>95239.660733112745</v>
      </c>
      <c r="AF61" s="112">
        <f>(AE61-AD61)/AE61</f>
        <v>0.2445906521904869</v>
      </c>
    </row>
    <row r="62" spans="1:33">
      <c r="C62" s="103">
        <v>2025</v>
      </c>
      <c r="F62" s="169">
        <f>F13+F29+F45</f>
        <v>16613.900000000001</v>
      </c>
      <c r="H62" s="169">
        <f>H13+H29+H45</f>
        <v>10975.1</v>
      </c>
      <c r="J62" s="169">
        <f>J13+J29+J45</f>
        <v>7656.3</v>
      </c>
      <c r="L62" s="169">
        <f>L13+L29+L45</f>
        <v>4514.4000000000005</v>
      </c>
      <c r="N62" s="169">
        <f>N13+N29+N45</f>
        <v>2718.6</v>
      </c>
      <c r="P62" s="169">
        <f>P13+P29+P45</f>
        <v>2271</v>
      </c>
      <c r="R62" s="169">
        <f>R13+R29+R45</f>
        <v>2199.4</v>
      </c>
      <c r="T62" s="169">
        <f>T13+T29+T45</f>
        <v>2687</v>
      </c>
      <c r="V62" s="169">
        <f>V13+V29+V45</f>
        <v>4434</v>
      </c>
      <c r="X62" s="169">
        <f>X13+X29+X45</f>
        <v>5442</v>
      </c>
      <c r="Z62" s="169">
        <f>Z13+Z29+Z45</f>
        <v>8260</v>
      </c>
      <c r="AB62" s="169">
        <f>AB13+AB29+AB45</f>
        <v>11156</v>
      </c>
      <c r="AD62" s="107">
        <f t="shared" si="4"/>
        <v>78927.700000000012</v>
      </c>
      <c r="AE62" s="107">
        <f>Purchases!AD154</f>
        <v>106847.71065558211</v>
      </c>
      <c r="AF62" s="112">
        <f>(AE62-AD62)/AE62</f>
        <v>0.26130658751857361</v>
      </c>
    </row>
    <row r="63" spans="1:33">
      <c r="C63" s="103">
        <v>2026</v>
      </c>
      <c r="F63" s="169">
        <f>F14+F30+F46</f>
        <v>14864.599999999999</v>
      </c>
      <c r="H63" s="169">
        <f>H14+H30+H46</f>
        <v>12627.2</v>
      </c>
      <c r="J63" s="107"/>
      <c r="L63" s="107"/>
      <c r="N63" s="107"/>
      <c r="P63" s="107"/>
      <c r="R63" s="107"/>
      <c r="T63" s="107"/>
      <c r="V63" s="107"/>
      <c r="X63" s="107"/>
      <c r="Z63" s="107"/>
      <c r="AB63" s="107"/>
      <c r="AD63" s="107"/>
      <c r="AE63" s="107"/>
      <c r="AF63" s="112"/>
    </row>
    <row r="65" spans="1:29">
      <c r="A65" s="103" t="s">
        <v>178</v>
      </c>
      <c r="F65" s="169">
        <f>SUM(H62:$AB62)+SUM($F63:F63)</f>
        <v>77178.399999999994</v>
      </c>
      <c r="H65" s="161">
        <f>SUM(J61:$AB61)+SUM($F62:H62)</f>
        <v>77870.83</v>
      </c>
      <c r="I65" s="160"/>
      <c r="J65" s="161">
        <f>SUM(L61:$AB61)+SUM($F62:J62)</f>
        <v>78757.83</v>
      </c>
      <c r="K65" s="160"/>
      <c r="L65" s="161">
        <f>SUM(N61:$AB61)+SUM($F62:L62)</f>
        <v>78408.83</v>
      </c>
      <c r="M65" s="160"/>
      <c r="N65" s="161">
        <f>SUM(P61:$AB61)+SUM($F62:N62)</f>
        <v>78253.03</v>
      </c>
      <c r="O65" s="160"/>
      <c r="P65" s="161">
        <f>SUM(R61:$AB61)+SUM($F62:P62)</f>
        <v>78414.03</v>
      </c>
      <c r="Q65" s="160"/>
      <c r="R65" s="161">
        <f>SUM(T61:$AB61)+SUM($F62:R62)</f>
        <v>77364.430000000008</v>
      </c>
      <c r="S65" s="160"/>
      <c r="T65" s="161">
        <f>SUM(V61:$AB61)+SUM($F62:T62)</f>
        <v>74547.700000000012</v>
      </c>
      <c r="U65" s="160"/>
      <c r="V65" s="161">
        <f>SUM(X61:$AB61)+SUM($F62:V62)</f>
        <v>75359.5</v>
      </c>
      <c r="W65" s="160"/>
      <c r="X65" s="161">
        <f>SUM(Z61:$AB61)+SUM($F62:X62)</f>
        <v>76761.5</v>
      </c>
      <c r="Y65" s="160"/>
      <c r="Z65" s="161">
        <f>SUM(AB61:$AB61)+SUM($F62:Z62)</f>
        <v>78305.500000000015</v>
      </c>
      <c r="AA65" s="160"/>
      <c r="AB65" s="161">
        <f>SUM($F62:AB62)</f>
        <v>78927.700000000012</v>
      </c>
    </row>
    <row r="66" spans="1:29">
      <c r="A66" s="103" t="s">
        <v>179</v>
      </c>
      <c r="F66" s="107">
        <f>Purchases!F157</f>
        <v>105466.46052363454</v>
      </c>
      <c r="H66" s="161">
        <f>Purchases!H157</f>
        <v>97917.641114087572</v>
      </c>
      <c r="I66" s="160"/>
      <c r="J66" s="161">
        <f>Purchases!J157</f>
        <v>101572.63356310611</v>
      </c>
      <c r="K66" s="160"/>
      <c r="L66" s="161">
        <f>Purchases!L157</f>
        <v>106321.60510169413</v>
      </c>
      <c r="M66" s="160"/>
      <c r="N66" s="161">
        <f>Purchases!N157</f>
        <v>109975.99134447097</v>
      </c>
      <c r="O66" s="160"/>
      <c r="P66" s="161">
        <f>Purchases!P157</f>
        <v>114131.96358735333</v>
      </c>
      <c r="Q66" s="160"/>
      <c r="R66" s="161">
        <f>Purchases!R157</f>
        <v>114793.03725498193</v>
      </c>
      <c r="S66" s="160"/>
      <c r="T66" s="161">
        <f>Purchases!T157</f>
        <v>114750.7218103268</v>
      </c>
      <c r="U66" s="160"/>
      <c r="V66" s="161">
        <f>Purchases!V157</f>
        <v>110948.74104558742</v>
      </c>
      <c r="W66" s="160"/>
      <c r="X66" s="161">
        <f>Purchases!X157</f>
        <v>106144.23684413385</v>
      </c>
      <c r="Y66" s="160"/>
      <c r="Z66" s="161">
        <f>Purchases!Z157</f>
        <v>104098.0822365708</v>
      </c>
      <c r="AA66" s="160"/>
      <c r="AB66" s="161">
        <f>Purchases!AB157</f>
        <v>106847.71065558211</v>
      </c>
    </row>
    <row r="67" spans="1:29">
      <c r="F67" s="135">
        <f>(F66-F65)/F66</f>
        <v>0.26821854439018861</v>
      </c>
      <c r="H67" s="144">
        <f>(H66-H65)/H66</f>
        <v>0.2047313526551387</v>
      </c>
      <c r="I67" s="160"/>
      <c r="J67" s="144">
        <f>(J66-J65)/J66</f>
        <v>0.22461565446101667</v>
      </c>
      <c r="K67" s="160"/>
      <c r="L67" s="144">
        <f>(L66-L65)/L66</f>
        <v>0.26253154356535735</v>
      </c>
      <c r="M67" s="160"/>
      <c r="N67" s="144">
        <f>(N66-N65)/N66</f>
        <v>0.28845351568695671</v>
      </c>
      <c r="O67" s="160"/>
      <c r="P67" s="144">
        <f>(P66-P65)/P66</f>
        <v>0.31295294030419313</v>
      </c>
      <c r="Q67" s="160"/>
      <c r="R67" s="144">
        <f>(R66-R65)/R66</f>
        <v>0.32605293970787019</v>
      </c>
      <c r="S67" s="160"/>
      <c r="T67" s="144">
        <f>(T66-T65)/T66</f>
        <v>0.3503509274371186</v>
      </c>
      <c r="U67" s="160"/>
      <c r="V67" s="144">
        <f>(V66-V65)/V66</f>
        <v>0.32077192323402981</v>
      </c>
      <c r="W67" s="160"/>
      <c r="X67" s="144">
        <f>(X66-X65)/X66</f>
        <v>0.27681895614625363</v>
      </c>
      <c r="Y67" s="160"/>
      <c r="Z67" s="144">
        <f>(Z66-Z65)/Z66</f>
        <v>0.24777192511534635</v>
      </c>
      <c r="AA67" s="160"/>
      <c r="AB67" s="144">
        <f>(AB66-AB65)/AB66</f>
        <v>0.26130658751857361</v>
      </c>
    </row>
    <row r="68" spans="1:29">
      <c r="A68" s="115" t="s">
        <v>180</v>
      </c>
      <c r="B68" s="116"/>
      <c r="C68" s="116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7"/>
    </row>
    <row r="69" spans="1:29">
      <c r="A69" s="118"/>
      <c r="B69" s="119" t="s">
        <v>123</v>
      </c>
      <c r="C69" s="120"/>
      <c r="D69" s="119"/>
      <c r="E69" s="119"/>
      <c r="F69" s="121" t="s">
        <v>181</v>
      </c>
      <c r="G69" s="121"/>
      <c r="H69" s="121" t="s">
        <v>182</v>
      </c>
      <c r="I69" s="121"/>
      <c r="J69" s="121" t="s">
        <v>183</v>
      </c>
      <c r="K69" s="121"/>
      <c r="L69" s="121" t="s">
        <v>184</v>
      </c>
      <c r="M69" s="121"/>
      <c r="N69" s="121" t="s">
        <v>185</v>
      </c>
      <c r="O69" s="121"/>
      <c r="P69" s="121" t="s">
        <v>186</v>
      </c>
      <c r="Q69" s="121"/>
      <c r="R69" s="121" t="s">
        <v>187</v>
      </c>
      <c r="S69" s="121"/>
      <c r="T69" s="121" t="s">
        <v>188</v>
      </c>
      <c r="U69" s="121"/>
      <c r="V69" s="121" t="s">
        <v>189</v>
      </c>
      <c r="W69" s="121"/>
      <c r="X69" s="121" t="s">
        <v>190</v>
      </c>
      <c r="Y69" s="121"/>
      <c r="Z69" s="121" t="s">
        <v>191</v>
      </c>
      <c r="AA69" s="121"/>
      <c r="AB69" s="121" t="s">
        <v>192</v>
      </c>
      <c r="AC69" s="122"/>
    </row>
    <row r="70" spans="1:29">
      <c r="A70" s="118"/>
      <c r="C70" s="123">
        <v>2022</v>
      </c>
      <c r="F70" s="172">
        <f>IF(((SUM(Purchases!H150:$AB150)+SUM(Purchases!$F151:F151))/(SUM(H58:$AB58)+SUM($F59:F59)))-1&lt;0,0,((SUM(Purchases!H150:$AB150)+SUM(Purchases!$F151:F151))/(SUM(H58:$AB58)+SUM($F59:F59)))-1)</f>
        <v>4.1759265877376883E-3</v>
      </c>
      <c r="H70" s="172">
        <f>IF(((SUM(Purchases!J150:$AB150)+SUM(Purchases!$F151:H151))/(SUM(J58:$AB58)+SUM($F59:H59)))-1&lt;0,0,((SUM(Purchases!J150:$AB150)+SUM(Purchases!$F151:H151))/(SUM(J58:$AB58)+SUM($F59:H59)))-1)</f>
        <v>0</v>
      </c>
      <c r="J70" s="172">
        <f>IF(((SUM(Purchases!L150:$AB150)+SUM(Purchases!$F151:J151))/(SUM(L58:$AB58)+SUM($F59:J59)))-1&lt;0,0,((SUM(Purchases!L150:$AB150)+SUM(Purchases!$F151:J151))/(SUM(L58:$AB58)+SUM($F59:J59)))-1)</f>
        <v>2.500604925066674E-2</v>
      </c>
      <c r="L70" s="172">
        <f>IF(((SUM(Purchases!N150:$AB150)+SUM(Purchases!$F151:L151))/(SUM(N58:$AB58)+SUM($F59:L59)))-1&lt;0,0,((SUM(Purchases!N150:$AB150)+SUM(Purchases!$F151:L151))/(SUM(N58:$AB58)+SUM($F59:L59)))-1)</f>
        <v>2.9204183619889301E-2</v>
      </c>
      <c r="N70" s="172">
        <f>IF(((SUM(Purchases!P150:$AB150)+SUM(Purchases!$F151:N151))/(SUM(P58:$AB58)+SUM($F59:N59)))-1&lt;0,0,((SUM(Purchases!P150:$AB150)+SUM(Purchases!$F151:N151))/(SUM(P58:$AB58)+SUM($F59:N59)))-1)</f>
        <v>1.8759157444155239E-2</v>
      </c>
      <c r="P70" s="172">
        <f>IF(((SUM(Purchases!R150:$AB150)+SUM(Purchases!$F151:P151))/(SUM(R58:$AB58)+SUM($F59:P59)))-1&lt;0,0,((SUM(Purchases!R150:$AB150)+SUM(Purchases!$F151:P151))/(SUM(R58:$AB58)+SUM($F59:P59)))-1)</f>
        <v>1.6930429731570218E-2</v>
      </c>
      <c r="R70" s="172">
        <f>IF(((SUM(Purchases!T150:$AB150)+SUM(Purchases!$F151:R151))/(SUM(T58:$AB58)+SUM($F59:R59)))-1&lt;0,0,((SUM(Purchases!T150:$AB150)+SUM(Purchases!$F151:R151))/(SUM(T58:$AB58)+SUM($F59:R59)))-1)</f>
        <v>1.268193486855318E-2</v>
      </c>
      <c r="T70" s="172">
        <f>IF(((SUM(Purchases!V150:$AB150)+SUM(Purchases!$F151:T151))/(SUM(V58:$AB58)+SUM($F59:T59)))-1&lt;0,0,((SUM(Purchases!V150:$AB150)+SUM(Purchases!$F151:T151))/(SUM(V58:$AB58)+SUM($F59:T59)))-1)</f>
        <v>2.3603277977487069E-2</v>
      </c>
      <c r="V70" s="172">
        <f>IF(((SUM(Purchases!X150:$AB150)+SUM(Purchases!$F151:V151))/(SUM(X58:$AB58)+SUM($F59:V59)))-1&lt;0,0,((SUM(Purchases!X150:$AB150)+SUM(Purchases!$F151:V151))/(SUM(X58:$AB58)+SUM($F59:V59)))-1)</f>
        <v>4.1322226536414819E-2</v>
      </c>
      <c r="X70" s="172">
        <f>IF(((SUM(Purchases!Z150:$AB150)+SUM(Purchases!$F151:X151))/(SUM(Z58:$AB58)+SUM($F59:X59)))-1&lt;0,0,((SUM(Purchases!Z150:$AB150)+SUM(Purchases!$F151:X151))/(SUM(Z58:$AB58)+SUM($F59:X59)))-1)</f>
        <v>6.2141192375647858E-2</v>
      </c>
      <c r="Z70" s="172">
        <f>IF(((SUM(Purchases!AB150:$AB150)+SUM(Purchases!$F151:Z151))/(SUM(AB58:$AB58)+SUM($F59:Z59)))-1&lt;0,0,((SUM(Purchases!AB150:$AB150)+SUM(Purchases!$F151:Z151))/(SUM(AB58:$AB58)+SUM($F59:Z59)))-1)</f>
        <v>5.55145180427703E-2</v>
      </c>
      <c r="AB70" s="172">
        <f>IF(((0+SUM(Purchases!$F151:AB151))/(0+SUM($F59:AB59)))-1&lt;0,0,((0+SUM(Purchases!$F151:AB151))/(0+SUM($F59:AB59)))-1)</f>
        <v>3.4679668839894484E-2</v>
      </c>
      <c r="AC70" s="122"/>
    </row>
    <row r="71" spans="1:29">
      <c r="A71" s="118"/>
      <c r="C71" s="123">
        <v>2023</v>
      </c>
      <c r="F71" s="172">
        <f>IF(((SUM(Purchases!H151:$AB151)+SUM(Purchases!$F152:F152))/(SUM(H59:$AB59)+SUM($F60:F60)))-1&lt;0,0,((SUM(Purchases!H151:$AB151)+SUM(Purchases!$F152:F152))/(SUM(H59:$AB59)+SUM($F60:F60)))-1)</f>
        <v>5.7612177351109572E-3</v>
      </c>
      <c r="H71" s="172">
        <f>IF(((SUM(Purchases!J151:$AB151)+SUM(Purchases!$F152:H152))/(SUM(J59:$AB59)+SUM($F60:H60)))-1&lt;0,0,((SUM(Purchases!J151:$AB151)+SUM(Purchases!$F152:H152))/(SUM(J59:$AB59)+SUM($F60:H60)))-1)</f>
        <v>0</v>
      </c>
      <c r="J71" s="172">
        <f>IF(((SUM(Purchases!L151:$AB151)+SUM(Purchases!$F152:J152))/(SUM(L59:$AB59)+SUM($F60:J60)))-1&lt;0,0,((SUM(Purchases!L151:$AB151)+SUM(Purchases!$F152:J152))/(SUM(L59:$AB59)+SUM($F60:J60)))-1)</f>
        <v>0</v>
      </c>
      <c r="L71" s="172">
        <f>IF(((SUM(Purchases!N151:$AB151)+SUM(Purchases!$F152:L152))/(SUM(N59:$AB59)+SUM($F60:L60)))-1&lt;0,0,((SUM(Purchases!N151:$AB151)+SUM(Purchases!$F152:L152))/(SUM(N59:$AB59)+SUM($F60:L60)))-1)</f>
        <v>0</v>
      </c>
      <c r="N71" s="172">
        <f>IF(((SUM(Purchases!P151:$AB151)+SUM(Purchases!$F152:N152))/(SUM(P59:$AB59)+SUM($F60:N60)))-1&lt;0,0,((SUM(Purchases!P151:$AB151)+SUM(Purchases!$F152:N152))/(SUM(P59:$AB59)+SUM($F60:N60)))-1)</f>
        <v>0</v>
      </c>
      <c r="P71" s="172">
        <f>IF(((SUM(Purchases!R151:$AB151)+SUM(Purchases!$F152:P152))/(SUM(R59:$AB59)+SUM($F60:P60)))-1&lt;0,0,((SUM(Purchases!R151:$AB151)+SUM(Purchases!$F152:P152))/(SUM(R59:$AB59)+SUM($F60:P60)))-1)</f>
        <v>0</v>
      </c>
      <c r="R71" s="172">
        <f>IF(((SUM(Purchases!T151:$AB151)+SUM(Purchases!$F152:R152))/(SUM(T59:$AB59)+SUM($F60:R60)))-1&lt;0,0,((SUM(Purchases!T151:$AB151)+SUM(Purchases!$F152:R152))/(SUM(T59:$AB59)+SUM($F60:R60)))-1)</f>
        <v>0</v>
      </c>
      <c r="T71" s="172">
        <f>IF(((SUM(Purchases!V151:$AB151)+SUM(Purchases!$F152:T152))/(SUM(V59:$AB59)+SUM($F60:T60)))-1&lt;0,0,((SUM(Purchases!V151:$AB151)+SUM(Purchases!$F152:T152))/(SUM(V59:$AB59)+SUM($F60:T60)))-1)</f>
        <v>0</v>
      </c>
      <c r="V71" s="172">
        <f>IF(((SUM(Purchases!X151:$AB151)+SUM(Purchases!$F152:V152))/(SUM(X59:$AB59)+SUM($F60:V60)))-1&lt;0,0,((SUM(Purchases!X151:$AB151)+SUM(Purchases!$F152:V152))/(SUM(X59:$AB59)+SUM($F60:V60)))-1)</f>
        <v>0</v>
      </c>
      <c r="X71" s="172">
        <f>IF(((SUM(Purchases!Z151:$AB151)+SUM(Purchases!$F152:X152))/(SUM(Z59:$AB59)+SUM($F60:X60)))-1&lt;0,0,((SUM(Purchases!Z151:$AB151)+SUM(Purchases!$F152:X152))/(SUM(Z59:$AB59)+SUM($F60:X60)))-1)</f>
        <v>0</v>
      </c>
      <c r="Z71" s="172">
        <f>IF(((SUM(Purchases!AB151:$AB151)+SUM(Purchases!$F152:Z152))/(SUM(AB59:$AB59)+SUM($F60:Z60)))-1&lt;0,0,((SUM(Purchases!AB151:$AB151)+SUM(Purchases!$F152:Z152))/(SUM(AB59:$AB59)+SUM($F60:Z60)))-1)</f>
        <v>0</v>
      </c>
      <c r="AB71" s="172">
        <f>IF(((0+SUM(Purchases!$F152:AB152))/(0+SUM($F60:AB60)))-1&lt;0,0,((0+SUM(Purchases!$F152:AB152))/(0+SUM($F60:AB60)))-1)</f>
        <v>0</v>
      </c>
      <c r="AC71" s="122"/>
    </row>
    <row r="72" spans="1:29">
      <c r="A72" s="118"/>
      <c r="C72" s="123">
        <v>2024</v>
      </c>
      <c r="F72" s="172">
        <f>IF(((SUM(Purchases!H152:$AB152)+SUM(Purchases!$F153:F153))/(SUM(H60:$AB60)+SUM($F61:F61)))-1&lt;0,0,((SUM(Purchases!H152:$AB152)+SUM(Purchases!$F153:F153))/(SUM(H60:$AB60)+SUM($F61:F61)))-1)</f>
        <v>4.4578739384865118E-2</v>
      </c>
      <c r="H72" s="172">
        <f>IF(((SUM(Purchases!J152:$AB152)+SUM(Purchases!$F153:H153))/(SUM(J60:$AB60)+SUM($F61:H61)))-1&lt;0,0,((SUM(Purchases!J152:$AB152)+SUM(Purchases!$F153:H153))/(SUM(J60:$AB60)+SUM($F61:H61)))-1)</f>
        <v>6.4969950034907908E-2</v>
      </c>
      <c r="J72" s="172">
        <f>IF(((SUM(Purchases!L152:$AB152)+SUM(Purchases!$F153:J153))/(SUM(L60:$AB60)+SUM($F61:J61)))-1&lt;0,0,((SUM(Purchases!L152:$AB152)+SUM(Purchases!$F153:J153))/(SUM(L60:$AB60)+SUM($F61:J61)))-1)</f>
        <v>8.1907903910875435E-2</v>
      </c>
      <c r="L72" s="172">
        <f>IF(((SUM(Purchases!N152:$AB152)+SUM(Purchases!$F153:L153))/(SUM(N60:$AB60)+SUM($F61:L61)))-1&lt;0,0,((SUM(Purchases!N152:$AB152)+SUM(Purchases!$F153:L153))/(SUM(N60:$AB60)+SUM($F61:L61)))-1)</f>
        <v>0.12367414211429972</v>
      </c>
      <c r="N72" s="172">
        <f>IF(((SUM(Purchases!P152:$AB152)+SUM(Purchases!$F153:N153))/(SUM(P60:$AB60)+SUM($F61:N61)))-1&lt;0,0,((SUM(Purchases!P152:$AB152)+SUM(Purchases!$F153:N153))/(SUM(P60:$AB60)+SUM($F61:N61)))-1)</f>
        <v>0.11271425583031203</v>
      </c>
      <c r="P72" s="172">
        <f>IF(((SUM(Purchases!R152:$AB152)+SUM(Purchases!$F153:P153))/(SUM(R60:$AB60)+SUM($F61:P61)))-1&lt;0,0,((SUM(Purchases!R152:$AB152)+SUM(Purchases!$F153:P153))/(SUM(R60:$AB60)+SUM($F61:P61)))-1)</f>
        <v>0.12128019266038725</v>
      </c>
      <c r="R72" s="172">
        <f>IF(((SUM(Purchases!T152:$AB152)+SUM(Purchases!$F153:R153))/(SUM(T60:$AB60)+SUM($F61:R61)))-1&lt;0,0,((SUM(Purchases!T152:$AB152)+SUM(Purchases!$F153:R153))/(SUM(T60:$AB60)+SUM($F61:R61)))-1)</f>
        <v>0.13984923102052882</v>
      </c>
      <c r="T72" s="172">
        <f>IF(((SUM(Purchases!V152:$AB152)+SUM(Purchases!$F153:T153))/(SUM(V60:$AB60)+SUM($F61:T61)))-1&lt;0,0,((SUM(Purchases!V152:$AB152)+SUM(Purchases!$F153:T153))/(SUM(V60:$AB60)+SUM($F61:T61)))-1)</f>
        <v>0.12991273513916179</v>
      </c>
      <c r="V72" s="172">
        <f>IF(((SUM(Purchases!X152:$AB152)+SUM(Purchases!$F153:V153))/(SUM(X60:$AB60)+SUM($F61:V61)))-1&lt;0,0,((SUM(Purchases!X152:$AB152)+SUM(Purchases!$F153:V153))/(SUM(X60:$AB60)+SUM($F61:V61)))-1)</f>
        <v>0.204223244073928</v>
      </c>
      <c r="X72" s="172">
        <f>IF(((SUM(Purchases!Z152:$AB152)+SUM(Purchases!$F153:X153))/(SUM(Z60:$AB60)+SUM($F61:X61)))-1&lt;0,0,((SUM(Purchases!Z152:$AB152)+SUM(Purchases!$F153:X153))/(SUM(Z60:$AB60)+SUM($F61:X61)))-1)</f>
        <v>0.30825019555219679</v>
      </c>
      <c r="Z72" s="172">
        <f>IF(((SUM(Purchases!AB152:$AB152)+SUM(Purchases!$F153:Z153))/(SUM(AB60:$AB60)+SUM($F61:Z61)))-1&lt;0,0,((SUM(Purchases!AB152:$AB152)+SUM(Purchases!$F153:Z153))/(SUM(AB60:$AB60)+SUM($F61:Z61)))-1)</f>
        <v>0.32126982366515966</v>
      </c>
      <c r="AB72" s="172">
        <f>IF(((0+SUM(Purchases!$F153:AB153))/(0+SUM($F61:AB61)))-1&lt;0,0,((0+SUM(Purchases!$F153:AB153))/(0+SUM($F61:AB61)))-1)</f>
        <v>0.32378557784562112</v>
      </c>
      <c r="AC72" s="122"/>
    </row>
    <row r="73" spans="1:29">
      <c r="A73" s="118"/>
      <c r="C73" s="123">
        <v>2025</v>
      </c>
      <c r="F73" s="172">
        <f>IF(((SUM(Purchases!H153:$AB153)+SUM(Purchases!$F154:F154))/(SUM(H61:$AB61)+SUM($F62:F62)))-1&lt;0,0,((SUM(Purchases!H153:$AB153)+SUM(Purchases!$F154:F154))/(SUM(H61:$AB61)+SUM($F62:F62)))-1)</f>
        <v>0.25967306431945358</v>
      </c>
      <c r="H73" s="172">
        <f>IF(((SUM(Purchases!J153:$AB153)+SUM(Purchases!$F154:H154))/(SUM(J61:$AB61)+SUM($F62:H62)))-1&lt;0,0,((SUM(Purchases!J153:$AB153)+SUM(Purchases!$F154:H154))/(SUM(J61:$AB61)+SUM($F62:H62)))-1)</f>
        <v>0.25743672070899426</v>
      </c>
      <c r="J73" s="172">
        <f>IF(((SUM(Purchases!L153:$AB153)+SUM(Purchases!$F154:J154))/(SUM(L61:$AB61)+SUM($F62:J62)))-1&lt;0,0,((SUM(Purchases!L153:$AB153)+SUM(Purchases!$F154:J154))/(SUM(L61:$AB61)+SUM($F62:J62)))-1)</f>
        <v>0.28968298851182306</v>
      </c>
      <c r="L73" s="172">
        <f>IF(((SUM(Purchases!N153:$AB153)+SUM(Purchases!$F154:L154))/(SUM(N61:$AB61)+SUM($F62:L62)))-1&lt;0,0,((SUM(Purchases!N153:$AB153)+SUM(Purchases!$F154:L154))/(SUM(N61:$AB61)+SUM($F62:L62)))-1)</f>
        <v>0.35599020036001217</v>
      </c>
      <c r="N73" s="172">
        <f>IF(((SUM(Purchases!P153:$AB153)+SUM(Purchases!$F154:N154))/(SUM(P61:$AB61)+SUM($F62:N62)))-1&lt;0,0,((SUM(Purchases!P153:$AB153)+SUM(Purchases!$F154:N154))/(SUM(P61:$AB61)+SUM($F62:N62)))-1)</f>
        <v>0.40538955928570397</v>
      </c>
      <c r="P73" s="172">
        <f>IF(((SUM(Purchases!R153:$AB153)+SUM(Purchases!$F154:P154))/(SUM(R61:$AB61)+SUM($F62:P62)))-1&lt;0,0,((SUM(Purchases!R153:$AB153)+SUM(Purchases!$F154:P154))/(SUM(R61:$AB61)+SUM($F62:P62)))-1)</f>
        <v>0.45550437322700188</v>
      </c>
      <c r="R73" s="172">
        <f>IF(((SUM(Purchases!T153:$AB153)+SUM(Purchases!$F154:R154))/(SUM(T61:$AB61)+SUM($F62:R62)))-1&lt;0,0,((SUM(Purchases!T153:$AB153)+SUM(Purchases!$F154:R154))/(SUM(T61:$AB61)+SUM($F62:R62)))-1)</f>
        <v>0.4837960708168072</v>
      </c>
      <c r="T73" s="172">
        <f>IF(((SUM(Purchases!V153:$AB153)+SUM(Purchases!$F154:T154))/(SUM(V61:$AB61)+SUM($F62:T62)))-1&lt;0,0,((SUM(Purchases!V153:$AB153)+SUM(Purchases!$F154:T154))/(SUM(V61:$AB61)+SUM($F62:T62)))-1)</f>
        <v>0.53929258461799323</v>
      </c>
      <c r="V73" s="172">
        <f>IF(((SUM(Purchases!X153:$AB153)+SUM(Purchases!$F154:V154))/(SUM(X61:$AB61)+SUM($F62:V62)))-1&lt;0,0,((SUM(Purchases!X153:$AB153)+SUM(Purchases!$F154:V154))/(SUM(X61:$AB61)+SUM($F62:V62)))-1)</f>
        <v>0.47225951665798505</v>
      </c>
      <c r="X73" s="172">
        <f>IF(((SUM(Purchases!Z153:$AB153)+SUM(Purchases!$F154:X154))/(SUM(Z61:$AB61)+SUM($F62:X62)))-1&lt;0,0,((SUM(Purchases!Z153:$AB153)+SUM(Purchases!$F154:X154))/(SUM(Z61:$AB61)+SUM($F62:X62)))-1)</f>
        <v>0.38277960753937657</v>
      </c>
      <c r="Z73" s="172">
        <f>IF(((SUM(Purchases!AB153:$AB153)+SUM(Purchases!$F154:Z154))/(SUM(AB61:$AB61)+SUM($F62:Z62)))-1&lt;0,0,((SUM(Purchases!AB153:$AB153)+SUM(Purchases!$F154:Z154))/(SUM(AB61:$AB61)+SUM($F62:Z62)))-1)</f>
        <v>0.3293840437334643</v>
      </c>
      <c r="AB73" s="172">
        <f>IF(((0+SUM(Purchases!$F154:AB154))/(0+SUM($F62:AB62)))-1&lt;0,0,((0+SUM(Purchases!$F154:AB154))/(0+SUM($F62:AB62)))-1)</f>
        <v>0.35374159712727082</v>
      </c>
      <c r="AC73" s="122"/>
    </row>
    <row r="74" spans="1:29">
      <c r="A74" s="118"/>
      <c r="C74" s="123">
        <v>2026</v>
      </c>
      <c r="F74" s="172">
        <f>IF(((SUM(Purchases!H154:$AB154)+SUM(Purchases!$F155:F155))/(SUM(H62:$AB62)+SUM($F63:F63)))-1&lt;0,0,((SUM(Purchases!H154:$AB154)+SUM(Purchases!$F155:F155))/(SUM(H62:$AB62)+SUM($F63:F63)))-1)</f>
        <v>0.36652820638461736</v>
      </c>
      <c r="H74" s="238"/>
      <c r="J74" s="238"/>
      <c r="L74" s="238"/>
      <c r="N74" s="238"/>
      <c r="P74" s="238"/>
      <c r="R74" s="238"/>
      <c r="T74" s="238"/>
      <c r="V74" s="238"/>
      <c r="X74" s="238"/>
      <c r="Z74" s="124"/>
      <c r="AB74" s="124"/>
      <c r="AC74" s="122"/>
    </row>
    <row r="75" spans="1:29">
      <c r="A75" s="125"/>
      <c r="B75" s="119"/>
      <c r="C75" s="119"/>
      <c r="D75" s="119"/>
      <c r="E75" s="119"/>
      <c r="F75" s="119"/>
      <c r="G75" s="119"/>
      <c r="H75" s="119"/>
      <c r="I75" s="119"/>
      <c r="J75" s="119"/>
      <c r="K75" s="119"/>
      <c r="L75" s="119"/>
      <c r="M75" s="119"/>
      <c r="N75" s="119"/>
      <c r="O75" s="119"/>
      <c r="P75" s="119"/>
      <c r="Q75" s="119"/>
      <c r="R75" s="119"/>
      <c r="S75" s="119"/>
      <c r="T75" s="119"/>
      <c r="U75" s="119"/>
      <c r="V75" s="119"/>
      <c r="W75" s="119"/>
      <c r="X75" s="119"/>
      <c r="Y75" s="119"/>
      <c r="Z75" s="119"/>
      <c r="AA75" s="119"/>
      <c r="AB75" s="119"/>
      <c r="AC75" s="126"/>
    </row>
    <row r="78" spans="1:29">
      <c r="C78" s="127" t="s">
        <v>168</v>
      </c>
    </row>
    <row r="79" spans="1:29">
      <c r="C79" s="123">
        <v>2022</v>
      </c>
      <c r="F79" s="171">
        <f>((SUM(Purchases!H61:$AB61)+SUM(Purchases!$F62:F62))/(SUM(H9:$AB9)+SUM($F10:F10)))-1</f>
        <v>5.2581644528875593E-2</v>
      </c>
      <c r="G79" s="128"/>
      <c r="H79" s="171">
        <f>((SUM(Purchases!J61:$AB61)+SUM(Purchases!$F62:H62))/(SUM(J9:$AB9)+SUM($F10:H10)))-1</f>
        <v>6.4142772747062926E-2</v>
      </c>
      <c r="I79" s="128"/>
      <c r="J79" s="171">
        <f>((SUM(Purchases!L61:$AB61)+SUM(Purchases!$F62:J62))/(SUM(L9:$AB9)+SUM($F10:J10)))-1</f>
        <v>9.281842741903823E-2</v>
      </c>
      <c r="K79" s="128"/>
      <c r="L79" s="171">
        <f>((SUM(Purchases!N61:$AB61)+SUM(Purchases!$F62:L62))/(SUM(N9:$AB9)+SUM($F10:L10)))-1</f>
        <v>0.11732728479940002</v>
      </c>
      <c r="M79" s="128"/>
      <c r="N79" s="171">
        <f>((SUM(Purchases!P61:$AB61)+SUM(Purchases!$F62:N62))/(SUM(P9:$AB9)+SUM($F10:N10)))-1</f>
        <v>0.10731498054515787</v>
      </c>
      <c r="O79" s="128"/>
      <c r="P79" s="171">
        <f>((SUM(Purchases!R61:$AB61)+SUM(Purchases!$F62:P62))/(SUM(R9:$AB9)+SUM($F10:P10)))-1</f>
        <v>0.11793535992380511</v>
      </c>
      <c r="Q79" s="128"/>
      <c r="R79" s="171">
        <f>((SUM(Purchases!T61:$AB61)+SUM(Purchases!$F62:R62))/(SUM(T9:$AB9)+SUM($F10:R10)))-1</f>
        <v>0.11789656296457629</v>
      </c>
      <c r="S79" s="128"/>
      <c r="T79" s="171">
        <f>((SUM(Purchases!V61:$AB61)+SUM(Purchases!$F62:T62))/(SUM(V9:$AB9)+SUM($F10:T10)))-1</f>
        <v>0.13081897100427953</v>
      </c>
      <c r="U79" s="128"/>
      <c r="V79" s="171">
        <f>((SUM(Purchases!X61:$AB61)+SUM(Purchases!$F62:V62))/(SUM(X9:$AB9)+SUM($F10:V10)))-1</f>
        <v>0.14494332765369289</v>
      </c>
      <c r="W79" s="128"/>
      <c r="X79" s="171">
        <f>((SUM(Purchases!Z61:$AB61)+SUM(Purchases!$F62:X62))/(SUM(Z9:$AB9)+SUM($F10:X10)))-1</f>
        <v>0.18069830383128349</v>
      </c>
      <c r="Y79" s="128"/>
      <c r="Z79" s="171">
        <f>((SUM(Purchases!AB61:$AB61)+SUM(Purchases!$F62:Z62))/(SUM(AB9:$AB9)+SUM($F10:Z10)))-1</f>
        <v>0.17955399063220523</v>
      </c>
      <c r="AA79" s="128"/>
      <c r="AB79" s="171">
        <f>((0+SUM(Purchases!$F62:AB62))/(0+SUM($F10:AB10)))-1</f>
        <v>0.17199426429112985</v>
      </c>
    </row>
    <row r="80" spans="1:29">
      <c r="C80" s="123">
        <v>2023</v>
      </c>
      <c r="F80" s="171">
        <f>((SUM(Purchases!H62:$AB62)+SUM(Purchases!$F63:F63))/(SUM(H10:$AB10)+SUM($F11:F11)))-1</f>
        <v>0.17210317874444381</v>
      </c>
      <c r="G80" s="128"/>
      <c r="H80" s="171">
        <f>((SUM(Purchases!J62:$AB62)+SUM(Purchases!$F63:H63))/(SUM(J10:$AB10)+SUM($F11:H11)))-1</f>
        <v>0.16759065028000286</v>
      </c>
      <c r="I80" s="128"/>
      <c r="J80" s="171">
        <f>((SUM(Purchases!L62:$AB62)+SUM(Purchases!$F63:J63))/(SUM(L10:$AB10)+SUM($F11:J11)))-1</f>
        <v>0.19125607490748275</v>
      </c>
      <c r="K80" s="128"/>
      <c r="L80" s="171">
        <f>((SUM(Purchases!N62:$AB62)+SUM(Purchases!$F63:L63))/(SUM(N10:$AB10)+SUM($F11:L11)))-1</f>
        <v>0.13558859992245087</v>
      </c>
      <c r="M80" s="128"/>
      <c r="N80" s="171">
        <f>((SUM(Purchases!P62:$AB62)+SUM(Purchases!$F63:N63))/(SUM(P10:$AB10)+SUM($F11:N11)))-1</f>
        <v>0.14891062684210277</v>
      </c>
      <c r="O80" s="128"/>
      <c r="P80" s="171">
        <f>((SUM(Purchases!R62:$AB62)+SUM(Purchases!$F63:P63))/(SUM(R10:$AB10)+SUM($F11:P11)))-1</f>
        <v>0.14947979288234992</v>
      </c>
      <c r="Q80" s="128"/>
      <c r="R80" s="171">
        <f>((SUM(Purchases!T62:$AB62)+SUM(Purchases!$F63:R63))/(SUM(T10:$AB10)+SUM($F11:R11)))-1</f>
        <v>0.15396506363097728</v>
      </c>
      <c r="S80" s="128"/>
      <c r="T80" s="171">
        <f>((SUM(Purchases!V62:$AB62)+SUM(Purchases!$F63:T63))/(SUM(V10:$AB10)+SUM($F11:T11)))-1</f>
        <v>0.15466163293510604</v>
      </c>
      <c r="U80" s="128"/>
      <c r="V80" s="171">
        <f>((SUM(Purchases!X62:$AB62)+SUM(Purchases!$F63:V63))/(SUM(X10:$AB10)+SUM($F11:V11)))-1</f>
        <v>0.14566175359867528</v>
      </c>
      <c r="W80" s="128"/>
      <c r="X80" s="171">
        <f>((SUM(Purchases!Z62:$AB62)+SUM(Purchases!$F63:X63))/(SUM(Z10:$AB10)+SUM($F11:X11)))-1</f>
        <v>0.12583880697280136</v>
      </c>
      <c r="Y80" s="128"/>
      <c r="Z80" s="171">
        <f>((SUM(Purchases!AB62:$AB62)+SUM(Purchases!$F63:Z63))/(SUM(AB10:$AB10)+SUM($F11:Z11)))-1</f>
        <v>0.12223401680412027</v>
      </c>
      <c r="AA80" s="128"/>
      <c r="AB80" s="171">
        <f>((0+SUM(Purchases!$F63:AB63))/(0+SUM($F11:AB11)))-1</f>
        <v>9.8826346867172621E-2</v>
      </c>
    </row>
    <row r="81" spans="3:28">
      <c r="C81" s="123">
        <v>2024</v>
      </c>
      <c r="F81" s="171">
        <f>((SUM(Purchases!H63:$AB63)+SUM(Purchases!$F64:F64))/(SUM(H11:$AB11)+SUM($F12:F12)))-1</f>
        <v>0.1240114806043171</v>
      </c>
      <c r="G81" s="128"/>
      <c r="H81" s="171">
        <f>((SUM(Purchases!J63:$AB63)+SUM(Purchases!$F64:H64))/(SUM(J11:$AB11)+SUM($F12:H12)))-1</f>
        <v>0.123596838347104</v>
      </c>
      <c r="I81" s="128"/>
      <c r="J81" s="171">
        <f>((SUM(Purchases!L63:$AB63)+SUM(Purchases!$F64:J64))/(SUM(L11:$AB11)+SUM($F12:J12)))-1</f>
        <v>0.10860910981878447</v>
      </c>
      <c r="K81" s="128"/>
      <c r="L81" s="171">
        <f>((SUM(Purchases!N63:$AB63)+SUM(Purchases!$F64:L64))/(SUM(N11:$AB11)+SUM($F12:L12)))-1</f>
        <v>0.15671075522464695</v>
      </c>
      <c r="M81" s="128"/>
      <c r="N81" s="171">
        <f>((SUM(Purchases!P63:$AB63)+SUM(Purchases!$F64:N64))/(SUM(P11:$AB11)+SUM($F12:N12)))-1</f>
        <v>0.14014850310055027</v>
      </c>
      <c r="O81" s="128"/>
      <c r="P81" s="171">
        <f>((SUM(Purchases!R63:$AB63)+SUM(Purchases!$F64:P64))/(SUM(R11:$AB11)+SUM($F12:P12)))-1</f>
        <v>0.16393848281929402</v>
      </c>
      <c r="Q81" s="128"/>
      <c r="R81" s="171">
        <f>((SUM(Purchases!T63:$AB63)+SUM(Purchases!$F64:R64))/(SUM(T11:$AB11)+SUM($F12:R12)))-1</f>
        <v>0.20664870885569053</v>
      </c>
      <c r="S81" s="128"/>
      <c r="T81" s="171">
        <f>((SUM(Purchases!V63:$AB63)+SUM(Purchases!$F64:T64))/(SUM(V11:$AB11)+SUM($F12:T12)))-1</f>
        <v>0.18606011292483959</v>
      </c>
      <c r="U81" s="128"/>
      <c r="V81" s="171">
        <f>((SUM(Purchases!X63:$AB63)+SUM(Purchases!$F64:V64))/(SUM(X11:$AB11)+SUM($F12:V12)))-1</f>
        <v>0.29581609198246772</v>
      </c>
      <c r="W81" s="128"/>
      <c r="X81" s="171">
        <f>((SUM(Purchases!Z63:$AB63)+SUM(Purchases!$F64:X64))/(SUM(Z11:$AB11)+SUM($F12:X12)))-1</f>
        <v>0.43563286699170445</v>
      </c>
      <c r="Y81" s="128"/>
      <c r="Z81" s="171">
        <f>((SUM(Purchases!AB63:$AB63)+SUM(Purchases!$F64:Z64))/(SUM(AB11:$AB11)+SUM($F12:Z12)))-1</f>
        <v>0.50492891203816259</v>
      </c>
      <c r="AA81" s="128"/>
      <c r="AB81" s="171">
        <f>((0+SUM(Purchases!$F64:AB64))/(0+SUM($F12:AB12)))-1</f>
        <v>0.52014341259137931</v>
      </c>
    </row>
    <row r="82" spans="3:28">
      <c r="C82" s="123">
        <v>2025</v>
      </c>
      <c r="F82" s="171">
        <f>((SUM(Purchases!H64:$AB64)+SUM(Purchases!$F65:F65))/(SUM(H12:$AB12)+SUM($F13:F13)))-1</f>
        <v>0.49772507836153745</v>
      </c>
      <c r="G82" s="128"/>
      <c r="H82" s="171">
        <f>((SUM(Purchases!J64:$AB64)+SUM(Purchases!$F65:H65))/(SUM(J12:$AB12)+SUM($F13:H13)))-1</f>
        <v>0.49815232381622043</v>
      </c>
      <c r="I82" s="128"/>
      <c r="J82" s="171">
        <f>((SUM(Purchases!L64:$AB64)+SUM(Purchases!$F65:J65))/(SUM(L12:$AB12)+SUM($F13:J13)))-1</f>
        <v>0.53262829851888216</v>
      </c>
      <c r="K82" s="128"/>
      <c r="L82" s="171">
        <f>((SUM(Purchases!N64:$AB64)+SUM(Purchases!$F65:L65))/(SUM(N12:$AB12)+SUM($F13:L13)))-1</f>
        <v>0.59191282623999353</v>
      </c>
      <c r="M82" s="128"/>
      <c r="N82" s="171">
        <f>((SUM(Purchases!P64:$AB64)+SUM(Purchases!$F65:N65))/(SUM(P12:$AB12)+SUM($F13:N13)))-1</f>
        <v>0.65831748097677267</v>
      </c>
      <c r="O82" s="128"/>
      <c r="P82" s="171">
        <f>((SUM(Purchases!R64:$AB64)+SUM(Purchases!$F65:P65))/(SUM(R12:$AB12)+SUM($F13:P13)))-1</f>
        <v>0.7279905086994507</v>
      </c>
      <c r="Q82" s="128"/>
      <c r="R82" s="171">
        <f>((SUM(Purchases!T64:$AB64)+SUM(Purchases!$F65:R65))/(SUM(T12:$AB12)+SUM($F13:R13)))-1</f>
        <v>0.76609238068548802</v>
      </c>
      <c r="S82" s="128"/>
      <c r="T82" s="171">
        <f>((SUM(Purchases!V64:$AB64)+SUM(Purchases!$F65:T65))/(SUM(V12:$AB12)+SUM($F13:T13)))-1</f>
        <v>0.8564631230876365</v>
      </c>
      <c r="U82" s="128"/>
      <c r="V82" s="171">
        <f>((SUM(Purchases!X64:$AB64)+SUM(Purchases!$F65:V65))/(SUM(X12:$AB12)+SUM($F13:V13)))-1</f>
        <v>0.74047531175273362</v>
      </c>
      <c r="W82" s="128"/>
      <c r="X82" s="171">
        <f>((SUM(Purchases!Z64:$AB64)+SUM(Purchases!$F65:X65))/(SUM(Z12:$AB12)+SUM($F13:X13)))-1</f>
        <v>0.6230289465576766</v>
      </c>
      <c r="Y82" s="128"/>
      <c r="Z82" s="171">
        <f>((SUM(Purchases!AB64:$AB64)+SUM(Purchases!$F65:Z65))/(SUM(AB12:$AB12)+SUM($F13:Z13)))-1</f>
        <v>0.53350445617783659</v>
      </c>
      <c r="AA82" s="128"/>
      <c r="AB82" s="171">
        <f>((0+SUM(Purchases!$F65:AB65))/(0+SUM($F13:AB13)))-1</f>
        <v>0.53370759252137034</v>
      </c>
    </row>
    <row r="83" spans="3:28">
      <c r="C83" s="123">
        <v>2026</v>
      </c>
      <c r="F83" s="171">
        <f>((SUM(Purchases!H65:$AB65)+SUM(Purchases!$F66:F66))/(SUM(H13:$AB13)+SUM($F14:F14)))-1</f>
        <v>0.5388020649418046</v>
      </c>
      <c r="G83" s="128"/>
      <c r="H83" s="239"/>
      <c r="I83" s="128"/>
      <c r="J83" s="239"/>
      <c r="K83" s="128"/>
      <c r="L83" s="239"/>
      <c r="M83" s="128"/>
      <c r="N83" s="239"/>
      <c r="P83" s="239"/>
      <c r="R83" s="239"/>
      <c r="T83" s="239"/>
      <c r="V83" s="239"/>
      <c r="X83" s="239"/>
    </row>
    <row r="84" spans="3:28" ht="7.35" customHeight="1"/>
    <row r="85" spans="3:28" ht="7.35" customHeight="1"/>
    <row r="86" spans="3:28">
      <c r="C86" s="127" t="s">
        <v>126</v>
      </c>
    </row>
    <row r="87" spans="3:28">
      <c r="C87" s="123">
        <v>2022</v>
      </c>
      <c r="F87" s="112">
        <f>((SUM(Purchases!H91:$AB91)+SUM(Purchases!$F92:F92))/(SUM(H25:$AB25)+SUM($F26:F26)))-1</f>
        <v>-0.15711568722900848</v>
      </c>
      <c r="G87" s="128"/>
      <c r="H87" s="112">
        <f>((SUM(Purchases!J91:$AB91)+SUM(Purchases!$F92:H92))/(SUM(J25:$AB25)+SUM($F26:H26)))-1</f>
        <v>-0.26734397506434626</v>
      </c>
      <c r="I87" s="128"/>
      <c r="J87" s="112">
        <f>((SUM(Purchases!L91:$AB91)+SUM(Purchases!$F92:J92))/(SUM(L25:$AB25)+SUM($F26:J26)))-1</f>
        <v>-0.34873378411634415</v>
      </c>
      <c r="K87" s="128"/>
      <c r="L87" s="112">
        <f>((SUM(Purchases!N91:$AB91)+SUM(Purchases!$F92:L92))/(SUM(N25:$AB25)+SUM($F26:L26)))-1</f>
        <v>-0.3736862428052562</v>
      </c>
      <c r="M87" s="128"/>
      <c r="N87" s="112">
        <f>((SUM(Purchases!P91:$AB91)+SUM(Purchases!$F92:N92))/(SUM(P25:$AB25)+SUM($F26:N26)))-1</f>
        <v>-0.40309537178668009</v>
      </c>
      <c r="O87" s="128"/>
      <c r="P87" s="112">
        <f>((SUM(Purchases!R91:$AB91)+SUM(Purchases!$F92:P92))/(SUM(R25:$AB25)+SUM($F26:P26)))-1</f>
        <v>-0.41098365039096896</v>
      </c>
      <c r="Q87" s="128"/>
      <c r="R87" s="112">
        <f>((SUM(Purchases!T91:$AB91)+SUM(Purchases!$F92:R92))/(SUM(T25:$AB25)+SUM($F26:R26)))-1</f>
        <v>-0.41797024540282224</v>
      </c>
      <c r="S87" s="128"/>
      <c r="T87" s="112">
        <f>((SUM(Purchases!V91:$AB91)+SUM(Purchases!$F92:T92))/(SUM(V25:$AB25)+SUM($F26:T26)))-1</f>
        <v>-0.42725771744867436</v>
      </c>
      <c r="U87" s="128"/>
      <c r="V87" s="112">
        <f>((SUM(Purchases!X91:$AB91)+SUM(Purchases!$F92:V92))/(SUM(X25:$AB25)+SUM($F26:V26)))-1</f>
        <v>-0.43193992697166195</v>
      </c>
      <c r="W87" s="128"/>
      <c r="X87" s="112">
        <f>((SUM(Purchases!Z91:$AB91)+SUM(Purchases!$F92:X92))/(SUM(Z25:$AB25)+SUM($F26:X26)))-1</f>
        <v>-0.44440158960831444</v>
      </c>
      <c r="Y87" s="128"/>
      <c r="Z87" s="112">
        <f>((SUM(Purchases!AB91:$AB91)+SUM(Purchases!$F92:Z92))/(SUM(AB25:$AB25)+SUM($F26:Z26)))-1</f>
        <v>-0.48795333318858514</v>
      </c>
      <c r="AA87" s="128"/>
      <c r="AB87" s="112">
        <f>((0+SUM(Purchases!$F92:AB92))/(0+SUM($F26:AB26)))-1</f>
        <v>-0.53157958713792341</v>
      </c>
    </row>
    <row r="88" spans="3:28">
      <c r="C88" s="123">
        <v>2023</v>
      </c>
      <c r="F88" s="112">
        <f>((SUM(Purchases!H92:$AB92)+SUM(Purchases!$F93:F93))/(SUM(H26:$AB26)+SUM($F27:F27)))-1</f>
        <v>-0.59454101090788491</v>
      </c>
      <c r="G88" s="128"/>
      <c r="H88" s="112">
        <f>((SUM(Purchases!J92:$AB92)+SUM(Purchases!$F93:H93))/(SUM(J26:$AB26)+SUM($F27:H27)))-1</f>
        <v>-0.59913803091039686</v>
      </c>
      <c r="I88" s="128"/>
      <c r="J88" s="112">
        <f>((SUM(Purchases!L92:$AB92)+SUM(Purchases!$F93:J93))/(SUM(L26:$AB26)+SUM($F27:J27)))-1</f>
        <v>-0.56574330711184451</v>
      </c>
      <c r="K88" s="128"/>
      <c r="L88" s="112">
        <f>((SUM(Purchases!N92:$AB92)+SUM(Purchases!$F93:L93))/(SUM(N26:$AB26)+SUM($F27:L27)))-1</f>
        <v>-0.59484658416680791</v>
      </c>
      <c r="M88" s="128"/>
      <c r="N88" s="112">
        <f>((SUM(Purchases!P92:$AB92)+SUM(Purchases!$F93:N93))/(SUM(P26:$AB26)+SUM($F27:N27)))-1</f>
        <v>-0.61898748341512544</v>
      </c>
      <c r="O88" s="128"/>
      <c r="P88" s="112">
        <f>((SUM(Purchases!R92:$AB92)+SUM(Purchases!$F93:P93))/(SUM(R26:$AB26)+SUM($F27:P27)))-1</f>
        <v>-0.63320866173330981</v>
      </c>
      <c r="Q88" s="128"/>
      <c r="R88" s="112">
        <f>((SUM(Purchases!T92:$AB92)+SUM(Purchases!$F93:R93))/(SUM(T26:$AB26)+SUM($F27:R27)))-1</f>
        <v>-0.64470117464825094</v>
      </c>
      <c r="S88" s="128"/>
      <c r="T88" s="112">
        <f>((SUM(Purchases!V92:$AB92)+SUM(Purchases!$F93:T93))/(SUM(V26:$AB26)+SUM($F27:T27)))-1</f>
        <v>-0.65580438242528494</v>
      </c>
      <c r="U88" s="128"/>
      <c r="V88" s="112">
        <f>((SUM(Purchases!X92:$AB92)+SUM(Purchases!$F93:V93))/(SUM(X26:$AB26)+SUM($F27:V27)))-1</f>
        <v>-0.67042686113545535</v>
      </c>
      <c r="W88" s="128"/>
      <c r="X88" s="112">
        <f>((SUM(Purchases!Z92:$AB92)+SUM(Purchases!$F93:X93))/(SUM(Z26:$AB26)+SUM($F27:X27)))-1</f>
        <v>-0.6872432669860663</v>
      </c>
      <c r="Y88" s="128"/>
      <c r="Z88" s="112">
        <f>((SUM(Purchases!AB92:$AB92)+SUM(Purchases!$F93:Z93))/(SUM(AB26:$AB26)+SUM($F27:Z27)))-1</f>
        <v>-0.51433127398895806</v>
      </c>
      <c r="AA88" s="128"/>
      <c r="AB88" s="112">
        <f>((0+SUM(Purchases!$F93:AB93))/(0+SUM($F27:AB27)))-1</f>
        <v>-0.51321746873083751</v>
      </c>
    </row>
    <row r="89" spans="3:28">
      <c r="C89" s="123">
        <v>2024</v>
      </c>
      <c r="F89" s="112">
        <f>((SUM(Purchases!H93:$AB93)+SUM(Purchases!$F94:F94))/(SUM(H27:$AB27)+SUM($F28:F28)))-1</f>
        <v>-0.51767645733480805</v>
      </c>
      <c r="G89" s="128"/>
      <c r="H89" s="112">
        <f>((SUM(Purchases!J93:$AB93)+SUM(Purchases!$F94:H94))/(SUM(J27:$AB27)+SUM($F28:H28)))-1</f>
        <v>-0.55150755786869698</v>
      </c>
      <c r="I89" s="128"/>
      <c r="J89" s="112">
        <f>((SUM(Purchases!L93:$AB93)+SUM(Purchases!$F94:J94))/(SUM(L27:$AB27)+SUM($F28:J28)))-1</f>
        <v>-0.60097500084342625</v>
      </c>
      <c r="K89" s="128"/>
      <c r="L89" s="112">
        <f>((SUM(Purchases!N93:$AB93)+SUM(Purchases!$F94:L94))/(SUM(N27:$AB27)+SUM($F28:L28)))-1</f>
        <v>-0.59128505487219152</v>
      </c>
      <c r="M89" s="128"/>
      <c r="N89" s="112">
        <f>((SUM(Purchases!P93:$AB93)+SUM(Purchases!$F94:N94))/(SUM(P27:$AB27)+SUM($F28:N28)))-1</f>
        <v>-0.55045436926654889</v>
      </c>
      <c r="O89" s="128"/>
      <c r="P89" s="112">
        <f>((SUM(Purchases!R93:$AB93)+SUM(Purchases!$F94:P94))/(SUM(R27:$AB27)+SUM($F28:P28)))-1</f>
        <v>-0.54165657544199575</v>
      </c>
      <c r="Q89" s="128"/>
      <c r="R89" s="112">
        <f>((SUM(Purchases!T93:$AB93)+SUM(Purchases!$F94:R94))/(SUM(T27:$AB27)+SUM($F28:R28)))-1</f>
        <v>-0.52182898475846029</v>
      </c>
      <c r="S89" s="128"/>
      <c r="T89" s="112">
        <f>((SUM(Purchases!V93:$AB93)+SUM(Purchases!$F94:T94))/(SUM(V27:$AB27)+SUM($F28:T28)))-1</f>
        <v>-0.5145079681960556</v>
      </c>
      <c r="U89" s="128"/>
      <c r="V89" s="112">
        <f>((SUM(Purchases!X93:$AB93)+SUM(Purchases!$F94:V94))/(SUM(X27:$AB27)+SUM($F28:V28)))-1</f>
        <v>-0.51513173714403493</v>
      </c>
      <c r="W89" s="128"/>
      <c r="X89" s="112">
        <f>((SUM(Purchases!Z93:$AB93)+SUM(Purchases!$F94:X94))/(SUM(Z27:$AB27)+SUM($F28:X28)))-1</f>
        <v>-0.50868550687062486</v>
      </c>
      <c r="Y89" s="128"/>
      <c r="Z89" s="112">
        <f>((SUM(Purchases!AB93:$AB93)+SUM(Purchases!$F94:Z94))/(SUM(AB27:$AB27)+SUM($F28:Z28)))-1</f>
        <v>-0.73219850073894699</v>
      </c>
      <c r="AA89" s="128"/>
      <c r="AB89" s="112">
        <f>((0+SUM(Purchases!$F94:AB94))/(0+SUM($F28:AB28)))-1</f>
        <v>-0.73038066029226045</v>
      </c>
    </row>
    <row r="90" spans="3:28">
      <c r="C90" s="123">
        <v>2025</v>
      </c>
      <c r="F90" s="112">
        <f>((SUM(Purchases!H94:$AB94)+SUM(Purchases!$F95:F95))/(SUM(H28:$AB28)+SUM($F29:F29)))-1</f>
        <v>-0.78854677819870667</v>
      </c>
      <c r="G90" s="128"/>
      <c r="H90" s="112">
        <f>((SUM(Purchases!J94:$AB94)+SUM(Purchases!$F95:H95))/(SUM(J28:$AB28)+SUM($F29:H29)))-1</f>
        <v>-0.76290271609866434</v>
      </c>
      <c r="I90" s="128"/>
      <c r="J90" s="112">
        <f>((SUM(Purchases!L94:$AB94)+SUM(Purchases!$F95:J95))/(SUM(L28:$AB28)+SUM($F29:J29)))-1</f>
        <v>-0.72360293997816205</v>
      </c>
      <c r="K90" s="128"/>
      <c r="L90" s="112">
        <f>((SUM(Purchases!N94:$AB94)+SUM(Purchases!$F95:L95))/(SUM(N28:$AB28)+SUM($F29:L29)))-1</f>
        <v>-0.62991860837569913</v>
      </c>
      <c r="M90" s="128"/>
      <c r="N90" s="112">
        <f>((SUM(Purchases!P94:$AB94)+SUM(Purchases!$F95:N95))/(SUM(P28:$AB28)+SUM($F29:N29)))-1</f>
        <v>-0.59239998362065438</v>
      </c>
      <c r="O90" s="128"/>
      <c r="P90" s="112">
        <f>((SUM(Purchases!R94:$AB94)+SUM(Purchases!$F95:P95))/(SUM(R28:$AB28)+SUM($F29:P29)))-1</f>
        <v>-0.55607288427768209</v>
      </c>
      <c r="Q90" s="128"/>
      <c r="R90" s="112">
        <f>((SUM(Purchases!T94:$AB94)+SUM(Purchases!$F95:R95))/(SUM(T28:$AB28)+SUM($F29:R29)))-1</f>
        <v>-0.52766902119071646</v>
      </c>
      <c r="S90" s="128"/>
      <c r="T90" s="112">
        <f>((SUM(Purchases!V94:$AB94)+SUM(Purchases!$F95:T95))/(SUM(V28:$AB28)+SUM($F29:T29)))-1</f>
        <v>-0.4830984887201577</v>
      </c>
      <c r="U90" s="128"/>
      <c r="V90" s="112">
        <f>((SUM(Purchases!X94:$AB94)+SUM(Purchases!$F95:V95))/(SUM(X28:$AB28)+SUM($F29:V29)))-1</f>
        <v>-0.45026071536064938</v>
      </c>
      <c r="W90" s="128"/>
      <c r="X90" s="112">
        <f>((SUM(Purchases!Z94:$AB94)+SUM(Purchases!$F95:X95))/(SUM(Z28:$AB28)+SUM($F29:X29)))-1</f>
        <v>-0.46487997156796224</v>
      </c>
      <c r="Y90" s="128"/>
      <c r="Z90" s="112">
        <f>((SUM(Purchases!AB94:$AB94)+SUM(Purchases!$F95:Z95))/(SUM(AB28:$AB28)+SUM($F29:Z29)))-1</f>
        <v>-0.47557482759172442</v>
      </c>
      <c r="AA90" s="128"/>
      <c r="AB90" s="112">
        <f>((0+SUM(Purchases!$F95:AB95))/(0+SUM($F29:AB29)))-1</f>
        <v>-0.28926031405138741</v>
      </c>
    </row>
    <row r="91" spans="3:28">
      <c r="C91" s="123">
        <v>2026</v>
      </c>
      <c r="F91" s="112">
        <f>((SUM(Purchases!H95:$AB95)+SUM(Purchases!$F96:F96))/(SUM(H29:$AB29)+SUM($F30:F30)))-1</f>
        <v>-0.29406394060947139</v>
      </c>
      <c r="G91" s="128"/>
      <c r="H91" s="112"/>
      <c r="I91" s="128"/>
      <c r="J91" s="112"/>
      <c r="K91" s="128"/>
      <c r="L91" s="112"/>
      <c r="M91" s="128"/>
      <c r="N91" s="112"/>
      <c r="O91" s="128"/>
      <c r="P91" s="112"/>
      <c r="Q91" s="128"/>
      <c r="R91" s="112"/>
      <c r="S91" s="128"/>
      <c r="T91" s="112"/>
      <c r="U91" s="128"/>
      <c r="V91" s="112"/>
      <c r="W91" s="128"/>
      <c r="X91" s="112"/>
      <c r="Y91" s="128"/>
      <c r="Z91" s="128"/>
      <c r="AA91" s="128"/>
      <c r="AB91" s="128"/>
    </row>
    <row r="92" spans="3:28" ht="7.35" customHeight="1"/>
    <row r="93" spans="3:28">
      <c r="C93" s="127" t="s">
        <v>126</v>
      </c>
    </row>
    <row r="94" spans="3:28">
      <c r="C94" s="123">
        <v>2022</v>
      </c>
      <c r="F94" s="166">
        <f>IF(F87&lt;0,0,F87)</f>
        <v>0</v>
      </c>
      <c r="H94" s="166">
        <f>IF(H87&lt;0,0,H87)</f>
        <v>0</v>
      </c>
      <c r="J94" s="166">
        <f>IF(J87&lt;0,0,J87)</f>
        <v>0</v>
      </c>
      <c r="L94" s="166">
        <f>IF(L87&lt;0,0,L87)</f>
        <v>0</v>
      </c>
      <c r="N94" s="166">
        <f>IF(N87&lt;0,0,N87)</f>
        <v>0</v>
      </c>
      <c r="P94" s="166">
        <f>IF(P87&lt;0,0,P87)</f>
        <v>0</v>
      </c>
      <c r="R94" s="166">
        <f>IF(R87&lt;0,0,R87)</f>
        <v>0</v>
      </c>
      <c r="T94" s="166">
        <f>IF(T87&lt;0,0,T87)</f>
        <v>0</v>
      </c>
      <c r="V94" s="166">
        <f>IF(V87&lt;0,0,V87)</f>
        <v>0</v>
      </c>
      <c r="X94" s="166">
        <f>IF(X87&lt;0,0,X87)</f>
        <v>0</v>
      </c>
      <c r="Z94" s="166">
        <f>IF(Z87&lt;0,0,Z87)</f>
        <v>0</v>
      </c>
      <c r="AB94" s="166">
        <f>IF(AB87&lt;0,0,AB87)</f>
        <v>0</v>
      </c>
    </row>
    <row r="95" spans="3:28">
      <c r="C95" s="123">
        <v>2023</v>
      </c>
      <c r="F95" s="166">
        <f>IF(F88&lt;0,0,F88)</f>
        <v>0</v>
      </c>
      <c r="H95" s="166">
        <f>IF(H88&lt;0,0,H88)</f>
        <v>0</v>
      </c>
      <c r="J95" s="166">
        <f>IF(J88&lt;0,0,J88)</f>
        <v>0</v>
      </c>
      <c r="L95" s="166">
        <f>IF(L88&lt;0,0,L88)</f>
        <v>0</v>
      </c>
      <c r="N95" s="166">
        <f>IF(N88&lt;0,0,N88)</f>
        <v>0</v>
      </c>
      <c r="P95" s="166">
        <f>IF(P88&lt;0,0,P88)</f>
        <v>0</v>
      </c>
      <c r="R95" s="166">
        <f>IF(R88&lt;0,0,R88)</f>
        <v>0</v>
      </c>
      <c r="T95" s="166">
        <f>IF(T88&lt;0,0,T88)</f>
        <v>0</v>
      </c>
      <c r="V95" s="166">
        <f>IF(V88&lt;0,0,V88)</f>
        <v>0</v>
      </c>
      <c r="X95" s="166">
        <f>IF(X88&lt;0,0,X88)</f>
        <v>0</v>
      </c>
      <c r="Z95" s="166">
        <f>IF(Z88&lt;0,0,Z88)</f>
        <v>0</v>
      </c>
      <c r="AB95" s="166">
        <f>IF(AB88&lt;0,0,AB88)</f>
        <v>0</v>
      </c>
    </row>
    <row r="96" spans="3:28">
      <c r="C96" s="123">
        <v>2024</v>
      </c>
      <c r="F96" s="166">
        <f>IF(F89&lt;0,0,F89)</f>
        <v>0</v>
      </c>
      <c r="H96" s="166">
        <f>IF(H89&lt;0,0,H89)</f>
        <v>0</v>
      </c>
      <c r="J96" s="166">
        <f>IF(J89&lt;0,0,J89)</f>
        <v>0</v>
      </c>
      <c r="L96" s="166">
        <f>IF(L89&lt;0,0,L89)</f>
        <v>0</v>
      </c>
      <c r="N96" s="166">
        <f>IF(N89&lt;0,0,N89)</f>
        <v>0</v>
      </c>
      <c r="P96" s="166">
        <f>IF(P89&lt;0,0,P89)</f>
        <v>0</v>
      </c>
      <c r="R96" s="166">
        <f>IF(R89&lt;0,0,R89)</f>
        <v>0</v>
      </c>
      <c r="T96" s="166">
        <f>IF(T89&lt;0,0,T89)</f>
        <v>0</v>
      </c>
      <c r="V96" s="166">
        <f>IF(V89&lt;0,0,V89)</f>
        <v>0</v>
      </c>
      <c r="X96" s="166">
        <f>IF(X89&lt;0,0,X89)</f>
        <v>0</v>
      </c>
      <c r="Z96" s="166">
        <f>IF(Z89&lt;0,0,Z89)</f>
        <v>0</v>
      </c>
      <c r="AB96" s="166">
        <f>IF(AB89&lt;0,0,AB89)</f>
        <v>0</v>
      </c>
    </row>
    <row r="97" spans="3:28">
      <c r="C97" s="123">
        <v>2025</v>
      </c>
      <c r="F97" s="166">
        <f>IF(F90&lt;0,0,F90)</f>
        <v>0</v>
      </c>
      <c r="H97" s="166">
        <f>IF(H90&lt;0,0,H90)</f>
        <v>0</v>
      </c>
      <c r="J97" s="166">
        <f>IF(J90&lt;0,0,J90)</f>
        <v>0</v>
      </c>
      <c r="L97" s="166">
        <f>IF(L90&lt;0,0,L90)</f>
        <v>0</v>
      </c>
      <c r="N97" s="166">
        <f>IF(N90&lt;0,0,N90)</f>
        <v>0</v>
      </c>
      <c r="P97" s="166">
        <f>IF(P90&lt;0,0,P90)</f>
        <v>0</v>
      </c>
      <c r="R97" s="166">
        <f>IF(R90&lt;0,0,R90)</f>
        <v>0</v>
      </c>
      <c r="T97" s="166">
        <f>IF(T90&lt;0,0,T90)</f>
        <v>0</v>
      </c>
      <c r="V97" s="166">
        <f>IF(V90&lt;0,0,V90)</f>
        <v>0</v>
      </c>
      <c r="X97" s="166">
        <f>IF(X90&lt;0,0,X90)</f>
        <v>0</v>
      </c>
      <c r="Z97" s="166">
        <f>IF(Z90&lt;0,0,Z90)</f>
        <v>0</v>
      </c>
      <c r="AB97" s="166">
        <f>IF(AB90&lt;0,0,AB90)</f>
        <v>0</v>
      </c>
    </row>
    <row r="98" spans="3:28">
      <c r="C98" s="123">
        <v>2026</v>
      </c>
      <c r="F98" s="166">
        <f>IF(F91&lt;0,0,F91)</f>
        <v>0</v>
      </c>
      <c r="H98" s="240"/>
      <c r="J98" s="240"/>
      <c r="L98" s="240"/>
      <c r="N98" s="240"/>
      <c r="P98" s="240"/>
      <c r="R98" s="240"/>
      <c r="T98" s="240"/>
      <c r="V98" s="240"/>
      <c r="X98" s="240"/>
    </row>
    <row r="99" spans="3:28" ht="7.35" customHeight="1"/>
    <row r="100" spans="3:28" ht="7.35" customHeight="1"/>
    <row r="101" spans="3:28">
      <c r="C101" s="127" t="s">
        <v>127</v>
      </c>
    </row>
    <row r="102" spans="3:28">
      <c r="C102" s="123">
        <v>2022</v>
      </c>
      <c r="F102" s="112">
        <f>((SUM(Purchases!H149:$AB149)+SUM(Purchases!$F150:F150))/(SUM($F42:F42)+SUM(H41:$AB41)))-1</f>
        <v>6.2729008084459474</v>
      </c>
      <c r="G102" s="128"/>
      <c r="H102" s="112">
        <f>((SUM(Purchases!J149:$AB149)+SUM(Purchases!$F150:H150))/(SUM($F42:H42)+SUM(J41:$AB41)))-1</f>
        <v>7.8589412541712615</v>
      </c>
      <c r="I102" s="128"/>
      <c r="J102" s="112">
        <f>((SUM(Purchases!L149:$AB149)+SUM(Purchases!$F150:J150))/(SUM($F42:J42)+SUM(L41:$AB41)))-1</f>
        <v>9.0485215797824718</v>
      </c>
      <c r="K102" s="128"/>
      <c r="L102" s="112">
        <f>((SUM(Purchases!N149:$AB149)+SUM(Purchases!$F150:L150))/(SUM($F42:L42)+SUM(N41:$AB41)))-1</f>
        <v>9.941532382798643</v>
      </c>
      <c r="M102" s="128"/>
      <c r="N102" s="112">
        <f>((SUM(Purchases!P149:$AB149)+SUM(Purchases!$F150:N150))/(SUM($F42:N42)+SUM(P41:$AB41)))-1</f>
        <v>10.447385746902821</v>
      </c>
      <c r="O102" s="128"/>
      <c r="P102" s="112">
        <f>((SUM(Purchases!R149:$AB149)+SUM(Purchases!$F150:P150))/(SUM($F42:P42)+SUM(R41:$AB41)))-1</f>
        <v>10.322571327738421</v>
      </c>
      <c r="Q102" s="128"/>
      <c r="R102" s="112">
        <f>((SUM(Purchases!T149:$AB149)+SUM(Purchases!$F150:R150))/(SUM($F42:R42)+SUM(T41:$AB41)))-1</f>
        <v>9.7940615351859055</v>
      </c>
      <c r="S102" s="128"/>
      <c r="T102" s="112">
        <f>((SUM(Purchases!V149:$AB149)+SUM(Purchases!$F150:T150))/(SUM($F42:T42)+SUM(V41:$AB41)))-1</f>
        <v>9.5959398068508595</v>
      </c>
      <c r="U102" s="128"/>
      <c r="V102" s="112">
        <f>((SUM(Purchases!X149:$AB149)+SUM(Purchases!$F150:V150))/(SUM($F42:V42)+SUM(X41:$AB41)))-1</f>
        <v>9.3028237013266608</v>
      </c>
      <c r="W102" s="128"/>
      <c r="X102" s="112">
        <f>((SUM(Purchases!Z149:$AB149)+SUM(Purchases!$F150:X150))/(SUM($F42:X42)+SUM(Z41:$AB41)))-1</f>
        <v>8.6285991585042758</v>
      </c>
      <c r="Y102" s="128"/>
      <c r="Z102" s="112">
        <f>((SUM(Purchases!AB149:$AB149)+SUM(Purchases!$F150:Z150))/(SUM($F42:Z42)+SUM(AB41:$AB41)))-1</f>
        <v>8.3749177784826614</v>
      </c>
      <c r="AA102" s="128"/>
      <c r="AB102" s="112">
        <f>((0+SUM(Purchases!$F150:AB150))/(SUM($F42:AB42)+0))-1</f>
        <v>6.9870661189073244</v>
      </c>
    </row>
    <row r="103" spans="3:28">
      <c r="C103" s="123">
        <v>2023</v>
      </c>
      <c r="F103" s="112">
        <f>((SUM(Purchases!H150:$AB150)+SUM(Purchases!$F151:F151))/(SUM($F43:F43)+SUM(H42:$AB42)))-1</f>
        <v>7.0658297457716817</v>
      </c>
      <c r="G103" s="128"/>
      <c r="H103" s="112">
        <f>((SUM(Purchases!J150:$AB150)+SUM(Purchases!$F151:H151))/(SUM($F43:H43)+SUM(J42:$AB42)))-1</f>
        <v>7.0116090963744391</v>
      </c>
      <c r="I103" s="128"/>
      <c r="J103" s="112">
        <f>((SUM(Purchases!L150:$AB150)+SUM(Purchases!$F151:J151))/(SUM($F43:J43)+SUM(L42:$AB42)))-1</f>
        <v>6.7050092809095485</v>
      </c>
      <c r="K103" s="128"/>
      <c r="L103" s="112">
        <f>((SUM(Purchases!N150:$AB150)+SUM(Purchases!$F151:L151))/(SUM($F43:L43)+SUM(N42:$AB42)))-1</f>
        <v>6.3072339776546329</v>
      </c>
      <c r="M103" s="128"/>
      <c r="N103" s="112">
        <f>((SUM(Purchases!P150:$AB150)+SUM(Purchases!$F151:N151))/(SUM($F43:N43)+SUM(P42:$AB42)))-1</f>
        <v>5.7632324827844084</v>
      </c>
      <c r="O103" s="128"/>
      <c r="P103" s="112">
        <f>((SUM(Purchases!R150:$AB150)+SUM(Purchases!$F151:P151))/(SUM($F43:P43)+SUM(R42:$AB42)))-1</f>
        <v>5.4078353586449515</v>
      </c>
      <c r="Q103" s="128"/>
      <c r="R103" s="112">
        <f>((SUM(Purchases!T150:$AB150)+SUM(Purchases!$F151:R151))/(SUM($F43:R43)+SUM(T42:$AB42)))-1</f>
        <v>5.4890469601970775</v>
      </c>
      <c r="S103" s="128"/>
      <c r="T103" s="112">
        <f>((SUM(Purchases!V150:$AB150)+SUM(Purchases!$F151:T151))/(SUM($F43:T43)+SUM(V42:$AB42)))-1</f>
        <v>5.4169654196775063</v>
      </c>
      <c r="U103" s="128"/>
      <c r="V103" s="112">
        <f>((SUM(Purchases!X150:$AB150)+SUM(Purchases!$F151:V151))/(SUM($F43:V43)+SUM(X42:$AB42)))-1</f>
        <v>5.4762451631867677</v>
      </c>
      <c r="W103" s="128"/>
      <c r="X103" s="112">
        <f>((SUM(Purchases!Z150:$AB150)+SUM(Purchases!$F151:X151))/(SUM($F43:X43)+SUM(Z42:$AB42)))-1</f>
        <v>5.6681616287334551</v>
      </c>
      <c r="Y103" s="128"/>
      <c r="Z103" s="112">
        <f>((SUM(Purchases!AB150:$AB150)+SUM(Purchases!$F151:Z151))/(SUM($F43:Z43)+SUM(AB42:$AB42)))-1</f>
        <v>5.3902414904687026</v>
      </c>
      <c r="AA103" s="128"/>
      <c r="AB103" s="112">
        <f>((0+SUM(Purchases!$F151:AB151))/(SUM($F43:AB43)+0))-1</f>
        <v>5.9561910352491827</v>
      </c>
    </row>
    <row r="104" spans="3:28">
      <c r="C104" s="123">
        <v>2024</v>
      </c>
      <c r="F104" s="114">
        <f>((SUM(Purchases!H151:$AB151)+SUM(Purchases!$F152:F152))/(SUM($F44:F44)+SUM(H43:$AB43)))-1</f>
        <v>5.0876930621575491</v>
      </c>
      <c r="G104" s="128"/>
      <c r="H104" s="114">
        <f>((SUM(Purchases!J151:$AB151)+SUM(Purchases!$F152:H152))/(SUM($F44:H44)+SUM(J43:$AB43)))-1</f>
        <v>4.6059661222898036</v>
      </c>
      <c r="I104" s="128"/>
      <c r="J104" s="114">
        <f>((SUM(Purchases!L151:$AB151)+SUM(Purchases!$F152:J152))/(SUM($F44:J44)+SUM(L43:$AB43)))-1</f>
        <v>4.6033132487565407</v>
      </c>
      <c r="K104" s="128"/>
      <c r="L104" s="114">
        <f>((SUM(Purchases!N151:$AB151)+SUM(Purchases!$F152:L152))/(SUM($F44:L44)+SUM(N43:$AB43)))-1</f>
        <v>4.5287486049744965</v>
      </c>
      <c r="M104" s="128"/>
      <c r="N104" s="114">
        <f>((SUM(Purchases!P151:$AB151)+SUM(Purchases!$F152:N152))/(SUM($F44:N44)+SUM(P43:$AB43)))-1</f>
        <v>4.6157195397272615</v>
      </c>
      <c r="O104" s="128"/>
      <c r="P104" s="114">
        <f>((SUM(Purchases!R151:$AB151)+SUM(Purchases!$F152:P152))/(SUM($F44:P44)+SUM(R43:$AB43)))-1</f>
        <v>4.7182671130424625</v>
      </c>
      <c r="Q104" s="128"/>
      <c r="R104" s="114">
        <f>((SUM(Purchases!T151:$AB151)+SUM(Purchases!$F152:R152))/(SUM($F44:R44)+SUM(T43:$AB43)))-1</f>
        <v>4.7553498866806807</v>
      </c>
      <c r="S104" s="128"/>
      <c r="T104" s="114">
        <f>((SUM(Purchases!V151:$AB151)+SUM(Purchases!$F152:T152))/(SUM($F44:T44)+SUM(V43:$AB43)))-1</f>
        <v>4.7365817044421483</v>
      </c>
      <c r="U104" s="128"/>
      <c r="V104" s="114">
        <f>((SUM(Purchases!X151:$AB151)+SUM(Purchases!$F152:V152))/(SUM($F44:V44)+SUM(X43:$AB43)))-1</f>
        <v>4.6283618800961399</v>
      </c>
      <c r="W104" s="128"/>
      <c r="X104" s="114">
        <f>((SUM(Purchases!Z151:$AB151)+SUM(Purchases!$F152:X152))/(SUM($F44:X44)+SUM(Z43:$AB43)))-1</f>
        <v>4.5110263062017815</v>
      </c>
      <c r="Y104" s="128"/>
      <c r="Z104" s="114">
        <f>((SUM(Purchases!AB151:$AB151)+SUM(Purchases!$F152:Z152))/(SUM($F44:Z44)+SUM(AB43:$AB43)))-1</f>
        <v>4.8899028071734039</v>
      </c>
      <c r="AA104" s="128"/>
      <c r="AB104" s="114">
        <f>((0+SUM(Purchases!$F152:AB152))/(SUM($F44:AB44)+0))-1</f>
        <v>4.9252264194583466</v>
      </c>
    </row>
    <row r="105" spans="3:28">
      <c r="C105" s="123">
        <v>2025</v>
      </c>
      <c r="F105" s="112">
        <f>((SUM(Purchases!H152:$AB152)+SUM(Purchases!$F153:F153))/(SUM($F45:F45)+SUM(H44:$AB44)))-1</f>
        <v>4.9512453571254857</v>
      </c>
      <c r="G105" s="128"/>
      <c r="H105" s="112">
        <f>((SUM(Purchases!J152:$AB152)+SUM(Purchases!$F153:H153))/(SUM($F45:H45)+SUM(J44:$AB44)))-1</f>
        <v>5.0975715203963583</v>
      </c>
      <c r="I105" s="128"/>
      <c r="J105" s="112">
        <f>((SUM(Purchases!L152:$AB152)+SUM(Purchases!$F153:J153))/(SUM($F45:J45)+SUM(L44:$AB44)))-1</f>
        <v>4.9909728382659377</v>
      </c>
      <c r="K105" s="128"/>
      <c r="L105" s="112">
        <f>((SUM(Purchases!N152:$AB152)+SUM(Purchases!$F153:L153))/(SUM($F45:L45)+SUM(N44:$AB44)))-1</f>
        <v>5.0227356275746935</v>
      </c>
      <c r="M105" s="128"/>
      <c r="N105" s="112">
        <f>((SUM(Purchases!P152:$AB152)+SUM(Purchases!$F153:N153))/(SUM($F45:N45)+SUM(P44:$AB44)))-1</f>
        <v>4.9716714898324001</v>
      </c>
      <c r="O105" s="128"/>
      <c r="P105" s="112">
        <f>((SUM(Purchases!R152:$AB152)+SUM(Purchases!$F153:P153))/(SUM($F45:P45)+SUM(R44:$AB44)))-1</f>
        <v>4.9614111868490411</v>
      </c>
      <c r="Q105" s="128"/>
      <c r="R105" s="112">
        <f>((SUM(Purchases!T152:$AB152)+SUM(Purchases!$F153:R153))/(SUM($F45:R45)+SUM(T44:$AB44)))-1</f>
        <v>5.1840904692424381</v>
      </c>
      <c r="S105" s="128"/>
      <c r="T105" s="112">
        <f>((SUM(Purchases!V152:$AB152)+SUM(Purchases!$F153:T153))/(SUM($F45:T45)+SUM(V44:$AB44)))-1</f>
        <v>5.5012096950462324</v>
      </c>
      <c r="U105" s="128"/>
      <c r="V105" s="112">
        <f>((SUM(Purchases!X152:$AB152)+SUM(Purchases!$F153:V153))/(SUM($F45:V45)+SUM(X44:$AB44)))-1</f>
        <v>6.0641883249222568</v>
      </c>
      <c r="W105" s="128"/>
      <c r="X105" s="112">
        <f>((SUM(Purchases!Z152:$AB152)+SUM(Purchases!$F153:X153))/(SUM($F45:X45)+SUM(Z44:$AB44)))-1</f>
        <v>6.5719493769060664</v>
      </c>
      <c r="Y105" s="128"/>
      <c r="Z105" s="241">
        <f>((SUM(Purchases!AB152:$AB152)+SUM(Purchases!$F153:Z153))/(SUM($F45:Z45)+SUM(AB44:$AB44)))-1</f>
        <v>6.593582758555474</v>
      </c>
      <c r="AA105" s="128"/>
      <c r="AB105" s="241">
        <f>((0+SUM(Purchases!$F153:AB153))/(SUM($F45:AB45)+0))-1</f>
        <v>6.2790379722803049</v>
      </c>
    </row>
    <row r="106" spans="3:28">
      <c r="C106" s="123">
        <v>2026</v>
      </c>
      <c r="F106" s="112">
        <f>((SUM(Purchases!H153:$AB153)+SUM(Purchases!$F154:F154))/(SUM($F46:F46)+SUM(H45:$AB45)))-1</f>
        <v>6.0839582655798647</v>
      </c>
      <c r="G106" s="128"/>
      <c r="H106" s="112"/>
      <c r="I106" s="128"/>
      <c r="J106" s="112"/>
      <c r="K106" s="128"/>
      <c r="L106" s="112"/>
      <c r="M106" s="128"/>
      <c r="N106" s="112"/>
      <c r="O106" s="128"/>
      <c r="P106" s="112"/>
      <c r="Q106" s="128"/>
      <c r="R106" s="112"/>
      <c r="S106" s="128"/>
      <c r="T106" s="112"/>
      <c r="U106" s="128"/>
      <c r="V106" s="112"/>
      <c r="W106" s="128"/>
      <c r="X106" s="112"/>
      <c r="Y106" s="128"/>
      <c r="Z106" s="128"/>
      <c r="AA106" s="128"/>
      <c r="AB106" s="128"/>
    </row>
    <row r="107" spans="3:28" ht="7.35" customHeight="1"/>
    <row r="108" spans="3:28">
      <c r="C108" s="127" t="s">
        <v>127</v>
      </c>
    </row>
    <row r="109" spans="3:28">
      <c r="C109" s="123">
        <v>2022</v>
      </c>
      <c r="F109" s="166">
        <f>IF(F102&lt;0,0,F102)</f>
        <v>6.2729008084459474</v>
      </c>
      <c r="H109" s="166">
        <f>IF(H102&lt;0,0,H102)</f>
        <v>7.8589412541712615</v>
      </c>
      <c r="J109" s="166">
        <f>IF(J102&lt;0,0,J102)</f>
        <v>9.0485215797824718</v>
      </c>
      <c r="L109" s="166">
        <f>IF(L102&lt;0,0,L102)</f>
        <v>9.941532382798643</v>
      </c>
      <c r="N109" s="166">
        <f>IF(N102&lt;0,0,N102)</f>
        <v>10.447385746902821</v>
      </c>
      <c r="P109" s="166">
        <f>IF(P102&lt;0,0,P102)</f>
        <v>10.322571327738421</v>
      </c>
      <c r="R109" s="166">
        <f>IF(R102&lt;0,0,R102)</f>
        <v>9.7940615351859055</v>
      </c>
      <c r="T109" s="166">
        <f>IF(T102&lt;0,0,T102)</f>
        <v>9.5959398068508595</v>
      </c>
      <c r="V109" s="166">
        <f>IF(V102&lt;0,0,V102)</f>
        <v>9.3028237013266608</v>
      </c>
      <c r="X109" s="166">
        <f>IF(X102&lt;0,0,X102)</f>
        <v>8.6285991585042758</v>
      </c>
      <c r="Z109" s="166">
        <f>IF(Z102&lt;0,0,Z102)</f>
        <v>8.3749177784826614</v>
      </c>
      <c r="AB109" s="166">
        <f>IF(AB102&lt;0,0,AB102)</f>
        <v>6.9870661189073244</v>
      </c>
    </row>
    <row r="110" spans="3:28">
      <c r="C110" s="123">
        <v>2023</v>
      </c>
      <c r="F110" s="166">
        <f>IF(F103&lt;0,0,F103)</f>
        <v>7.0658297457716817</v>
      </c>
      <c r="H110" s="166">
        <f>IF(H103&lt;0,0,H103)</f>
        <v>7.0116090963744391</v>
      </c>
      <c r="J110" s="166">
        <f>IF(J103&lt;0,0,J103)</f>
        <v>6.7050092809095485</v>
      </c>
      <c r="L110" s="166">
        <f>IF(L103&lt;0,0,L103)</f>
        <v>6.3072339776546329</v>
      </c>
      <c r="N110" s="166">
        <f>IF(N103&lt;0,0,N103)</f>
        <v>5.7632324827844084</v>
      </c>
      <c r="P110" s="166">
        <f>IF(P103&lt;0,0,P103)</f>
        <v>5.4078353586449515</v>
      </c>
      <c r="R110" s="166">
        <f>IF(R103&lt;0,0,R103)</f>
        <v>5.4890469601970775</v>
      </c>
      <c r="T110" s="166">
        <f>IF(T103&lt;0,0,T103)</f>
        <v>5.4169654196775063</v>
      </c>
      <c r="V110" s="166">
        <f>IF(V103&lt;0,0,V103)</f>
        <v>5.4762451631867677</v>
      </c>
      <c r="X110" s="166">
        <f>IF(X103&lt;0,0,X103)</f>
        <v>5.6681616287334551</v>
      </c>
      <c r="Z110" s="166">
        <f>IF(Z103&lt;0,0,Z103)</f>
        <v>5.3902414904687026</v>
      </c>
      <c r="AB110" s="166">
        <f>IF(AB103&lt;0,0,AB103)</f>
        <v>5.9561910352491827</v>
      </c>
    </row>
    <row r="111" spans="3:28">
      <c r="C111" s="123">
        <v>2024</v>
      </c>
      <c r="F111" s="167">
        <f>IF(F104&lt;0,0,F104)</f>
        <v>5.0876930621575491</v>
      </c>
      <c r="G111" s="123"/>
      <c r="H111" s="167">
        <f>IF(H104&lt;0,0,H104)</f>
        <v>4.6059661222898036</v>
      </c>
      <c r="I111" s="123"/>
      <c r="J111" s="167">
        <f>IF(J104&lt;0,0,J104)</f>
        <v>4.6033132487565407</v>
      </c>
      <c r="K111" s="123"/>
      <c r="L111" s="167">
        <f>IF(L104&lt;0,0,L104)</f>
        <v>4.5287486049744965</v>
      </c>
      <c r="M111" s="123"/>
      <c r="N111" s="167">
        <f>IF(N104&lt;0,0,N104)</f>
        <v>4.6157195397272615</v>
      </c>
      <c r="O111" s="123"/>
      <c r="P111" s="167">
        <f>IF(P104&lt;0,0,P104)</f>
        <v>4.7182671130424625</v>
      </c>
      <c r="Q111" s="123"/>
      <c r="R111" s="167">
        <f>IF(R104&lt;0,0,R104)</f>
        <v>4.7553498866806807</v>
      </c>
      <c r="S111" s="123"/>
      <c r="T111" s="167">
        <f>IF(T104&lt;0,0,T104)</f>
        <v>4.7365817044421483</v>
      </c>
      <c r="U111" s="123"/>
      <c r="V111" s="167">
        <f>IF(V104&lt;0,0,V104)</f>
        <v>4.6283618800961399</v>
      </c>
      <c r="W111" s="123"/>
      <c r="X111" s="167">
        <f>IF(X104&lt;0,0,X104)</f>
        <v>4.5110263062017815</v>
      </c>
      <c r="Y111" s="123"/>
      <c r="Z111" s="167">
        <f>IF(Z104&lt;0,0,Z104)</f>
        <v>4.8899028071734039</v>
      </c>
      <c r="AA111" s="123"/>
      <c r="AB111" s="167">
        <f>IF(AB104&lt;0,0,AB104)</f>
        <v>4.9252264194583466</v>
      </c>
    </row>
    <row r="112" spans="3:28">
      <c r="C112" s="123">
        <v>2025</v>
      </c>
      <c r="F112" s="167">
        <f>IF(F105&lt;0,0,F105)</f>
        <v>4.9512453571254857</v>
      </c>
      <c r="G112" s="123"/>
      <c r="H112" s="167">
        <f>IF(H105&lt;0,0,H105)</f>
        <v>5.0975715203963583</v>
      </c>
      <c r="J112" s="173">
        <f>IF(J105&lt;0,0,J105)</f>
        <v>4.9909728382659377</v>
      </c>
      <c r="L112" s="167">
        <f>IF(L105&lt;0,0,L105)</f>
        <v>5.0227356275746935</v>
      </c>
      <c r="N112" s="167">
        <f>IF(N105&lt;0,0,N105)</f>
        <v>4.9716714898324001</v>
      </c>
      <c r="P112" s="167">
        <f>IF(P105&lt;0,0,P105)</f>
        <v>4.9614111868490411</v>
      </c>
      <c r="R112" s="167">
        <f>IF(R105&lt;0,0,R105)</f>
        <v>5.1840904692424381</v>
      </c>
      <c r="T112" s="167">
        <f>IF(T105&lt;0,0,T105)</f>
        <v>5.5012096950462324</v>
      </c>
      <c r="V112" s="167">
        <f>IF(V105&lt;0,0,V105)</f>
        <v>6.0641883249222568</v>
      </c>
      <c r="X112" s="167">
        <f>IF(X105&lt;0,0,X105)</f>
        <v>6.5719493769060664</v>
      </c>
      <c r="Z112" s="167">
        <f>IF(Z105&lt;0,0,Z105)</f>
        <v>6.593582758555474</v>
      </c>
      <c r="AA112" s="123"/>
      <c r="AB112" s="167">
        <f>IF(AB105&lt;0,0,AB105)</f>
        <v>6.2790379722803049</v>
      </c>
    </row>
    <row r="113" spans="3:6">
      <c r="C113" s="123">
        <v>2026</v>
      </c>
      <c r="F113" s="167">
        <f>IF(F106&lt;0,0,F106)</f>
        <v>6.0839582655798647</v>
      </c>
    </row>
  </sheetData>
  <pageMargins left="0.5" right="0.5" top="1" bottom="1" header="0.5" footer="0.5"/>
  <pageSetup scale="50" orientation="portrait" blackAndWhite="1" r:id="rId1"/>
  <headerFooter>
    <oddHeader>&amp;C&amp;"Arial,Bold"Sales History&amp;"Arial,Regular"
&amp;R&amp;"Arial,Bold"Navitas KY NG, LLC</oddHeader>
    <oddFooter>&amp;L&amp;F&amp;C&amp;A&amp;R&amp;D&amp;T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61B8A-2651-4560-AA82-B2847CBA9A52}">
  <sheetPr>
    <pageSetUpPr fitToPage="1"/>
  </sheetPr>
  <dimension ref="A1:AE158"/>
  <sheetViews>
    <sheetView zoomScale="120" zoomScaleNormal="120" workbookViewId="0">
      <pane xSplit="4" ySplit="2" topLeftCell="E138" activePane="bottomRight" state="frozen"/>
      <selection activeCell="F39" sqref="F39"/>
      <selection pane="topRight" activeCell="F39" sqref="F39"/>
      <selection pane="bottomLeft" activeCell="F39" sqref="F39"/>
      <selection pane="bottomRight" activeCell="H157" sqref="H157"/>
    </sheetView>
  </sheetViews>
  <sheetFormatPr defaultColWidth="9.109375" defaultRowHeight="13.2"/>
  <cols>
    <col min="1" max="2" width="1.44140625" style="129" customWidth="1"/>
    <col min="3" max="3" width="13.109375" style="129" customWidth="1"/>
    <col min="4" max="5" width="1.44140625" style="129" customWidth="1"/>
    <col min="6" max="6" width="9.5546875" style="129" customWidth="1"/>
    <col min="7" max="7" width="1.44140625" style="129" customWidth="1"/>
    <col min="8" max="8" width="9.5546875" style="129" customWidth="1"/>
    <col min="9" max="9" width="1.44140625" style="129" customWidth="1"/>
    <col min="10" max="10" width="9.5546875" style="129" customWidth="1"/>
    <col min="11" max="11" width="1.44140625" style="129" customWidth="1"/>
    <col min="12" max="12" width="9.5546875" style="129" customWidth="1"/>
    <col min="13" max="13" width="1.44140625" style="129" customWidth="1"/>
    <col min="14" max="14" width="9.5546875" style="129" customWidth="1"/>
    <col min="15" max="15" width="1.44140625" style="129" customWidth="1"/>
    <col min="16" max="16" width="9.5546875" style="129" customWidth="1"/>
    <col min="17" max="17" width="1.44140625" style="129" customWidth="1"/>
    <col min="18" max="18" width="9.5546875" style="129" customWidth="1"/>
    <col min="19" max="19" width="1.44140625" style="129" customWidth="1"/>
    <col min="20" max="20" width="9.5546875" style="129" customWidth="1"/>
    <col min="21" max="21" width="1.44140625" style="129" customWidth="1"/>
    <col min="22" max="22" width="9.5546875" style="129" customWidth="1"/>
    <col min="23" max="23" width="1.44140625" style="129" customWidth="1"/>
    <col min="24" max="24" width="9.5546875" style="129" customWidth="1"/>
    <col min="25" max="25" width="1.44140625" style="129" customWidth="1"/>
    <col min="26" max="26" width="9.5546875" style="129" customWidth="1"/>
    <col min="27" max="27" width="1.44140625" style="129" customWidth="1"/>
    <col min="28" max="28" width="9.5546875" style="129" customWidth="1"/>
    <col min="29" max="29" width="1.44140625" style="129" customWidth="1"/>
    <col min="30" max="30" width="12.88671875" style="129" customWidth="1"/>
    <col min="31" max="16384" width="9.109375" style="129"/>
  </cols>
  <sheetData>
    <row r="1" spans="1:30">
      <c r="A1" s="129" t="s">
        <v>193</v>
      </c>
    </row>
    <row r="2" spans="1:30" s="130" customFormat="1">
      <c r="F2" s="131">
        <v>39478</v>
      </c>
      <c r="G2" s="131"/>
      <c r="H2" s="131">
        <v>39506</v>
      </c>
      <c r="I2" s="131"/>
      <c r="J2" s="131">
        <v>39538</v>
      </c>
      <c r="K2" s="131"/>
      <c r="L2" s="131">
        <v>39568</v>
      </c>
      <c r="M2" s="131"/>
      <c r="N2" s="131">
        <v>39599</v>
      </c>
      <c r="O2" s="131"/>
      <c r="P2" s="131">
        <v>39629</v>
      </c>
      <c r="Q2" s="131"/>
      <c r="R2" s="131">
        <v>39660</v>
      </c>
      <c r="S2" s="131"/>
      <c r="T2" s="131">
        <v>39691</v>
      </c>
      <c r="U2" s="131"/>
      <c r="V2" s="131">
        <v>39721</v>
      </c>
      <c r="W2" s="131"/>
      <c r="X2" s="131">
        <v>39752</v>
      </c>
      <c r="Y2" s="131"/>
      <c r="Z2" s="131">
        <v>39782</v>
      </c>
      <c r="AA2" s="131"/>
      <c r="AB2" s="131">
        <v>39813</v>
      </c>
      <c r="AC2" s="131"/>
      <c r="AD2" s="132" t="s">
        <v>194</v>
      </c>
    </row>
    <row r="3" spans="1:30" s="136" customFormat="1" ht="10.199999999999999">
      <c r="B3" s="137" t="s">
        <v>168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</row>
    <row r="4" spans="1:30" s="136" customFormat="1" ht="10.199999999999999">
      <c r="C4" s="136" t="s">
        <v>195</v>
      </c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</row>
    <row r="5" spans="1:30" s="136" customFormat="1" ht="10.199999999999999">
      <c r="C5" s="136">
        <v>2020</v>
      </c>
      <c r="F5" s="139"/>
      <c r="G5" s="139"/>
      <c r="H5" s="139"/>
      <c r="I5" s="139"/>
      <c r="J5" s="139"/>
      <c r="K5" s="139"/>
      <c r="L5" s="139"/>
      <c r="M5" s="139"/>
      <c r="N5" s="140">
        <v>0.92374141040011692</v>
      </c>
      <c r="O5" s="141"/>
      <c r="P5" s="142">
        <v>0.98412406008741815</v>
      </c>
      <c r="Q5" s="141"/>
      <c r="R5" s="140">
        <v>0.98578976134086349</v>
      </c>
      <c r="S5" s="141"/>
      <c r="T5" s="140">
        <v>0.98336382346215412</v>
      </c>
      <c r="U5" s="141"/>
      <c r="V5" s="142">
        <v>0.98474955694431487</v>
      </c>
      <c r="W5" s="141"/>
      <c r="X5" s="142">
        <v>0.977122283981809</v>
      </c>
      <c r="Y5" s="141"/>
      <c r="Z5" s="142">
        <v>0.94188011429390739</v>
      </c>
      <c r="AA5" s="141"/>
      <c r="AB5" s="142">
        <v>0.86897474409622744</v>
      </c>
      <c r="AC5" s="141"/>
    </row>
    <row r="6" spans="1:30" s="136" customFormat="1" ht="10.199999999999999">
      <c r="C6" s="136">
        <v>2021</v>
      </c>
      <c r="F6" s="142">
        <v>0.8244498467008945</v>
      </c>
      <c r="G6" s="141"/>
      <c r="H6" s="142">
        <v>0.80864379016338361</v>
      </c>
      <c r="I6" s="141"/>
      <c r="J6" s="140">
        <v>0.93746554120689263</v>
      </c>
      <c r="K6" s="143"/>
      <c r="L6" s="140">
        <v>0.95346585775138759</v>
      </c>
      <c r="M6" s="139"/>
      <c r="N6" s="140">
        <v>0.97623035028216787</v>
      </c>
      <c r="O6" s="144"/>
      <c r="P6" s="140">
        <v>0.98571513335508942</v>
      </c>
      <c r="Q6" s="144"/>
      <c r="R6" s="140">
        <v>0.9787276914219919</v>
      </c>
      <c r="S6" s="139"/>
      <c r="T6" s="140">
        <v>0.96274715827681712</v>
      </c>
      <c r="U6" s="139"/>
      <c r="V6" s="140">
        <v>0.96100278551532037</v>
      </c>
      <c r="W6" s="139"/>
      <c r="X6" s="140">
        <v>0.95874005413829877</v>
      </c>
      <c r="Y6" s="139"/>
      <c r="Z6" s="142">
        <v>0.84812168702466006</v>
      </c>
      <c r="AA6" s="144"/>
      <c r="AB6" s="140">
        <v>0.82015246590260849</v>
      </c>
      <c r="AC6" s="144"/>
    </row>
    <row r="7" spans="1:30" s="136" customFormat="1" ht="10.199999999999999">
      <c r="C7" s="136">
        <v>2022</v>
      </c>
      <c r="F7" s="140">
        <v>0.83266421798923695</v>
      </c>
      <c r="G7" s="139"/>
      <c r="H7" s="140">
        <v>0.82810555785980922</v>
      </c>
      <c r="I7" s="139"/>
      <c r="J7" s="140">
        <v>0.83417888878639723</v>
      </c>
      <c r="K7" s="144"/>
      <c r="L7" s="142">
        <v>0.85734215476970566</v>
      </c>
      <c r="M7" s="144"/>
      <c r="N7" s="140">
        <v>0.93853161171701982</v>
      </c>
      <c r="P7" s="145">
        <v>0.94790037971856156</v>
      </c>
      <c r="Q7" s="146"/>
      <c r="R7" s="145">
        <v>0.95896385971158993</v>
      </c>
      <c r="S7" s="146"/>
      <c r="T7" s="145">
        <v>0.94613613942781971</v>
      </c>
      <c r="U7" s="146"/>
      <c r="V7" s="145">
        <v>0.96359915998061496</v>
      </c>
      <c r="W7" s="146"/>
      <c r="X7" s="145">
        <v>0.98277388944436506</v>
      </c>
      <c r="Y7" s="146"/>
      <c r="Z7" s="145">
        <v>0.92280888652151716</v>
      </c>
      <c r="AA7" s="146"/>
      <c r="AB7" s="145">
        <v>0.89058068563512083</v>
      </c>
      <c r="AC7" s="146"/>
    </row>
    <row r="8" spans="1:30" s="136" customFormat="1" ht="10.199999999999999">
      <c r="C8" s="136">
        <v>2023</v>
      </c>
      <c r="F8" s="145">
        <v>0.78924509082677841</v>
      </c>
      <c r="G8" s="139"/>
      <c r="H8" s="145">
        <v>0.77592930029154528</v>
      </c>
      <c r="I8" s="139"/>
      <c r="J8" s="145">
        <v>0.84456539138786613</v>
      </c>
      <c r="K8" s="144"/>
      <c r="L8" s="145">
        <v>0.93021791598167125</v>
      </c>
      <c r="M8" s="144"/>
      <c r="N8" s="145">
        <v>0.89159763313609464</v>
      </c>
      <c r="P8" s="145">
        <v>0.95562251046879787</v>
      </c>
      <c r="Q8" s="146"/>
      <c r="R8" s="145">
        <v>0.95307088432232745</v>
      </c>
      <c r="S8" s="146"/>
      <c r="T8" s="145">
        <v>0.97491147442175852</v>
      </c>
      <c r="U8" s="146"/>
      <c r="V8" s="145">
        <v>0.96255291436014323</v>
      </c>
      <c r="W8" s="146"/>
      <c r="X8" s="145">
        <v>0.94141750432165949</v>
      </c>
      <c r="Y8" s="146"/>
      <c r="Z8" s="145">
        <v>0.87246200058721235</v>
      </c>
      <c r="AA8" s="146"/>
      <c r="AB8" s="145">
        <v>0.82702546086704587</v>
      </c>
      <c r="AC8" s="146"/>
    </row>
    <row r="9" spans="1:30" s="136" customFormat="1" ht="10.199999999999999">
      <c r="C9" s="136">
        <v>2024</v>
      </c>
      <c r="F9" s="145">
        <v>0.70794062205466546</v>
      </c>
      <c r="G9" s="139"/>
      <c r="H9" s="145">
        <v>0.82259078761201065</v>
      </c>
      <c r="I9" s="139"/>
      <c r="J9" s="145">
        <v>0.83678355414746541</v>
      </c>
      <c r="K9" s="144"/>
      <c r="L9" s="145">
        <v>0.88929834905660377</v>
      </c>
      <c r="M9" s="144"/>
      <c r="N9" s="145">
        <v>0.96435915010281015</v>
      </c>
      <c r="P9" s="145">
        <v>0.95876017861833462</v>
      </c>
      <c r="Q9" s="146"/>
      <c r="R9" s="145">
        <v>0.98213090617052601</v>
      </c>
      <c r="S9" s="146"/>
      <c r="T9" s="145">
        <v>0.98796297896113028</v>
      </c>
      <c r="U9" s="146"/>
      <c r="V9" s="145">
        <v>0.97351954294005627</v>
      </c>
      <c r="W9" s="146"/>
      <c r="X9" s="145">
        <v>0.94288327498659608</v>
      </c>
      <c r="Y9" s="146"/>
      <c r="Z9" s="145">
        <v>0.92093752192931144</v>
      </c>
      <c r="AA9" s="146"/>
      <c r="AB9" s="145">
        <v>0.78151483356201501</v>
      </c>
      <c r="AC9" s="146"/>
    </row>
    <row r="10" spans="1:30" s="136" customFormat="1" ht="10.199999999999999">
      <c r="C10" s="136">
        <v>2025</v>
      </c>
      <c r="F10" s="145">
        <v>0.80980428453629072</v>
      </c>
      <c r="G10" s="139"/>
      <c r="H10" s="145">
        <v>0.74592037661544042</v>
      </c>
      <c r="I10" s="139"/>
      <c r="J10" s="145">
        <v>0.85040193451408397</v>
      </c>
      <c r="K10" s="144"/>
      <c r="L10" s="145">
        <v>0.91507243171513886</v>
      </c>
      <c r="M10" s="144"/>
      <c r="N10" s="145">
        <v>0.9557759313856875</v>
      </c>
      <c r="O10" s="139"/>
      <c r="P10" s="145">
        <v>0.96447713536321134</v>
      </c>
      <c r="Q10" s="144"/>
      <c r="R10" s="145">
        <v>0.96467336683417093</v>
      </c>
      <c r="S10" s="146"/>
      <c r="T10" s="145">
        <v>0.96692414339473165</v>
      </c>
      <c r="U10" s="146"/>
      <c r="V10" s="145">
        <v>0.98417698156852129</v>
      </c>
      <c r="W10" s="146"/>
      <c r="X10" s="145">
        <v>0.96915520171334124</v>
      </c>
      <c r="Y10" s="146"/>
      <c r="Z10" s="145">
        <v>0.9</v>
      </c>
      <c r="AA10" s="146"/>
      <c r="AB10" s="145">
        <v>0.84</v>
      </c>
      <c r="AC10" s="146"/>
    </row>
    <row r="11" spans="1:30" s="136" customFormat="1" ht="10.199999999999999">
      <c r="C11" s="136">
        <v>2026</v>
      </c>
      <c r="F11" s="145">
        <v>0.79</v>
      </c>
      <c r="G11" s="139"/>
      <c r="H11" s="146"/>
      <c r="I11" s="139"/>
      <c r="J11" s="146"/>
      <c r="K11" s="143"/>
      <c r="L11" s="146"/>
      <c r="M11" s="143"/>
      <c r="N11" s="146"/>
      <c r="O11" s="139"/>
      <c r="P11" s="146"/>
      <c r="Q11" s="143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</row>
    <row r="12" spans="1:30" s="136" customFormat="1" ht="10.199999999999999"/>
    <row r="13" spans="1:30" s="136" customFormat="1" ht="10.199999999999999">
      <c r="C13" s="136" t="s">
        <v>196</v>
      </c>
      <c r="F13" s="139" t="s">
        <v>197</v>
      </c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</row>
    <row r="14" spans="1:30" s="136" customFormat="1" ht="10.199999999999999">
      <c r="C14" s="136">
        <v>2020</v>
      </c>
      <c r="F14" s="139"/>
      <c r="G14" s="139"/>
      <c r="H14" s="139"/>
      <c r="I14" s="139"/>
      <c r="J14" s="139"/>
      <c r="K14" s="139"/>
      <c r="L14" s="139"/>
      <c r="M14" s="139"/>
      <c r="N14" s="147">
        <v>2602</v>
      </c>
      <c r="O14" s="139"/>
      <c r="P14" s="147">
        <v>2986</v>
      </c>
      <c r="Q14" s="139"/>
      <c r="R14" s="147">
        <v>3294</v>
      </c>
      <c r="S14" s="139"/>
      <c r="T14" s="147">
        <v>2248</v>
      </c>
      <c r="U14" s="139"/>
      <c r="V14" s="147">
        <v>3641</v>
      </c>
      <c r="W14" s="139"/>
      <c r="X14" s="147">
        <v>4076</v>
      </c>
      <c r="Y14" s="139"/>
      <c r="Z14" s="147">
        <v>7543</v>
      </c>
      <c r="AA14" s="139"/>
      <c r="AB14" s="147">
        <v>15801</v>
      </c>
      <c r="AC14" s="139"/>
    </row>
    <row r="15" spans="1:30" s="136" customFormat="1" ht="10.199999999999999">
      <c r="C15" s="136">
        <v>2021</v>
      </c>
      <c r="F15" s="147">
        <v>8062</v>
      </c>
      <c r="G15" s="139"/>
      <c r="H15" s="147">
        <v>9011</v>
      </c>
      <c r="I15" s="139"/>
      <c r="J15" s="147">
        <v>8648</v>
      </c>
      <c r="K15" s="139"/>
      <c r="L15" s="147">
        <v>6721</v>
      </c>
      <c r="M15" s="139"/>
      <c r="N15" s="147">
        <v>4576</v>
      </c>
      <c r="O15" s="139"/>
      <c r="P15" s="147">
        <v>3920</v>
      </c>
      <c r="Q15" s="139"/>
      <c r="R15" s="147">
        <v>1949</v>
      </c>
      <c r="S15" s="139"/>
      <c r="T15" s="147">
        <v>930</v>
      </c>
      <c r="U15" s="139"/>
      <c r="V15" s="147">
        <v>203</v>
      </c>
      <c r="W15" s="139"/>
      <c r="X15" s="147">
        <v>405</v>
      </c>
      <c r="Y15" s="139"/>
      <c r="Z15" s="147">
        <v>4469</v>
      </c>
      <c r="AA15" s="139"/>
      <c r="AB15" s="147">
        <v>1663</v>
      </c>
      <c r="AC15" s="139"/>
    </row>
    <row r="16" spans="1:30" s="136" customFormat="1" ht="10.199999999999999">
      <c r="C16" s="136">
        <v>2022</v>
      </c>
      <c r="F16" s="147">
        <v>9807</v>
      </c>
      <c r="G16" s="139"/>
      <c r="H16" s="147">
        <v>6916</v>
      </c>
      <c r="I16" s="139"/>
      <c r="J16" s="147">
        <v>2465</v>
      </c>
      <c r="K16" s="139"/>
      <c r="L16" s="147">
        <v>923</v>
      </c>
      <c r="M16" s="139"/>
      <c r="N16" s="147">
        <v>310</v>
      </c>
      <c r="O16" s="139"/>
      <c r="P16" s="147">
        <v>220</v>
      </c>
      <c r="Q16" s="139"/>
      <c r="R16" s="147">
        <v>110</v>
      </c>
      <c r="S16" s="139"/>
      <c r="T16" s="147">
        <v>89</v>
      </c>
      <c r="U16" s="139"/>
      <c r="V16" s="147">
        <v>31</v>
      </c>
      <c r="W16" s="139"/>
      <c r="X16" s="147">
        <v>398</v>
      </c>
      <c r="Y16" s="139"/>
      <c r="Z16" s="147">
        <v>2043</v>
      </c>
      <c r="AA16" s="139"/>
      <c r="AB16" s="147">
        <v>5840</v>
      </c>
      <c r="AC16" s="139"/>
    </row>
    <row r="17" spans="3:31" s="136" customFormat="1" ht="10.199999999999999">
      <c r="C17" s="136">
        <v>2023</v>
      </c>
      <c r="F17" s="147">
        <v>4539</v>
      </c>
      <c r="G17" s="139"/>
      <c r="H17" s="147">
        <v>2978</v>
      </c>
      <c r="I17" s="139"/>
      <c r="J17" s="147">
        <v>3926</v>
      </c>
      <c r="K17" s="139"/>
      <c r="L17" s="147">
        <v>377</v>
      </c>
      <c r="M17" s="139"/>
      <c r="N17" s="147">
        <v>735.9</v>
      </c>
      <c r="O17" s="139"/>
      <c r="P17" s="147">
        <v>46</v>
      </c>
      <c r="Q17" s="139"/>
      <c r="R17" s="147">
        <v>170</v>
      </c>
      <c r="S17" s="139"/>
      <c r="T17" s="147">
        <v>31</v>
      </c>
      <c r="U17" s="139"/>
      <c r="V17" s="147">
        <v>51</v>
      </c>
      <c r="W17" s="139"/>
      <c r="X17" s="147">
        <v>164</v>
      </c>
      <c r="Y17" s="139"/>
      <c r="Z17" s="147">
        <v>1936</v>
      </c>
      <c r="AA17" s="139"/>
      <c r="AB17" s="147">
        <v>5708</v>
      </c>
      <c r="AC17" s="139"/>
      <c r="AD17" s="139"/>
    </row>
    <row r="18" spans="3:31" s="136" customFormat="1" ht="10.199999999999999">
      <c r="C18" s="136">
        <v>2024</v>
      </c>
      <c r="F18" s="147">
        <v>8251</v>
      </c>
      <c r="G18" s="139"/>
      <c r="H18" s="147">
        <v>5222</v>
      </c>
      <c r="I18" s="139"/>
      <c r="J18" s="147">
        <v>2705</v>
      </c>
      <c r="K18" s="139"/>
      <c r="L18" s="147">
        <v>1143</v>
      </c>
      <c r="M18" s="139"/>
      <c r="N18" s="147">
        <v>240</v>
      </c>
      <c r="O18" s="139"/>
      <c r="P18" s="147">
        <v>1265</v>
      </c>
      <c r="Q18" s="139"/>
      <c r="R18" s="147">
        <v>2156</v>
      </c>
      <c r="S18" s="139"/>
      <c r="T18" s="147">
        <v>2315</v>
      </c>
      <c r="U18" s="139"/>
      <c r="V18" s="147">
        <v>6251</v>
      </c>
      <c r="W18" s="139"/>
      <c r="X18" s="147">
        <v>7635</v>
      </c>
      <c r="Y18" s="139"/>
      <c r="Z18" s="147">
        <v>6691</v>
      </c>
      <c r="AA18" s="139"/>
      <c r="AB18" s="147">
        <v>7755</v>
      </c>
      <c r="AC18" s="139"/>
    </row>
    <row r="19" spans="3:31" s="136" customFormat="1" ht="10.199999999999999">
      <c r="C19" s="136">
        <v>2025</v>
      </c>
      <c r="F19" s="147">
        <v>13068</v>
      </c>
      <c r="G19" s="139"/>
      <c r="H19" s="147">
        <v>7688</v>
      </c>
      <c r="I19" s="139"/>
      <c r="J19" s="147">
        <v>6107</v>
      </c>
      <c r="K19" s="139"/>
      <c r="L19" s="147">
        <v>3857</v>
      </c>
      <c r="M19" s="139"/>
      <c r="N19" s="147">
        <v>2991</v>
      </c>
      <c r="O19" s="139"/>
      <c r="P19" s="147">
        <v>3713</v>
      </c>
      <c r="Q19" s="139"/>
      <c r="R19" s="147">
        <v>2349</v>
      </c>
      <c r="S19" s="139"/>
      <c r="T19" s="147">
        <v>2283</v>
      </c>
      <c r="U19" s="139"/>
      <c r="V19" s="147">
        <v>2314</v>
      </c>
      <c r="W19" s="139"/>
      <c r="X19" s="147">
        <v>3159</v>
      </c>
      <c r="Y19" s="139"/>
      <c r="Z19" s="147">
        <v>4437</v>
      </c>
      <c r="AA19" s="139"/>
      <c r="AB19" s="147">
        <v>7496</v>
      </c>
      <c r="AC19" s="139"/>
    </row>
    <row r="20" spans="3:31" s="136" customFormat="1" ht="10.199999999999999">
      <c r="C20" s="136">
        <v>2026</v>
      </c>
      <c r="F20" s="147">
        <v>9438</v>
      </c>
      <c r="G20" s="274"/>
      <c r="H20" s="147"/>
      <c r="I20" s="274"/>
      <c r="J20" s="147"/>
      <c r="K20" s="274"/>
      <c r="L20" s="147"/>
      <c r="M20" s="274"/>
      <c r="N20" s="147"/>
      <c r="O20" s="274"/>
      <c r="P20" s="147"/>
      <c r="Q20" s="274"/>
      <c r="R20" s="147"/>
      <c r="S20" s="274"/>
      <c r="T20" s="147"/>
      <c r="U20" s="274"/>
      <c r="V20" s="147"/>
      <c r="W20" s="274"/>
      <c r="X20" s="147"/>
      <c r="Y20" s="274"/>
      <c r="Z20" s="147"/>
      <c r="AA20" s="274"/>
      <c r="AB20" s="147"/>
      <c r="AC20" s="146"/>
    </row>
    <row r="21" spans="3:31" s="136" customFormat="1" ht="10.199999999999999"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139"/>
      <c r="AA21" s="139"/>
      <c r="AB21" s="139"/>
      <c r="AC21" s="139"/>
    </row>
    <row r="22" spans="3:31" s="136" customFormat="1" ht="10.199999999999999">
      <c r="C22" s="136" t="s">
        <v>198</v>
      </c>
      <c r="F22" s="139" t="s">
        <v>199</v>
      </c>
      <c r="G22" s="139"/>
      <c r="H22" s="148">
        <f>[8]Sales!AG57</f>
        <v>1.1100000000000001</v>
      </c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39"/>
      <c r="AC22" s="139"/>
    </row>
    <row r="23" spans="3:31" s="136" customFormat="1" ht="10.199999999999999">
      <c r="C23" s="136">
        <v>2020</v>
      </c>
      <c r="F23" s="139"/>
      <c r="G23" s="139"/>
      <c r="H23" s="139"/>
      <c r="I23" s="139"/>
      <c r="J23" s="139"/>
      <c r="K23" s="139"/>
      <c r="L23" s="139"/>
      <c r="M23" s="139"/>
      <c r="N23" s="149">
        <f t="shared" ref="N23:N28" si="0">N14/$H$22</f>
        <v>2344.1441441441439</v>
      </c>
      <c r="O23" s="139"/>
      <c r="P23" s="149">
        <f t="shared" ref="P23:P28" si="1">P14/$H$22</f>
        <v>2690.0900900900897</v>
      </c>
      <c r="Q23" s="139"/>
      <c r="R23" s="149">
        <f t="shared" ref="R23:R28" si="2">R14/$H$22</f>
        <v>2967.5675675675675</v>
      </c>
      <c r="S23" s="139"/>
      <c r="T23" s="149">
        <f t="shared" ref="T23:T28" si="3">T14/$H$22</f>
        <v>2025.2252252252251</v>
      </c>
      <c r="U23" s="139"/>
      <c r="V23" s="149">
        <f t="shared" ref="V23:V28" si="4">V14/$H$22</f>
        <v>3280.1801801801798</v>
      </c>
      <c r="W23" s="139"/>
      <c r="X23" s="149">
        <f t="shared" ref="X23:X28" si="5">X14/$H$22</f>
        <v>3672.0720720720719</v>
      </c>
      <c r="Y23" s="139"/>
      <c r="Z23" s="149">
        <f t="shared" ref="Z23:Z28" si="6">Z14/$H$22</f>
        <v>6795.4954954954947</v>
      </c>
      <c r="AA23" s="139"/>
      <c r="AB23" s="149">
        <f t="shared" ref="AB23:AB28" si="7">AB14/$H$22</f>
        <v>14235.135135135133</v>
      </c>
      <c r="AC23" s="139"/>
      <c r="AD23" s="139"/>
    </row>
    <row r="24" spans="3:31" s="136" customFormat="1" ht="10.199999999999999">
      <c r="C24" s="136">
        <v>2021</v>
      </c>
      <c r="F24" s="149">
        <f>F15/$H$22</f>
        <v>7263.0630630630621</v>
      </c>
      <c r="G24" s="139"/>
      <c r="H24" s="149">
        <f>H15/$H$22</f>
        <v>8118.0180180180178</v>
      </c>
      <c r="I24" s="139"/>
      <c r="J24" s="149">
        <f>J15/$H$22</f>
        <v>7790.9909909909902</v>
      </c>
      <c r="K24" s="139"/>
      <c r="L24" s="149">
        <f>L15/$H$22</f>
        <v>6054.9549549549547</v>
      </c>
      <c r="M24" s="139"/>
      <c r="N24" s="149">
        <f t="shared" si="0"/>
        <v>4122.5225225225222</v>
      </c>
      <c r="O24" s="139"/>
      <c r="P24" s="149">
        <f t="shared" si="1"/>
        <v>3531.5315315315311</v>
      </c>
      <c r="Q24" s="139"/>
      <c r="R24" s="149">
        <f t="shared" si="2"/>
        <v>1755.8558558558557</v>
      </c>
      <c r="S24" s="139"/>
      <c r="T24" s="149">
        <f t="shared" si="3"/>
        <v>837.83783783783781</v>
      </c>
      <c r="U24" s="139"/>
      <c r="V24" s="149">
        <f t="shared" si="4"/>
        <v>182.88288288288285</v>
      </c>
      <c r="W24" s="139"/>
      <c r="X24" s="149">
        <f t="shared" si="5"/>
        <v>364.86486486486484</v>
      </c>
      <c r="Y24" s="139"/>
      <c r="Z24" s="149">
        <f t="shared" si="6"/>
        <v>4026.1261261261257</v>
      </c>
      <c r="AA24" s="139"/>
      <c r="AB24" s="149">
        <f t="shared" si="7"/>
        <v>1498.198198198198</v>
      </c>
      <c r="AC24" s="139"/>
      <c r="AD24" s="139"/>
    </row>
    <row r="25" spans="3:31" s="136" customFormat="1" ht="10.199999999999999">
      <c r="C25" s="136">
        <v>2022</v>
      </c>
      <c r="F25" s="149">
        <f t="shared" ref="F25:F28" si="8">F16/$H$22</f>
        <v>8835.135135135135</v>
      </c>
      <c r="G25" s="139"/>
      <c r="H25" s="149">
        <f>H16/$H$22</f>
        <v>6230.6306306306296</v>
      </c>
      <c r="I25" s="139"/>
      <c r="J25" s="149">
        <f>J16/$H$22</f>
        <v>2220.7207207207207</v>
      </c>
      <c r="K25" s="139"/>
      <c r="L25" s="149">
        <f>L16/$H$22</f>
        <v>831.53153153153141</v>
      </c>
      <c r="M25" s="139"/>
      <c r="N25" s="149">
        <f t="shared" si="0"/>
        <v>279.27927927927925</v>
      </c>
      <c r="O25" s="139"/>
      <c r="P25" s="149">
        <f t="shared" si="1"/>
        <v>198.19819819819818</v>
      </c>
      <c r="Q25" s="139"/>
      <c r="R25" s="149">
        <f t="shared" si="2"/>
        <v>99.099099099099092</v>
      </c>
      <c r="S25" s="139"/>
      <c r="T25" s="149">
        <f t="shared" si="3"/>
        <v>80.180180180180173</v>
      </c>
      <c r="U25" s="139"/>
      <c r="V25" s="149">
        <f t="shared" si="4"/>
        <v>27.927927927927925</v>
      </c>
      <c r="W25" s="139"/>
      <c r="X25" s="149">
        <f t="shared" si="5"/>
        <v>358.5585585585585</v>
      </c>
      <c r="Y25" s="139"/>
      <c r="Z25" s="149">
        <f t="shared" si="6"/>
        <v>1840.5405405405404</v>
      </c>
      <c r="AA25" s="139"/>
      <c r="AB25" s="149">
        <f t="shared" si="7"/>
        <v>5261.2612612612611</v>
      </c>
      <c r="AC25" s="139"/>
      <c r="AD25" s="139"/>
    </row>
    <row r="26" spans="3:31" s="136" customFormat="1" ht="10.199999999999999">
      <c r="C26" s="136">
        <v>2023</v>
      </c>
      <c r="F26" s="149">
        <f t="shared" si="8"/>
        <v>4089.1891891891887</v>
      </c>
      <c r="G26" s="139"/>
      <c r="H26" s="149">
        <f>H17/$H$22</f>
        <v>2682.8828828828828</v>
      </c>
      <c r="I26" s="139"/>
      <c r="J26" s="149">
        <f>J17/$H$22</f>
        <v>3536.9369369369365</v>
      </c>
      <c r="K26" s="139"/>
      <c r="L26" s="149">
        <f>L17/$H$22</f>
        <v>339.6396396396396</v>
      </c>
      <c r="M26" s="139"/>
      <c r="N26" s="149">
        <f t="shared" si="0"/>
        <v>662.97297297297291</v>
      </c>
      <c r="O26" s="139"/>
      <c r="P26" s="149">
        <f t="shared" si="1"/>
        <v>41.441441441441441</v>
      </c>
      <c r="Q26" s="139"/>
      <c r="R26" s="149">
        <f t="shared" si="2"/>
        <v>153.15315315315314</v>
      </c>
      <c r="S26" s="139"/>
      <c r="T26" s="149">
        <f t="shared" si="3"/>
        <v>27.927927927927925</v>
      </c>
      <c r="U26" s="139"/>
      <c r="V26" s="149">
        <f t="shared" si="4"/>
        <v>45.945945945945944</v>
      </c>
      <c r="W26" s="139"/>
      <c r="X26" s="149">
        <f t="shared" si="5"/>
        <v>147.74774774774772</v>
      </c>
      <c r="Y26" s="139"/>
      <c r="Z26" s="149">
        <f t="shared" si="6"/>
        <v>1744.1441441441441</v>
      </c>
      <c r="AA26" s="139"/>
      <c r="AB26" s="149">
        <f t="shared" si="7"/>
        <v>5142.3423423423419</v>
      </c>
      <c r="AC26" s="139"/>
      <c r="AD26" s="139"/>
    </row>
    <row r="27" spans="3:31" s="136" customFormat="1" ht="10.199999999999999">
      <c r="C27" s="136">
        <v>2024</v>
      </c>
      <c r="F27" s="149">
        <f t="shared" si="8"/>
        <v>7433.333333333333</v>
      </c>
      <c r="G27" s="139"/>
      <c r="H27" s="149">
        <f>H18/$H$22</f>
        <v>4704.5045045045044</v>
      </c>
      <c r="I27" s="139"/>
      <c r="J27" s="149">
        <f>J18/$H$22</f>
        <v>2436.9369369369369</v>
      </c>
      <c r="K27" s="139"/>
      <c r="L27" s="150">
        <f>L18/$H$22</f>
        <v>1029.7297297297296</v>
      </c>
      <c r="M27" s="139"/>
      <c r="N27" s="149">
        <f t="shared" si="0"/>
        <v>216.2162162162162</v>
      </c>
      <c r="O27" s="139"/>
      <c r="P27" s="150">
        <f t="shared" si="1"/>
        <v>1139.6396396396394</v>
      </c>
      <c r="Q27" s="139"/>
      <c r="R27" s="150">
        <f t="shared" si="2"/>
        <v>1942.3423423423421</v>
      </c>
      <c r="S27" s="139"/>
      <c r="T27" s="150">
        <f t="shared" si="3"/>
        <v>2085.5855855855852</v>
      </c>
      <c r="U27" s="139"/>
      <c r="V27" s="150">
        <f t="shared" si="4"/>
        <v>5631.5315315315311</v>
      </c>
      <c r="W27" s="139"/>
      <c r="X27" s="150">
        <f t="shared" si="5"/>
        <v>6878.3783783783774</v>
      </c>
      <c r="Y27" s="139"/>
      <c r="Z27" s="150">
        <f t="shared" si="6"/>
        <v>6027.9279279279272</v>
      </c>
      <c r="AA27" s="139"/>
      <c r="AB27" s="150">
        <f t="shared" si="7"/>
        <v>6986.4864864864858</v>
      </c>
      <c r="AC27" s="139"/>
    </row>
    <row r="28" spans="3:31" s="136" customFormat="1" ht="10.199999999999999">
      <c r="C28" s="136">
        <v>2025</v>
      </c>
      <c r="F28" s="150">
        <f t="shared" si="8"/>
        <v>11772.972972972972</v>
      </c>
      <c r="G28" s="139"/>
      <c r="H28" s="150">
        <f>H19/$H$22</f>
        <v>6926.1261261261252</v>
      </c>
      <c r="I28" s="139"/>
      <c r="J28" s="150">
        <f>J19/$H$22</f>
        <v>5501.801801801801</v>
      </c>
      <c r="K28" s="139"/>
      <c r="L28" s="150">
        <f>L19/$H$22</f>
        <v>3474.7747747747744</v>
      </c>
      <c r="M28" s="139"/>
      <c r="N28" s="150">
        <f t="shared" si="0"/>
        <v>2694.5945945945946</v>
      </c>
      <c r="O28" s="139"/>
      <c r="P28" s="150">
        <f t="shared" si="1"/>
        <v>3345.0450450450448</v>
      </c>
      <c r="Q28" s="139"/>
      <c r="R28" s="150">
        <f t="shared" si="2"/>
        <v>2116.2162162162163</v>
      </c>
      <c r="S28" s="139"/>
      <c r="T28" s="150">
        <f t="shared" si="3"/>
        <v>2056.7567567567567</v>
      </c>
      <c r="U28" s="139"/>
      <c r="V28" s="150">
        <f t="shared" si="4"/>
        <v>2084.6846846846847</v>
      </c>
      <c r="W28" s="139"/>
      <c r="X28" s="150">
        <f t="shared" si="5"/>
        <v>2845.9459459459458</v>
      </c>
      <c r="Y28" s="139"/>
      <c r="Z28" s="150">
        <f t="shared" si="6"/>
        <v>3997.2972972972971</v>
      </c>
      <c r="AA28" s="139"/>
      <c r="AB28" s="150">
        <f t="shared" si="7"/>
        <v>6753.1531531531527</v>
      </c>
      <c r="AC28" s="139"/>
    </row>
    <row r="29" spans="3:31" s="136" customFormat="1" ht="10.199999999999999">
      <c r="C29" s="136">
        <v>2026</v>
      </c>
      <c r="F29" s="150">
        <f>F20/$H$22</f>
        <v>8502.7027027027016</v>
      </c>
      <c r="G29" s="139"/>
      <c r="H29" s="146"/>
      <c r="I29" s="139"/>
      <c r="J29" s="146"/>
      <c r="K29" s="143"/>
      <c r="L29" s="146"/>
      <c r="M29" s="143"/>
      <c r="N29" s="146"/>
      <c r="O29" s="139"/>
      <c r="P29" s="146"/>
      <c r="Q29" s="143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</row>
    <row r="30" spans="3:31" s="136" customFormat="1" ht="10.199999999999999"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39"/>
      <c r="AA30" s="139"/>
      <c r="AB30" s="139"/>
      <c r="AC30" s="139"/>
    </row>
    <row r="31" spans="3:31" s="136" customFormat="1" ht="10.199999999999999">
      <c r="C31" s="136" t="s">
        <v>200</v>
      </c>
      <c r="F31" s="139" t="s">
        <v>199</v>
      </c>
      <c r="G31" s="139"/>
      <c r="H31" s="148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</row>
    <row r="32" spans="3:31" s="136" customFormat="1" ht="10.199999999999999">
      <c r="C32" s="136">
        <v>2020</v>
      </c>
      <c r="F32" s="139"/>
      <c r="G32" s="139"/>
      <c r="H32" s="139"/>
      <c r="I32" s="139"/>
      <c r="J32" s="139"/>
      <c r="K32" s="139"/>
      <c r="L32" s="139"/>
      <c r="M32" s="139"/>
      <c r="N32" s="149">
        <f t="shared" ref="N32:N37" si="9">N23*N5</f>
        <v>2165.3830178928865</v>
      </c>
      <c r="O32" s="139"/>
      <c r="P32" s="149">
        <f t="shared" ref="P32:P37" si="10">P23*P5</f>
        <v>2647.3823814603875</v>
      </c>
      <c r="Q32" s="139"/>
      <c r="R32" s="149">
        <f t="shared" ref="R32:R37" si="11">R23*R5</f>
        <v>2925.3977241953194</v>
      </c>
      <c r="S32" s="139"/>
      <c r="T32" s="149">
        <f t="shared" ref="T32:T37" si="12">T23*T5</f>
        <v>1991.5332208494797</v>
      </c>
      <c r="U32" s="139"/>
      <c r="V32" s="149">
        <f t="shared" ref="V32:V37" si="13">V23*V5</f>
        <v>3230.1559791299551</v>
      </c>
      <c r="W32" s="139"/>
      <c r="X32" s="149">
        <f t="shared" ref="X32:X37" si="14">X23*X5</f>
        <v>3588.0634500088768</v>
      </c>
      <c r="Y32" s="139"/>
      <c r="Z32" s="149">
        <f t="shared" ref="Z32:AB37" si="15">Z23*Z5</f>
        <v>6400.5420739810297</v>
      </c>
      <c r="AA32" s="139"/>
      <c r="AB32" s="149">
        <f t="shared" ref="AB32:AB36" si="16">AB23*AB5</f>
        <v>12369.972911229268</v>
      </c>
      <c r="AC32" s="139"/>
      <c r="AD32" s="139">
        <f>SUM(F32:AB32)</f>
        <v>35318.430758747199</v>
      </c>
      <c r="AE32" s="144">
        <f>AD32/AD$149</f>
        <v>0.4342253692629473</v>
      </c>
    </row>
    <row r="33" spans="3:31" s="136" customFormat="1" ht="10.199999999999999">
      <c r="C33" s="136">
        <v>2021</v>
      </c>
      <c r="F33" s="149">
        <f t="shared" ref="F33:F37" si="17">F24*F6</f>
        <v>5988.0312289212707</v>
      </c>
      <c r="G33" s="139"/>
      <c r="H33" s="149">
        <f>H24*H6</f>
        <v>6564.5848587047294</v>
      </c>
      <c r="I33" s="139"/>
      <c r="J33" s="149">
        <f>J24*J6</f>
        <v>7303.7855859073934</v>
      </c>
      <c r="K33" s="139"/>
      <c r="L33" s="149">
        <f>L24*L6</f>
        <v>5773.19281977214</v>
      </c>
      <c r="M33" s="139"/>
      <c r="N33" s="149">
        <f t="shared" si="9"/>
        <v>4024.5316062082879</v>
      </c>
      <c r="O33" s="139"/>
      <c r="P33" s="149">
        <f t="shared" si="10"/>
        <v>3481.0840745513065</v>
      </c>
      <c r="Q33" s="139"/>
      <c r="R33" s="149">
        <f t="shared" si="11"/>
        <v>1718.5047482715875</v>
      </c>
      <c r="S33" s="139"/>
      <c r="T33" s="149">
        <f t="shared" si="12"/>
        <v>806.62599747517106</v>
      </c>
      <c r="U33" s="139"/>
      <c r="V33" s="149">
        <f t="shared" si="13"/>
        <v>175.75095987352253</v>
      </c>
      <c r="W33" s="139"/>
      <c r="X33" s="149">
        <f t="shared" si="14"/>
        <v>349.81056029370359</v>
      </c>
      <c r="Y33" s="139"/>
      <c r="Z33" s="149">
        <f t="shared" si="15"/>
        <v>3414.6448822641491</v>
      </c>
      <c r="AA33" s="139"/>
      <c r="AB33" s="149">
        <f t="shared" si="16"/>
        <v>1228.750946663097</v>
      </c>
      <c r="AC33" s="139"/>
      <c r="AD33" s="139">
        <f>SUM(F33:AB33)</f>
        <v>40829.298268906357</v>
      </c>
      <c r="AE33" s="144">
        <f>AD33/AD$150</f>
        <v>0.37859955529270722</v>
      </c>
    </row>
    <row r="34" spans="3:31" s="136" customFormat="1" ht="10.199999999999999">
      <c r="C34" s="136">
        <v>2022</v>
      </c>
      <c r="F34" s="149">
        <f>F25*F7</f>
        <v>7356.7008881265283</v>
      </c>
      <c r="G34" s="139"/>
      <c r="H34" s="149">
        <f>H25*H7</f>
        <v>5159.6198541967924</v>
      </c>
      <c r="I34" s="139"/>
      <c r="J34" s="149">
        <f>J25*J7</f>
        <v>1852.478343115738</v>
      </c>
      <c r="K34" s="139"/>
      <c r="L34" s="149">
        <f>L25*L7</f>
        <v>712.90703500219661</v>
      </c>
      <c r="M34" s="139"/>
      <c r="N34" s="149">
        <f t="shared" si="9"/>
        <v>262.11243210114964</v>
      </c>
      <c r="O34" s="139"/>
      <c r="P34" s="149">
        <f t="shared" si="10"/>
        <v>187.87214733160678</v>
      </c>
      <c r="Q34" s="139"/>
      <c r="R34" s="149">
        <f t="shared" si="11"/>
        <v>95.032454566013413</v>
      </c>
      <c r="S34" s="139"/>
      <c r="T34" s="149">
        <f t="shared" si="12"/>
        <v>75.861366134302656</v>
      </c>
      <c r="U34" s="139"/>
      <c r="V34" s="149">
        <f t="shared" si="13"/>
        <v>26.911327891350506</v>
      </c>
      <c r="W34" s="139"/>
      <c r="X34" s="149">
        <f t="shared" si="14"/>
        <v>352.38198918815965</v>
      </c>
      <c r="Y34" s="139"/>
      <c r="Z34" s="149">
        <f t="shared" si="15"/>
        <v>1698.4671668139274</v>
      </c>
      <c r="AA34" s="139"/>
      <c r="AB34" s="149">
        <f t="shared" si="16"/>
        <v>4685.5776613595544</v>
      </c>
      <c r="AC34" s="139"/>
      <c r="AD34" s="139">
        <f>SUM(F34:AB34)</f>
        <v>22465.922665827322</v>
      </c>
      <c r="AE34" s="144">
        <f>AD34/AD$151</f>
        <v>0.28255482590399161</v>
      </c>
    </row>
    <row r="35" spans="3:31" s="136" customFormat="1" ht="10.199999999999999">
      <c r="C35" s="136">
        <v>2023</v>
      </c>
      <c r="F35" s="149">
        <f t="shared" si="17"/>
        <v>3227.3724930295016</v>
      </c>
      <c r="G35" s="139"/>
      <c r="H35" s="149">
        <f>H26*H8</f>
        <v>2081.7274380794788</v>
      </c>
      <c r="I35" s="139"/>
      <c r="J35" s="149">
        <f>J26*J8</f>
        <v>2987.174528458344</v>
      </c>
      <c r="K35" s="139"/>
      <c r="L35" s="149">
        <f>L26*L8</f>
        <v>315.93887777035138</v>
      </c>
      <c r="M35" s="139"/>
      <c r="N35" s="149">
        <f t="shared" si="9"/>
        <v>591.10513353590272</v>
      </c>
      <c r="O35" s="139"/>
      <c r="P35" s="149">
        <f t="shared" si="10"/>
        <v>39.602374307715948</v>
      </c>
      <c r="Q35" s="139"/>
      <c r="R35" s="149">
        <f t="shared" si="11"/>
        <v>145.96581111242853</v>
      </c>
      <c r="S35" s="139"/>
      <c r="T35" s="149">
        <f t="shared" si="12"/>
        <v>27.227257393760819</v>
      </c>
      <c r="U35" s="139"/>
      <c r="V35" s="149">
        <f t="shared" si="13"/>
        <v>44.225404173303879</v>
      </c>
      <c r="W35" s="139"/>
      <c r="X35" s="149">
        <f t="shared" si="14"/>
        <v>139.09231595383076</v>
      </c>
      <c r="Y35" s="139"/>
      <c r="Z35" s="149">
        <f t="shared" si="15"/>
        <v>1521.6994893124713</v>
      </c>
      <c r="AA35" s="139"/>
      <c r="AB35" s="149">
        <f t="shared" si="16"/>
        <v>4252.8480456117995</v>
      </c>
      <c r="AC35" s="139"/>
      <c r="AD35" s="139">
        <f>SUM(F35:AB35)</f>
        <v>15373.97916873889</v>
      </c>
      <c r="AE35" s="144">
        <f>AD35/AD$152</f>
        <v>0.2342115002722332</v>
      </c>
    </row>
    <row r="36" spans="3:31" s="136" customFormat="1" ht="10.199999999999999">
      <c r="C36" s="136">
        <v>2024</v>
      </c>
      <c r="F36" s="149">
        <f t="shared" si="17"/>
        <v>5262.35862393968</v>
      </c>
      <c r="G36" s="139"/>
      <c r="H36" s="149">
        <f>H27*H9</f>
        <v>3869.8820656846124</v>
      </c>
      <c r="I36" s="139"/>
      <c r="J36" s="149">
        <f>J27*J9</f>
        <v>2039.1887513233278</v>
      </c>
      <c r="K36" s="139"/>
      <c r="L36" s="149">
        <f>L27*L9</f>
        <v>915.73694862315131</v>
      </c>
      <c r="M36" s="139"/>
      <c r="N36" s="149">
        <f t="shared" si="9"/>
        <v>208.51008650871569</v>
      </c>
      <c r="O36" s="139"/>
      <c r="P36" s="149">
        <f t="shared" si="10"/>
        <v>1092.6411044614351</v>
      </c>
      <c r="Q36" s="139"/>
      <c r="R36" s="149">
        <f t="shared" si="11"/>
        <v>1907.6344447780666</v>
      </c>
      <c r="S36" s="139"/>
      <c r="T36" s="149">
        <f t="shared" si="12"/>
        <v>2060.4813480135281</v>
      </c>
      <c r="U36" s="139"/>
      <c r="V36" s="149">
        <f t="shared" si="13"/>
        <v>5482.4060026290908</v>
      </c>
      <c r="W36" s="139"/>
      <c r="X36" s="149">
        <f t="shared" si="14"/>
        <v>6485.507932002396</v>
      </c>
      <c r="Y36" s="139"/>
      <c r="Z36" s="149">
        <f t="shared" si="15"/>
        <v>5551.3450083144344</v>
      </c>
      <c r="AA36" s="139"/>
      <c r="AB36" s="149">
        <f t="shared" si="16"/>
        <v>5460.0428236697526</v>
      </c>
      <c r="AC36" s="139"/>
      <c r="AD36" s="139">
        <f>SUM(F36:AB36)</f>
        <v>40335.735139948192</v>
      </c>
      <c r="AE36" s="144">
        <f>AD36/AD$153</f>
        <v>0.42351825730437886</v>
      </c>
    </row>
    <row r="37" spans="3:31" s="136" customFormat="1" ht="10.199999999999999">
      <c r="C37" s="136">
        <v>2025</v>
      </c>
      <c r="F37" s="149">
        <f t="shared" si="17"/>
        <v>9533.8039552434639</v>
      </c>
      <c r="G37" s="139"/>
      <c r="H37" s="149">
        <f>H28*H10</f>
        <v>5166.3386084860404</v>
      </c>
      <c r="I37" s="139"/>
      <c r="J37" s="149">
        <f>J28*J10</f>
        <v>4678.742895565324</v>
      </c>
      <c r="K37" s="139"/>
      <c r="L37" s="149">
        <f>L28*L10</f>
        <v>3179.6706028155768</v>
      </c>
      <c r="M37" s="139"/>
      <c r="N37" s="149">
        <f t="shared" si="9"/>
        <v>2575.4286583554876</v>
      </c>
      <c r="O37" s="139"/>
      <c r="P37" s="149">
        <f t="shared" si="10"/>
        <v>3226.2194627059489</v>
      </c>
      <c r="Q37" s="139"/>
      <c r="R37" s="149">
        <f t="shared" si="11"/>
        <v>2041.4574222463671</v>
      </c>
      <c r="S37" s="139"/>
      <c r="T37" s="149">
        <f t="shared" si="12"/>
        <v>1988.7277651983534</v>
      </c>
      <c r="U37" s="139"/>
      <c r="V37" s="149">
        <f t="shared" si="13"/>
        <v>2051.6986804950975</v>
      </c>
      <c r="W37" s="139"/>
      <c r="X37" s="149">
        <f t="shared" si="14"/>
        <v>2758.1633173085088</v>
      </c>
      <c r="Y37" s="139"/>
      <c r="Z37" s="149">
        <f t="shared" si="15"/>
        <v>3597.5675675675675</v>
      </c>
      <c r="AA37" s="139"/>
      <c r="AB37" s="149">
        <f t="shared" si="15"/>
        <v>5672.6486486486483</v>
      </c>
      <c r="AC37" s="139"/>
    </row>
    <row r="38" spans="3:31" s="136" customFormat="1" ht="10.199999999999999">
      <c r="C38" s="136">
        <v>2026</v>
      </c>
      <c r="F38" s="149">
        <f>F29*F11</f>
        <v>6717.135135135135</v>
      </c>
      <c r="G38" s="139"/>
      <c r="H38" s="146"/>
      <c r="I38" s="139"/>
      <c r="J38" s="146"/>
      <c r="K38" s="143"/>
      <c r="L38" s="146"/>
      <c r="M38" s="143"/>
      <c r="N38" s="146"/>
      <c r="O38" s="139"/>
      <c r="P38" s="146"/>
      <c r="Q38" s="143"/>
      <c r="R38" s="146"/>
      <c r="S38" s="146"/>
      <c r="T38" s="146"/>
      <c r="U38" s="146"/>
      <c r="V38" s="146"/>
      <c r="W38" s="146"/>
      <c r="X38" s="146"/>
      <c r="Y38" s="146"/>
      <c r="Z38" s="146"/>
      <c r="AA38" s="146"/>
      <c r="AB38" s="146"/>
      <c r="AC38" s="146"/>
    </row>
    <row r="39" spans="3:31" s="136" customFormat="1" ht="10.199999999999999">
      <c r="F39" s="139"/>
      <c r="G39" s="139"/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</row>
    <row r="40" spans="3:31" s="136" customFormat="1" ht="10.199999999999999">
      <c r="C40" s="136" t="s">
        <v>201</v>
      </c>
      <c r="F40" s="139" t="s">
        <v>199</v>
      </c>
      <c r="G40" s="139"/>
      <c r="H40" s="139"/>
      <c r="I40" s="139"/>
      <c r="J40" s="139"/>
      <c r="K40" s="139"/>
      <c r="L40" s="139"/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39"/>
      <c r="X40" s="139"/>
      <c r="Y40" s="139"/>
      <c r="Z40" s="139"/>
      <c r="AA40" s="139"/>
      <c r="AB40" s="139"/>
      <c r="AC40" s="139"/>
    </row>
    <row r="41" spans="3:31" s="136" customFormat="1" ht="10.199999999999999">
      <c r="C41" s="136">
        <v>2020</v>
      </c>
      <c r="F41" s="139"/>
      <c r="G41" s="139"/>
      <c r="H41" s="139"/>
      <c r="I41" s="139"/>
      <c r="J41" s="139"/>
      <c r="K41" s="139"/>
      <c r="L41" s="139"/>
      <c r="M41" s="139"/>
      <c r="N41" s="147">
        <v>5353</v>
      </c>
      <c r="O41" s="139"/>
      <c r="P41" s="147">
        <v>4112</v>
      </c>
      <c r="Q41" s="139"/>
      <c r="R41" s="147">
        <v>3477</v>
      </c>
      <c r="S41" s="139"/>
      <c r="T41" s="147">
        <v>4107</v>
      </c>
      <c r="U41" s="139"/>
      <c r="V41" s="147">
        <v>3683</v>
      </c>
      <c r="W41" s="139"/>
      <c r="X41" s="147">
        <v>5476</v>
      </c>
      <c r="Y41" s="139"/>
      <c r="Z41" s="147">
        <v>5128</v>
      </c>
      <c r="AA41" s="139"/>
      <c r="AB41" s="147">
        <v>2275</v>
      </c>
      <c r="AC41" s="139"/>
      <c r="AD41" s="139"/>
    </row>
    <row r="42" spans="3:31" s="136" customFormat="1" ht="10.199999999999999">
      <c r="C42" s="136">
        <v>2021</v>
      </c>
      <c r="F42" s="147">
        <v>4628</v>
      </c>
      <c r="G42" s="139"/>
      <c r="H42" s="147">
        <v>4320</v>
      </c>
      <c r="I42" s="139"/>
      <c r="J42" s="147">
        <v>4627</v>
      </c>
      <c r="K42" s="139"/>
      <c r="L42" s="147">
        <v>4162</v>
      </c>
      <c r="M42" s="139"/>
      <c r="N42" s="147">
        <v>4508</v>
      </c>
      <c r="O42" s="139"/>
      <c r="P42" s="147">
        <v>3506</v>
      </c>
      <c r="Q42" s="139"/>
      <c r="R42" s="147">
        <v>1840</v>
      </c>
      <c r="S42" s="139"/>
      <c r="T42" s="147">
        <v>1327</v>
      </c>
      <c r="U42" s="139"/>
      <c r="V42" s="147">
        <v>1798</v>
      </c>
      <c r="W42" s="139"/>
      <c r="X42" s="147">
        <v>2632</v>
      </c>
      <c r="Y42" s="139"/>
      <c r="Z42" s="147">
        <v>2750</v>
      </c>
      <c r="AA42" s="139"/>
      <c r="AB42" s="147">
        <v>4088</v>
      </c>
      <c r="AC42" s="139"/>
      <c r="AD42" s="139"/>
    </row>
    <row r="43" spans="3:31" s="136" customFormat="1" ht="10.199999999999999">
      <c r="C43" s="136">
        <v>2022</v>
      </c>
      <c r="F43" s="147">
        <v>4726</v>
      </c>
      <c r="G43" s="139"/>
      <c r="H43" s="147">
        <v>2800</v>
      </c>
      <c r="I43" s="139"/>
      <c r="J43" s="147">
        <v>4180</v>
      </c>
      <c r="K43" s="139"/>
      <c r="L43" s="147">
        <v>4169</v>
      </c>
      <c r="M43" s="139"/>
      <c r="N43" s="147">
        <v>2548</v>
      </c>
      <c r="O43" s="139"/>
      <c r="P43" s="147">
        <v>1879</v>
      </c>
      <c r="Q43" s="139"/>
      <c r="R43" s="147">
        <v>2117</v>
      </c>
      <c r="S43" s="139"/>
      <c r="T43" s="147">
        <v>2071</v>
      </c>
      <c r="U43" s="139"/>
      <c r="V43" s="147">
        <v>2620</v>
      </c>
      <c r="W43" s="139"/>
      <c r="X43" s="147">
        <v>3926</v>
      </c>
      <c r="Y43" s="139"/>
      <c r="Z43" s="147">
        <v>4000</v>
      </c>
      <c r="AA43" s="139"/>
      <c r="AB43" s="147">
        <v>4300</v>
      </c>
      <c r="AC43" s="139"/>
      <c r="AD43" s="139"/>
    </row>
    <row r="44" spans="3:31" s="136" customFormat="1" ht="10.199999999999999">
      <c r="C44" s="136">
        <v>2023</v>
      </c>
      <c r="F44" s="147">
        <v>4033</v>
      </c>
      <c r="G44" s="139"/>
      <c r="H44" s="147">
        <v>3486</v>
      </c>
      <c r="I44" s="139"/>
      <c r="J44" s="147">
        <v>3780</v>
      </c>
      <c r="K44" s="139"/>
      <c r="L44" s="147">
        <v>3243</v>
      </c>
      <c r="M44" s="139"/>
      <c r="N44" s="147">
        <v>2506</v>
      </c>
      <c r="O44" s="139"/>
      <c r="P44" s="147">
        <v>2254</v>
      </c>
      <c r="Q44" s="139"/>
      <c r="R44" s="147">
        <v>1674</v>
      </c>
      <c r="S44" s="139"/>
      <c r="T44" s="147">
        <v>2038</v>
      </c>
      <c r="U44" s="139"/>
      <c r="V44" s="147">
        <v>1828</v>
      </c>
      <c r="W44" s="139"/>
      <c r="X44" s="147">
        <v>2821</v>
      </c>
      <c r="Y44" s="139"/>
      <c r="Z44" s="147">
        <v>3878</v>
      </c>
      <c r="AA44" s="139"/>
      <c r="AB44" s="147">
        <v>4004</v>
      </c>
      <c r="AC44" s="139"/>
      <c r="AD44" s="139"/>
    </row>
    <row r="45" spans="3:31" s="136" customFormat="1" ht="10.199999999999999">
      <c r="C45" s="136">
        <v>2024</v>
      </c>
      <c r="F45" s="147">
        <v>3812</v>
      </c>
      <c r="G45" s="139"/>
      <c r="H45" s="147">
        <v>3853</v>
      </c>
      <c r="I45" s="139"/>
      <c r="J45" s="147">
        <v>3314</v>
      </c>
      <c r="K45" s="139"/>
      <c r="L45" s="147">
        <v>2898</v>
      </c>
      <c r="M45" s="139"/>
      <c r="N45" s="147">
        <v>2585</v>
      </c>
      <c r="O45" s="139"/>
      <c r="P45" s="147">
        <v>2159</v>
      </c>
      <c r="Q45" s="139"/>
      <c r="R45" s="147">
        <v>3276</v>
      </c>
      <c r="S45" s="139"/>
      <c r="T45" s="147">
        <v>3537</v>
      </c>
      <c r="U45" s="139"/>
      <c r="V45" s="147">
        <v>3951</v>
      </c>
      <c r="W45" s="139"/>
      <c r="X45" s="147">
        <v>3533</v>
      </c>
      <c r="Y45" s="139"/>
      <c r="Z45" s="147">
        <v>3165</v>
      </c>
      <c r="AA45" s="139"/>
      <c r="AB45" s="147">
        <v>3522</v>
      </c>
      <c r="AC45" s="139"/>
    </row>
    <row r="46" spans="3:31" s="136" customFormat="1" ht="10.199999999999999">
      <c r="C46" s="136">
        <v>2025</v>
      </c>
      <c r="F46" s="147">
        <v>3366</v>
      </c>
      <c r="G46" s="139"/>
      <c r="H46" s="147">
        <v>3169</v>
      </c>
      <c r="I46" s="139"/>
      <c r="J46" s="147">
        <v>3337</v>
      </c>
      <c r="K46" s="139"/>
      <c r="L46" s="147">
        <v>3319</v>
      </c>
      <c r="M46" s="139"/>
      <c r="N46" s="147">
        <v>3460</v>
      </c>
      <c r="O46" s="139"/>
      <c r="P46" s="147">
        <v>3575</v>
      </c>
      <c r="Q46" s="139"/>
      <c r="R46" s="147">
        <v>3454</v>
      </c>
      <c r="S46" s="139"/>
      <c r="T46" s="147">
        <v>3405</v>
      </c>
      <c r="U46" s="139"/>
      <c r="V46" s="147">
        <v>2895</v>
      </c>
      <c r="W46" s="139"/>
      <c r="X46" s="147">
        <v>3112</v>
      </c>
      <c r="Y46" s="139"/>
      <c r="Z46" s="147">
        <v>2677</v>
      </c>
      <c r="AA46" s="139"/>
      <c r="AB46" s="147">
        <v>2602</v>
      </c>
      <c r="AC46" s="139"/>
    </row>
    <row r="47" spans="3:31" s="136" customFormat="1" ht="10.199999999999999">
      <c r="C47" s="136">
        <v>2026</v>
      </c>
      <c r="F47" s="147">
        <v>1789</v>
      </c>
      <c r="G47" s="139"/>
      <c r="H47" s="146"/>
      <c r="I47" s="139"/>
      <c r="J47" s="146"/>
      <c r="K47" s="143"/>
      <c r="L47" s="146"/>
      <c r="M47" s="143"/>
      <c r="N47" s="146"/>
      <c r="O47" s="139"/>
      <c r="P47" s="146"/>
      <c r="Q47" s="143"/>
      <c r="R47" s="146"/>
      <c r="S47" s="146"/>
      <c r="T47" s="146"/>
      <c r="U47" s="146"/>
      <c r="V47" s="146"/>
      <c r="W47" s="146"/>
      <c r="X47" s="146"/>
      <c r="Y47" s="146"/>
      <c r="Z47" s="146"/>
      <c r="AA47" s="146"/>
      <c r="AB47" s="146"/>
      <c r="AC47" s="146"/>
    </row>
    <row r="48" spans="3:31" s="136" customFormat="1" ht="10.199999999999999"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39"/>
      <c r="Q48" s="139"/>
      <c r="R48" s="139"/>
      <c r="S48" s="139"/>
      <c r="T48" s="139"/>
      <c r="U48" s="139"/>
      <c r="V48" s="139"/>
      <c r="W48" s="139"/>
      <c r="X48" s="139"/>
      <c r="Y48" s="139"/>
      <c r="Z48" s="139"/>
      <c r="AA48" s="139"/>
      <c r="AB48" s="139"/>
      <c r="AC48" s="139"/>
    </row>
    <row r="49" spans="3:31" s="136" customFormat="1" ht="10.199999999999999">
      <c r="C49" s="136" t="s">
        <v>202</v>
      </c>
      <c r="F49" s="139" t="s">
        <v>199</v>
      </c>
      <c r="G49" s="139"/>
      <c r="H49" s="139"/>
      <c r="I49" s="139"/>
      <c r="J49" s="139"/>
      <c r="K49" s="139"/>
      <c r="L49" s="139"/>
      <c r="M49" s="139"/>
      <c r="N49" s="139"/>
      <c r="O49" s="139"/>
      <c r="P49" s="139"/>
      <c r="Q49" s="139"/>
      <c r="R49" s="139"/>
      <c r="S49" s="139"/>
      <c r="T49" s="139"/>
      <c r="U49" s="139"/>
      <c r="V49" s="139"/>
      <c r="W49" s="139"/>
      <c r="X49" s="139"/>
      <c r="Y49" s="139"/>
      <c r="Z49" s="139"/>
      <c r="AA49" s="139"/>
      <c r="AB49" s="139"/>
      <c r="AC49" s="139"/>
    </row>
    <row r="50" spans="3:31" s="136" customFormat="1" ht="10.199999999999999">
      <c r="C50" s="136">
        <v>2020</v>
      </c>
      <c r="F50" s="139"/>
      <c r="G50" s="139"/>
      <c r="H50" s="139"/>
      <c r="I50" s="139"/>
      <c r="J50" s="139"/>
      <c r="K50" s="139"/>
      <c r="L50" s="139"/>
      <c r="M50" s="139"/>
      <c r="N50" s="149">
        <f t="shared" ref="N50:N55" si="18">N41*N5</f>
        <v>4944.7877698718257</v>
      </c>
      <c r="O50" s="139"/>
      <c r="P50" s="149">
        <f t="shared" ref="P50:P55" si="19">P41*P5</f>
        <v>4046.7181350794635</v>
      </c>
      <c r="Q50" s="139"/>
      <c r="R50" s="149">
        <f>R41*R5</f>
        <v>3427.5910001821821</v>
      </c>
      <c r="S50" s="139"/>
      <c r="T50" s="149">
        <f>T41*T5</f>
        <v>4038.675222959067</v>
      </c>
      <c r="U50" s="139"/>
      <c r="V50" s="149">
        <f>V41*V5</f>
        <v>3626.8326182259116</v>
      </c>
      <c r="W50" s="139"/>
      <c r="X50" s="149">
        <f>X41*X5</f>
        <v>5350.7216270843865</v>
      </c>
      <c r="Y50" s="139"/>
      <c r="Z50" s="149">
        <f>Z41*Z5</f>
        <v>4829.9612260991571</v>
      </c>
      <c r="AA50" s="139"/>
      <c r="AB50" s="149">
        <f>AB41*AB5</f>
        <v>1976.9175428189174</v>
      </c>
      <c r="AC50" s="139"/>
      <c r="AD50" s="139">
        <f t="shared" ref="AD50:AD55" si="20">SUM(F50:AB50)</f>
        <v>32242.205142320912</v>
      </c>
      <c r="AE50" s="144">
        <f>AD50/AD$149</f>
        <v>0.39640445889030806</v>
      </c>
    </row>
    <row r="51" spans="3:31" s="136" customFormat="1" ht="10.199999999999999">
      <c r="C51" s="136">
        <v>2021</v>
      </c>
      <c r="F51" s="149">
        <f t="shared" ref="F51:F56" si="21">F42*F6</f>
        <v>3815.5538905317399</v>
      </c>
      <c r="G51" s="139"/>
      <c r="H51" s="149">
        <f>H42*H6</f>
        <v>3493.3411735058171</v>
      </c>
      <c r="I51" s="139"/>
      <c r="J51" s="149">
        <f>J42*J6</f>
        <v>4337.6530591642922</v>
      </c>
      <c r="K51" s="139"/>
      <c r="L51" s="149">
        <f>L42*L6</f>
        <v>3968.3248999612752</v>
      </c>
      <c r="M51" s="139"/>
      <c r="N51" s="149">
        <f t="shared" si="18"/>
        <v>4400.8464190720124</v>
      </c>
      <c r="O51" s="139"/>
      <c r="P51" s="149">
        <f t="shared" si="19"/>
        <v>3455.9172575429434</v>
      </c>
      <c r="Q51" s="139"/>
      <c r="R51" s="149">
        <f>R42*R6</f>
        <v>1800.858952216465</v>
      </c>
      <c r="S51" s="139"/>
      <c r="T51" s="149">
        <f>T42*T6</f>
        <v>1277.5654790333363</v>
      </c>
      <c r="U51" s="139"/>
      <c r="V51" s="149">
        <f>V42*V6</f>
        <v>1727.883008356546</v>
      </c>
      <c r="W51" s="139"/>
      <c r="X51" s="149">
        <f>X42*X6</f>
        <v>2523.4038224920023</v>
      </c>
      <c r="Y51" s="139"/>
      <c r="Z51" s="149">
        <f>Z42*Z6</f>
        <v>2332.3346393178153</v>
      </c>
      <c r="AA51" s="139"/>
      <c r="AB51" s="149">
        <f>AB42*AB6</f>
        <v>3352.7832806098636</v>
      </c>
      <c r="AC51" s="139"/>
      <c r="AD51" s="139">
        <f t="shared" si="20"/>
        <v>36486.465881804113</v>
      </c>
      <c r="AE51" s="144">
        <f>AD51/AD$150</f>
        <v>0.33832959033668897</v>
      </c>
    </row>
    <row r="52" spans="3:31" s="136" customFormat="1" ht="10.199999999999999">
      <c r="C52" s="136">
        <v>2022</v>
      </c>
      <c r="F52" s="149">
        <f t="shared" si="21"/>
        <v>3935.1710942171339</v>
      </c>
      <c r="G52" s="139"/>
      <c r="H52" s="149">
        <f>H43*H7</f>
        <v>2318.6955620074659</v>
      </c>
      <c r="I52" s="139"/>
      <c r="J52" s="149">
        <f>J43*J7</f>
        <v>3486.8677551271403</v>
      </c>
      <c r="K52" s="139"/>
      <c r="L52" s="149">
        <f>L43*L7</f>
        <v>3574.2594432349028</v>
      </c>
      <c r="M52" s="139"/>
      <c r="N52" s="149">
        <f t="shared" si="18"/>
        <v>2391.3785466549666</v>
      </c>
      <c r="O52" s="139"/>
      <c r="P52" s="149">
        <f t="shared" si="19"/>
        <v>1781.1048134911771</v>
      </c>
      <c r="Q52" s="139"/>
      <c r="R52" s="149">
        <f>R43*R7</f>
        <v>2030.1264910094358</v>
      </c>
      <c r="S52" s="139"/>
      <c r="T52" s="149">
        <f>T43*T7</f>
        <v>1959.4479447550145</v>
      </c>
      <c r="U52" s="139"/>
      <c r="V52" s="149">
        <f>V43*V7</f>
        <v>2524.6297991492111</v>
      </c>
      <c r="W52" s="139"/>
      <c r="X52" s="149">
        <f>X43*X7</f>
        <v>3858.3702899585774</v>
      </c>
      <c r="Y52" s="139"/>
      <c r="Z52" s="149">
        <f>Z43*Z7</f>
        <v>3691.2355460860686</v>
      </c>
      <c r="AA52" s="139"/>
      <c r="AB52" s="149">
        <f>AB43*AB7</f>
        <v>3829.4969482310194</v>
      </c>
      <c r="AC52" s="139"/>
      <c r="AD52" s="139">
        <f t="shared" si="20"/>
        <v>35380.78423392211</v>
      </c>
      <c r="AE52" s="144">
        <f>AD52/AD$151</f>
        <v>0.44498556672986783</v>
      </c>
    </row>
    <row r="53" spans="3:31" s="136" customFormat="1" ht="10.199999999999999">
      <c r="C53" s="136">
        <v>2023</v>
      </c>
      <c r="F53" s="149">
        <f t="shared" si="21"/>
        <v>3183.0254513043974</v>
      </c>
      <c r="G53" s="139"/>
      <c r="H53" s="149">
        <f>H44*H8</f>
        <v>2704.8895408163266</v>
      </c>
      <c r="I53" s="139"/>
      <c r="J53" s="149">
        <f>J44*J8</f>
        <v>3192.457179446134</v>
      </c>
      <c r="K53" s="139"/>
      <c r="L53" s="149">
        <f>L44*L8</f>
        <v>3016.69670152856</v>
      </c>
      <c r="M53" s="139"/>
      <c r="N53" s="149">
        <f t="shared" si="18"/>
        <v>2234.3436686390532</v>
      </c>
      <c r="O53" s="139"/>
      <c r="P53" s="149">
        <f t="shared" si="19"/>
        <v>2153.9731385966702</v>
      </c>
      <c r="Q53" s="139"/>
      <c r="R53" s="149">
        <f>R44*R8</f>
        <v>1595.4406603555763</v>
      </c>
      <c r="S53" s="139"/>
      <c r="T53" s="149">
        <f>T44*T8</f>
        <v>1986.8695848715438</v>
      </c>
      <c r="U53" s="139"/>
      <c r="V53" s="149">
        <f>V44*V8</f>
        <v>1759.5467274503419</v>
      </c>
      <c r="W53" s="139"/>
      <c r="X53" s="149">
        <f>X44*X8</f>
        <v>2655.7387796914013</v>
      </c>
      <c r="Y53" s="139"/>
      <c r="Z53" s="149">
        <f>Z44*Z8</f>
        <v>3383.4076382772096</v>
      </c>
      <c r="AA53" s="139"/>
      <c r="AB53" s="149">
        <f>AB44*AB8</f>
        <v>3311.4099453116519</v>
      </c>
      <c r="AC53" s="139"/>
      <c r="AD53" s="139">
        <f t="shared" si="20"/>
        <v>31177.799016288864</v>
      </c>
      <c r="AE53" s="144">
        <f>AD53/AD$152</f>
        <v>0.47497131371423357</v>
      </c>
    </row>
    <row r="54" spans="3:31" s="136" customFormat="1" ht="10.199999999999999">
      <c r="C54" s="136">
        <v>2024</v>
      </c>
      <c r="F54" s="149">
        <f t="shared" si="21"/>
        <v>2698.6696512723847</v>
      </c>
      <c r="G54" s="139"/>
      <c r="H54" s="149">
        <f>H45*H9</f>
        <v>3169.4423046690772</v>
      </c>
      <c r="I54" s="139"/>
      <c r="J54" s="149">
        <f>J45*J9</f>
        <v>2773.1006984447004</v>
      </c>
      <c r="K54" s="139"/>
      <c r="L54" s="149">
        <f>L45*L9</f>
        <v>2577.1866155660377</v>
      </c>
      <c r="M54" s="139"/>
      <c r="N54" s="149">
        <f t="shared" si="18"/>
        <v>2492.8684030157642</v>
      </c>
      <c r="O54" s="139"/>
      <c r="P54" s="149">
        <f t="shared" si="19"/>
        <v>2069.9632256369846</v>
      </c>
      <c r="Q54" s="139"/>
      <c r="R54" s="149">
        <f t="shared" ref="R54:AB55" si="22">R45*R9</f>
        <v>3217.4608486146431</v>
      </c>
      <c r="S54" s="139"/>
      <c r="T54" s="149">
        <f t="shared" si="22"/>
        <v>3494.4250565855177</v>
      </c>
      <c r="U54" s="139"/>
      <c r="V54" s="149">
        <f t="shared" si="22"/>
        <v>3846.3757141561623</v>
      </c>
      <c r="W54" s="139"/>
      <c r="X54" s="149">
        <f t="shared" si="22"/>
        <v>3331.206610527644</v>
      </c>
      <c r="Y54" s="139"/>
      <c r="Z54" s="149">
        <f t="shared" si="22"/>
        <v>2914.7672569062706</v>
      </c>
      <c r="AA54" s="139"/>
      <c r="AB54" s="149">
        <f t="shared" si="22"/>
        <v>2752.495243805417</v>
      </c>
      <c r="AC54" s="139"/>
      <c r="AD54" s="139">
        <f t="shared" si="20"/>
        <v>35337.961629200603</v>
      </c>
      <c r="AE54" s="144">
        <f>AD54/AD$153</f>
        <v>0.37104249802219597</v>
      </c>
    </row>
    <row r="55" spans="3:31" s="136" customFormat="1" ht="10.199999999999999">
      <c r="C55" s="136">
        <v>2025</v>
      </c>
      <c r="F55" s="149">
        <f t="shared" si="21"/>
        <v>2725.8012217491546</v>
      </c>
      <c r="G55" s="139"/>
      <c r="H55" s="149">
        <f>H46*H10</f>
        <v>2363.8216734943308</v>
      </c>
      <c r="I55" s="139"/>
      <c r="J55" s="149">
        <f>J46*J10</f>
        <v>2837.791255473498</v>
      </c>
      <c r="K55" s="139"/>
      <c r="L55" s="149">
        <f>L46*L10</f>
        <v>3037.125400862546</v>
      </c>
      <c r="M55" s="139"/>
      <c r="N55" s="149">
        <f t="shared" si="18"/>
        <v>3306.9847225944786</v>
      </c>
      <c r="O55" s="139"/>
      <c r="P55" s="149">
        <f t="shared" si="19"/>
        <v>3448.0057589234807</v>
      </c>
      <c r="Q55" s="139"/>
      <c r="R55" s="149">
        <f>R46*R10</f>
        <v>3331.9818090452263</v>
      </c>
      <c r="S55" s="139"/>
      <c r="T55" s="149">
        <f>T46*T10</f>
        <v>3292.3767082590612</v>
      </c>
      <c r="U55" s="139"/>
      <c r="V55" s="149">
        <f>V46*V10</f>
        <v>2849.192361640869</v>
      </c>
      <c r="W55" s="139"/>
      <c r="X55" s="149">
        <f>X46*X10</f>
        <v>3016.0109877319178</v>
      </c>
      <c r="Y55" s="139"/>
      <c r="Z55" s="149">
        <f t="shared" si="22"/>
        <v>2409.3000000000002</v>
      </c>
      <c r="AA55" s="139"/>
      <c r="AB55" s="149">
        <f t="shared" si="22"/>
        <v>2185.6799999999998</v>
      </c>
      <c r="AC55" s="139"/>
      <c r="AD55" s="139">
        <f t="shared" si="20"/>
        <v>34804.071899774564</v>
      </c>
      <c r="AE55" s="144">
        <f>AD55/AD$153</f>
        <v>0.36543674800884662</v>
      </c>
    </row>
    <row r="56" spans="3:31" s="136" customFormat="1" ht="10.199999999999999">
      <c r="C56" s="136">
        <v>2026</v>
      </c>
      <c r="F56" s="149">
        <f t="shared" si="21"/>
        <v>1413.3100000000002</v>
      </c>
      <c r="G56" s="139"/>
      <c r="H56" s="146"/>
      <c r="I56" s="139"/>
      <c r="J56" s="146"/>
      <c r="K56" s="143"/>
      <c r="L56" s="146"/>
      <c r="M56" s="143"/>
      <c r="N56" s="146"/>
      <c r="O56" s="139"/>
      <c r="P56" s="146"/>
      <c r="Q56" s="143"/>
      <c r="R56" s="146"/>
      <c r="S56" s="146"/>
      <c r="T56" s="146"/>
      <c r="U56" s="146"/>
      <c r="V56" s="146"/>
      <c r="W56" s="146"/>
      <c r="X56" s="146"/>
      <c r="Y56" s="146"/>
      <c r="Z56" s="146"/>
      <c r="AA56" s="146"/>
      <c r="AB56" s="146"/>
      <c r="AC56" s="146"/>
    </row>
    <row r="57" spans="3:31" s="136" customFormat="1" ht="7.35" customHeight="1">
      <c r="F57" s="141"/>
      <c r="G57" s="139"/>
      <c r="H57" s="141"/>
      <c r="I57" s="139"/>
      <c r="J57" s="141"/>
      <c r="K57" s="139"/>
      <c r="L57" s="141"/>
      <c r="M57" s="139"/>
      <c r="N57" s="141"/>
      <c r="P57" s="141"/>
      <c r="R57" s="141"/>
      <c r="S57" s="144"/>
      <c r="T57" s="141"/>
      <c r="U57" s="144"/>
      <c r="V57" s="141"/>
      <c r="W57" s="144"/>
      <c r="X57" s="141"/>
      <c r="Y57" s="144"/>
      <c r="Z57" s="141"/>
      <c r="AB57" s="141"/>
      <c r="AD57" s="144"/>
    </row>
    <row r="58" spans="3:31" s="136" customFormat="1" ht="7.35" customHeight="1">
      <c r="F58" s="141"/>
      <c r="G58" s="139"/>
      <c r="H58" s="141"/>
      <c r="I58" s="139"/>
      <c r="J58" s="141"/>
      <c r="K58" s="139"/>
      <c r="L58" s="141"/>
      <c r="M58" s="139"/>
      <c r="N58" s="141"/>
      <c r="P58" s="141"/>
      <c r="R58" s="141"/>
      <c r="S58" s="144"/>
      <c r="T58" s="141"/>
      <c r="U58" s="144"/>
      <c r="V58" s="141"/>
      <c r="W58" s="144"/>
      <c r="X58" s="141"/>
      <c r="Y58" s="144"/>
      <c r="Z58" s="141"/>
      <c r="AB58" s="141"/>
      <c r="AD58" s="144"/>
    </row>
    <row r="59" spans="3:31" s="136" customFormat="1" ht="10.199999999999999">
      <c r="C59" s="136" t="s">
        <v>203</v>
      </c>
      <c r="F59" s="141"/>
      <c r="G59" s="139"/>
      <c r="H59" s="141"/>
      <c r="I59" s="139"/>
      <c r="J59" s="141"/>
      <c r="K59" s="139"/>
      <c r="L59" s="141"/>
      <c r="M59" s="139"/>
      <c r="N59" s="141"/>
      <c r="P59" s="141"/>
      <c r="R59" s="141"/>
      <c r="S59" s="144"/>
      <c r="T59" s="141"/>
      <c r="U59" s="144"/>
      <c r="V59" s="141"/>
      <c r="W59" s="144"/>
      <c r="X59" s="141"/>
      <c r="Y59" s="144"/>
      <c r="Z59" s="141"/>
      <c r="AB59" s="141"/>
      <c r="AD59" s="144"/>
    </row>
    <row r="60" spans="3:31" s="136" customFormat="1" ht="10.199999999999999">
      <c r="C60" s="136">
        <v>2020</v>
      </c>
      <c r="F60" s="151"/>
      <c r="G60" s="139"/>
      <c r="H60" s="151"/>
      <c r="I60" s="139"/>
      <c r="J60" s="151"/>
      <c r="K60" s="139"/>
      <c r="L60" s="151"/>
      <c r="M60" s="139"/>
      <c r="N60" s="152">
        <f t="shared" ref="N60:N65" si="23">N50+N32</f>
        <v>7110.1707877647123</v>
      </c>
      <c r="O60" s="139"/>
      <c r="P60" s="152">
        <f t="shared" ref="P60:P65" si="24">P50+P32</f>
        <v>6694.100516539851</v>
      </c>
      <c r="Q60" s="139"/>
      <c r="R60" s="152">
        <f t="shared" ref="R60:R65" si="25">R50+R32</f>
        <v>6352.9887243775011</v>
      </c>
      <c r="S60" s="153"/>
      <c r="T60" s="152">
        <f t="shared" ref="T60:T65" si="26">T50+T32</f>
        <v>6030.2084438085467</v>
      </c>
      <c r="U60" s="153"/>
      <c r="V60" s="152">
        <f t="shared" ref="V60:V65" si="27">V50+V32</f>
        <v>6856.9885973558667</v>
      </c>
      <c r="W60" s="153"/>
      <c r="X60" s="152">
        <f t="shared" ref="X60:X65" si="28">X50+X32</f>
        <v>8938.7850770932637</v>
      </c>
      <c r="Y60" s="153"/>
      <c r="Z60" s="152">
        <f t="shared" ref="Z60:Z65" si="29">Z50+Z32</f>
        <v>11230.503300080187</v>
      </c>
      <c r="AA60" s="139"/>
      <c r="AB60" s="152">
        <f t="shared" ref="AB60:AB65" si="30">AB50+AB32</f>
        <v>14346.890454048185</v>
      </c>
      <c r="AC60" s="139"/>
      <c r="AD60" s="153">
        <f t="shared" ref="AD60:AD65" si="31">SUM(F60:AB60)</f>
        <v>67560.635901068119</v>
      </c>
    </row>
    <row r="61" spans="3:31" s="136" customFormat="1" ht="10.199999999999999">
      <c r="C61" s="136">
        <v>2021</v>
      </c>
      <c r="F61" s="152">
        <f t="shared" ref="F61:F66" si="32">F51+F33</f>
        <v>9803.5851194530114</v>
      </c>
      <c r="G61" s="139"/>
      <c r="H61" s="152">
        <f>H51+H33</f>
        <v>10057.926032210547</v>
      </c>
      <c r="I61" s="139"/>
      <c r="J61" s="152">
        <f>J51+J33</f>
        <v>11641.438645071685</v>
      </c>
      <c r="K61" s="153"/>
      <c r="L61" s="152">
        <f>L51+L33</f>
        <v>9741.517719733416</v>
      </c>
      <c r="M61" s="139"/>
      <c r="N61" s="152">
        <f t="shared" si="23"/>
        <v>8425.3780252803008</v>
      </c>
      <c r="O61" s="139"/>
      <c r="P61" s="152">
        <f t="shared" si="24"/>
        <v>6937.0013320942498</v>
      </c>
      <c r="Q61" s="139"/>
      <c r="R61" s="152">
        <f t="shared" si="25"/>
        <v>3519.3637004880525</v>
      </c>
      <c r="S61" s="153"/>
      <c r="T61" s="152">
        <f t="shared" si="26"/>
        <v>2084.1914765085075</v>
      </c>
      <c r="U61" s="153"/>
      <c r="V61" s="152">
        <f t="shared" si="27"/>
        <v>1903.6339682300686</v>
      </c>
      <c r="W61" s="153"/>
      <c r="X61" s="152">
        <f t="shared" si="28"/>
        <v>2873.2143827857058</v>
      </c>
      <c r="Y61" s="153"/>
      <c r="Z61" s="152">
        <f t="shared" si="29"/>
        <v>5746.9795215819649</v>
      </c>
      <c r="AA61" s="139"/>
      <c r="AB61" s="152">
        <f t="shared" si="30"/>
        <v>4581.5342272729604</v>
      </c>
      <c r="AC61" s="139"/>
      <c r="AD61" s="153">
        <f t="shared" si="31"/>
        <v>77315.764150710471</v>
      </c>
    </row>
    <row r="62" spans="3:31" s="136" customFormat="1" ht="10.199999999999999">
      <c r="C62" s="136">
        <v>2022</v>
      </c>
      <c r="F62" s="152">
        <f t="shared" si="32"/>
        <v>11291.871982343662</v>
      </c>
      <c r="G62" s="139"/>
      <c r="H62" s="152">
        <f>H52+H34</f>
        <v>7478.3154162042583</v>
      </c>
      <c r="I62" s="139"/>
      <c r="J62" s="152">
        <f>J52+J34</f>
        <v>5339.3460982428787</v>
      </c>
      <c r="K62" s="153"/>
      <c r="L62" s="152">
        <f>L52+L34</f>
        <v>4287.166478237099</v>
      </c>
      <c r="M62" s="139"/>
      <c r="N62" s="152">
        <f t="shared" si="23"/>
        <v>2653.4909787561164</v>
      </c>
      <c r="O62" s="139"/>
      <c r="P62" s="152">
        <f t="shared" si="24"/>
        <v>1968.9769608227839</v>
      </c>
      <c r="Q62" s="139"/>
      <c r="R62" s="152">
        <f t="shared" si="25"/>
        <v>2125.1589455754493</v>
      </c>
      <c r="S62" s="153"/>
      <c r="T62" s="152">
        <f t="shared" si="26"/>
        <v>2035.3093108893172</v>
      </c>
      <c r="U62" s="153"/>
      <c r="V62" s="152">
        <f t="shared" si="27"/>
        <v>2551.5411270405616</v>
      </c>
      <c r="W62" s="153"/>
      <c r="X62" s="152">
        <f t="shared" si="28"/>
        <v>4210.7522791467372</v>
      </c>
      <c r="Y62" s="153"/>
      <c r="Z62" s="152">
        <f t="shared" si="29"/>
        <v>5389.7027128999962</v>
      </c>
      <c r="AA62" s="139"/>
      <c r="AB62" s="152">
        <f t="shared" si="30"/>
        <v>8515.0746095905743</v>
      </c>
      <c r="AC62" s="139"/>
      <c r="AD62" s="153">
        <f t="shared" si="31"/>
        <v>57846.706899749435</v>
      </c>
    </row>
    <row r="63" spans="3:31" s="136" customFormat="1" ht="10.199999999999999">
      <c r="C63" s="136">
        <v>2023</v>
      </c>
      <c r="F63" s="152">
        <f t="shared" si="32"/>
        <v>6410.3979443338994</v>
      </c>
      <c r="G63" s="139"/>
      <c r="H63" s="152">
        <f>H53+H35</f>
        <v>4786.616978895805</v>
      </c>
      <c r="I63" s="139"/>
      <c r="J63" s="152">
        <f>J53+J35</f>
        <v>6179.6317079044784</v>
      </c>
      <c r="K63" s="153"/>
      <c r="L63" s="152">
        <f>L53+L35</f>
        <v>3332.6355792989116</v>
      </c>
      <c r="M63" s="139"/>
      <c r="N63" s="152">
        <f t="shared" si="23"/>
        <v>2825.4488021749557</v>
      </c>
      <c r="O63" s="139"/>
      <c r="P63" s="152">
        <f t="shared" si="24"/>
        <v>2193.575512904386</v>
      </c>
      <c r="Q63" s="139"/>
      <c r="R63" s="152">
        <f t="shared" si="25"/>
        <v>1741.4064714680048</v>
      </c>
      <c r="S63" s="153"/>
      <c r="T63" s="152">
        <f t="shared" si="26"/>
        <v>2014.0968422653045</v>
      </c>
      <c r="U63" s="153"/>
      <c r="V63" s="152">
        <f t="shared" si="27"/>
        <v>1803.7721316236457</v>
      </c>
      <c r="W63" s="153"/>
      <c r="X63" s="152">
        <f t="shared" si="28"/>
        <v>2794.8310956452319</v>
      </c>
      <c r="Y63" s="153"/>
      <c r="Z63" s="152">
        <f t="shared" si="29"/>
        <v>4905.1071275896811</v>
      </c>
      <c r="AA63" s="139"/>
      <c r="AB63" s="152">
        <f t="shared" si="30"/>
        <v>7564.2579909234519</v>
      </c>
      <c r="AC63" s="139"/>
      <c r="AD63" s="153">
        <f t="shared" si="31"/>
        <v>46551.778185027768</v>
      </c>
    </row>
    <row r="64" spans="3:31" s="136" customFormat="1" ht="10.199999999999999">
      <c r="C64" s="136">
        <v>2024</v>
      </c>
      <c r="F64" s="152">
        <f t="shared" si="32"/>
        <v>7961.0282752120647</v>
      </c>
      <c r="G64" s="139"/>
      <c r="H64" s="152">
        <f>H54+H36</f>
        <v>7039.32437035369</v>
      </c>
      <c r="I64" s="139"/>
      <c r="J64" s="152">
        <f>J54+J36</f>
        <v>4812.2894497680281</v>
      </c>
      <c r="K64" s="153"/>
      <c r="L64" s="152">
        <f>L54+L36</f>
        <v>3492.9235641891892</v>
      </c>
      <c r="M64" s="139"/>
      <c r="N64" s="152">
        <f t="shared" si="23"/>
        <v>2701.3784895244798</v>
      </c>
      <c r="O64" s="139"/>
      <c r="P64" s="152">
        <f t="shared" si="24"/>
        <v>3162.6043300984197</v>
      </c>
      <c r="Q64" s="139"/>
      <c r="R64" s="152">
        <f t="shared" si="25"/>
        <v>5125.0952933927092</v>
      </c>
      <c r="S64" s="153"/>
      <c r="T64" s="152">
        <f t="shared" si="26"/>
        <v>5554.9064045990453</v>
      </c>
      <c r="U64" s="153"/>
      <c r="V64" s="152">
        <f t="shared" si="27"/>
        <v>9328.7817167852536</v>
      </c>
      <c r="W64" s="153"/>
      <c r="X64" s="152">
        <f t="shared" si="28"/>
        <v>9816.7145425300405</v>
      </c>
      <c r="Y64" s="153"/>
      <c r="Z64" s="152">
        <f t="shared" si="29"/>
        <v>8466.112265220705</v>
      </c>
      <c r="AA64" s="139"/>
      <c r="AB64" s="152">
        <f t="shared" si="30"/>
        <v>8212.5380674751686</v>
      </c>
      <c r="AC64" s="139"/>
      <c r="AD64" s="153">
        <f t="shared" si="31"/>
        <v>75673.696769148795</v>
      </c>
    </row>
    <row r="65" spans="2:31" s="136" customFormat="1" ht="10.199999999999999">
      <c r="C65" s="136">
        <v>2025</v>
      </c>
      <c r="F65" s="152">
        <f t="shared" si="32"/>
        <v>12259.605176992618</v>
      </c>
      <c r="G65" s="139"/>
      <c r="H65" s="152">
        <f>H55+H37</f>
        <v>7530.1602819803711</v>
      </c>
      <c r="I65" s="139"/>
      <c r="J65" s="152">
        <f>J55+J37</f>
        <v>7516.5341510388225</v>
      </c>
      <c r="K65" s="139"/>
      <c r="L65" s="152">
        <f>L55+L37</f>
        <v>6216.7960036781224</v>
      </c>
      <c r="M65" s="139"/>
      <c r="N65" s="152">
        <f t="shared" si="23"/>
        <v>5882.4133809499663</v>
      </c>
      <c r="O65" s="139"/>
      <c r="P65" s="152">
        <f t="shared" si="24"/>
        <v>6674.2252216294291</v>
      </c>
      <c r="Q65" s="139"/>
      <c r="R65" s="152">
        <f t="shared" si="25"/>
        <v>5373.4392312915934</v>
      </c>
      <c r="S65" s="153"/>
      <c r="T65" s="152">
        <f t="shared" si="26"/>
        <v>5281.1044734574143</v>
      </c>
      <c r="U65" s="153"/>
      <c r="V65" s="152">
        <f t="shared" si="27"/>
        <v>4900.8910421359669</v>
      </c>
      <c r="W65" s="153"/>
      <c r="X65" s="152">
        <f t="shared" si="28"/>
        <v>5774.1743050404266</v>
      </c>
      <c r="Y65" s="153"/>
      <c r="Z65" s="152">
        <f t="shared" si="29"/>
        <v>6006.8675675675677</v>
      </c>
      <c r="AA65" s="139"/>
      <c r="AB65" s="152">
        <f t="shared" si="30"/>
        <v>7858.3286486486486</v>
      </c>
      <c r="AC65" s="139"/>
      <c r="AD65" s="153">
        <f t="shared" si="31"/>
        <v>81274.539484410954</v>
      </c>
    </row>
    <row r="66" spans="2:31" s="136" customFormat="1" ht="10.199999999999999">
      <c r="C66" s="136">
        <v>2026</v>
      </c>
      <c r="F66" s="152">
        <f t="shared" si="32"/>
        <v>8130.4451351351354</v>
      </c>
      <c r="G66" s="139"/>
      <c r="H66" s="146"/>
      <c r="I66" s="139"/>
      <c r="J66" s="146"/>
      <c r="K66" s="143"/>
      <c r="L66" s="146"/>
      <c r="M66" s="143"/>
      <c r="N66" s="146"/>
      <c r="O66" s="139"/>
      <c r="P66" s="146"/>
      <c r="Q66" s="143"/>
      <c r="R66" s="146"/>
      <c r="S66" s="146"/>
      <c r="T66" s="146"/>
      <c r="U66" s="146"/>
      <c r="V66" s="146"/>
      <c r="W66" s="146"/>
      <c r="X66" s="146"/>
      <c r="Y66" s="146"/>
      <c r="Z66" s="146"/>
      <c r="AA66" s="146"/>
      <c r="AB66" s="146"/>
      <c r="AC66" s="146"/>
    </row>
    <row r="67" spans="2:31" ht="7.35" customHeight="1">
      <c r="F67" s="134"/>
      <c r="G67" s="108"/>
      <c r="H67" s="134"/>
      <c r="I67" s="108"/>
      <c r="J67" s="134"/>
      <c r="K67" s="108"/>
      <c r="L67" s="134"/>
      <c r="M67" s="108"/>
      <c r="N67" s="134"/>
      <c r="P67" s="134"/>
      <c r="R67" s="134"/>
      <c r="S67" s="135"/>
      <c r="T67" s="134"/>
      <c r="U67" s="135"/>
      <c r="V67" s="134"/>
      <c r="W67" s="135"/>
      <c r="X67" s="134"/>
      <c r="Y67" s="135"/>
      <c r="Z67" s="134"/>
      <c r="AB67" s="134"/>
      <c r="AD67" s="135"/>
    </row>
    <row r="68" spans="2:31" s="136" customFormat="1">
      <c r="C68" s="136" t="s">
        <v>169</v>
      </c>
      <c r="F68" s="170">
        <f>SUM(H65:$AB65)+SUM($F66:F66)</f>
        <v>77145.379442553472</v>
      </c>
    </row>
    <row r="69" spans="2:31" ht="7.35" customHeight="1">
      <c r="G69" s="108"/>
      <c r="H69" s="134"/>
      <c r="I69" s="108"/>
      <c r="J69" s="134"/>
      <c r="K69" s="108"/>
      <c r="L69" s="134"/>
      <c r="M69" s="108"/>
      <c r="N69" s="134"/>
      <c r="P69" s="134"/>
      <c r="R69" s="134"/>
      <c r="S69" s="135"/>
      <c r="T69" s="134"/>
      <c r="U69" s="135"/>
      <c r="V69" s="134"/>
      <c r="W69" s="135"/>
      <c r="X69" s="134"/>
      <c r="Y69" s="135"/>
      <c r="Z69" s="134"/>
      <c r="AB69" s="134"/>
      <c r="AD69" s="135"/>
    </row>
    <row r="70" spans="2:31" s="136" customFormat="1" ht="10.199999999999999">
      <c r="B70" s="138" t="s">
        <v>126</v>
      </c>
      <c r="C70" s="138"/>
      <c r="D70" s="138"/>
      <c r="E70" s="138"/>
      <c r="F70" s="138"/>
      <c r="G70" s="138"/>
      <c r="H70" s="138"/>
      <c r="I70" s="138"/>
      <c r="J70" s="138"/>
      <c r="K70" s="138"/>
      <c r="L70" s="138"/>
      <c r="M70" s="138"/>
      <c r="N70" s="138"/>
      <c r="O70" s="138"/>
      <c r="P70" s="138"/>
      <c r="Q70" s="138"/>
      <c r="R70" s="138"/>
      <c r="S70" s="138"/>
      <c r="T70" s="138"/>
      <c r="U70" s="138"/>
      <c r="V70" s="138"/>
      <c r="W70" s="138"/>
      <c r="X70" s="138"/>
      <c r="Y70" s="138"/>
      <c r="Z70" s="138"/>
      <c r="AA70" s="138"/>
      <c r="AB70" s="138"/>
      <c r="AC70" s="138"/>
    </row>
    <row r="71" spans="2:31" s="136" customFormat="1" ht="10.199999999999999">
      <c r="C71" s="154" t="s">
        <v>204</v>
      </c>
      <c r="D71" s="155"/>
      <c r="E71" s="155"/>
      <c r="F71" s="156" t="s">
        <v>199</v>
      </c>
      <c r="G71" s="156"/>
      <c r="H71" s="156"/>
      <c r="I71" s="156"/>
      <c r="J71" s="156"/>
      <c r="K71" s="156"/>
      <c r="L71" s="156"/>
      <c r="M71" s="156"/>
      <c r="N71" s="156"/>
      <c r="O71" s="156"/>
      <c r="P71" s="156"/>
      <c r="Q71" s="156"/>
      <c r="R71" s="156"/>
      <c r="S71" s="156"/>
      <c r="T71" s="156"/>
      <c r="U71" s="156"/>
      <c r="V71" s="156"/>
      <c r="W71" s="156"/>
      <c r="X71" s="156"/>
      <c r="Y71" s="156"/>
      <c r="Z71" s="156"/>
      <c r="AA71" s="156"/>
      <c r="AB71" s="156"/>
      <c r="AC71" s="156"/>
    </row>
    <row r="72" spans="2:31" s="136" customFormat="1" ht="10.199999999999999">
      <c r="C72" s="155">
        <v>2020</v>
      </c>
      <c r="D72" s="155"/>
      <c r="E72" s="155"/>
      <c r="F72" s="156"/>
      <c r="G72" s="156"/>
      <c r="H72" s="156"/>
      <c r="I72" s="156"/>
      <c r="J72" s="156"/>
      <c r="K72" s="156"/>
      <c r="L72" s="156"/>
      <c r="M72" s="156"/>
      <c r="N72" s="156">
        <v>806</v>
      </c>
      <c r="O72" s="156"/>
      <c r="P72" s="156">
        <v>448</v>
      </c>
      <c r="Q72" s="156"/>
      <c r="R72" s="156">
        <v>413</v>
      </c>
      <c r="S72" s="156"/>
      <c r="T72" s="156">
        <v>329</v>
      </c>
      <c r="U72" s="156"/>
      <c r="V72" s="156">
        <v>450</v>
      </c>
      <c r="W72" s="156"/>
      <c r="X72" s="156">
        <v>639</v>
      </c>
      <c r="Y72" s="156"/>
      <c r="Z72" s="156">
        <v>1194</v>
      </c>
      <c r="AA72" s="156"/>
      <c r="AB72" s="156">
        <v>1521</v>
      </c>
      <c r="AC72" s="156"/>
      <c r="AD72" s="139">
        <f>SUM(F72:AB72)</f>
        <v>5800</v>
      </c>
      <c r="AE72" s="143">
        <f>AD72/AD$149</f>
        <v>7.1308579900632871E-2</v>
      </c>
    </row>
    <row r="73" spans="2:31" s="136" customFormat="1" ht="10.199999999999999">
      <c r="C73" s="155">
        <v>2021</v>
      </c>
      <c r="D73" s="155"/>
      <c r="E73" s="155"/>
      <c r="F73" s="156">
        <v>747</v>
      </c>
      <c r="G73" s="156"/>
      <c r="H73" s="156">
        <v>1261</v>
      </c>
      <c r="I73" s="156"/>
      <c r="J73" s="156">
        <v>1048</v>
      </c>
      <c r="K73" s="156"/>
      <c r="L73" s="156">
        <v>1025</v>
      </c>
      <c r="M73" s="156"/>
      <c r="N73" s="156">
        <v>1349.4</v>
      </c>
      <c r="O73" s="156"/>
      <c r="P73" s="156">
        <v>413.7</v>
      </c>
      <c r="Q73" s="156"/>
      <c r="R73" s="156">
        <v>169.7</v>
      </c>
      <c r="S73" s="156"/>
      <c r="T73" s="156">
        <v>470</v>
      </c>
      <c r="U73" s="156"/>
      <c r="V73" s="156">
        <v>388.2</v>
      </c>
      <c r="W73" s="156"/>
      <c r="X73" s="156">
        <v>701</v>
      </c>
      <c r="Y73" s="156"/>
      <c r="Z73" s="156">
        <v>663.9</v>
      </c>
      <c r="AA73" s="156"/>
      <c r="AB73" s="156">
        <v>0</v>
      </c>
      <c r="AC73" s="156"/>
      <c r="AD73" s="139">
        <f>SUM(F73:AB73)</f>
        <v>8236.9</v>
      </c>
      <c r="AE73" s="143">
        <f>AD73/AD$150</f>
        <v>7.6378649871761101E-2</v>
      </c>
    </row>
    <row r="74" spans="2:31" s="136" customFormat="1" ht="10.199999999999999">
      <c r="C74" s="155">
        <v>2022</v>
      </c>
      <c r="D74" s="155"/>
      <c r="E74" s="155"/>
      <c r="F74" s="156">
        <v>0</v>
      </c>
      <c r="G74" s="156"/>
      <c r="H74" s="156">
        <v>0</v>
      </c>
      <c r="I74" s="156"/>
      <c r="J74" s="156">
        <v>0</v>
      </c>
      <c r="K74" s="156"/>
      <c r="L74" s="156">
        <v>0</v>
      </c>
      <c r="M74" s="156"/>
      <c r="N74" s="156">
        <v>0</v>
      </c>
      <c r="O74" s="156"/>
      <c r="P74" s="156">
        <v>0</v>
      </c>
      <c r="Q74" s="156"/>
      <c r="R74" s="156">
        <v>0</v>
      </c>
      <c r="S74" s="156"/>
      <c r="T74" s="156">
        <v>0</v>
      </c>
      <c r="U74" s="156"/>
      <c r="V74" s="156">
        <v>0</v>
      </c>
      <c r="W74" s="156"/>
      <c r="X74" s="156">
        <v>0</v>
      </c>
      <c r="Y74" s="156"/>
      <c r="Z74" s="156">
        <v>0</v>
      </c>
      <c r="AA74" s="156"/>
      <c r="AB74" s="156">
        <v>0</v>
      </c>
      <c r="AC74" s="156"/>
      <c r="AD74" s="139">
        <f>SUM(F74:AB74)</f>
        <v>0</v>
      </c>
      <c r="AE74" s="143">
        <f>AD74/AD$151</f>
        <v>0</v>
      </c>
    </row>
    <row r="75" spans="2:31" s="136" customFormat="1" ht="10.199999999999999">
      <c r="C75" s="155">
        <v>2023</v>
      </c>
      <c r="D75" s="155"/>
      <c r="E75" s="155"/>
      <c r="F75" s="156"/>
      <c r="G75" s="156"/>
      <c r="H75" s="156"/>
      <c r="I75" s="156"/>
      <c r="J75" s="156"/>
      <c r="K75" s="156"/>
      <c r="L75" s="156"/>
      <c r="M75" s="156"/>
      <c r="N75" s="156"/>
      <c r="O75" s="156"/>
      <c r="P75" s="156"/>
      <c r="Q75" s="156"/>
      <c r="R75" s="156"/>
      <c r="S75" s="156"/>
      <c r="T75" s="156"/>
      <c r="U75" s="156"/>
      <c r="V75" s="156"/>
      <c r="W75" s="156"/>
      <c r="X75" s="156"/>
      <c r="Y75" s="156"/>
      <c r="Z75" s="156"/>
      <c r="AA75" s="156"/>
      <c r="AB75" s="156"/>
      <c r="AC75" s="156"/>
      <c r="AD75" s="139">
        <f>SUM(F75:AB75)</f>
        <v>0</v>
      </c>
      <c r="AE75" s="143">
        <f>AD75/AD$152</f>
        <v>0</v>
      </c>
    </row>
    <row r="76" spans="2:31" s="136" customFormat="1" ht="10.199999999999999">
      <c r="C76" s="136">
        <v>2024</v>
      </c>
      <c r="D76" s="155"/>
      <c r="E76" s="155"/>
      <c r="F76" s="156"/>
      <c r="G76" s="156"/>
      <c r="H76" s="156"/>
      <c r="I76" s="156"/>
      <c r="J76" s="156"/>
      <c r="K76" s="156"/>
      <c r="L76" s="156"/>
      <c r="M76" s="156"/>
      <c r="N76" s="156"/>
      <c r="O76" s="156"/>
      <c r="P76" s="156"/>
      <c r="Q76" s="156"/>
      <c r="R76" s="156"/>
      <c r="S76" s="156"/>
      <c r="T76" s="156"/>
      <c r="U76" s="156"/>
      <c r="V76" s="156"/>
      <c r="W76" s="156"/>
      <c r="X76" s="156"/>
      <c r="Y76" s="156"/>
      <c r="Z76" s="156"/>
      <c r="AA76" s="156"/>
      <c r="AB76" s="156"/>
      <c r="AC76" s="156"/>
      <c r="AD76" s="139">
        <f>SUM(F76:AB76)</f>
        <v>0</v>
      </c>
      <c r="AE76" s="143">
        <f>AD76/AD$152</f>
        <v>0</v>
      </c>
    </row>
    <row r="77" spans="2:31" s="136" customFormat="1" ht="10.199999999999999">
      <c r="L77" s="139"/>
    </row>
    <row r="78" spans="2:31" s="136" customFormat="1" ht="10.199999999999999">
      <c r="L78" s="139"/>
    </row>
    <row r="79" spans="2:31" s="136" customFormat="1" ht="10.199999999999999">
      <c r="C79" s="136" t="s">
        <v>205</v>
      </c>
      <c r="F79" s="139" t="s">
        <v>199</v>
      </c>
      <c r="G79" s="139"/>
      <c r="H79" s="139"/>
      <c r="I79" s="139"/>
      <c r="J79" s="139"/>
      <c r="K79" s="139"/>
      <c r="L79" s="139"/>
      <c r="M79" s="139"/>
      <c r="N79" s="139"/>
      <c r="O79" s="139"/>
      <c r="P79" s="139"/>
      <c r="Q79" s="139"/>
      <c r="R79" s="139"/>
      <c r="S79" s="139"/>
      <c r="T79" s="139"/>
      <c r="U79" s="139"/>
      <c r="V79" s="139"/>
      <c r="W79" s="139"/>
      <c r="X79" s="139"/>
      <c r="Y79" s="139"/>
      <c r="Z79" s="139"/>
      <c r="AA79" s="139"/>
      <c r="AB79" s="139"/>
      <c r="AC79" s="139"/>
    </row>
    <row r="80" spans="2:31" s="136" customFormat="1" ht="10.199999999999999">
      <c r="C80" s="136">
        <v>2020</v>
      </c>
      <c r="F80" s="139"/>
      <c r="G80" s="139"/>
      <c r="H80" s="139"/>
      <c r="I80" s="139"/>
      <c r="J80" s="139"/>
      <c r="K80" s="139"/>
      <c r="L80" s="139"/>
      <c r="M80" s="139"/>
      <c r="N80" s="147">
        <v>0</v>
      </c>
      <c r="O80" s="139"/>
      <c r="P80" s="147">
        <v>101</v>
      </c>
      <c r="Q80" s="139"/>
      <c r="R80" s="147">
        <v>1</v>
      </c>
      <c r="S80" s="139"/>
      <c r="T80" s="147">
        <v>0</v>
      </c>
      <c r="U80" s="139"/>
      <c r="V80" s="147">
        <v>0</v>
      </c>
      <c r="W80" s="139"/>
      <c r="X80" s="147">
        <v>11</v>
      </c>
      <c r="Y80" s="139"/>
      <c r="Z80" s="147">
        <v>715</v>
      </c>
      <c r="AA80" s="139"/>
      <c r="AB80" s="147">
        <f>95+1616</f>
        <v>1711</v>
      </c>
      <c r="AC80" s="139"/>
      <c r="AD80" s="139">
        <f t="shared" ref="AD80:AD85" si="33">SUM(F80:AB80)</f>
        <v>2539</v>
      </c>
      <c r="AE80" s="144">
        <f>AD80/AD$149</f>
        <v>3.1215945580639115E-2</v>
      </c>
    </row>
    <row r="81" spans="3:31" s="136" customFormat="1" ht="10.199999999999999">
      <c r="C81" s="136">
        <v>2021</v>
      </c>
      <c r="F81" s="147">
        <f>1022+1424</f>
        <v>2446</v>
      </c>
      <c r="G81" s="139"/>
      <c r="H81" s="147">
        <f>1020+1181</f>
        <v>2201</v>
      </c>
      <c r="I81" s="139"/>
      <c r="J81" s="147">
        <f>576+445</f>
        <v>1021</v>
      </c>
      <c r="K81" s="139"/>
      <c r="L81" s="147">
        <f>127+145</f>
        <v>272</v>
      </c>
      <c r="M81" s="139"/>
      <c r="N81" s="147">
        <v>35</v>
      </c>
      <c r="O81" s="139"/>
      <c r="P81" s="147">
        <v>0</v>
      </c>
      <c r="Q81" s="139"/>
      <c r="R81" s="147">
        <v>210</v>
      </c>
      <c r="S81" s="139"/>
      <c r="T81" s="147">
        <v>6</v>
      </c>
      <c r="U81" s="139"/>
      <c r="V81" s="147">
        <v>0</v>
      </c>
      <c r="W81" s="139"/>
      <c r="X81" s="147">
        <v>0</v>
      </c>
      <c r="Y81" s="139"/>
      <c r="Z81" s="147">
        <f>829+211</f>
        <v>1040</v>
      </c>
      <c r="AA81" s="139"/>
      <c r="AB81" s="147">
        <f>973+107</f>
        <v>1080</v>
      </c>
      <c r="AC81" s="139"/>
      <c r="AD81" s="139">
        <f t="shared" si="33"/>
        <v>8311</v>
      </c>
      <c r="AE81" s="144">
        <f>AD81/AD$150</f>
        <v>7.7065760065583716E-2</v>
      </c>
    </row>
    <row r="82" spans="3:31" s="136" customFormat="1" ht="10.199999999999999">
      <c r="C82" s="136">
        <v>2022</v>
      </c>
      <c r="F82" s="147">
        <v>1536</v>
      </c>
      <c r="G82" s="139"/>
      <c r="H82" s="147">
        <v>982</v>
      </c>
      <c r="I82" s="139"/>
      <c r="J82" s="147">
        <v>773</v>
      </c>
      <c r="K82" s="139"/>
      <c r="L82" s="147">
        <v>563</v>
      </c>
      <c r="M82" s="139"/>
      <c r="N82" s="147">
        <v>252</v>
      </c>
      <c r="O82" s="139"/>
      <c r="P82" s="147">
        <v>197</v>
      </c>
      <c r="Q82" s="139"/>
      <c r="R82" s="147">
        <v>166</v>
      </c>
      <c r="S82" s="139"/>
      <c r="T82" s="157">
        <v>122</v>
      </c>
      <c r="U82" s="139"/>
      <c r="V82" s="147">
        <v>185</v>
      </c>
      <c r="W82" s="139"/>
      <c r="X82" s="147">
        <v>507</v>
      </c>
      <c r="Y82" s="139"/>
      <c r="Z82" s="147">
        <v>712</v>
      </c>
      <c r="AA82" s="139"/>
      <c r="AB82" s="147">
        <v>556</v>
      </c>
      <c r="AC82" s="139"/>
      <c r="AD82" s="139">
        <f t="shared" si="33"/>
        <v>6551</v>
      </c>
      <c r="AE82" s="144">
        <f>AD82/AD$151</f>
        <v>8.2392194259290813E-2</v>
      </c>
    </row>
    <row r="83" spans="3:31" s="136" customFormat="1" ht="10.199999999999999">
      <c r="C83" s="136">
        <v>2023</v>
      </c>
      <c r="F83" s="147">
        <v>609</v>
      </c>
      <c r="G83" s="139"/>
      <c r="H83" s="147">
        <v>548</v>
      </c>
      <c r="I83" s="139"/>
      <c r="J83" s="147">
        <v>1004</v>
      </c>
      <c r="K83" s="139"/>
      <c r="L83" s="147">
        <v>161</v>
      </c>
      <c r="M83" s="139"/>
      <c r="N83" s="147"/>
      <c r="O83" s="139"/>
      <c r="P83" s="147">
        <v>0</v>
      </c>
      <c r="Q83" s="139"/>
      <c r="R83" s="147">
        <v>0</v>
      </c>
      <c r="S83" s="139"/>
      <c r="T83" s="157"/>
      <c r="U83" s="139"/>
      <c r="V83" s="147">
        <v>2</v>
      </c>
      <c r="W83" s="139"/>
      <c r="X83" s="147">
        <v>253</v>
      </c>
      <c r="Y83" s="139"/>
      <c r="Z83" s="147">
        <v>2928</v>
      </c>
      <c r="AA83" s="139"/>
      <c r="AB83" s="147">
        <v>290</v>
      </c>
      <c r="AC83" s="139"/>
      <c r="AD83" s="139">
        <f t="shared" si="33"/>
        <v>5795</v>
      </c>
      <c r="AE83" s="144">
        <f>AD83/AD$152</f>
        <v>8.8282651432064194E-2</v>
      </c>
    </row>
    <row r="84" spans="3:31" s="136" customFormat="1" ht="10.199999999999999">
      <c r="C84" s="136">
        <v>2024</v>
      </c>
      <c r="F84" s="147">
        <f>393+308</f>
        <v>701</v>
      </c>
      <c r="G84" s="139"/>
      <c r="H84" s="147">
        <v>245</v>
      </c>
      <c r="I84" s="139"/>
      <c r="J84" s="147">
        <v>151</v>
      </c>
      <c r="K84" s="139"/>
      <c r="L84" s="147">
        <v>238</v>
      </c>
      <c r="M84" s="139"/>
      <c r="N84" s="147">
        <v>411</v>
      </c>
      <c r="O84" s="139"/>
      <c r="P84" s="147">
        <v>80</v>
      </c>
      <c r="Q84" s="139"/>
      <c r="R84" s="147">
        <v>254</v>
      </c>
      <c r="S84" s="139"/>
      <c r="T84" s="157">
        <v>89</v>
      </c>
      <c r="U84" s="139"/>
      <c r="V84" s="147">
        <v>6</v>
      </c>
      <c r="W84" s="139"/>
      <c r="X84" s="147">
        <v>292</v>
      </c>
      <c r="Y84" s="139"/>
      <c r="Z84" s="147">
        <v>251</v>
      </c>
      <c r="AA84" s="139"/>
      <c r="AB84" s="147">
        <v>271</v>
      </c>
      <c r="AC84" s="139"/>
      <c r="AD84" s="139">
        <f t="shared" si="33"/>
        <v>2989</v>
      </c>
      <c r="AE84" s="144">
        <f>AD84/AD$153</f>
        <v>3.1383984119556931E-2</v>
      </c>
    </row>
    <row r="85" spans="3:31" s="136" customFormat="1" ht="10.199999999999999">
      <c r="C85" s="136">
        <v>2025</v>
      </c>
      <c r="F85" s="157">
        <f>121+86</f>
        <v>207</v>
      </c>
      <c r="G85" s="139"/>
      <c r="H85" s="147">
        <v>601</v>
      </c>
      <c r="I85" s="139"/>
      <c r="J85" s="147">
        <v>692</v>
      </c>
      <c r="K85" s="139"/>
      <c r="L85" s="147">
        <v>1352</v>
      </c>
      <c r="M85" s="139"/>
      <c r="N85" s="147">
        <v>882</v>
      </c>
      <c r="O85" s="139"/>
      <c r="P85" s="147">
        <v>614</v>
      </c>
      <c r="Q85" s="139"/>
      <c r="R85" s="147">
        <v>594</v>
      </c>
      <c r="S85" s="139"/>
      <c r="T85" s="157">
        <v>610</v>
      </c>
      <c r="V85" s="157">
        <v>392</v>
      </c>
      <c r="X85" s="157">
        <v>159</v>
      </c>
      <c r="Z85" s="157">
        <v>181</v>
      </c>
      <c r="AB85" s="157">
        <v>2850</v>
      </c>
      <c r="AC85" s="139"/>
      <c r="AD85" s="136">
        <f t="shared" si="33"/>
        <v>9134</v>
      </c>
      <c r="AE85" s="144">
        <f>AD85/AD$153</f>
        <v>9.5905423535641687E-2</v>
      </c>
    </row>
    <row r="86" spans="3:31" s="136" customFormat="1" ht="10.199999999999999">
      <c r="C86" s="136">
        <v>2026</v>
      </c>
      <c r="F86" s="157">
        <v>506</v>
      </c>
      <c r="G86" s="139"/>
      <c r="H86" s="146"/>
      <c r="I86" s="139"/>
      <c r="J86" s="146"/>
      <c r="K86" s="143"/>
      <c r="L86" s="146"/>
      <c r="M86" s="143"/>
      <c r="N86" s="146"/>
      <c r="O86" s="139"/>
      <c r="P86" s="146"/>
      <c r="Q86" s="143"/>
      <c r="R86" s="146"/>
      <c r="S86" s="146"/>
      <c r="T86" s="146"/>
      <c r="U86" s="146"/>
      <c r="V86" s="146"/>
      <c r="W86" s="146"/>
      <c r="X86" s="146"/>
      <c r="Y86" s="146"/>
      <c r="Z86" s="146"/>
      <c r="AA86" s="146"/>
      <c r="AB86" s="146"/>
      <c r="AC86" s="146"/>
    </row>
    <row r="87" spans="3:31" s="136" customFormat="1" ht="7.35" customHeight="1">
      <c r="F87" s="139"/>
      <c r="G87" s="139"/>
      <c r="H87" s="139"/>
      <c r="I87" s="139"/>
      <c r="J87" s="139"/>
      <c r="K87" s="139"/>
      <c r="L87" s="139"/>
      <c r="M87" s="139"/>
      <c r="N87" s="139"/>
      <c r="O87" s="139"/>
      <c r="P87" s="139"/>
      <c r="Q87" s="139"/>
      <c r="R87" s="139"/>
      <c r="S87" s="139"/>
      <c r="T87" s="139"/>
      <c r="U87" s="139"/>
      <c r="V87" s="139"/>
      <c r="W87" s="139"/>
      <c r="X87" s="139"/>
      <c r="Y87" s="139"/>
      <c r="Z87" s="139"/>
      <c r="AA87" s="139"/>
      <c r="AB87" s="139"/>
      <c r="AC87" s="139"/>
    </row>
    <row r="88" spans="3:31" s="136" customFormat="1" ht="7.35" customHeight="1">
      <c r="F88" s="139"/>
      <c r="G88" s="139"/>
      <c r="H88" s="139"/>
      <c r="I88" s="139"/>
      <c r="J88" s="139"/>
      <c r="K88" s="139"/>
      <c r="L88" s="139"/>
      <c r="M88" s="139"/>
      <c r="N88" s="139"/>
      <c r="O88" s="139"/>
      <c r="P88" s="139"/>
      <c r="Q88" s="139"/>
      <c r="R88" s="139"/>
      <c r="S88" s="139"/>
      <c r="T88" s="139"/>
      <c r="U88" s="139"/>
      <c r="V88" s="139"/>
      <c r="W88" s="139"/>
      <c r="X88" s="139"/>
      <c r="Y88" s="139"/>
      <c r="Z88" s="139"/>
      <c r="AA88" s="139"/>
      <c r="AB88" s="139"/>
      <c r="AC88" s="139"/>
    </row>
    <row r="89" spans="3:31" s="136" customFormat="1" ht="10.199999999999999">
      <c r="C89" s="136" t="s">
        <v>206</v>
      </c>
      <c r="F89" s="139"/>
      <c r="G89" s="139"/>
      <c r="H89" s="139"/>
      <c r="I89" s="139"/>
      <c r="J89" s="139"/>
      <c r="K89" s="139"/>
      <c r="L89" s="139"/>
      <c r="M89" s="139"/>
      <c r="N89" s="139"/>
      <c r="O89" s="139"/>
      <c r="P89" s="139"/>
      <c r="Q89" s="139"/>
      <c r="R89" s="139"/>
      <c r="S89" s="139"/>
      <c r="T89" s="139"/>
      <c r="U89" s="139"/>
      <c r="V89" s="139"/>
      <c r="W89" s="139"/>
      <c r="X89" s="139"/>
      <c r="Y89" s="139"/>
      <c r="Z89" s="139"/>
      <c r="AA89" s="139"/>
      <c r="AB89" s="139"/>
      <c r="AC89" s="139"/>
    </row>
    <row r="90" spans="3:31" s="136" customFormat="1" ht="10.199999999999999">
      <c r="C90" s="136">
        <v>2020</v>
      </c>
      <c r="F90" s="151"/>
      <c r="G90" s="139"/>
      <c r="H90" s="151"/>
      <c r="I90" s="139"/>
      <c r="J90" s="151"/>
      <c r="K90" s="139"/>
      <c r="L90" s="151"/>
      <c r="M90" s="139"/>
      <c r="N90" s="152">
        <f t="shared" ref="N90:N95" si="34">N80+N72</f>
        <v>806</v>
      </c>
      <c r="O90" s="139"/>
      <c r="P90" s="152">
        <f t="shared" ref="P90:P95" si="35">P80+P72</f>
        <v>549</v>
      </c>
      <c r="Q90" s="139"/>
      <c r="R90" s="152">
        <f t="shared" ref="R90:R95" si="36">R80+R72</f>
        <v>414</v>
      </c>
      <c r="S90" s="153"/>
      <c r="T90" s="152">
        <f t="shared" ref="T90:T95" si="37">T80+T72</f>
        <v>329</v>
      </c>
      <c r="U90" s="153"/>
      <c r="V90" s="152">
        <f t="shared" ref="V90:V95" si="38">V80+V72</f>
        <v>450</v>
      </c>
      <c r="W90" s="153"/>
      <c r="X90" s="152">
        <f t="shared" ref="X90:X95" si="39">X80+X72</f>
        <v>650</v>
      </c>
      <c r="Y90" s="153"/>
      <c r="Z90" s="152">
        <f t="shared" ref="Z90:Z95" si="40">Z80+Z72</f>
        <v>1909</v>
      </c>
      <c r="AA90" s="139"/>
      <c r="AB90" s="152">
        <f t="shared" ref="AB90:AB95" si="41">AB80+AB72</f>
        <v>3232</v>
      </c>
      <c r="AC90" s="139"/>
      <c r="AD90" s="139"/>
    </row>
    <row r="91" spans="3:31" s="136" customFormat="1" ht="10.199999999999999">
      <c r="C91" s="136">
        <v>2021</v>
      </c>
      <c r="F91" s="152">
        <f t="shared" ref="F91:F96" si="42">F81+F73</f>
        <v>3193</v>
      </c>
      <c r="G91" s="139"/>
      <c r="H91" s="152">
        <f>H81+H73</f>
        <v>3462</v>
      </c>
      <c r="I91" s="139"/>
      <c r="J91" s="152">
        <f>J81+J73</f>
        <v>2069</v>
      </c>
      <c r="K91" s="153"/>
      <c r="L91" s="152">
        <f>L81+L73</f>
        <v>1297</v>
      </c>
      <c r="M91" s="139"/>
      <c r="N91" s="152">
        <f t="shared" si="34"/>
        <v>1384.4</v>
      </c>
      <c r="O91" s="139"/>
      <c r="P91" s="152">
        <f t="shared" si="35"/>
        <v>413.7</v>
      </c>
      <c r="Q91" s="139"/>
      <c r="R91" s="152">
        <f t="shared" si="36"/>
        <v>379.7</v>
      </c>
      <c r="S91" s="153"/>
      <c r="T91" s="152">
        <f t="shared" si="37"/>
        <v>476</v>
      </c>
      <c r="U91" s="153"/>
      <c r="V91" s="152">
        <f t="shared" si="38"/>
        <v>388.2</v>
      </c>
      <c r="W91" s="153"/>
      <c r="X91" s="152">
        <f t="shared" si="39"/>
        <v>701</v>
      </c>
      <c r="Y91" s="153"/>
      <c r="Z91" s="152">
        <f t="shared" si="40"/>
        <v>1703.9</v>
      </c>
      <c r="AA91" s="139"/>
      <c r="AB91" s="152">
        <f t="shared" si="41"/>
        <v>1080</v>
      </c>
      <c r="AC91" s="139"/>
      <c r="AD91" s="139">
        <f>SUM(F91:AB91)</f>
        <v>16547.900000000001</v>
      </c>
    </row>
    <row r="92" spans="3:31" s="136" customFormat="1" ht="10.199999999999999">
      <c r="C92" s="136">
        <v>2022</v>
      </c>
      <c r="F92" s="152">
        <f t="shared" si="42"/>
        <v>1536</v>
      </c>
      <c r="G92" s="139"/>
      <c r="H92" s="152">
        <f>H82+H74</f>
        <v>982</v>
      </c>
      <c r="I92" s="139"/>
      <c r="J92" s="152">
        <f>J82+J74</f>
        <v>773</v>
      </c>
      <c r="K92" s="153"/>
      <c r="L92" s="152">
        <f>L82+L74</f>
        <v>563</v>
      </c>
      <c r="M92" s="139"/>
      <c r="N92" s="152">
        <f t="shared" si="34"/>
        <v>252</v>
      </c>
      <c r="O92" s="139"/>
      <c r="P92" s="152">
        <f t="shared" si="35"/>
        <v>197</v>
      </c>
      <c r="Q92" s="139"/>
      <c r="R92" s="152">
        <f t="shared" si="36"/>
        <v>166</v>
      </c>
      <c r="S92" s="153"/>
      <c r="T92" s="152">
        <f t="shared" si="37"/>
        <v>122</v>
      </c>
      <c r="U92" s="153"/>
      <c r="V92" s="152">
        <f t="shared" si="38"/>
        <v>185</v>
      </c>
      <c r="W92" s="153"/>
      <c r="X92" s="152">
        <f t="shared" si="39"/>
        <v>507</v>
      </c>
      <c r="Y92" s="153"/>
      <c r="Z92" s="152">
        <f t="shared" si="40"/>
        <v>712</v>
      </c>
      <c r="AA92" s="139"/>
      <c r="AB92" s="152">
        <f t="shared" si="41"/>
        <v>556</v>
      </c>
      <c r="AC92" s="139"/>
      <c r="AD92" s="139">
        <f>SUM(F92:AB92)</f>
        <v>6551</v>
      </c>
    </row>
    <row r="93" spans="3:31" s="136" customFormat="1" ht="10.199999999999999">
      <c r="C93" s="136">
        <v>2023</v>
      </c>
      <c r="F93" s="152">
        <f t="shared" si="42"/>
        <v>609</v>
      </c>
      <c r="G93" s="139"/>
      <c r="H93" s="152">
        <f>H83+H75</f>
        <v>548</v>
      </c>
      <c r="I93" s="139"/>
      <c r="J93" s="152">
        <f>J83+J75</f>
        <v>1004</v>
      </c>
      <c r="K93" s="153"/>
      <c r="L93" s="152">
        <f>L83+L75</f>
        <v>161</v>
      </c>
      <c r="M93" s="139"/>
      <c r="N93" s="152">
        <f t="shared" si="34"/>
        <v>0</v>
      </c>
      <c r="O93" s="139"/>
      <c r="P93" s="152">
        <f t="shared" si="35"/>
        <v>0</v>
      </c>
      <c r="Q93" s="139"/>
      <c r="R93" s="152">
        <f t="shared" si="36"/>
        <v>0</v>
      </c>
      <c r="S93" s="153"/>
      <c r="T93" s="152">
        <f t="shared" si="37"/>
        <v>0</v>
      </c>
      <c r="U93" s="153"/>
      <c r="V93" s="152">
        <f t="shared" si="38"/>
        <v>2</v>
      </c>
      <c r="W93" s="153"/>
      <c r="X93" s="152">
        <f t="shared" si="39"/>
        <v>253</v>
      </c>
      <c r="Y93" s="153"/>
      <c r="Z93" s="152">
        <f t="shared" si="40"/>
        <v>2928</v>
      </c>
      <c r="AA93" s="139"/>
      <c r="AB93" s="152">
        <f t="shared" si="41"/>
        <v>290</v>
      </c>
      <c r="AC93" s="139"/>
      <c r="AD93" s="139">
        <f>SUM(F93:AB93)</f>
        <v>5795</v>
      </c>
    </row>
    <row r="94" spans="3:31" s="136" customFormat="1" ht="10.199999999999999">
      <c r="C94" s="136">
        <v>2024</v>
      </c>
      <c r="F94" s="152">
        <f t="shared" si="42"/>
        <v>701</v>
      </c>
      <c r="G94" s="139"/>
      <c r="H94" s="152">
        <f>H84+H76</f>
        <v>245</v>
      </c>
      <c r="I94" s="139"/>
      <c r="J94" s="152">
        <f>J84+J76</f>
        <v>151</v>
      </c>
      <c r="K94" s="153"/>
      <c r="L94" s="152">
        <f>L84+L76</f>
        <v>238</v>
      </c>
      <c r="M94" s="139"/>
      <c r="N94" s="152">
        <f t="shared" si="34"/>
        <v>411</v>
      </c>
      <c r="O94" s="139"/>
      <c r="P94" s="152">
        <f t="shared" si="35"/>
        <v>80</v>
      </c>
      <c r="Q94" s="139"/>
      <c r="R94" s="152">
        <f t="shared" si="36"/>
        <v>254</v>
      </c>
      <c r="S94" s="153"/>
      <c r="T94" s="152">
        <f t="shared" si="37"/>
        <v>89</v>
      </c>
      <c r="U94" s="153"/>
      <c r="V94" s="152">
        <f t="shared" si="38"/>
        <v>6</v>
      </c>
      <c r="W94" s="153"/>
      <c r="X94" s="152">
        <f t="shared" si="39"/>
        <v>292</v>
      </c>
      <c r="Y94" s="153"/>
      <c r="Z94" s="152">
        <f t="shared" si="40"/>
        <v>251</v>
      </c>
      <c r="AA94" s="139"/>
      <c r="AB94" s="152">
        <f t="shared" si="41"/>
        <v>271</v>
      </c>
      <c r="AC94" s="139"/>
      <c r="AD94" s="139">
        <f>SUM(F94:AB94)</f>
        <v>2989</v>
      </c>
    </row>
    <row r="95" spans="3:31" s="136" customFormat="1" ht="10.199999999999999">
      <c r="C95" s="136">
        <v>2025</v>
      </c>
      <c r="F95" s="152">
        <f t="shared" si="42"/>
        <v>207</v>
      </c>
      <c r="G95" s="139"/>
      <c r="H95" s="152">
        <f>H85+H77</f>
        <v>601</v>
      </c>
      <c r="I95" s="139"/>
      <c r="J95" s="152">
        <f>J85+J77</f>
        <v>692</v>
      </c>
      <c r="K95" s="139"/>
      <c r="L95" s="152">
        <f>L85+L77</f>
        <v>1352</v>
      </c>
      <c r="M95" s="139"/>
      <c r="N95" s="152">
        <f t="shared" si="34"/>
        <v>882</v>
      </c>
      <c r="O95" s="139"/>
      <c r="P95" s="152">
        <f t="shared" si="35"/>
        <v>614</v>
      </c>
      <c r="Q95" s="139"/>
      <c r="R95" s="152">
        <f t="shared" si="36"/>
        <v>594</v>
      </c>
      <c r="S95" s="153"/>
      <c r="T95" s="152">
        <f t="shared" si="37"/>
        <v>610</v>
      </c>
      <c r="U95" s="153"/>
      <c r="V95" s="152">
        <f t="shared" si="38"/>
        <v>392</v>
      </c>
      <c r="W95" s="153"/>
      <c r="X95" s="152">
        <f t="shared" si="39"/>
        <v>159</v>
      </c>
      <c r="Y95" s="153"/>
      <c r="Z95" s="152">
        <f t="shared" si="40"/>
        <v>181</v>
      </c>
      <c r="AA95" s="139"/>
      <c r="AB95" s="152">
        <f t="shared" si="41"/>
        <v>2850</v>
      </c>
      <c r="AC95" s="139"/>
      <c r="AD95" s="139">
        <f>SUM(F95:AB95)</f>
        <v>9134</v>
      </c>
    </row>
    <row r="96" spans="3:31" s="136" customFormat="1" ht="10.199999999999999">
      <c r="C96" s="136">
        <v>2026</v>
      </c>
      <c r="F96" s="152">
        <f t="shared" si="42"/>
        <v>506</v>
      </c>
      <c r="G96" s="139"/>
      <c r="H96" s="146"/>
      <c r="I96" s="139"/>
      <c r="J96" s="146"/>
      <c r="K96" s="143"/>
      <c r="L96" s="146"/>
      <c r="M96" s="143"/>
      <c r="N96" s="146"/>
      <c r="O96" s="139"/>
      <c r="P96" s="146"/>
      <c r="Q96" s="143"/>
      <c r="R96" s="146"/>
      <c r="S96" s="146"/>
      <c r="T96" s="146"/>
      <c r="U96" s="146"/>
      <c r="V96" s="146"/>
      <c r="W96" s="146"/>
      <c r="X96" s="146"/>
      <c r="Y96" s="146"/>
      <c r="Z96" s="146"/>
      <c r="AA96" s="146"/>
      <c r="AB96" s="146"/>
      <c r="AC96" s="146"/>
    </row>
    <row r="97" spans="2:31" ht="7.35" customHeight="1">
      <c r="F97" s="108"/>
      <c r="G97" s="108"/>
      <c r="H97" s="108"/>
      <c r="I97" s="108"/>
      <c r="J97" s="108"/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8"/>
      <c r="W97" s="108"/>
      <c r="X97" s="108"/>
      <c r="Y97" s="108"/>
      <c r="Z97" s="108"/>
      <c r="AA97" s="108"/>
      <c r="AB97" s="108"/>
      <c r="AC97" s="108"/>
    </row>
    <row r="98" spans="2:31" s="136" customFormat="1">
      <c r="C98" s="136" t="s">
        <v>169</v>
      </c>
      <c r="F98" s="170">
        <f>SUM(H95:$AB95)+SUM($F96:F96)</f>
        <v>9433</v>
      </c>
    </row>
    <row r="99" spans="2:31" ht="7.35" customHeight="1">
      <c r="G99" s="108"/>
      <c r="H99" s="108"/>
      <c r="I99" s="108"/>
      <c r="J99" s="108"/>
      <c r="K99" s="108"/>
      <c r="L99" s="108"/>
      <c r="M99" s="108"/>
      <c r="N99" s="108"/>
      <c r="O99" s="108"/>
      <c r="P99" s="108"/>
      <c r="Q99" s="108"/>
      <c r="R99" s="108"/>
      <c r="S99" s="108"/>
      <c r="T99" s="108"/>
      <c r="U99" s="108"/>
      <c r="V99" s="108"/>
      <c r="W99" s="108"/>
      <c r="X99" s="108"/>
      <c r="Y99" s="108"/>
      <c r="Z99" s="108"/>
      <c r="AA99" s="108"/>
      <c r="AB99" s="108"/>
      <c r="AC99" s="108"/>
    </row>
    <row r="100" spans="2:31" s="136" customFormat="1" ht="10.199999999999999">
      <c r="B100" s="138" t="s">
        <v>127</v>
      </c>
      <c r="C100" s="138"/>
      <c r="D100" s="138"/>
      <c r="E100" s="138"/>
      <c r="F100" s="138"/>
      <c r="G100" s="138"/>
      <c r="H100" s="138"/>
      <c r="I100" s="138"/>
      <c r="J100" s="138"/>
      <c r="K100" s="138"/>
      <c r="L100" s="138"/>
      <c r="M100" s="138"/>
      <c r="N100" s="138"/>
      <c r="O100" s="138"/>
      <c r="P100" s="138"/>
      <c r="Q100" s="138"/>
      <c r="R100" s="138"/>
      <c r="S100" s="138"/>
      <c r="T100" s="138"/>
      <c r="U100" s="138"/>
      <c r="V100" s="138"/>
      <c r="W100" s="138"/>
      <c r="X100" s="138"/>
      <c r="Y100" s="138"/>
      <c r="Z100" s="138"/>
      <c r="AA100" s="138"/>
      <c r="AB100" s="138"/>
      <c r="AC100" s="138"/>
    </row>
    <row r="101" spans="2:31" s="136" customFormat="1" ht="10.199999999999999">
      <c r="C101" s="154" t="s">
        <v>207</v>
      </c>
      <c r="D101" s="155"/>
      <c r="E101" s="155"/>
      <c r="F101" s="156" t="s">
        <v>199</v>
      </c>
      <c r="G101" s="156"/>
      <c r="H101" s="156"/>
      <c r="I101" s="156"/>
      <c r="J101" s="156"/>
      <c r="K101" s="156"/>
      <c r="L101" s="156"/>
      <c r="M101" s="156"/>
      <c r="N101" s="156"/>
      <c r="O101" s="156"/>
      <c r="P101" s="156"/>
      <c r="Q101" s="156"/>
      <c r="R101" s="156"/>
      <c r="S101" s="156"/>
      <c r="T101" s="156"/>
      <c r="U101" s="156"/>
      <c r="V101" s="156"/>
      <c r="W101" s="156"/>
      <c r="X101" s="156"/>
      <c r="Y101" s="156"/>
      <c r="Z101" s="156"/>
      <c r="AA101" s="156"/>
      <c r="AB101" s="156"/>
      <c r="AC101" s="156"/>
    </row>
    <row r="102" spans="2:31" s="136" customFormat="1" ht="10.199999999999999">
      <c r="C102" s="155">
        <v>2020</v>
      </c>
      <c r="D102" s="155"/>
      <c r="E102" s="155"/>
      <c r="F102" s="156"/>
      <c r="G102" s="156"/>
      <c r="H102" s="156"/>
      <c r="I102" s="156"/>
      <c r="J102" s="156"/>
      <c r="K102" s="156"/>
      <c r="L102" s="156"/>
      <c r="M102" s="156"/>
      <c r="N102" s="156">
        <v>341</v>
      </c>
      <c r="O102" s="156"/>
      <c r="P102" s="156">
        <v>43</v>
      </c>
      <c r="Q102" s="156"/>
      <c r="R102" s="156">
        <v>9</v>
      </c>
      <c r="S102" s="156"/>
      <c r="T102" s="156">
        <v>17</v>
      </c>
      <c r="U102" s="156"/>
      <c r="V102" s="156">
        <v>151</v>
      </c>
      <c r="W102" s="156"/>
      <c r="X102" s="156">
        <v>271</v>
      </c>
      <c r="Y102" s="156"/>
      <c r="Z102" s="156">
        <v>922</v>
      </c>
      <c r="AA102" s="156"/>
      <c r="AB102" s="156">
        <v>1631</v>
      </c>
      <c r="AC102" s="156"/>
      <c r="AD102" s="139">
        <f>SUM(F102:AB102)</f>
        <v>3385</v>
      </c>
      <c r="AE102" s="143">
        <f>AD102/AD$149</f>
        <v>4.1617162579938319E-2</v>
      </c>
    </row>
    <row r="103" spans="2:31" s="136" customFormat="1" ht="10.199999999999999">
      <c r="C103" s="155">
        <v>2021</v>
      </c>
      <c r="D103" s="155"/>
      <c r="E103" s="155"/>
      <c r="F103" s="156">
        <v>1771</v>
      </c>
      <c r="G103" s="156"/>
      <c r="H103" s="156">
        <v>2445</v>
      </c>
      <c r="I103" s="156"/>
      <c r="J103" s="156">
        <v>1533</v>
      </c>
      <c r="K103" s="156"/>
      <c r="L103" s="156">
        <v>497</v>
      </c>
      <c r="M103" s="156"/>
      <c r="N103" s="156">
        <v>500.9</v>
      </c>
      <c r="O103" s="156"/>
      <c r="P103" s="156">
        <v>120.2</v>
      </c>
      <c r="Q103" s="156"/>
      <c r="R103" s="156">
        <v>102.4</v>
      </c>
      <c r="S103" s="156"/>
      <c r="T103" s="156">
        <v>139.19999999999999</v>
      </c>
      <c r="U103" s="156"/>
      <c r="V103" s="156">
        <v>108.3</v>
      </c>
      <c r="W103" s="156"/>
      <c r="X103" s="156">
        <v>408.3</v>
      </c>
      <c r="Y103" s="156"/>
      <c r="Z103" s="156">
        <v>1262</v>
      </c>
      <c r="AA103" s="156"/>
      <c r="AB103" s="156">
        <v>1357</v>
      </c>
      <c r="AC103" s="156"/>
      <c r="AD103" s="139">
        <f>SUM(F103:AB103)</f>
        <v>10244.299999999999</v>
      </c>
      <c r="AE103" s="143">
        <f>AD103/AD$150</f>
        <v>9.4992752477422601E-2</v>
      </c>
    </row>
    <row r="104" spans="2:31" s="136" customFormat="1" ht="10.199999999999999">
      <c r="C104" s="155">
        <v>2022</v>
      </c>
      <c r="D104" s="155"/>
      <c r="E104" s="155"/>
      <c r="F104" s="156">
        <v>0</v>
      </c>
      <c r="G104" s="156"/>
      <c r="H104" s="156">
        <v>0</v>
      </c>
      <c r="I104" s="156"/>
      <c r="J104" s="156">
        <v>0</v>
      </c>
      <c r="K104" s="156"/>
      <c r="L104" s="156">
        <v>0</v>
      </c>
      <c r="M104" s="156"/>
      <c r="N104" s="156">
        <v>0</v>
      </c>
      <c r="O104" s="156"/>
      <c r="P104" s="156">
        <v>0</v>
      </c>
      <c r="Q104" s="156"/>
      <c r="R104" s="156">
        <v>0</v>
      </c>
      <c r="S104" s="156"/>
      <c r="T104" s="156">
        <v>0</v>
      </c>
      <c r="U104" s="156"/>
      <c r="V104" s="156">
        <v>0</v>
      </c>
      <c r="W104" s="156"/>
      <c r="X104" s="156">
        <v>0</v>
      </c>
      <c r="Y104" s="156"/>
      <c r="Z104" s="156">
        <v>0</v>
      </c>
      <c r="AA104" s="156"/>
      <c r="AB104" s="156">
        <v>0</v>
      </c>
      <c r="AC104" s="156"/>
      <c r="AD104" s="139">
        <f>SUM(F104:AB104)</f>
        <v>0</v>
      </c>
      <c r="AE104" s="143">
        <f>AD104/AD$151</f>
        <v>0</v>
      </c>
    </row>
    <row r="105" spans="2:31" s="136" customFormat="1" ht="10.199999999999999">
      <c r="C105" s="155">
        <v>2023</v>
      </c>
      <c r="D105" s="155"/>
      <c r="E105" s="155"/>
      <c r="F105" s="156">
        <v>0</v>
      </c>
      <c r="G105" s="156"/>
      <c r="H105" s="156">
        <v>0</v>
      </c>
      <c r="I105" s="156"/>
      <c r="J105" s="156">
        <v>0</v>
      </c>
      <c r="K105" s="156"/>
      <c r="L105" s="156">
        <v>0</v>
      </c>
      <c r="M105" s="156"/>
      <c r="N105" s="156">
        <v>0</v>
      </c>
      <c r="O105" s="156"/>
      <c r="P105" s="156">
        <v>0</v>
      </c>
      <c r="Q105" s="156"/>
      <c r="R105" s="156">
        <v>0</v>
      </c>
      <c r="S105" s="156"/>
      <c r="T105" s="156">
        <v>0</v>
      </c>
      <c r="U105" s="156"/>
      <c r="V105" s="156">
        <v>0</v>
      </c>
      <c r="W105" s="156"/>
      <c r="X105" s="156">
        <v>0</v>
      </c>
      <c r="Y105" s="156"/>
      <c r="Z105" s="156">
        <v>0</v>
      </c>
      <c r="AA105" s="156"/>
      <c r="AB105" s="156">
        <v>0</v>
      </c>
      <c r="AC105" s="156"/>
      <c r="AD105" s="139">
        <f>SUM(F105:AB105)</f>
        <v>0</v>
      </c>
      <c r="AE105" s="143">
        <f>AD105/AD$152</f>
        <v>0</v>
      </c>
    </row>
    <row r="106" spans="2:31" s="136" customFormat="1" ht="10.199999999999999">
      <c r="C106" s="155">
        <v>2024</v>
      </c>
      <c r="D106" s="155"/>
      <c r="E106" s="155"/>
      <c r="F106" s="156">
        <v>0</v>
      </c>
      <c r="G106" s="156"/>
      <c r="H106" s="156">
        <v>0</v>
      </c>
      <c r="I106" s="156"/>
      <c r="J106" s="156">
        <v>0</v>
      </c>
      <c r="K106" s="156"/>
      <c r="L106" s="156">
        <v>0</v>
      </c>
      <c r="M106" s="156"/>
      <c r="N106" s="156">
        <v>0</v>
      </c>
      <c r="O106" s="156"/>
      <c r="P106" s="156">
        <v>0</v>
      </c>
      <c r="Q106" s="156"/>
      <c r="R106" s="156">
        <v>0</v>
      </c>
      <c r="S106" s="156"/>
      <c r="T106" s="156"/>
      <c r="U106" s="156"/>
      <c r="V106" s="156"/>
      <c r="W106" s="156"/>
      <c r="X106" s="156"/>
      <c r="Y106" s="156"/>
      <c r="Z106" s="156"/>
      <c r="AA106" s="156"/>
      <c r="AB106" s="156"/>
      <c r="AC106" s="156"/>
      <c r="AD106" s="139">
        <f>SUM(F106:AB106)</f>
        <v>0</v>
      </c>
      <c r="AE106" s="143">
        <f>AD106/AD$153</f>
        <v>0</v>
      </c>
    </row>
    <row r="107" spans="2:31" s="136" customFormat="1" ht="10.199999999999999">
      <c r="L107" s="139"/>
    </row>
    <row r="108" spans="2:31" s="136" customFormat="1" ht="10.199999999999999">
      <c r="C108" s="136" t="s">
        <v>208</v>
      </c>
      <c r="F108" s="139" t="s">
        <v>199</v>
      </c>
      <c r="G108" s="139"/>
      <c r="H108" s="139"/>
      <c r="I108" s="139"/>
      <c r="J108" s="139"/>
      <c r="K108" s="139"/>
      <c r="L108" s="139"/>
      <c r="M108" s="139"/>
      <c r="N108" s="139"/>
      <c r="O108" s="139"/>
      <c r="P108" s="139"/>
      <c r="Q108" s="139"/>
      <c r="R108" s="139"/>
      <c r="S108" s="139"/>
      <c r="T108" s="139"/>
      <c r="U108" s="139"/>
      <c r="V108" s="139"/>
      <c r="W108" s="139"/>
      <c r="X108" s="139"/>
      <c r="Y108" s="139"/>
      <c r="Z108" s="139"/>
      <c r="AA108" s="139"/>
      <c r="AB108" s="139"/>
      <c r="AC108" s="139"/>
    </row>
    <row r="109" spans="2:31" s="136" customFormat="1" ht="10.199999999999999">
      <c r="C109" s="136">
        <v>2020</v>
      </c>
      <c r="F109" s="139"/>
      <c r="G109" s="139"/>
      <c r="H109" s="139"/>
      <c r="I109" s="139"/>
      <c r="J109" s="139"/>
      <c r="K109" s="139"/>
      <c r="L109" s="139"/>
      <c r="M109" s="139"/>
      <c r="N109" s="147">
        <v>234</v>
      </c>
      <c r="O109" s="139"/>
      <c r="P109" s="147">
        <v>133</v>
      </c>
      <c r="Q109" s="139"/>
      <c r="R109" s="147">
        <v>111</v>
      </c>
      <c r="S109" s="139"/>
      <c r="T109" s="147">
        <v>120</v>
      </c>
      <c r="U109" s="139"/>
      <c r="V109" s="147">
        <v>135</v>
      </c>
      <c r="W109" s="139"/>
      <c r="X109" s="147">
        <v>187</v>
      </c>
      <c r="Y109" s="139"/>
      <c r="Z109" s="147">
        <v>387</v>
      </c>
      <c r="AA109" s="139"/>
      <c r="AB109" s="147">
        <v>745</v>
      </c>
      <c r="AC109" s="139"/>
      <c r="AD109" s="139">
        <f t="shared" ref="AD109:AD114" si="43">SUM(F109:AB109)</f>
        <v>2052</v>
      </c>
      <c r="AE109" s="144">
        <f>AD109/AD$149</f>
        <v>2.5228483785534252E-2</v>
      </c>
    </row>
    <row r="110" spans="2:31" s="136" customFormat="1" ht="10.199999999999999">
      <c r="C110" s="136">
        <v>2021</v>
      </c>
      <c r="F110" s="147">
        <v>789</v>
      </c>
      <c r="G110" s="139"/>
      <c r="H110" s="147">
        <v>461</v>
      </c>
      <c r="I110" s="139"/>
      <c r="J110" s="147">
        <v>164</v>
      </c>
      <c r="K110" s="139"/>
      <c r="L110" s="147">
        <v>353</v>
      </c>
      <c r="M110" s="139"/>
      <c r="N110" s="147">
        <v>225</v>
      </c>
      <c r="O110" s="139"/>
      <c r="P110" s="147">
        <v>150</v>
      </c>
      <c r="Q110" s="139"/>
      <c r="R110" s="147">
        <v>117</v>
      </c>
      <c r="S110" s="139"/>
      <c r="T110" s="147">
        <v>115</v>
      </c>
      <c r="U110" s="139"/>
      <c r="V110" s="147">
        <v>116</v>
      </c>
      <c r="W110" s="139"/>
      <c r="X110" s="147">
        <v>183</v>
      </c>
      <c r="Y110" s="139"/>
      <c r="Z110" s="147">
        <v>531</v>
      </c>
      <c r="AA110" s="139"/>
      <c r="AB110" s="147">
        <v>531</v>
      </c>
      <c r="AC110" s="139"/>
      <c r="AD110" s="139">
        <f t="shared" si="43"/>
        <v>3735</v>
      </c>
      <c r="AE110" s="144">
        <f>AD110/AD$150</f>
        <v>3.4633691955836259E-2</v>
      </c>
    </row>
    <row r="111" spans="2:31" s="136" customFormat="1" ht="10.199999999999999">
      <c r="C111" s="136">
        <v>2022</v>
      </c>
      <c r="F111" s="147">
        <v>845</v>
      </c>
      <c r="G111" s="139"/>
      <c r="H111" s="147">
        <v>58</v>
      </c>
      <c r="I111" s="139"/>
      <c r="J111" s="147">
        <v>482</v>
      </c>
      <c r="K111" s="139"/>
      <c r="L111" s="147">
        <v>232</v>
      </c>
      <c r="M111" s="139"/>
      <c r="N111" s="147">
        <v>158</v>
      </c>
      <c r="O111" s="139"/>
      <c r="P111" s="147">
        <v>134</v>
      </c>
      <c r="Q111" s="139"/>
      <c r="R111" s="147">
        <v>119</v>
      </c>
      <c r="S111" s="139"/>
      <c r="T111" s="157">
        <v>114</v>
      </c>
      <c r="U111" s="139"/>
      <c r="V111" s="147">
        <v>156</v>
      </c>
      <c r="W111" s="139"/>
      <c r="X111" s="147">
        <v>300</v>
      </c>
      <c r="Y111" s="139"/>
      <c r="Z111" s="147">
        <v>478</v>
      </c>
      <c r="AA111" s="139"/>
      <c r="AB111" s="147">
        <v>784</v>
      </c>
      <c r="AC111" s="139"/>
      <c r="AD111" s="139">
        <f t="shared" si="43"/>
        <v>3860</v>
      </c>
      <c r="AE111" s="144">
        <f>AD111/AD$151</f>
        <v>4.8547377475326288E-2</v>
      </c>
    </row>
    <row r="112" spans="2:31" s="136" customFormat="1" ht="10.199999999999999">
      <c r="C112" s="136">
        <v>2023</v>
      </c>
      <c r="F112" s="147">
        <v>724</v>
      </c>
      <c r="G112" s="139"/>
      <c r="H112" s="147">
        <v>485</v>
      </c>
      <c r="I112" s="139"/>
      <c r="J112" s="147">
        <v>491</v>
      </c>
      <c r="K112" s="139"/>
      <c r="L112" s="147">
        <v>259</v>
      </c>
      <c r="M112" s="139"/>
      <c r="N112" s="147">
        <v>171</v>
      </c>
      <c r="O112" s="139"/>
      <c r="P112" s="147">
        <v>112</v>
      </c>
      <c r="Q112" s="139"/>
      <c r="R112" s="147">
        <v>130</v>
      </c>
      <c r="S112" s="139"/>
      <c r="T112" s="157">
        <v>137</v>
      </c>
      <c r="U112" s="139"/>
      <c r="V112" s="147">
        <v>165</v>
      </c>
      <c r="W112" s="139"/>
      <c r="X112" s="147">
        <v>273</v>
      </c>
      <c r="Y112" s="139"/>
      <c r="Z112" s="147">
        <v>477</v>
      </c>
      <c r="AA112" s="139"/>
      <c r="AB112" s="147">
        <v>613</v>
      </c>
      <c r="AC112" s="139"/>
      <c r="AD112" s="139">
        <f t="shared" si="43"/>
        <v>4037</v>
      </c>
      <c r="AE112" s="144">
        <f>AD112/AD$152</f>
        <v>6.1500787546375002E-2</v>
      </c>
    </row>
    <row r="113" spans="3:31" s="136" customFormat="1" ht="10.199999999999999">
      <c r="C113" s="136">
        <v>2024</v>
      </c>
      <c r="F113" s="147">
        <v>855</v>
      </c>
      <c r="G113" s="139"/>
      <c r="H113" s="158">
        <v>883</v>
      </c>
      <c r="I113" s="139"/>
      <c r="J113" s="147">
        <v>418</v>
      </c>
      <c r="K113" s="139"/>
      <c r="L113" s="147">
        <v>264</v>
      </c>
      <c r="M113" s="139"/>
      <c r="N113" s="147">
        <v>146</v>
      </c>
      <c r="O113" s="139"/>
      <c r="P113" s="147">
        <v>121</v>
      </c>
      <c r="Q113" s="139"/>
      <c r="R113" s="147">
        <v>122</v>
      </c>
      <c r="S113" s="139"/>
      <c r="T113" s="157">
        <v>141</v>
      </c>
      <c r="U113" s="139"/>
      <c r="V113" s="147">
        <v>145</v>
      </c>
      <c r="W113" s="139"/>
      <c r="X113" s="147">
        <v>237</v>
      </c>
      <c r="Y113" s="139"/>
      <c r="Z113" s="147">
        <v>397</v>
      </c>
      <c r="AA113" s="139"/>
      <c r="AB113" s="147">
        <v>684</v>
      </c>
      <c r="AC113" s="139"/>
      <c r="AD113" s="139">
        <f t="shared" si="43"/>
        <v>4413</v>
      </c>
      <c r="AE113" s="144">
        <f>AD113/AD$153</f>
        <v>4.6335738347141095E-2</v>
      </c>
    </row>
    <row r="114" spans="3:31" s="136" customFormat="1" ht="10.199999999999999">
      <c r="C114" s="136">
        <v>2025</v>
      </c>
      <c r="F114" s="147">
        <v>1008</v>
      </c>
      <c r="G114" s="139"/>
      <c r="H114" s="158">
        <v>689</v>
      </c>
      <c r="I114" s="139"/>
      <c r="J114" s="147">
        <v>480</v>
      </c>
      <c r="K114" s="139"/>
      <c r="L114" s="147">
        <v>276</v>
      </c>
      <c r="M114" s="139"/>
      <c r="N114" s="147">
        <v>197</v>
      </c>
      <c r="O114" s="139"/>
      <c r="P114" s="147">
        <v>180</v>
      </c>
      <c r="Q114" s="139"/>
      <c r="R114" s="147">
        <v>165</v>
      </c>
      <c r="S114" s="139"/>
      <c r="T114" s="147">
        <v>165</v>
      </c>
      <c r="U114" s="139"/>
      <c r="V114" s="147">
        <v>175</v>
      </c>
      <c r="W114" s="139"/>
      <c r="X114" s="147">
        <v>272</v>
      </c>
      <c r="Y114" s="139"/>
      <c r="Z114" s="147">
        <v>490</v>
      </c>
      <c r="AA114" s="139"/>
      <c r="AB114" s="147">
        <v>771</v>
      </c>
      <c r="AC114" s="139"/>
      <c r="AD114" s="139">
        <f t="shared" si="43"/>
        <v>4868</v>
      </c>
      <c r="AE114" s="144">
        <f>AD114/AD$153</f>
        <v>5.1113159817331257E-2</v>
      </c>
    </row>
    <row r="115" spans="3:31" s="136" customFormat="1" ht="10.199999999999999">
      <c r="C115" s="136">
        <v>2026</v>
      </c>
      <c r="F115" s="147">
        <v>947</v>
      </c>
      <c r="G115" s="139"/>
      <c r="H115" s="146"/>
      <c r="I115" s="139"/>
      <c r="J115" s="146"/>
      <c r="K115" s="143"/>
      <c r="L115" s="146"/>
      <c r="M115" s="143"/>
      <c r="N115" s="146"/>
      <c r="O115" s="139"/>
      <c r="P115" s="146"/>
      <c r="Q115" s="143"/>
      <c r="R115" s="146"/>
      <c r="S115" s="146"/>
      <c r="T115" s="146"/>
      <c r="U115" s="146"/>
      <c r="V115" s="146"/>
      <c r="W115" s="146"/>
      <c r="X115" s="146"/>
      <c r="Y115" s="146"/>
      <c r="Z115" s="146"/>
      <c r="AA115" s="146"/>
      <c r="AB115" s="146"/>
      <c r="AC115" s="146"/>
    </row>
    <row r="116" spans="3:31" s="136" customFormat="1" ht="10.199999999999999">
      <c r="F116" s="139"/>
      <c r="G116" s="139"/>
      <c r="H116" s="139"/>
      <c r="I116" s="139"/>
      <c r="J116" s="139"/>
      <c r="K116" s="139"/>
      <c r="L116" s="139"/>
      <c r="M116" s="139"/>
      <c r="N116" s="139"/>
      <c r="O116" s="139"/>
      <c r="P116" s="139"/>
      <c r="Q116" s="139"/>
      <c r="R116" s="139"/>
      <c r="S116" s="139"/>
      <c r="T116" s="139"/>
      <c r="U116" s="139"/>
      <c r="V116" s="139"/>
      <c r="W116" s="139"/>
      <c r="X116" s="139"/>
      <c r="Y116" s="139"/>
      <c r="Z116" s="139"/>
      <c r="AA116" s="139"/>
      <c r="AB116" s="139"/>
      <c r="AC116" s="139"/>
    </row>
    <row r="117" spans="3:31" s="136" customFormat="1" ht="10.199999999999999">
      <c r="C117" s="136" t="s">
        <v>209</v>
      </c>
      <c r="F117" s="139" t="s">
        <v>197</v>
      </c>
      <c r="G117" s="139"/>
      <c r="H117" s="139"/>
      <c r="I117" s="139"/>
      <c r="J117" s="139"/>
      <c r="K117" s="139"/>
      <c r="L117" s="139"/>
      <c r="M117" s="139"/>
      <c r="N117" s="139"/>
      <c r="O117" s="139"/>
      <c r="P117" s="139"/>
      <c r="Q117" s="139"/>
      <c r="R117" s="139"/>
      <c r="S117" s="139"/>
      <c r="T117" s="139"/>
      <c r="U117" s="139"/>
      <c r="V117" s="139"/>
      <c r="W117" s="139"/>
      <c r="X117" s="139"/>
      <c r="Y117" s="139"/>
      <c r="Z117" s="139"/>
      <c r="AA117" s="139"/>
      <c r="AB117" s="139"/>
      <c r="AC117" s="139"/>
    </row>
    <row r="118" spans="3:31" s="136" customFormat="1" ht="10.199999999999999">
      <c r="C118" s="136">
        <v>2020</v>
      </c>
      <c r="F118" s="139"/>
      <c r="G118" s="139"/>
      <c r="H118" s="139"/>
      <c r="I118" s="139"/>
      <c r="J118" s="139"/>
      <c r="K118" s="139"/>
      <c r="L118" s="139"/>
      <c r="M118" s="139"/>
      <c r="N118" s="139"/>
      <c r="O118" s="139"/>
      <c r="P118" s="139"/>
      <c r="Q118" s="139"/>
      <c r="R118" s="139"/>
      <c r="S118" s="139"/>
      <c r="T118" s="139"/>
      <c r="U118" s="139"/>
      <c r="V118" s="139"/>
      <c r="W118" s="139"/>
      <c r="X118" s="139"/>
      <c r="Y118" s="139"/>
      <c r="Z118" s="139"/>
      <c r="AA118" s="139"/>
      <c r="AB118" s="139"/>
      <c r="AC118" s="139"/>
      <c r="AE118" s="144"/>
    </row>
    <row r="119" spans="3:31" s="136" customFormat="1" ht="10.199999999999999">
      <c r="C119" s="136">
        <v>2021</v>
      </c>
      <c r="F119" s="139"/>
      <c r="G119" s="139"/>
      <c r="H119" s="139"/>
      <c r="I119" s="139"/>
      <c r="J119" s="139"/>
      <c r="K119" s="139"/>
      <c r="L119" s="139"/>
      <c r="M119" s="139"/>
      <c r="N119" s="139"/>
      <c r="O119" s="139"/>
      <c r="P119" s="139"/>
      <c r="Q119" s="139"/>
      <c r="R119" s="139"/>
      <c r="S119" s="139"/>
      <c r="T119" s="139"/>
      <c r="U119" s="139"/>
      <c r="V119" s="139"/>
      <c r="W119" s="139"/>
      <c r="X119" s="139"/>
      <c r="Y119" s="139"/>
      <c r="Z119" s="139"/>
      <c r="AA119" s="139"/>
      <c r="AB119" s="139"/>
      <c r="AC119" s="139"/>
      <c r="AE119" s="144"/>
    </row>
    <row r="120" spans="3:31" s="136" customFormat="1" ht="10.199999999999999">
      <c r="C120" s="136">
        <v>2022</v>
      </c>
      <c r="F120" s="147">
        <v>1094</v>
      </c>
      <c r="G120" s="139"/>
      <c r="H120" s="147">
        <v>1774</v>
      </c>
      <c r="I120" s="139"/>
      <c r="J120" s="147">
        <v>5600</v>
      </c>
      <c r="K120" s="139"/>
      <c r="L120" s="147">
        <v>300</v>
      </c>
      <c r="M120" s="139"/>
      <c r="N120" s="147">
        <v>310</v>
      </c>
      <c r="O120" s="139"/>
      <c r="P120" s="147">
        <v>150</v>
      </c>
      <c r="Q120" s="139"/>
      <c r="R120" s="147">
        <v>335</v>
      </c>
      <c r="S120" s="139"/>
      <c r="T120" s="147">
        <v>320</v>
      </c>
      <c r="U120" s="139"/>
      <c r="V120" s="147">
        <v>624</v>
      </c>
      <c r="W120" s="139"/>
      <c r="X120" s="147">
        <v>758</v>
      </c>
      <c r="Y120" s="139"/>
      <c r="Z120" s="147">
        <v>295</v>
      </c>
      <c r="AA120" s="139"/>
      <c r="AB120" s="147">
        <v>930</v>
      </c>
      <c r="AC120" s="139"/>
      <c r="AD120" s="139">
        <f>SUM(F120:AB120)</f>
        <v>12490</v>
      </c>
      <c r="AE120" s="144"/>
    </row>
    <row r="121" spans="3:31" s="136" customFormat="1" ht="10.199999999999999">
      <c r="C121" s="136">
        <v>2023</v>
      </c>
      <c r="F121" s="147">
        <v>155</v>
      </c>
      <c r="G121" s="139"/>
      <c r="H121" s="147">
        <v>140</v>
      </c>
      <c r="I121" s="139"/>
      <c r="J121" s="147">
        <v>620</v>
      </c>
      <c r="K121" s="139"/>
      <c r="L121" s="147">
        <v>377</v>
      </c>
      <c r="M121" s="139"/>
      <c r="N121" s="147">
        <v>1550</v>
      </c>
      <c r="O121" s="139"/>
      <c r="P121" s="147">
        <v>1200</v>
      </c>
      <c r="Q121" s="139"/>
      <c r="R121" s="147">
        <v>1240</v>
      </c>
      <c r="S121" s="139"/>
      <c r="T121" s="147">
        <v>375</v>
      </c>
      <c r="U121" s="139"/>
      <c r="V121" s="147">
        <v>391</v>
      </c>
      <c r="W121" s="139"/>
      <c r="X121" s="147">
        <v>341</v>
      </c>
      <c r="Y121" s="139"/>
      <c r="Z121" s="147">
        <v>1717</v>
      </c>
      <c r="AA121" s="139"/>
      <c r="AB121" s="147">
        <v>2170</v>
      </c>
      <c r="AC121" s="139"/>
      <c r="AD121" s="139">
        <f>SUM(F121:AB121)</f>
        <v>10276</v>
      </c>
      <c r="AE121" s="144"/>
    </row>
    <row r="122" spans="3:31" s="136" customFormat="1" ht="10.199999999999999">
      <c r="C122" s="136">
        <v>2024</v>
      </c>
      <c r="F122" s="147">
        <v>2950</v>
      </c>
      <c r="G122" s="139"/>
      <c r="H122" s="147">
        <v>2062</v>
      </c>
      <c r="I122" s="139"/>
      <c r="J122" s="147">
        <v>2282</v>
      </c>
      <c r="K122" s="139"/>
      <c r="L122" s="147">
        <v>922</v>
      </c>
      <c r="M122" s="139"/>
      <c r="N122" s="147">
        <v>906</v>
      </c>
      <c r="O122" s="139"/>
      <c r="P122" s="147">
        <v>486</v>
      </c>
      <c r="Q122" s="139"/>
      <c r="R122" s="147">
        <v>229</v>
      </c>
      <c r="S122" s="139"/>
      <c r="T122" s="147">
        <v>348</v>
      </c>
      <c r="U122" s="139"/>
      <c r="V122" s="147">
        <v>311</v>
      </c>
      <c r="W122" s="139"/>
      <c r="X122" s="147">
        <v>737</v>
      </c>
      <c r="Y122" s="139"/>
      <c r="Z122" s="147">
        <v>1161</v>
      </c>
      <c r="AA122" s="139"/>
      <c r="AB122" s="147">
        <v>1108</v>
      </c>
      <c r="AC122" s="139"/>
      <c r="AD122" s="139">
        <f>SUM(F122:AB122)</f>
        <v>13502</v>
      </c>
    </row>
    <row r="123" spans="3:31" s="136" customFormat="1" ht="10.199999999999999">
      <c r="C123" s="136">
        <v>2025</v>
      </c>
      <c r="F123" s="147">
        <v>430</v>
      </c>
      <c r="G123" s="139"/>
      <c r="H123" s="147">
        <v>2437</v>
      </c>
      <c r="I123" s="139"/>
      <c r="J123" s="147">
        <v>2668</v>
      </c>
      <c r="K123" s="139"/>
      <c r="L123" s="147">
        <v>1920</v>
      </c>
      <c r="M123" s="139"/>
      <c r="N123" s="147">
        <v>852</v>
      </c>
      <c r="O123" s="139"/>
      <c r="P123" s="147">
        <v>543</v>
      </c>
      <c r="Q123" s="139"/>
      <c r="R123" s="147">
        <v>262</v>
      </c>
      <c r="S123" s="139"/>
      <c r="T123" s="147" t="s">
        <v>131</v>
      </c>
      <c r="V123" s="147">
        <v>544</v>
      </c>
      <c r="X123" s="157">
        <v>0</v>
      </c>
      <c r="Z123" s="157">
        <v>1594</v>
      </c>
      <c r="AB123" s="272">
        <v>1594</v>
      </c>
      <c r="AC123" s="139"/>
      <c r="AD123" s="139">
        <f>SUM(F123:AB123)</f>
        <v>12844</v>
      </c>
    </row>
    <row r="124" spans="3:31" s="136" customFormat="1" ht="10.199999999999999">
      <c r="C124" s="136">
        <v>2026</v>
      </c>
      <c r="F124" s="147">
        <v>3216</v>
      </c>
      <c r="G124" s="139"/>
      <c r="H124" s="146"/>
      <c r="I124" s="139"/>
      <c r="J124" s="146"/>
      <c r="K124" s="143"/>
      <c r="L124" s="146"/>
      <c r="M124" s="143"/>
      <c r="N124" s="146"/>
      <c r="O124" s="139"/>
      <c r="P124" s="146"/>
      <c r="Q124" s="143"/>
      <c r="R124" s="146"/>
      <c r="S124" s="146"/>
      <c r="T124" s="146"/>
      <c r="U124" s="146"/>
      <c r="V124" s="146"/>
      <c r="W124" s="146"/>
      <c r="X124" s="146"/>
      <c r="Y124" s="146"/>
      <c r="Z124" s="146"/>
      <c r="AA124" s="146"/>
      <c r="AB124" s="146"/>
      <c r="AC124" s="146"/>
    </row>
    <row r="125" spans="3:31" s="136" customFormat="1" ht="10.199999999999999">
      <c r="L125" s="139"/>
      <c r="T125" s="139"/>
      <c r="V125" s="139"/>
      <c r="X125" s="139"/>
    </row>
    <row r="126" spans="3:31" s="136" customFormat="1" ht="10.199999999999999">
      <c r="C126" s="136" t="s">
        <v>198</v>
      </c>
      <c r="F126" s="139" t="s">
        <v>199</v>
      </c>
      <c r="G126" s="139"/>
      <c r="H126" s="148"/>
      <c r="I126" s="139"/>
      <c r="J126" s="139"/>
      <c r="K126" s="139"/>
      <c r="L126" s="139"/>
      <c r="M126" s="139"/>
      <c r="N126" s="139"/>
      <c r="O126" s="139"/>
      <c r="P126" s="139"/>
      <c r="Q126" s="139"/>
      <c r="R126" s="139"/>
      <c r="S126" s="139"/>
      <c r="T126" s="139"/>
      <c r="U126" s="139"/>
      <c r="V126" s="139"/>
      <c r="W126" s="139"/>
      <c r="X126" s="139"/>
      <c r="Y126" s="139"/>
      <c r="Z126" s="139"/>
      <c r="AA126" s="139"/>
      <c r="AB126" s="139"/>
      <c r="AC126" s="139"/>
    </row>
    <row r="127" spans="3:31" s="136" customFormat="1" ht="10.199999999999999">
      <c r="C127" s="136">
        <v>2020</v>
      </c>
      <c r="F127" s="139"/>
      <c r="G127" s="139"/>
      <c r="H127" s="139"/>
      <c r="I127" s="139"/>
      <c r="J127" s="139"/>
      <c r="K127" s="139"/>
      <c r="L127" s="139"/>
      <c r="M127" s="139"/>
      <c r="N127" s="139"/>
      <c r="O127" s="139"/>
      <c r="P127" s="139"/>
      <c r="Q127" s="139"/>
      <c r="R127" s="139"/>
      <c r="S127" s="139"/>
      <c r="T127" s="139"/>
      <c r="U127" s="139"/>
      <c r="V127" s="139"/>
      <c r="W127" s="139"/>
      <c r="X127" s="139"/>
      <c r="Y127" s="139"/>
      <c r="Z127" s="139"/>
      <c r="AA127" s="139"/>
      <c r="AB127" s="139"/>
      <c r="AC127" s="139"/>
      <c r="AD127" s="139"/>
      <c r="AE127" s="144">
        <f>AD127/AD$149</f>
        <v>0</v>
      </c>
    </row>
    <row r="128" spans="3:31" s="136" customFormat="1" ht="10.199999999999999">
      <c r="C128" s="136">
        <v>2021</v>
      </c>
      <c r="F128" s="139"/>
      <c r="G128" s="139"/>
      <c r="H128" s="139"/>
      <c r="I128" s="139"/>
      <c r="J128" s="139"/>
      <c r="K128" s="139"/>
      <c r="L128" s="139"/>
      <c r="M128" s="139"/>
      <c r="N128" s="139"/>
      <c r="O128" s="139"/>
      <c r="P128" s="139"/>
      <c r="Q128" s="139"/>
      <c r="R128" s="139"/>
      <c r="S128" s="139"/>
      <c r="T128" s="139"/>
      <c r="U128" s="139"/>
      <c r="V128" s="139"/>
      <c r="W128" s="139"/>
      <c r="X128" s="139"/>
      <c r="Y128" s="139"/>
      <c r="Z128" s="139"/>
      <c r="AA128" s="139"/>
      <c r="AB128" s="139"/>
      <c r="AC128" s="139"/>
      <c r="AD128" s="139"/>
      <c r="AE128" s="144">
        <f>AD128/AD$150</f>
        <v>0</v>
      </c>
    </row>
    <row r="129" spans="3:31" s="136" customFormat="1" ht="10.199999999999999">
      <c r="C129" s="136">
        <v>2022</v>
      </c>
      <c r="F129" s="149">
        <f>F120/$H$22</f>
        <v>985.58558558558548</v>
      </c>
      <c r="G129" s="139"/>
      <c r="H129" s="149">
        <f>H120/$H$22</f>
        <v>1598.198198198198</v>
      </c>
      <c r="I129" s="139"/>
      <c r="J129" s="149">
        <f>J120/$H$22</f>
        <v>5045.0450450450444</v>
      </c>
      <c r="K129" s="139"/>
      <c r="L129" s="149">
        <f>L120/$H$22</f>
        <v>270.27027027027026</v>
      </c>
      <c r="M129" s="139"/>
      <c r="N129" s="149">
        <f>N120/$H$22</f>
        <v>279.27927927927925</v>
      </c>
      <c r="O129" s="139"/>
      <c r="P129" s="149">
        <f>P120/$H$22</f>
        <v>135.13513513513513</v>
      </c>
      <c r="Q129" s="139"/>
      <c r="R129" s="149">
        <f>R120/$H$22</f>
        <v>301.80180180180179</v>
      </c>
      <c r="S129" s="139"/>
      <c r="T129" s="149">
        <f>T120/$H$22</f>
        <v>288.28828828828824</v>
      </c>
      <c r="U129" s="139"/>
      <c r="V129" s="149">
        <f>V120/$H$22</f>
        <v>562.16216216216208</v>
      </c>
      <c r="W129" s="139"/>
      <c r="X129" s="149">
        <f>X120/$H$22</f>
        <v>682.88288288288277</v>
      </c>
      <c r="Y129" s="139"/>
      <c r="Z129" s="149">
        <f>Z120/$H$22</f>
        <v>265.76576576576576</v>
      </c>
      <c r="AA129" s="139"/>
      <c r="AB129" s="149">
        <f>AB120/$H$22</f>
        <v>837.83783783783781</v>
      </c>
      <c r="AC129" s="139"/>
      <c r="AD129" s="139">
        <f>SUM(F129:AB129)</f>
        <v>11252.252252252249</v>
      </c>
      <c r="AE129" s="144">
        <f>AD129/AD$151</f>
        <v>0.14152003563152341</v>
      </c>
    </row>
    <row r="130" spans="3:31" s="136" customFormat="1" ht="10.199999999999999">
      <c r="C130" s="136">
        <v>2023</v>
      </c>
      <c r="F130" s="149">
        <f>F121/$H$22</f>
        <v>139.63963963963963</v>
      </c>
      <c r="G130" s="139"/>
      <c r="H130" s="149">
        <f>H121/$H$22</f>
        <v>126.12612612612611</v>
      </c>
      <c r="I130" s="139"/>
      <c r="J130" s="149">
        <f>J121/$H$22</f>
        <v>558.5585585585585</v>
      </c>
      <c r="K130" s="139"/>
      <c r="L130" s="149">
        <f>L121/$H$22</f>
        <v>339.6396396396396</v>
      </c>
      <c r="M130" s="139"/>
      <c r="N130" s="149">
        <f>N121/$H$22</f>
        <v>1396.3963963963963</v>
      </c>
      <c r="O130" s="139"/>
      <c r="P130" s="149">
        <f>P121/$H$22</f>
        <v>1081.081081081081</v>
      </c>
      <c r="Q130" s="139"/>
      <c r="R130" s="149">
        <f>R121/$H$22</f>
        <v>1117.117117117117</v>
      </c>
      <c r="S130" s="139"/>
      <c r="T130" s="149">
        <f>T121/$H$22</f>
        <v>337.83783783783781</v>
      </c>
      <c r="U130" s="139"/>
      <c r="V130" s="149">
        <f>V121/$H$22</f>
        <v>352.25225225225222</v>
      </c>
      <c r="W130" s="139"/>
      <c r="X130" s="149">
        <f>X121/$H$22</f>
        <v>307.2072072072072</v>
      </c>
      <c r="Y130" s="139"/>
      <c r="Z130" s="149">
        <f>Z121/$H$22</f>
        <v>1546.8468468468468</v>
      </c>
      <c r="AA130" s="139"/>
      <c r="AB130" s="149">
        <f>AB121/$H$22</f>
        <v>1954.9549549549547</v>
      </c>
      <c r="AC130" s="139"/>
      <c r="AD130" s="139">
        <f>SUM(F130:AB130)</f>
        <v>9257.6576576576554</v>
      </c>
      <c r="AE130" s="144">
        <f>AD130/AD$152</f>
        <v>0.14103374703509416</v>
      </c>
    </row>
    <row r="131" spans="3:31" s="136" customFormat="1" ht="10.199999999999999">
      <c r="C131" s="136">
        <v>2024</v>
      </c>
      <c r="F131" s="149">
        <f>F122/$H$22</f>
        <v>2657.6576576576576</v>
      </c>
      <c r="G131" s="139"/>
      <c r="H131" s="149">
        <f>H122/$H$22</f>
        <v>1857.6576576576574</v>
      </c>
      <c r="I131" s="139"/>
      <c r="J131" s="149">
        <f>J122/$H$22</f>
        <v>2055.8558558558557</v>
      </c>
      <c r="K131" s="139"/>
      <c r="L131" s="150">
        <f>L122/$H$22</f>
        <v>830.63063063063055</v>
      </c>
      <c r="M131" s="139"/>
      <c r="N131" s="149">
        <f>N122/$H$22</f>
        <v>816.21621621621614</v>
      </c>
      <c r="O131" s="139"/>
      <c r="P131" s="150">
        <f>P122/$H$22</f>
        <v>437.83783783783781</v>
      </c>
      <c r="Q131" s="139"/>
      <c r="R131" s="150">
        <f>R122/$H$22</f>
        <v>206.30630630630628</v>
      </c>
      <c r="S131" s="139"/>
      <c r="T131" s="150">
        <f>T122/$H$22</f>
        <v>313.51351351351349</v>
      </c>
      <c r="U131" s="139"/>
      <c r="V131" s="150">
        <f>V122/$H$22</f>
        <v>280.18018018018017</v>
      </c>
      <c r="W131" s="139"/>
      <c r="X131" s="150">
        <f>X122/$H$22</f>
        <v>663.96396396396392</v>
      </c>
      <c r="Y131" s="139"/>
      <c r="Z131" s="150">
        <f>Z122/$H$22</f>
        <v>1045.9459459459458</v>
      </c>
      <c r="AA131" s="139"/>
      <c r="AB131" s="150">
        <f>AB122/$H$22</f>
        <v>998.19819819819816</v>
      </c>
      <c r="AC131" s="139"/>
      <c r="AD131" s="139">
        <f>SUM(F131:AB131)</f>
        <v>12163.963963963964</v>
      </c>
      <c r="AE131" s="144">
        <f>AD131/AD$153</f>
        <v>0.12771952220672728</v>
      </c>
    </row>
    <row r="132" spans="3:31" s="136" customFormat="1" ht="10.199999999999999">
      <c r="C132" s="136">
        <v>2025</v>
      </c>
      <c r="F132" s="150">
        <f>F123/$H$22</f>
        <v>387.38738738738738</v>
      </c>
      <c r="G132" s="139"/>
      <c r="H132" s="150">
        <f>H123/$H$22</f>
        <v>2195.4954954954951</v>
      </c>
      <c r="I132" s="139"/>
      <c r="J132" s="150">
        <f>J123/$H$22</f>
        <v>2403.6036036036035</v>
      </c>
      <c r="K132" s="139"/>
      <c r="L132" s="150">
        <f>L123/$H$22</f>
        <v>1729.7297297297296</v>
      </c>
      <c r="M132" s="139"/>
      <c r="N132" s="150">
        <f>N123/$H$22</f>
        <v>767.56756756756749</v>
      </c>
      <c r="O132" s="139"/>
      <c r="P132" s="150">
        <f>P123/$H$22</f>
        <v>489.18918918918916</v>
      </c>
      <c r="Q132" s="139"/>
      <c r="R132" s="150">
        <f>R123/$H$22</f>
        <v>236.03603603603602</v>
      </c>
      <c r="S132" s="139"/>
      <c r="T132" s="231">
        <v>0</v>
      </c>
      <c r="U132" s="139"/>
      <c r="V132" s="150">
        <f>V123/$H$22</f>
        <v>490.09009009009003</v>
      </c>
      <c r="W132" s="139"/>
      <c r="X132" s="150">
        <f>X123/$H$22</f>
        <v>0</v>
      </c>
      <c r="Y132" s="139"/>
      <c r="Z132" s="150">
        <f>Z123/$H$22</f>
        <v>1436.036036036036</v>
      </c>
      <c r="AA132" s="139"/>
      <c r="AB132" s="150">
        <f>AB123/$H$22</f>
        <v>1436.036036036036</v>
      </c>
      <c r="AC132" s="139"/>
      <c r="AD132" s="139">
        <f>SUM(F132:AB132)</f>
        <v>11571.171171171169</v>
      </c>
      <c r="AE132" s="144">
        <f>AD132/AD$153</f>
        <v>0.12149530019428267</v>
      </c>
    </row>
    <row r="133" spans="3:31" s="136" customFormat="1" ht="10.199999999999999">
      <c r="C133" s="136">
        <v>2026</v>
      </c>
      <c r="F133" s="150">
        <f>F124/$H$22</f>
        <v>2897.2972972972971</v>
      </c>
      <c r="G133" s="139"/>
      <c r="H133" s="146"/>
      <c r="I133" s="139"/>
      <c r="J133" s="146"/>
      <c r="K133" s="143"/>
      <c r="L133" s="146"/>
      <c r="M133" s="143"/>
      <c r="N133" s="146"/>
      <c r="O133" s="139"/>
      <c r="P133" s="146"/>
      <c r="Q133" s="143"/>
      <c r="R133" s="146"/>
      <c r="S133" s="146"/>
      <c r="T133" s="146"/>
      <c r="U133" s="146"/>
      <c r="V133" s="146"/>
      <c r="W133" s="146"/>
      <c r="X133" s="146"/>
      <c r="Y133" s="146"/>
      <c r="Z133" s="146"/>
      <c r="AA133" s="146"/>
      <c r="AB133" s="146"/>
      <c r="AC133" s="146"/>
    </row>
    <row r="134" spans="3:31" s="136" customFormat="1" ht="7.35" customHeight="1">
      <c r="L134" s="139"/>
      <c r="T134" s="139"/>
      <c r="V134" s="139"/>
      <c r="X134" s="139"/>
    </row>
    <row r="135" spans="3:31" s="136" customFormat="1" ht="7.35" customHeight="1">
      <c r="L135" s="139"/>
      <c r="T135" s="139"/>
      <c r="V135" s="139"/>
      <c r="X135" s="139"/>
    </row>
    <row r="136" spans="3:31" s="136" customFormat="1" ht="10.199999999999999">
      <c r="C136" s="136" t="s">
        <v>210</v>
      </c>
      <c r="L136" s="139"/>
      <c r="T136" s="139"/>
      <c r="V136" s="139"/>
      <c r="X136" s="139"/>
    </row>
    <row r="137" spans="3:31" s="136" customFormat="1" ht="10.199999999999999">
      <c r="C137" s="136">
        <v>2020</v>
      </c>
      <c r="L137" s="139"/>
      <c r="N137" s="149">
        <f>N127+N109+N102</f>
        <v>575</v>
      </c>
      <c r="P137" s="149">
        <f>P127+P109+P102</f>
        <v>176</v>
      </c>
      <c r="R137" s="149">
        <f>R127+R109+R102</f>
        <v>120</v>
      </c>
      <c r="T137" s="149">
        <f>T127+T109+T102</f>
        <v>137</v>
      </c>
      <c r="V137" s="149">
        <f>V127+V109+V102</f>
        <v>286</v>
      </c>
      <c r="X137" s="149">
        <f>X127+X109+X102</f>
        <v>458</v>
      </c>
      <c r="Z137" s="149">
        <f>Z127+Z109+Z102</f>
        <v>1309</v>
      </c>
      <c r="AB137" s="149">
        <f>AB127+AB109+AB102</f>
        <v>2376</v>
      </c>
      <c r="AD137" s="139"/>
    </row>
    <row r="138" spans="3:31" s="136" customFormat="1" ht="10.199999999999999">
      <c r="C138" s="136">
        <v>2021</v>
      </c>
      <c r="F138" s="149">
        <f>F128+F110+F103</f>
        <v>2560</v>
      </c>
      <c r="H138" s="149">
        <f>H128+H110+H103</f>
        <v>2906</v>
      </c>
      <c r="J138" s="149">
        <f>J128+J110+J103</f>
        <v>1697</v>
      </c>
      <c r="L138" s="149">
        <f>L128+L110+L103</f>
        <v>850</v>
      </c>
      <c r="N138" s="149">
        <f>N128+N110+N103</f>
        <v>725.9</v>
      </c>
      <c r="P138" s="149">
        <f>P128+P110+P103</f>
        <v>270.2</v>
      </c>
      <c r="R138" s="149">
        <f>R128+R110+R103</f>
        <v>219.4</v>
      </c>
      <c r="T138" s="149">
        <f>T128+T110+T103</f>
        <v>254.2</v>
      </c>
      <c r="V138" s="149">
        <f>V128+V110+V103</f>
        <v>224.3</v>
      </c>
      <c r="X138" s="149">
        <f>X128+X110+X103</f>
        <v>591.29999999999995</v>
      </c>
      <c r="Z138" s="149">
        <f>Z128+Z110+Z103</f>
        <v>1793</v>
      </c>
      <c r="AB138" s="149">
        <f>AB128+AB110+AB103</f>
        <v>1888</v>
      </c>
      <c r="AD138" s="139">
        <f>SUM(F138:AB138)</f>
        <v>13979.3</v>
      </c>
    </row>
    <row r="139" spans="3:31" s="136" customFormat="1" ht="10.199999999999999">
      <c r="C139" s="136">
        <v>2022</v>
      </c>
      <c r="F139" s="149">
        <f>F129+F111</f>
        <v>1830.5855855855855</v>
      </c>
      <c r="H139" s="149">
        <f>H129+H111</f>
        <v>1656.198198198198</v>
      </c>
      <c r="J139" s="149">
        <f>J129+J111</f>
        <v>5527.0450450450444</v>
      </c>
      <c r="L139" s="149">
        <f>L129+L111</f>
        <v>502.27027027027026</v>
      </c>
      <c r="N139" s="149">
        <f>N129+N111</f>
        <v>437.27927927927925</v>
      </c>
      <c r="P139" s="149">
        <f>P129+P111</f>
        <v>269.1351351351351</v>
      </c>
      <c r="R139" s="149">
        <f>R129+R111</f>
        <v>420.80180180180179</v>
      </c>
      <c r="T139" s="149">
        <f>T129+T111</f>
        <v>402.28828828828824</v>
      </c>
      <c r="V139" s="149">
        <f>V129+V111</f>
        <v>718.16216216216208</v>
      </c>
      <c r="X139" s="149">
        <f>X129+X111</f>
        <v>982.88288288288277</v>
      </c>
      <c r="Z139" s="149">
        <f>Z129+Z111</f>
        <v>743.76576576576576</v>
      </c>
      <c r="AB139" s="149">
        <f>AB129+AB111</f>
        <v>1621.8378378378379</v>
      </c>
      <c r="AD139" s="139">
        <f>SUM(F139:AB139)</f>
        <v>15112.252252252249</v>
      </c>
    </row>
    <row r="140" spans="3:31" s="136" customFormat="1" ht="10.199999999999999">
      <c r="C140" s="136">
        <v>2023</v>
      </c>
      <c r="F140" s="149">
        <f>F130+F112</f>
        <v>863.63963963963965</v>
      </c>
      <c r="H140" s="149">
        <f>H130+H112</f>
        <v>611.12612612612611</v>
      </c>
      <c r="J140" s="149">
        <f>J130+J112</f>
        <v>1049.5585585585586</v>
      </c>
      <c r="L140" s="149">
        <f>L130+L112</f>
        <v>598.63963963963965</v>
      </c>
      <c r="N140" s="149">
        <f>N130+N112</f>
        <v>1567.3963963963963</v>
      </c>
      <c r="P140" s="149">
        <f>P130+P112</f>
        <v>1193.081081081081</v>
      </c>
      <c r="R140" s="149">
        <f>R130+R112</f>
        <v>1247.117117117117</v>
      </c>
      <c r="T140" s="149">
        <f>T130+T112</f>
        <v>474.83783783783781</v>
      </c>
      <c r="V140" s="149">
        <f>V130+V112</f>
        <v>517.25225225225222</v>
      </c>
      <c r="X140" s="149">
        <f>X130+X112</f>
        <v>580.20720720720715</v>
      </c>
      <c r="Z140" s="150">
        <f>Z130+Z112</f>
        <v>2023.8468468468468</v>
      </c>
      <c r="AA140" s="159"/>
      <c r="AB140" s="150">
        <f>AB130+AB112</f>
        <v>2567.9549549549547</v>
      </c>
      <c r="AD140" s="139">
        <f>SUM(F140:AB140)</f>
        <v>13294.657657657655</v>
      </c>
    </row>
    <row r="141" spans="3:31" s="136" customFormat="1" ht="10.199999999999999">
      <c r="C141" s="136">
        <v>2024</v>
      </c>
      <c r="F141" s="150">
        <f>F131+F113</f>
        <v>3512.6576576576576</v>
      </c>
      <c r="G141" s="159"/>
      <c r="H141" s="150">
        <f>H131+H113</f>
        <v>2740.6576576576572</v>
      </c>
      <c r="I141" s="159"/>
      <c r="J141" s="150">
        <f>J131+J113</f>
        <v>2473.8558558558557</v>
      </c>
      <c r="K141" s="159"/>
      <c r="L141" s="150">
        <f>L131+L113</f>
        <v>1094.6306306306305</v>
      </c>
      <c r="N141" s="149">
        <f>N131+N113</f>
        <v>962.21621621621614</v>
      </c>
      <c r="P141" s="149">
        <f>P131+P113</f>
        <v>558.83783783783781</v>
      </c>
      <c r="R141" s="149">
        <f>R131+R113</f>
        <v>328.30630630630628</v>
      </c>
      <c r="T141" s="149">
        <f>T131+T113</f>
        <v>454.51351351351349</v>
      </c>
      <c r="V141" s="149">
        <f>V131+V113</f>
        <v>425.18018018018017</v>
      </c>
      <c r="X141" s="149">
        <f>X131+X113</f>
        <v>900.96396396396392</v>
      </c>
      <c r="Z141" s="149">
        <f>Z131+Z113</f>
        <v>1442.9459459459458</v>
      </c>
      <c r="AB141" s="149">
        <f>AB131+AB113</f>
        <v>1682.198198198198</v>
      </c>
      <c r="AD141" s="139">
        <f>SUM(F141:AB141)</f>
        <v>16576.963963963964</v>
      </c>
    </row>
    <row r="142" spans="3:31" s="136" customFormat="1" ht="10.199999999999999">
      <c r="C142" s="136">
        <v>2025</v>
      </c>
      <c r="F142" s="149">
        <f>F132+F114</f>
        <v>1395.3873873873874</v>
      </c>
      <c r="G142" s="159"/>
      <c r="H142" s="149">
        <f>H132+H114</f>
        <v>2884.4954954954951</v>
      </c>
      <c r="I142" s="159"/>
      <c r="J142" s="149">
        <f>J132+J114</f>
        <v>2883.6036036036035</v>
      </c>
      <c r="K142" s="159"/>
      <c r="L142" s="149">
        <f>L132+L114</f>
        <v>2005.7297297297296</v>
      </c>
      <c r="N142" s="149">
        <f>N132+N114</f>
        <v>964.56756756756749</v>
      </c>
      <c r="P142" s="149">
        <f>P132+P114</f>
        <v>669.18918918918916</v>
      </c>
      <c r="R142" s="149">
        <f>R132+R114</f>
        <v>401.03603603603602</v>
      </c>
      <c r="T142" s="149">
        <f>T132+T114</f>
        <v>165</v>
      </c>
      <c r="V142" s="149">
        <f>V132+V114</f>
        <v>665.09009009009003</v>
      </c>
      <c r="X142" s="149">
        <f>X132+X114</f>
        <v>272</v>
      </c>
      <c r="Z142" s="149">
        <f>Z132+Z114</f>
        <v>1926.036036036036</v>
      </c>
      <c r="AB142" s="149">
        <f>AB132+AB114</f>
        <v>2207.036036036036</v>
      </c>
      <c r="AD142" s="139">
        <f>SUM(F142:AB142)</f>
        <v>16439.171171171172</v>
      </c>
    </row>
    <row r="143" spans="3:31" s="136" customFormat="1" ht="10.199999999999999">
      <c r="C143" s="136">
        <v>2026</v>
      </c>
      <c r="F143" s="149">
        <f>F133+F115</f>
        <v>3844.2972972972971</v>
      </c>
      <c r="G143" s="139"/>
      <c r="H143" s="146"/>
      <c r="I143" s="139"/>
      <c r="J143" s="146"/>
      <c r="K143" s="143"/>
      <c r="L143" s="146"/>
      <c r="M143" s="143"/>
      <c r="N143" s="146"/>
      <c r="O143" s="139"/>
      <c r="P143" s="146"/>
      <c r="Q143" s="143"/>
      <c r="R143" s="146"/>
      <c r="S143" s="146"/>
      <c r="T143" s="146"/>
      <c r="U143" s="146"/>
      <c r="V143" s="146"/>
      <c r="W143" s="146"/>
      <c r="X143" s="146"/>
      <c r="Y143" s="146"/>
      <c r="Z143" s="146"/>
      <c r="AA143" s="146"/>
      <c r="AB143" s="146"/>
      <c r="AC143" s="146"/>
    </row>
    <row r="144" spans="3:31" ht="7.35" customHeight="1">
      <c r="L144" s="108"/>
      <c r="T144" s="108"/>
      <c r="V144" s="108"/>
      <c r="X144" s="108"/>
    </row>
    <row r="145" spans="2:30" s="136" customFormat="1">
      <c r="C145" s="136" t="s">
        <v>169</v>
      </c>
      <c r="F145" s="170">
        <f>SUM(H142:$AB142)+SUM($F143:F143)</f>
        <v>18888.08108108108</v>
      </c>
    </row>
    <row r="146" spans="2:30" ht="7.35" customHeight="1">
      <c r="L146" s="108"/>
      <c r="T146" s="108"/>
      <c r="V146" s="108"/>
      <c r="X146" s="108"/>
    </row>
    <row r="147" spans="2:30">
      <c r="B147" s="133" t="s">
        <v>211</v>
      </c>
      <c r="C147" s="133"/>
      <c r="D147" s="133"/>
      <c r="E147" s="133"/>
      <c r="F147" s="133"/>
      <c r="G147" s="133"/>
      <c r="H147" s="133"/>
      <c r="I147" s="133"/>
      <c r="J147" s="133"/>
      <c r="K147" s="133"/>
      <c r="L147" s="133"/>
      <c r="M147" s="133"/>
      <c r="N147" s="133"/>
      <c r="O147" s="133"/>
      <c r="P147" s="133"/>
      <c r="Q147" s="133"/>
      <c r="R147" s="133"/>
      <c r="S147" s="133"/>
      <c r="T147" s="133"/>
      <c r="U147" s="133"/>
      <c r="V147" s="133"/>
      <c r="W147" s="133"/>
      <c r="X147" s="133"/>
      <c r="Y147" s="133"/>
      <c r="Z147" s="133"/>
      <c r="AA147" s="133"/>
      <c r="AB147" s="133"/>
      <c r="AC147" s="133"/>
    </row>
    <row r="148" spans="2:30">
      <c r="F148" s="108"/>
      <c r="G148" s="108"/>
      <c r="H148" s="108"/>
      <c r="I148" s="108"/>
      <c r="J148" s="108"/>
      <c r="K148" s="108"/>
      <c r="L148" s="108"/>
      <c r="M148" s="108"/>
      <c r="N148" s="108"/>
      <c r="O148" s="108"/>
      <c r="P148" s="108"/>
      <c r="Q148" s="108"/>
      <c r="R148" s="108"/>
      <c r="S148" s="108"/>
      <c r="T148" s="108"/>
      <c r="U148" s="108"/>
      <c r="V148" s="108"/>
      <c r="W148" s="108"/>
      <c r="X148" s="108"/>
      <c r="Y148" s="108"/>
      <c r="Z148" s="108"/>
      <c r="AA148" s="108"/>
      <c r="AB148" s="108"/>
      <c r="AC148" s="108"/>
    </row>
    <row r="149" spans="2:30">
      <c r="C149" s="129">
        <v>2020</v>
      </c>
      <c r="F149" s="108"/>
      <c r="G149" s="108"/>
      <c r="H149" s="108"/>
      <c r="I149" s="108"/>
      <c r="J149" s="108"/>
      <c r="K149" s="108"/>
      <c r="L149" s="108"/>
      <c r="M149" s="108"/>
      <c r="N149" s="168">
        <f t="shared" ref="N149:N154" si="44">N137+N90+N60</f>
        <v>8491.1707877647132</v>
      </c>
      <c r="O149" s="108"/>
      <c r="P149" s="168">
        <f t="shared" ref="P149:P154" si="45">P137+P90+P60</f>
        <v>7419.100516539851</v>
      </c>
      <c r="Q149" s="108"/>
      <c r="R149" s="168">
        <f t="shared" ref="R149:R154" si="46">R137+R90+R60</f>
        <v>6886.9887243775011</v>
      </c>
      <c r="S149" s="108"/>
      <c r="T149" s="168">
        <f t="shared" ref="T149:T154" si="47">T137+T90+T60</f>
        <v>6496.2084438085467</v>
      </c>
      <c r="U149" s="108"/>
      <c r="V149" s="168">
        <f t="shared" ref="V149:V154" si="48">V137+V90+V60</f>
        <v>7592.9885973558667</v>
      </c>
      <c r="W149" s="108"/>
      <c r="X149" s="168">
        <f t="shared" ref="X149:X154" si="49">X137+X90+X60</f>
        <v>10046.785077093264</v>
      </c>
      <c r="Y149" s="108"/>
      <c r="Z149" s="168">
        <f t="shared" ref="Z149:Z154" si="50">Z137+Z90+Z60</f>
        <v>14448.503300080187</v>
      </c>
      <c r="AA149" s="108"/>
      <c r="AB149" s="168">
        <f t="shared" ref="AB149:AB154" si="51">AB137+AB90+AB60</f>
        <v>19954.890454048185</v>
      </c>
      <c r="AC149" s="108"/>
      <c r="AD149" s="108">
        <f t="shared" ref="AD149:AD153" si="52">SUM(F149:AB149)</f>
        <v>81336.635901068119</v>
      </c>
    </row>
    <row r="150" spans="2:30">
      <c r="C150" s="129">
        <v>2021</v>
      </c>
      <c r="F150" s="168">
        <f t="shared" ref="F150:F155" si="53">F138+F91+F61</f>
        <v>15556.585119453011</v>
      </c>
      <c r="G150" s="108"/>
      <c r="H150" s="168">
        <f>H138+H91+H61</f>
        <v>16425.926032210547</v>
      </c>
      <c r="I150" s="108"/>
      <c r="J150" s="168">
        <f>J138+J91+J61</f>
        <v>15407.438645071685</v>
      </c>
      <c r="K150" s="108"/>
      <c r="L150" s="168">
        <f>L138+L91+L61</f>
        <v>11888.517719733416</v>
      </c>
      <c r="M150" s="108"/>
      <c r="N150" s="168">
        <f t="shared" si="44"/>
        <v>10535.6780252803</v>
      </c>
      <c r="O150" s="108"/>
      <c r="P150" s="168">
        <f t="shared" si="45"/>
        <v>7620.9013320942495</v>
      </c>
      <c r="Q150" s="108"/>
      <c r="R150" s="168">
        <f t="shared" si="46"/>
        <v>4118.4637004880524</v>
      </c>
      <c r="S150" s="108"/>
      <c r="T150" s="168">
        <f t="shared" si="47"/>
        <v>2814.3914765085074</v>
      </c>
      <c r="U150" s="108"/>
      <c r="V150" s="168">
        <f t="shared" si="48"/>
        <v>2516.1339682300686</v>
      </c>
      <c r="W150" s="108"/>
      <c r="X150" s="168">
        <f t="shared" si="49"/>
        <v>4165.5143827857055</v>
      </c>
      <c r="Y150" s="108"/>
      <c r="Z150" s="168">
        <f t="shared" si="50"/>
        <v>9243.8795215819646</v>
      </c>
      <c r="AA150" s="108"/>
      <c r="AB150" s="168">
        <f t="shared" si="51"/>
        <v>7549.5342272729604</v>
      </c>
      <c r="AC150" s="108"/>
      <c r="AD150" s="108">
        <f t="shared" si="52"/>
        <v>107842.96415071048</v>
      </c>
    </row>
    <row r="151" spans="2:30">
      <c r="C151" s="129">
        <v>2022</v>
      </c>
      <c r="F151" s="168">
        <f t="shared" si="53"/>
        <v>14658.457567929247</v>
      </c>
      <c r="G151" s="108"/>
      <c r="H151" s="168">
        <f>H139+H92+H62</f>
        <v>10116.513614402456</v>
      </c>
      <c r="I151" s="108"/>
      <c r="J151" s="168">
        <f>J139+J92+J62</f>
        <v>11639.391143287923</v>
      </c>
      <c r="K151" s="108"/>
      <c r="L151" s="168">
        <f>L139+L92+L62</f>
        <v>5352.436748507369</v>
      </c>
      <c r="M151" s="108"/>
      <c r="N151" s="168">
        <f t="shared" si="44"/>
        <v>3342.7702580353957</v>
      </c>
      <c r="O151" s="108"/>
      <c r="P151" s="168">
        <f t="shared" si="45"/>
        <v>2435.1120959579189</v>
      </c>
      <c r="Q151" s="108"/>
      <c r="R151" s="168">
        <f t="shared" si="46"/>
        <v>2711.9607473772512</v>
      </c>
      <c r="S151" s="108"/>
      <c r="T151" s="168">
        <f t="shared" si="47"/>
        <v>2559.5975991776054</v>
      </c>
      <c r="U151" s="108"/>
      <c r="V151" s="168">
        <f t="shared" si="48"/>
        <v>3454.7032892027237</v>
      </c>
      <c r="W151" s="108"/>
      <c r="X151" s="168">
        <f t="shared" si="49"/>
        <v>5700.63516202962</v>
      </c>
      <c r="Y151" s="108"/>
      <c r="Z151" s="168">
        <f t="shared" si="50"/>
        <v>6845.4684786657617</v>
      </c>
      <c r="AA151" s="108"/>
      <c r="AB151" s="168">
        <f t="shared" si="51"/>
        <v>10692.912447428413</v>
      </c>
      <c r="AC151" s="108"/>
      <c r="AD151" s="108">
        <f t="shared" si="52"/>
        <v>79509.959152001684</v>
      </c>
    </row>
    <row r="152" spans="2:30">
      <c r="C152" s="129">
        <v>2023</v>
      </c>
      <c r="F152" s="168">
        <f t="shared" si="53"/>
        <v>7883.0375839735389</v>
      </c>
      <c r="G152" s="108"/>
      <c r="H152" s="168">
        <f>H140+H93+H63</f>
        <v>5945.7431050219311</v>
      </c>
      <c r="I152" s="108"/>
      <c r="J152" s="168">
        <f>J140+J93+J63</f>
        <v>8233.1902664630361</v>
      </c>
      <c r="K152" s="108"/>
      <c r="L152" s="168">
        <f>L140+L93+L63</f>
        <v>4092.275218938551</v>
      </c>
      <c r="M152" s="108"/>
      <c r="N152" s="168">
        <f t="shared" si="44"/>
        <v>4392.8451985713518</v>
      </c>
      <c r="O152" s="108"/>
      <c r="P152" s="168">
        <f t="shared" si="45"/>
        <v>3386.6565939854672</v>
      </c>
      <c r="Q152" s="108"/>
      <c r="R152" s="168">
        <f t="shared" si="46"/>
        <v>2988.5235885851216</v>
      </c>
      <c r="S152" s="108"/>
      <c r="T152" s="168">
        <f t="shared" si="47"/>
        <v>2488.9346801031425</v>
      </c>
      <c r="U152" s="108"/>
      <c r="V152" s="168">
        <f t="shared" si="48"/>
        <v>2323.0243838758979</v>
      </c>
      <c r="W152" s="108"/>
      <c r="X152" s="168">
        <f t="shared" si="49"/>
        <v>3628.0383028524393</v>
      </c>
      <c r="Y152" s="108"/>
      <c r="Z152" s="168">
        <f t="shared" si="50"/>
        <v>9856.9539744365284</v>
      </c>
      <c r="AA152" s="108"/>
      <c r="AB152" s="168">
        <f t="shared" si="51"/>
        <v>10422.212945878407</v>
      </c>
      <c r="AC152" s="108"/>
      <c r="AD152" s="108">
        <f t="shared" si="52"/>
        <v>65641.435842685401</v>
      </c>
    </row>
    <row r="153" spans="2:30">
      <c r="C153" s="129">
        <v>2024</v>
      </c>
      <c r="F153" s="168">
        <f t="shared" si="53"/>
        <v>12174.685932869721</v>
      </c>
      <c r="G153" s="108"/>
      <c r="H153" s="168">
        <f>H141+H94+H64</f>
        <v>10024.982028011347</v>
      </c>
      <c r="I153" s="108"/>
      <c r="J153" s="168">
        <f>J141+J94+J64</f>
        <v>7437.1453056238843</v>
      </c>
      <c r="K153" s="108"/>
      <c r="L153" s="168">
        <f>L141+L94+L64</f>
        <v>4825.5541948198197</v>
      </c>
      <c r="M153" s="108"/>
      <c r="N153" s="168">
        <f t="shared" si="44"/>
        <v>4074.5947057406961</v>
      </c>
      <c r="O153" s="108"/>
      <c r="P153" s="168">
        <f t="shared" si="45"/>
        <v>3801.4421679362576</v>
      </c>
      <c r="Q153" s="108"/>
      <c r="R153" s="168">
        <f t="shared" si="46"/>
        <v>5707.4015996990156</v>
      </c>
      <c r="S153" s="108"/>
      <c r="T153" s="168">
        <f t="shared" si="47"/>
        <v>6098.4199181125587</v>
      </c>
      <c r="U153" s="108"/>
      <c r="V153" s="168">
        <f t="shared" si="48"/>
        <v>9759.961896965433</v>
      </c>
      <c r="W153" s="108"/>
      <c r="X153" s="168">
        <f t="shared" si="49"/>
        <v>11009.678506494005</v>
      </c>
      <c r="Y153" s="108"/>
      <c r="Z153" s="168">
        <f t="shared" si="50"/>
        <v>10160.058211166652</v>
      </c>
      <c r="AA153" s="108"/>
      <c r="AB153" s="168">
        <f t="shared" si="51"/>
        <v>10165.736265673368</v>
      </c>
      <c r="AC153" s="108"/>
      <c r="AD153" s="108">
        <f t="shared" si="52"/>
        <v>95239.660733112745</v>
      </c>
    </row>
    <row r="154" spans="2:30">
      <c r="C154" s="129">
        <v>2025</v>
      </c>
      <c r="F154" s="168">
        <f t="shared" si="53"/>
        <v>13861.992564380005</v>
      </c>
      <c r="G154" s="108"/>
      <c r="H154" s="168">
        <f>H142+H95+H65</f>
        <v>11015.655777475866</v>
      </c>
      <c r="I154" s="108"/>
      <c r="J154" s="168">
        <f>J142+J95+J65</f>
        <v>11092.137754642426</v>
      </c>
      <c r="K154" s="108"/>
      <c r="L154" s="168">
        <f>L142+L95+L65</f>
        <v>9574.5257334078524</v>
      </c>
      <c r="M154" s="108"/>
      <c r="N154" s="168">
        <f t="shared" si="44"/>
        <v>7728.9809485175338</v>
      </c>
      <c r="O154" s="108"/>
      <c r="P154" s="168">
        <f t="shared" si="45"/>
        <v>7957.4144108186183</v>
      </c>
      <c r="Q154" s="108"/>
      <c r="R154" s="168">
        <f t="shared" si="46"/>
        <v>6368.4752673276289</v>
      </c>
      <c r="S154" s="108"/>
      <c r="T154" s="168">
        <f t="shared" si="47"/>
        <v>6056.1044734574143</v>
      </c>
      <c r="U154" s="108"/>
      <c r="V154" s="168">
        <f t="shared" si="48"/>
        <v>5957.9811322260575</v>
      </c>
      <c r="W154" s="108"/>
      <c r="X154" s="168">
        <f t="shared" si="49"/>
        <v>6205.1743050404266</v>
      </c>
      <c r="Y154" s="108"/>
      <c r="Z154" s="168">
        <f t="shared" si="50"/>
        <v>8113.9036036036032</v>
      </c>
      <c r="AA154" s="108"/>
      <c r="AB154" s="168">
        <f t="shared" si="51"/>
        <v>12915.364684684684</v>
      </c>
      <c r="AC154" s="108"/>
      <c r="AD154" s="108">
        <f>SUM(F154:AB154)</f>
        <v>106847.71065558211</v>
      </c>
    </row>
    <row r="155" spans="2:30">
      <c r="C155" s="129">
        <v>2026</v>
      </c>
      <c r="F155" s="168">
        <f t="shared" si="53"/>
        <v>12480.742432432431</v>
      </c>
      <c r="G155" s="108"/>
      <c r="H155" s="108"/>
      <c r="I155" s="108"/>
      <c r="J155" s="108"/>
      <c r="K155" s="108"/>
      <c r="L155" s="108"/>
      <c r="M155" s="108"/>
      <c r="N155" s="108"/>
      <c r="O155" s="108"/>
      <c r="P155" s="108"/>
      <c r="Q155" s="108"/>
      <c r="R155" s="108"/>
      <c r="S155" s="108"/>
      <c r="T155" s="108"/>
      <c r="U155" s="108"/>
      <c r="V155" s="108"/>
      <c r="W155" s="108"/>
      <c r="X155" s="108"/>
      <c r="Y155" s="108"/>
      <c r="Z155" s="108"/>
      <c r="AA155" s="108"/>
      <c r="AB155" s="108"/>
      <c r="AC155" s="108"/>
      <c r="AD155" s="108"/>
    </row>
    <row r="157" spans="2:30">
      <c r="C157" s="129" t="s">
        <v>169</v>
      </c>
      <c r="F157" s="168">
        <f>SUM(H154:$AB154)+SUM($F155:F155)</f>
        <v>105466.46052363454</v>
      </c>
      <c r="H157" s="168">
        <f>SUM(J153:$AB153)+SUM($F154:H154)</f>
        <v>97917.641114087572</v>
      </c>
      <c r="J157" s="168">
        <f>SUM(L153:$AB153)+SUM($F154:J154)</f>
        <v>101572.63356310611</v>
      </c>
      <c r="L157" s="168">
        <f>SUM(N153:$AB153)+SUM($F154:L154)</f>
        <v>106321.60510169413</v>
      </c>
      <c r="N157" s="168">
        <f>SUM(P153:$AB153)+SUM($F154:N154)</f>
        <v>109975.99134447097</v>
      </c>
      <c r="P157" s="168">
        <f>SUM(R153:$AB153)+SUM($F154:P154)</f>
        <v>114131.96358735333</v>
      </c>
      <c r="R157" s="168">
        <f>SUM(T153:$AB153)+SUM($F154:R154)</f>
        <v>114793.03725498193</v>
      </c>
      <c r="T157" s="168">
        <f>SUM(V153:$AB153)+SUM($F154:T154)</f>
        <v>114750.7218103268</v>
      </c>
      <c r="V157" s="168">
        <f>SUM(X153:$AB153)+SUM($F154:V154)</f>
        <v>110948.74104558742</v>
      </c>
      <c r="X157" s="168">
        <f>SUM(Z153:$AB153)+SUM($F154:X154)</f>
        <v>106144.23684413385</v>
      </c>
      <c r="Z157" s="168">
        <f>SUM(AB153:$AB153)+SUM($F154:Z154)</f>
        <v>104098.0822365708</v>
      </c>
      <c r="AB157" s="168">
        <f>SUM(F154:AB154)</f>
        <v>106847.71065558211</v>
      </c>
    </row>
    <row r="158" spans="2:30">
      <c r="F158" s="108"/>
      <c r="H158" s="108"/>
      <c r="J158" s="108"/>
      <c r="L158" s="108"/>
      <c r="N158" s="108"/>
    </row>
  </sheetData>
  <pageMargins left="0.5" right="0.5" top="0.75" bottom="0.75" header="0.5" footer="0.5"/>
  <pageSetup scale="44" orientation="portrait" blackAndWhite="1" r:id="rId1"/>
  <headerFooter>
    <oddHeader>&amp;C&amp;"Arial,Bold"Sales History&amp;"Arial,Regular"
&amp;R&amp;"Arial,Bold"Navitas KY NG, LLC</oddHeader>
    <oddFooter>&amp;L&amp;F&amp;C&amp;A&amp;R&amp;D&amp;T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G21"/>
  <sheetViews>
    <sheetView workbookViewId="0">
      <selection activeCell="E10" sqref="E10"/>
    </sheetView>
  </sheetViews>
  <sheetFormatPr defaultRowHeight="13.2"/>
  <cols>
    <col min="1" max="1" width="1.5546875" customWidth="1"/>
    <col min="2" max="2" width="51.44140625" customWidth="1"/>
    <col min="3" max="3" width="12.88671875" customWidth="1"/>
    <col min="4" max="4" width="11.88671875" customWidth="1"/>
    <col min="5" max="5" width="15.109375" bestFit="1" customWidth="1"/>
    <col min="6" max="6" width="1.5546875" customWidth="1"/>
    <col min="7" max="7" width="15.109375" bestFit="1" customWidth="1"/>
  </cols>
  <sheetData>
    <row r="1" spans="2:7" ht="15">
      <c r="B1" s="1"/>
      <c r="C1" s="1"/>
      <c r="D1" s="1"/>
      <c r="E1" s="1"/>
    </row>
    <row r="2" spans="2:7" ht="15">
      <c r="B2" s="1"/>
      <c r="C2" s="1"/>
      <c r="D2" s="1"/>
      <c r="E2" s="1"/>
    </row>
    <row r="3" spans="2:7" ht="15">
      <c r="B3" s="1"/>
      <c r="C3" s="1"/>
      <c r="D3" s="1"/>
      <c r="E3" s="1"/>
      <c r="G3" s="1"/>
    </row>
    <row r="4" spans="2:7" ht="15">
      <c r="B4" s="284" t="s">
        <v>81</v>
      </c>
      <c r="C4" s="284"/>
      <c r="D4" s="284"/>
      <c r="E4" s="284"/>
      <c r="F4" s="1"/>
      <c r="G4" s="1"/>
    </row>
    <row r="5" spans="2:7" ht="15">
      <c r="B5" s="1"/>
      <c r="C5" s="1"/>
      <c r="D5" s="1"/>
      <c r="E5" s="1"/>
      <c r="F5" s="1"/>
      <c r="G5" s="1"/>
    </row>
    <row r="6" spans="2:7" ht="15">
      <c r="B6" s="284" t="s">
        <v>74</v>
      </c>
      <c r="C6" s="284"/>
      <c r="D6" s="284"/>
      <c r="E6" s="284"/>
      <c r="F6" s="1"/>
      <c r="G6" s="1"/>
    </row>
    <row r="7" spans="2:7" ht="15">
      <c r="B7" s="1"/>
      <c r="C7" s="1"/>
      <c r="D7" s="1"/>
      <c r="E7" s="1"/>
      <c r="F7" s="1"/>
      <c r="G7" s="1"/>
    </row>
    <row r="8" spans="2:7">
      <c r="B8" s="20" t="s">
        <v>75</v>
      </c>
      <c r="C8" s="20"/>
      <c r="D8" s="20" t="s">
        <v>3</v>
      </c>
      <c r="E8" s="20" t="s">
        <v>4</v>
      </c>
    </row>
    <row r="10" spans="2:7">
      <c r="B10" t="s">
        <v>76</v>
      </c>
      <c r="C10" s="20"/>
      <c r="D10" s="20" t="s">
        <v>64</v>
      </c>
      <c r="E10" s="31">
        <v>0</v>
      </c>
    </row>
    <row r="11" spans="2:7">
      <c r="B11" t="s">
        <v>77</v>
      </c>
      <c r="C11" s="20"/>
      <c r="E11" s="31"/>
    </row>
    <row r="12" spans="2:7">
      <c r="B12" t="s">
        <v>78</v>
      </c>
      <c r="C12" s="20"/>
      <c r="D12" s="20" t="s">
        <v>64</v>
      </c>
      <c r="E12" s="22">
        <f>E10*E11</f>
        <v>0</v>
      </c>
    </row>
    <row r="13" spans="2:7">
      <c r="B13" t="s">
        <v>79</v>
      </c>
      <c r="C13" s="20"/>
      <c r="D13" s="20" t="s">
        <v>46</v>
      </c>
      <c r="E13" s="23">
        <v>1</v>
      </c>
    </row>
    <row r="14" spans="2:7" ht="13.8" thickBot="1">
      <c r="B14" s="24" t="s">
        <v>80</v>
      </c>
      <c r="C14" s="25"/>
      <c r="D14" s="24"/>
      <c r="E14" s="24">
        <f>ROUND(E12/E13,4)</f>
        <v>0</v>
      </c>
    </row>
    <row r="15" spans="2:7" ht="13.8" thickTop="1">
      <c r="C15" s="20"/>
      <c r="E15" s="22"/>
    </row>
    <row r="16" spans="2:7">
      <c r="C16" s="20"/>
      <c r="E16" s="22"/>
    </row>
    <row r="17" spans="3:5">
      <c r="C17" s="20"/>
      <c r="E17" s="22"/>
    </row>
    <row r="18" spans="3:5">
      <c r="C18" s="20"/>
      <c r="E18" s="22"/>
    </row>
    <row r="19" spans="3:5">
      <c r="E19" s="22"/>
    </row>
    <row r="20" spans="3:5">
      <c r="E20" s="22"/>
    </row>
    <row r="21" spans="3:5">
      <c r="E21" s="22"/>
    </row>
  </sheetData>
  <mergeCells count="2">
    <mergeCell ref="B4:E4"/>
    <mergeCell ref="B6:E6"/>
  </mergeCells>
  <phoneticPr fontId="5" type="noConversion"/>
  <pageMargins left="0.75" right="0.75" top="1" bottom="1" header="0.5" footer="0.5"/>
  <pageSetup scale="99" orientation="portrait" r:id="rId1"/>
  <headerFooter alignWithMargins="0">
    <oddFooter>&amp;LNavitas KYNG, LLC&amp;C&amp;F&amp;R&amp;D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Cvr Sht</vt:lpstr>
      <vt:lpstr>Sch I Summary</vt:lpstr>
      <vt:lpstr>Sch II ECG</vt:lpstr>
      <vt:lpstr>Sch IV AA</vt:lpstr>
      <vt:lpstr>Sch V BA</vt:lpstr>
      <vt:lpstr>AA BA Ladder</vt:lpstr>
      <vt:lpstr>Sales</vt:lpstr>
      <vt:lpstr>Purchases</vt:lpstr>
      <vt:lpstr>Sch III Sup. Ref.</vt:lpstr>
      <vt:lpstr>'Sch I Summary'!Print_Area</vt:lpstr>
      <vt:lpstr>'Sch II ECG'!Print_Area</vt:lpstr>
      <vt:lpstr>'Sch III Sup. Ref.'!Print_Area</vt:lpstr>
      <vt:lpstr>'Sch IV AA'!Print_Area</vt:lpstr>
    </vt:vector>
  </TitlesOfParts>
  <Company>Kentucky Public Service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McGee</dc:creator>
  <cp:lastModifiedBy>Thomas Hartline</cp:lastModifiedBy>
  <cp:lastPrinted>2026-03-31T00:04:41Z</cp:lastPrinted>
  <dcterms:created xsi:type="dcterms:W3CDTF">2006-10-26T17:11:15Z</dcterms:created>
  <dcterms:modified xsi:type="dcterms:W3CDTF">2026-03-31T00:05:04Z</dcterms:modified>
</cp:coreProperties>
</file>