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vitasutility-my.sharepoint.com/personal/thartline_navitasutility_com/Documents/Desktop/"/>
    </mc:Choice>
  </mc:AlternateContent>
  <xr:revisionPtr revIDLastSave="6" documentId="8_{3015BC55-91AF-444A-AAA7-F692C11FDF9D}" xr6:coauthVersionLast="47" xr6:coauthVersionMax="47" xr10:uidLastSave="{52FB0584-C910-4786-A861-8EADC7254035}"/>
  <bookViews>
    <workbookView xWindow="-96" yWindow="-96" windowWidth="23232" windowHeight="12432" xr2:uid="{D20B5CB7-BC60-4619-B13D-519A29936CB4}"/>
  </bookViews>
  <sheets>
    <sheet name="EMER" sheetId="2" r:id="rId1"/>
    <sheet name="Prior" sheetId="3" r:id="rId2"/>
    <sheet name="Flow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2" i="2" l="1"/>
  <c r="N62" i="3"/>
  <c r="N64" i="2" s="1"/>
  <c r="L60" i="3"/>
  <c r="J60" i="3"/>
  <c r="H60" i="3"/>
  <c r="F60" i="3"/>
  <c r="L58" i="3"/>
  <c r="J58" i="3"/>
  <c r="H58" i="3"/>
  <c r="F58" i="3"/>
  <c r="N57" i="3" s="1"/>
  <c r="N59" i="2" s="1"/>
  <c r="L65" i="3"/>
  <c r="J65" i="3"/>
  <c r="H65" i="3"/>
  <c r="F65" i="3"/>
  <c r="L63" i="3"/>
  <c r="J63" i="3"/>
  <c r="H63" i="3"/>
  <c r="F63" i="3"/>
  <c r="L55" i="3"/>
  <c r="J55" i="3"/>
  <c r="H55" i="3"/>
  <c r="F55" i="3"/>
  <c r="L53" i="3"/>
  <c r="J53" i="3"/>
  <c r="H53" i="3"/>
  <c r="F53" i="3"/>
  <c r="N52" i="3" s="1"/>
  <c r="N54" i="2" s="1"/>
  <c r="L50" i="3"/>
  <c r="L48" i="3"/>
  <c r="J50" i="3"/>
  <c r="J48" i="3"/>
  <c r="H50" i="3"/>
  <c r="H48" i="3"/>
  <c r="F50" i="3"/>
  <c r="F48" i="3"/>
  <c r="N47" i="3" s="1"/>
  <c r="N49" i="2" s="1"/>
  <c r="L44" i="3"/>
  <c r="J44" i="3"/>
  <c r="H44" i="3"/>
  <c r="F44" i="3"/>
  <c r="L42" i="3"/>
  <c r="J42" i="3"/>
  <c r="H42" i="3"/>
  <c r="F42" i="3"/>
  <c r="N41" i="3" s="1"/>
  <c r="N43" i="2" s="1"/>
  <c r="L39" i="3"/>
  <c r="L16" i="3" s="1"/>
  <c r="L37" i="3"/>
  <c r="L14" i="3" s="1"/>
  <c r="J39" i="3"/>
  <c r="J37" i="3"/>
  <c r="H39" i="3"/>
  <c r="H16" i="3" s="1"/>
  <c r="H37" i="3"/>
  <c r="H14" i="3" s="1"/>
  <c r="F39" i="3"/>
  <c r="F16" i="3" s="1"/>
  <c r="F37" i="3"/>
  <c r="N36" i="3" s="1"/>
  <c r="N38" i="2" s="1"/>
  <c r="L34" i="3"/>
  <c r="L32" i="3"/>
  <c r="J34" i="3"/>
  <c r="J32" i="3"/>
  <c r="H34" i="3"/>
  <c r="H32" i="3"/>
  <c r="F34" i="3"/>
  <c r="F32" i="3"/>
  <c r="N31" i="3" s="1"/>
  <c r="N33" i="2" s="1"/>
  <c r="L29" i="3"/>
  <c r="L6" i="3" s="1"/>
  <c r="L27" i="3"/>
  <c r="L4" i="3" s="1"/>
  <c r="J29" i="3"/>
  <c r="J27" i="3"/>
  <c r="H29" i="3"/>
  <c r="H27" i="3"/>
  <c r="F29" i="3"/>
  <c r="F27" i="3"/>
  <c r="N26" i="3" s="1"/>
  <c r="N28" i="2" s="1"/>
  <c r="L21" i="3"/>
  <c r="J21" i="3"/>
  <c r="H21" i="3"/>
  <c r="F21" i="3"/>
  <c r="L19" i="3"/>
  <c r="J19" i="3"/>
  <c r="H19" i="3"/>
  <c r="F19" i="3"/>
  <c r="J16" i="3"/>
  <c r="J14" i="3"/>
  <c r="F14" i="3"/>
  <c r="L11" i="3"/>
  <c r="J11" i="3"/>
  <c r="H11" i="3"/>
  <c r="F11" i="3"/>
  <c r="L9" i="3"/>
  <c r="J9" i="3"/>
  <c r="H9" i="3"/>
  <c r="F9" i="3"/>
  <c r="J6" i="3"/>
  <c r="F6" i="3"/>
  <c r="J4" i="3"/>
  <c r="L61" i="2"/>
  <c r="J61" i="2"/>
  <c r="H61" i="2"/>
  <c r="F61" i="2"/>
  <c r="L59" i="2"/>
  <c r="J59" i="2"/>
  <c r="H59" i="2"/>
  <c r="F59" i="2"/>
  <c r="N58" i="2" s="1"/>
  <c r="L66" i="2"/>
  <c r="J66" i="2"/>
  <c r="H66" i="2"/>
  <c r="F66" i="2"/>
  <c r="L64" i="2"/>
  <c r="J64" i="2"/>
  <c r="H64" i="2"/>
  <c r="F64" i="2"/>
  <c r="N63" i="2" s="1"/>
  <c r="L38" i="2"/>
  <c r="L14" i="2" s="1"/>
  <c r="J38" i="2"/>
  <c r="J14" i="2" s="1"/>
  <c r="H38" i="2"/>
  <c r="H14" i="2" s="1"/>
  <c r="F38" i="2"/>
  <c r="L45" i="2"/>
  <c r="L21" i="2" s="1"/>
  <c r="J45" i="2"/>
  <c r="J21" i="2" s="1"/>
  <c r="H45" i="2"/>
  <c r="H21" i="2" s="1"/>
  <c r="F45" i="2"/>
  <c r="F21" i="2" s="1"/>
  <c r="L43" i="2"/>
  <c r="L19" i="2" s="1"/>
  <c r="J43" i="2"/>
  <c r="J19" i="2" s="1"/>
  <c r="H43" i="2"/>
  <c r="H19" i="2" s="1"/>
  <c r="F43" i="2"/>
  <c r="L40" i="2"/>
  <c r="L16" i="2" s="1"/>
  <c r="J40" i="2"/>
  <c r="J16" i="2" s="1"/>
  <c r="H40" i="2"/>
  <c r="H16" i="2" s="1"/>
  <c r="F40" i="2"/>
  <c r="F16" i="2" s="1"/>
  <c r="L56" i="2"/>
  <c r="L54" i="2"/>
  <c r="J56" i="2"/>
  <c r="J54" i="2"/>
  <c r="H56" i="2"/>
  <c r="H54" i="2"/>
  <c r="F54" i="2"/>
  <c r="N53" i="2" s="1"/>
  <c r="F56" i="2"/>
  <c r="L35" i="2"/>
  <c r="L33" i="2"/>
  <c r="L9" i="2" s="1"/>
  <c r="J35" i="2"/>
  <c r="J11" i="2" s="1"/>
  <c r="J33" i="2"/>
  <c r="J9" i="2" s="1"/>
  <c r="H35" i="2"/>
  <c r="H11" i="2" s="1"/>
  <c r="H33" i="2"/>
  <c r="H9" i="2" s="1"/>
  <c r="F35" i="2"/>
  <c r="F11" i="2" s="1"/>
  <c r="F33" i="2"/>
  <c r="L51" i="2"/>
  <c r="J51" i="2"/>
  <c r="H51" i="2"/>
  <c r="F51" i="2"/>
  <c r="L49" i="2"/>
  <c r="J49" i="2"/>
  <c r="H49" i="2"/>
  <c r="F49" i="2"/>
  <c r="N48" i="2" s="1"/>
  <c r="L30" i="2"/>
  <c r="L6" i="2" s="1"/>
  <c r="J30" i="2"/>
  <c r="J6" i="2" s="1"/>
  <c r="H30" i="2"/>
  <c r="F30" i="2"/>
  <c r="F6" i="2" s="1"/>
  <c r="L28" i="2"/>
  <c r="L4" i="2" s="1"/>
  <c r="J28" i="2"/>
  <c r="J4" i="2" s="1"/>
  <c r="J22" i="2" s="1"/>
  <c r="H28" i="2"/>
  <c r="H4" i="2" s="1"/>
  <c r="F28" i="2"/>
  <c r="L64" i="1"/>
  <c r="J64" i="1"/>
  <c r="H64" i="1"/>
  <c r="F64" i="1"/>
  <c r="L63" i="1"/>
  <c r="J63" i="1"/>
  <c r="H63" i="1"/>
  <c r="F63" i="1"/>
  <c r="L62" i="1"/>
  <c r="J62" i="1"/>
  <c r="H62" i="1"/>
  <c r="F62" i="1"/>
  <c r="L59" i="1"/>
  <c r="J59" i="1"/>
  <c r="H59" i="1"/>
  <c r="F59" i="1"/>
  <c r="L58" i="1"/>
  <c r="J58" i="1"/>
  <c r="H58" i="1"/>
  <c r="F58" i="1"/>
  <c r="L57" i="1"/>
  <c r="J57" i="1"/>
  <c r="H57" i="1"/>
  <c r="F57" i="1"/>
  <c r="L54" i="1"/>
  <c r="J54" i="1"/>
  <c r="H54" i="1"/>
  <c r="F54" i="1"/>
  <c r="L53" i="1"/>
  <c r="J53" i="1"/>
  <c r="H53" i="1"/>
  <c r="F53" i="1"/>
  <c r="L52" i="1"/>
  <c r="J52" i="1"/>
  <c r="H52" i="1"/>
  <c r="F52" i="1"/>
  <c r="L49" i="1"/>
  <c r="L48" i="1"/>
  <c r="L47" i="1"/>
  <c r="J49" i="1"/>
  <c r="J48" i="1"/>
  <c r="J47" i="1"/>
  <c r="H49" i="1"/>
  <c r="H48" i="1"/>
  <c r="H47" i="1"/>
  <c r="F49" i="1"/>
  <c r="F48" i="1"/>
  <c r="F47" i="1"/>
  <c r="L38" i="1"/>
  <c r="L37" i="1"/>
  <c r="L36" i="1"/>
  <c r="J38" i="1"/>
  <c r="J37" i="1"/>
  <c r="J36" i="1"/>
  <c r="H37" i="1"/>
  <c r="H36" i="1"/>
  <c r="F36" i="1"/>
  <c r="F37" i="1"/>
  <c r="N65" i="2" l="1"/>
  <c r="N66" i="2" s="1"/>
  <c r="N60" i="2"/>
  <c r="N61" i="2" s="1"/>
  <c r="N55" i="2"/>
  <c r="N56" i="2" s="1"/>
  <c r="N50" i="2"/>
  <c r="N51" i="2" s="1"/>
  <c r="L11" i="2"/>
  <c r="L22" i="2" s="1"/>
  <c r="H6" i="2"/>
  <c r="H22" i="2" s="1"/>
  <c r="F14" i="2"/>
  <c r="N37" i="2"/>
  <c r="N39" i="2" s="1"/>
  <c r="N40" i="2" s="1"/>
  <c r="F19" i="2"/>
  <c r="N42" i="2"/>
  <c r="N44" i="2" s="1"/>
  <c r="N45" i="2" s="1"/>
  <c r="F9" i="2"/>
  <c r="N32" i="2"/>
  <c r="N34" i="2" s="1"/>
  <c r="N35" i="2" s="1"/>
  <c r="F4" i="2"/>
  <c r="F22" i="2" s="1"/>
  <c r="N27" i="2"/>
  <c r="N29" i="2" s="1"/>
  <c r="N30" i="2" s="1"/>
  <c r="H6" i="3"/>
  <c r="H4" i="3"/>
  <c r="F4" i="3"/>
  <c r="F22" i="3" s="1"/>
  <c r="F23" i="2" s="1"/>
  <c r="H22" i="3"/>
  <c r="H23" i="2" s="1"/>
  <c r="H24" i="2" s="1"/>
  <c r="H25" i="2" s="1"/>
  <c r="L22" i="3"/>
  <c r="L23" i="2" s="1"/>
  <c r="L24" i="2" s="1"/>
  <c r="L25" i="2" s="1"/>
  <c r="J22" i="3"/>
  <c r="J23" i="2" s="1"/>
  <c r="J24" i="2" s="1"/>
  <c r="J25" i="2" s="1"/>
  <c r="F24" i="2" l="1"/>
  <c r="F25" i="2" s="1"/>
  <c r="N23" i="2"/>
  <c r="N24" i="2" s="1"/>
  <c r="N25" i="2" s="1"/>
</calcChain>
</file>

<file path=xl/sharedStrings.xml><?xml version="1.0" encoding="utf-8"?>
<sst xmlns="http://schemas.openxmlformats.org/spreadsheetml/2006/main" count="170" uniqueCount="17">
  <si>
    <t>Residential</t>
  </si>
  <si>
    <t>Meters</t>
  </si>
  <si>
    <t>Users</t>
  </si>
  <si>
    <t>Flow</t>
  </si>
  <si>
    <t>Commercial</t>
  </si>
  <si>
    <t>Industrial</t>
  </si>
  <si>
    <t>Agricultural</t>
  </si>
  <si>
    <t>Usage Month:</t>
  </si>
  <si>
    <t>JAN</t>
  </si>
  <si>
    <t>FEB</t>
  </si>
  <si>
    <t>MAR</t>
  </si>
  <si>
    <t>APR</t>
  </si>
  <si>
    <t>Kentucky</t>
  </si>
  <si>
    <t>Clinton County</t>
  </si>
  <si>
    <t>Floyd &amp; Johnson County</t>
  </si>
  <si>
    <t>Prior</t>
  </si>
  <si>
    <t>Emergency Tariff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</si>
</sst>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4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1" fontId="0" fillId="0" borderId="1" xfId="0" applyNumberFormat="1" applyBorder="1"/>
    <xf numFmtId="3" fontId="0" fillId="0" borderId="0" xfId="0" applyNumberFormat="1"/>
    <xf numFmtId="42" fontId="0" fillId="0" borderId="0" xfId="0" applyNumberFormat="1"/>
    <xf numFmtId="41" fontId="0" fillId="0" borderId="2" xfId="0" applyNumberFormat="1" applyBorder="1"/>
    <xf numFmtId="9" fontId="0" fillId="0" borderId="0" xfId="1" applyFont="1"/>
    <xf numFmtId="164" fontId="0" fillId="0" borderId="0" xfId="1" applyNumberFormat="1" applyFont="1"/>
    <xf numFmtId="4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291C-9E76-4BE6-AE70-B760903FFA33}">
  <dimension ref="A1:N66"/>
  <sheetViews>
    <sheetView tabSelected="1" workbookViewId="0">
      <selection activeCell="P24" sqref="P24"/>
    </sheetView>
  </sheetViews>
  <sheetFormatPr defaultRowHeight="14.4" x14ac:dyDescent="0.55000000000000004"/>
  <cols>
    <col min="1" max="2" width="1.578125" customWidth="1"/>
    <col min="3" max="3" width="20.578125" customWidth="1"/>
    <col min="4" max="5" width="1.578125" customWidth="1"/>
    <col min="6" max="6" width="10.578125" customWidth="1"/>
    <col min="7" max="7" width="1.578125" customWidth="1"/>
    <col min="8" max="8" width="10.578125" customWidth="1"/>
    <col min="9" max="9" width="1.578125" customWidth="1"/>
    <col min="10" max="10" width="10.578125" customWidth="1"/>
    <col min="11" max="11" width="1.578125" customWidth="1"/>
    <col min="12" max="12" width="10.578125" customWidth="1"/>
    <col min="13" max="13" width="1.578125" customWidth="1"/>
    <col min="14" max="14" width="10.578125" customWidth="1"/>
    <col min="15" max="15" width="1.578125" customWidth="1"/>
    <col min="17" max="17" width="1.578125" customWidth="1"/>
    <col min="19" max="19" width="1.578125" customWidth="1"/>
    <col min="21" max="21" width="1.578125" customWidth="1"/>
  </cols>
  <sheetData>
    <row r="1" spans="1:14" s="3" customFormat="1" x14ac:dyDescent="0.55000000000000004">
      <c r="D1" s="4" t="s">
        <v>7</v>
      </c>
      <c r="F1" s="5" t="s">
        <v>8</v>
      </c>
      <c r="G1" s="5"/>
      <c r="H1" s="5" t="s">
        <v>9</v>
      </c>
      <c r="I1" s="5"/>
      <c r="J1" s="5" t="s">
        <v>10</v>
      </c>
      <c r="K1" s="5"/>
      <c r="L1" s="5" t="s">
        <v>11</v>
      </c>
      <c r="M1" s="5"/>
      <c r="N1" s="5"/>
    </row>
    <row r="2" spans="1:14" x14ac:dyDescent="0.55000000000000004">
      <c r="A2" t="s">
        <v>12</v>
      </c>
    </row>
    <row r="3" spans="1:14" x14ac:dyDescent="0.55000000000000004">
      <c r="B3" t="s">
        <v>0</v>
      </c>
    </row>
    <row r="4" spans="1:14" x14ac:dyDescent="0.55000000000000004">
      <c r="C4" t="s">
        <v>1</v>
      </c>
      <c r="F4" s="2">
        <f>F28+F49</f>
        <v>9488</v>
      </c>
      <c r="G4" s="2"/>
      <c r="H4" s="2">
        <f>H28+H49</f>
        <v>9536</v>
      </c>
      <c r="I4" s="2"/>
      <c r="J4" s="2">
        <f>J28+J49</f>
        <v>9472</v>
      </c>
      <c r="K4" s="2"/>
      <c r="L4" s="2">
        <f>L28+L49</f>
        <v>9456</v>
      </c>
    </row>
    <row r="5" spans="1:14" x14ac:dyDescent="0.55000000000000004">
      <c r="C5" t="s">
        <v>2</v>
      </c>
      <c r="F5" s="2"/>
      <c r="G5" s="2"/>
      <c r="H5" s="2"/>
      <c r="I5" s="2"/>
      <c r="J5" s="2"/>
      <c r="K5" s="2"/>
      <c r="L5" s="2"/>
    </row>
    <row r="6" spans="1:14" x14ac:dyDescent="0.55000000000000004">
      <c r="C6" t="s">
        <v>3</v>
      </c>
      <c r="F6" s="2">
        <f>F30+F51</f>
        <v>51320.28</v>
      </c>
      <c r="G6" s="2"/>
      <c r="H6" s="2">
        <f>H30+H51</f>
        <v>25315.620000000003</v>
      </c>
      <c r="I6" s="2"/>
      <c r="J6" s="2">
        <f>J30+J51</f>
        <v>13227.06</v>
      </c>
      <c r="K6" s="2"/>
      <c r="L6" s="2">
        <f>L30+L51</f>
        <v>5500.4400000000005</v>
      </c>
    </row>
    <row r="8" spans="1:14" x14ac:dyDescent="0.55000000000000004">
      <c r="B8" t="s">
        <v>4</v>
      </c>
    </row>
    <row r="9" spans="1:14" x14ac:dyDescent="0.55000000000000004">
      <c r="C9" t="s">
        <v>1</v>
      </c>
      <c r="F9" s="2">
        <f>F33+F54</f>
        <v>9126</v>
      </c>
      <c r="G9" s="2"/>
      <c r="H9" s="2">
        <f>H33+H54</f>
        <v>9216</v>
      </c>
      <c r="I9" s="2"/>
      <c r="J9" s="2">
        <f>J33+J54</f>
        <v>9216</v>
      </c>
      <c r="K9" s="2"/>
      <c r="L9" s="2">
        <f>L33+L54</f>
        <v>9216</v>
      </c>
    </row>
    <row r="10" spans="1:14" x14ac:dyDescent="0.55000000000000004">
      <c r="C10" t="s">
        <v>2</v>
      </c>
      <c r="F10" s="2"/>
      <c r="G10" s="2"/>
      <c r="H10" s="2"/>
      <c r="I10" s="2"/>
      <c r="J10" s="2"/>
      <c r="K10" s="2"/>
      <c r="L10" s="2"/>
    </row>
    <row r="11" spans="1:14" x14ac:dyDescent="0.55000000000000004">
      <c r="C11" t="s">
        <v>3</v>
      </c>
      <c r="F11" s="2">
        <f>F35+F56</f>
        <v>38562.264000000003</v>
      </c>
      <c r="G11" s="2"/>
      <c r="H11" s="2">
        <f>H35+H56</f>
        <v>42127.487999999998</v>
      </c>
      <c r="I11" s="2"/>
      <c r="J11" s="2">
        <f>J35+J56</f>
        <v>27378.000000000004</v>
      </c>
      <c r="K11" s="2"/>
      <c r="L11" s="2">
        <f>L35+L56</f>
        <v>14434.056</v>
      </c>
    </row>
    <row r="13" spans="1:14" x14ac:dyDescent="0.55000000000000004">
      <c r="B13" t="s">
        <v>5</v>
      </c>
    </row>
    <row r="14" spans="1:14" x14ac:dyDescent="0.55000000000000004">
      <c r="C14" t="s">
        <v>1</v>
      </c>
      <c r="F14" s="2">
        <f>F38+F59</f>
        <v>2550</v>
      </c>
      <c r="G14" s="2"/>
      <c r="H14" s="2">
        <f>H38+H59</f>
        <v>2380</v>
      </c>
      <c r="I14" s="2"/>
      <c r="J14" s="2">
        <f>J38+J59</f>
        <v>2380</v>
      </c>
      <c r="K14" s="2"/>
      <c r="L14" s="2">
        <f>L38+L59</f>
        <v>2380</v>
      </c>
    </row>
    <row r="15" spans="1:14" x14ac:dyDescent="0.55000000000000004">
      <c r="C15" t="s">
        <v>2</v>
      </c>
      <c r="F15" s="2"/>
      <c r="G15" s="2"/>
      <c r="H15" s="2"/>
      <c r="I15" s="2"/>
      <c r="J15" s="2"/>
      <c r="K15" s="2"/>
      <c r="L15" s="2"/>
    </row>
    <row r="16" spans="1:14" x14ac:dyDescent="0.55000000000000004">
      <c r="C16" t="s">
        <v>3</v>
      </c>
      <c r="F16" s="2">
        <f>F40+F61</f>
        <v>18376.488000000001</v>
      </c>
      <c r="G16" s="2"/>
      <c r="H16" s="2">
        <f>H40+H61</f>
        <v>16625.232</v>
      </c>
      <c r="I16" s="2"/>
      <c r="J16" s="2">
        <f>J40+J61</f>
        <v>15810.912</v>
      </c>
      <c r="K16" s="2"/>
      <c r="L16" s="2">
        <f>L40+L61</f>
        <v>19039.175999999999</v>
      </c>
    </row>
    <row r="18" spans="1:14" x14ac:dyDescent="0.55000000000000004">
      <c r="B18" t="s">
        <v>6</v>
      </c>
    </row>
    <row r="19" spans="1:14" x14ac:dyDescent="0.55000000000000004">
      <c r="C19" t="s">
        <v>1</v>
      </c>
      <c r="F19" s="2">
        <f>F43+F64</f>
        <v>613.19999999999993</v>
      </c>
      <c r="G19" s="2"/>
      <c r="H19" s="2">
        <f>H43+H64</f>
        <v>613.19999999999993</v>
      </c>
      <c r="I19" s="2"/>
      <c r="J19" s="2">
        <f>J43+J64</f>
        <v>876</v>
      </c>
      <c r="K19" s="2"/>
      <c r="L19" s="2">
        <f>L43+L64</f>
        <v>876</v>
      </c>
    </row>
    <row r="20" spans="1:14" x14ac:dyDescent="0.55000000000000004">
      <c r="C20" t="s">
        <v>2</v>
      </c>
      <c r="F20" s="2"/>
      <c r="G20" s="2"/>
      <c r="H20" s="2"/>
      <c r="I20" s="2"/>
      <c r="J20" s="2"/>
      <c r="K20" s="2"/>
      <c r="L20" s="2"/>
    </row>
    <row r="21" spans="1:14" x14ac:dyDescent="0.55000000000000004">
      <c r="C21" t="s">
        <v>3</v>
      </c>
      <c r="F21" s="2">
        <f>F45+F66</f>
        <v>9692.2800000000007</v>
      </c>
      <c r="G21" s="2"/>
      <c r="H21" s="2">
        <f>H45+H66</f>
        <v>23535.72</v>
      </c>
      <c r="I21" s="2"/>
      <c r="J21" s="2">
        <f>J45+J66</f>
        <v>6551.0640000000003</v>
      </c>
      <c r="K21" s="2"/>
      <c r="L21" s="2">
        <f>L45+L66</f>
        <v>8652.384</v>
      </c>
    </row>
    <row r="22" spans="1:14" ht="14.7" thickBot="1" x14ac:dyDescent="0.6">
      <c r="F22" s="6">
        <f>SUM(F4:F21)</f>
        <v>139728.51199999999</v>
      </c>
      <c r="H22" s="6">
        <f>SUM(H4:H21)</f>
        <v>129349.26000000001</v>
      </c>
      <c r="J22" s="6">
        <f>SUM(J4:J21)</f>
        <v>84911.035999999993</v>
      </c>
      <c r="L22" s="6">
        <f>SUM(L4:L21)</f>
        <v>69554.055999999997</v>
      </c>
      <c r="N22" s="2">
        <f>SUM(F22:L22)</f>
        <v>423542.86399999994</v>
      </c>
    </row>
    <row r="23" spans="1:14" ht="14.7" thickTop="1" x14ac:dyDescent="0.55000000000000004">
      <c r="D23" s="1" t="s">
        <v>15</v>
      </c>
      <c r="F23" s="2">
        <f>Prior!F22</f>
        <v>107321.10799999999</v>
      </c>
      <c r="H23" s="2">
        <f>Prior!H22</f>
        <v>76268.974000000002</v>
      </c>
      <c r="J23" s="2">
        <f>Prior!J22</f>
        <v>48379.322</v>
      </c>
      <c r="L23" s="2">
        <f>Prior!L22</f>
        <v>35634.041999999994</v>
      </c>
      <c r="N23" s="2">
        <f>SUM(F23:L23)</f>
        <v>267603.446</v>
      </c>
    </row>
    <row r="24" spans="1:14" x14ac:dyDescent="0.55000000000000004">
      <c r="D24" s="1" t="s">
        <v>16</v>
      </c>
      <c r="F24" s="8">
        <f>F22-F23</f>
        <v>32407.403999999995</v>
      </c>
      <c r="G24" s="8"/>
      <c r="H24" s="8">
        <f>H22-H23</f>
        <v>53080.286000000007</v>
      </c>
      <c r="I24" s="8"/>
      <c r="J24" s="8">
        <f>J22-J23</f>
        <v>36531.713999999993</v>
      </c>
      <c r="K24" s="8"/>
      <c r="L24" s="8">
        <f>L22-L23</f>
        <v>33920.014000000003</v>
      </c>
      <c r="N24" s="12">
        <f>N22-N23</f>
        <v>155939.41799999995</v>
      </c>
    </row>
    <row r="25" spans="1:14" x14ac:dyDescent="0.55000000000000004">
      <c r="D25" s="1"/>
      <c r="F25" s="11">
        <f>F24/F23</f>
        <v>0.30196672960178528</v>
      </c>
      <c r="G25" s="8"/>
      <c r="H25" s="11">
        <f>H24/H23</f>
        <v>0.69596171570368848</v>
      </c>
      <c r="I25" s="8"/>
      <c r="J25" s="11">
        <f>J24/J23</f>
        <v>0.75511008608181807</v>
      </c>
      <c r="K25" s="8"/>
      <c r="L25" s="11">
        <f>L24/L23</f>
        <v>0.95189914183746005</v>
      </c>
      <c r="N25" s="10">
        <f>N24/N23</f>
        <v>0.58272574711164205</v>
      </c>
    </row>
    <row r="26" spans="1:14" x14ac:dyDescent="0.55000000000000004">
      <c r="A26" t="s">
        <v>13</v>
      </c>
      <c r="F26" s="2"/>
      <c r="H26" s="2"/>
    </row>
    <row r="27" spans="1:14" x14ac:dyDescent="0.55000000000000004">
      <c r="B27" t="s">
        <v>0</v>
      </c>
      <c r="N27" s="2">
        <f>SUM(F28:L30)</f>
        <v>18905.640000000003</v>
      </c>
    </row>
    <row r="28" spans="1:14" x14ac:dyDescent="0.55000000000000004">
      <c r="C28" t="s">
        <v>1</v>
      </c>
      <c r="F28" s="2">
        <f>Flow!F26*16</f>
        <v>1504</v>
      </c>
      <c r="G28" s="2"/>
      <c r="H28" s="2">
        <f>Flow!H26*16</f>
        <v>1504</v>
      </c>
      <c r="I28" s="2"/>
      <c r="J28" s="2">
        <f>Flow!J26*16</f>
        <v>1504</v>
      </c>
      <c r="K28" s="2"/>
      <c r="L28" s="2">
        <f>Flow!L26*16</f>
        <v>1488</v>
      </c>
      <c r="N28" s="2">
        <f>Prior!N26</f>
        <v>12033.947999999999</v>
      </c>
    </row>
    <row r="29" spans="1:14" x14ac:dyDescent="0.55000000000000004">
      <c r="C29" t="s">
        <v>2</v>
      </c>
      <c r="F29" s="2"/>
      <c r="G29" s="2"/>
      <c r="H29" s="2"/>
      <c r="I29" s="2"/>
      <c r="J29" s="2"/>
      <c r="K29" s="2"/>
      <c r="L29" s="2"/>
      <c r="N29" s="9">
        <f>N27-N28</f>
        <v>6871.6920000000046</v>
      </c>
    </row>
    <row r="30" spans="1:14" x14ac:dyDescent="0.55000000000000004">
      <c r="C30" t="s">
        <v>3</v>
      </c>
      <c r="F30" s="2">
        <f>Flow!F28*0.66</f>
        <v>4145.46</v>
      </c>
      <c r="G30" s="2"/>
      <c r="H30" s="2">
        <f>Flow!H28*0.66</f>
        <v>5404.7400000000007</v>
      </c>
      <c r="I30" s="2"/>
      <c r="J30" s="2">
        <f>Flow!J28*0.66</f>
        <v>2485.56</v>
      </c>
      <c r="K30" s="2"/>
      <c r="L30" s="2">
        <f>Flow!L28*0.66</f>
        <v>869.88</v>
      </c>
      <c r="N30" s="11">
        <f>N29/N28</f>
        <v>0.57102556866624365</v>
      </c>
    </row>
    <row r="32" spans="1:14" x14ac:dyDescent="0.55000000000000004">
      <c r="B32" t="s">
        <v>4</v>
      </c>
      <c r="N32" s="2">
        <f>SUM(F33:L35)</f>
        <v>128081.808</v>
      </c>
    </row>
    <row r="33" spans="1:14" x14ac:dyDescent="0.55000000000000004">
      <c r="C33" t="s">
        <v>1</v>
      </c>
      <c r="F33" s="2">
        <f>Flow!F31*87.6</f>
        <v>5256</v>
      </c>
      <c r="G33" s="2"/>
      <c r="H33" s="2">
        <f>Flow!H31*87.6</f>
        <v>5256</v>
      </c>
      <c r="I33" s="2"/>
      <c r="J33" s="2">
        <f>Flow!J31*87.6</f>
        <v>5256</v>
      </c>
      <c r="K33" s="2"/>
      <c r="L33" s="2">
        <f>Flow!L31*87.6</f>
        <v>5256</v>
      </c>
      <c r="N33" s="2">
        <f>Prior!N31</f>
        <v>49804.83600000001</v>
      </c>
    </row>
    <row r="34" spans="1:14" x14ac:dyDescent="0.55000000000000004">
      <c r="C34" t="s">
        <v>2</v>
      </c>
      <c r="F34" s="2"/>
      <c r="G34" s="2"/>
      <c r="H34" s="2"/>
      <c r="I34" s="2"/>
      <c r="J34" s="2"/>
      <c r="K34" s="2"/>
      <c r="L34" s="2"/>
      <c r="N34" s="9">
        <f>N32-N33</f>
        <v>78276.971999999994</v>
      </c>
    </row>
    <row r="35" spans="1:14" x14ac:dyDescent="0.55000000000000004">
      <c r="C35" t="s">
        <v>3</v>
      </c>
      <c r="F35" s="2">
        <f>Flow!F33*0.936</f>
        <v>30125.160000000003</v>
      </c>
      <c r="G35" s="2"/>
      <c r="H35" s="2">
        <f>Flow!H33*0.936</f>
        <v>37656.216</v>
      </c>
      <c r="I35" s="2"/>
      <c r="J35" s="2">
        <f>Flow!J33*0.936</f>
        <v>25453.584000000003</v>
      </c>
      <c r="K35" s="2"/>
      <c r="L35" s="2">
        <f>Flow!L33*0.936</f>
        <v>13822.848</v>
      </c>
      <c r="N35" s="11">
        <f>N34/N33</f>
        <v>1.5716741241754109</v>
      </c>
    </row>
    <row r="37" spans="1:14" x14ac:dyDescent="0.55000000000000004">
      <c r="B37" t="s">
        <v>5</v>
      </c>
      <c r="N37" s="2">
        <f>SUM(F38:L40)</f>
        <v>78623.008000000002</v>
      </c>
    </row>
    <row r="38" spans="1:14" x14ac:dyDescent="0.55000000000000004">
      <c r="C38" t="s">
        <v>1</v>
      </c>
      <c r="F38" s="2">
        <f>Flow!F36*170</f>
        <v>2380</v>
      </c>
      <c r="G38" s="2"/>
      <c r="H38" s="2">
        <f>Flow!H36*170</f>
        <v>2380</v>
      </c>
      <c r="I38" s="2"/>
      <c r="J38" s="2">
        <f>Flow!J36*170</f>
        <v>2380</v>
      </c>
      <c r="K38" s="2"/>
      <c r="L38" s="2">
        <f>Flow!L36*170</f>
        <v>2380</v>
      </c>
      <c r="N38" s="2">
        <f>Prior!N36</f>
        <v>30925.735999999997</v>
      </c>
    </row>
    <row r="39" spans="1:14" x14ac:dyDescent="0.55000000000000004">
      <c r="C39" t="s">
        <v>2</v>
      </c>
      <c r="F39" s="2"/>
      <c r="G39" s="2"/>
      <c r="H39" s="2"/>
      <c r="I39" s="2"/>
      <c r="J39" s="2"/>
      <c r="K39" s="2"/>
      <c r="L39" s="2"/>
      <c r="N39" s="9">
        <f>N37-N38</f>
        <v>47697.272000000004</v>
      </c>
    </row>
    <row r="40" spans="1:14" x14ac:dyDescent="0.55000000000000004">
      <c r="C40" t="s">
        <v>3</v>
      </c>
      <c r="F40" s="2">
        <f>Flow!F38*0.936</f>
        <v>17627.688000000002</v>
      </c>
      <c r="G40" s="2"/>
      <c r="H40" s="2">
        <f>Flow!H38*0.936</f>
        <v>16625.232</v>
      </c>
      <c r="I40" s="2"/>
      <c r="J40" s="2">
        <f>Flow!J38*0.936</f>
        <v>15810.912</v>
      </c>
      <c r="K40" s="2"/>
      <c r="L40" s="2">
        <f>Flow!L38*0.936</f>
        <v>19039.175999999999</v>
      </c>
      <c r="N40" s="11">
        <f>N39/N38</f>
        <v>1.5423164706573196</v>
      </c>
    </row>
    <row r="42" spans="1:14" x14ac:dyDescent="0.55000000000000004">
      <c r="B42" t="s">
        <v>6</v>
      </c>
      <c r="N42" s="2">
        <f>SUM(F43:L45)</f>
        <v>51409.847999999998</v>
      </c>
    </row>
    <row r="43" spans="1:14" x14ac:dyDescent="0.55000000000000004">
      <c r="C43" t="s">
        <v>1</v>
      </c>
      <c r="F43" s="2">
        <f>Flow!F41*87.6</f>
        <v>613.19999999999993</v>
      </c>
      <c r="G43" s="2"/>
      <c r="H43" s="2">
        <f>Flow!H41*87.6</f>
        <v>613.19999999999993</v>
      </c>
      <c r="I43" s="2"/>
      <c r="J43" s="2">
        <f>Flow!J41*87.6</f>
        <v>876</v>
      </c>
      <c r="K43" s="2"/>
      <c r="L43" s="2">
        <f>Flow!L41*87.6</f>
        <v>876</v>
      </c>
      <c r="N43" s="2">
        <f>Prior!N41</f>
        <v>19920.966</v>
      </c>
    </row>
    <row r="44" spans="1:14" x14ac:dyDescent="0.55000000000000004">
      <c r="C44" t="s">
        <v>2</v>
      </c>
      <c r="F44" s="2"/>
      <c r="G44" s="2"/>
      <c r="H44" s="2"/>
      <c r="I44" s="2"/>
      <c r="J44" s="2"/>
      <c r="K44" s="2"/>
      <c r="L44" s="2"/>
      <c r="N44" s="9">
        <f>N42-N43</f>
        <v>31488.881999999998</v>
      </c>
    </row>
    <row r="45" spans="1:14" x14ac:dyDescent="0.55000000000000004">
      <c r="C45" t="s">
        <v>3</v>
      </c>
      <c r="F45" s="2">
        <f>Flow!F43*0.936</f>
        <v>9692.2800000000007</v>
      </c>
      <c r="G45" s="2"/>
      <c r="H45" s="2">
        <f>Flow!H43*0.936</f>
        <v>23535.72</v>
      </c>
      <c r="I45" s="2"/>
      <c r="J45" s="2">
        <f>Flow!J43*0.936</f>
        <v>6551.0640000000003</v>
      </c>
      <c r="K45" s="2"/>
      <c r="L45" s="2">
        <f>Flow!L43*0.936</f>
        <v>8652.384</v>
      </c>
      <c r="N45" s="11">
        <f>N44/N43</f>
        <v>1.5806905147069674</v>
      </c>
    </row>
    <row r="47" spans="1:14" x14ac:dyDescent="0.55000000000000004">
      <c r="A47" t="s">
        <v>14</v>
      </c>
    </row>
    <row r="48" spans="1:14" x14ac:dyDescent="0.55000000000000004">
      <c r="B48" t="s">
        <v>0</v>
      </c>
      <c r="N48" s="2">
        <f>SUM(F49:L51)</f>
        <v>114409.76000000001</v>
      </c>
    </row>
    <row r="49" spans="2:14" x14ac:dyDescent="0.55000000000000004">
      <c r="C49" t="s">
        <v>1</v>
      </c>
      <c r="F49" s="2">
        <f>Flow!F47*16</f>
        <v>7984</v>
      </c>
      <c r="G49" s="2"/>
      <c r="H49" s="2">
        <f>Flow!H47*16</f>
        <v>8032</v>
      </c>
      <c r="I49" s="2"/>
      <c r="J49" s="2">
        <f>Flow!J47*16</f>
        <v>7968</v>
      </c>
      <c r="K49" s="2"/>
      <c r="L49" s="2">
        <f>Flow!L47*16</f>
        <v>7968</v>
      </c>
      <c r="N49" s="2">
        <f>Prior!N47</f>
        <v>137399.96000000002</v>
      </c>
    </row>
    <row r="50" spans="2:14" x14ac:dyDescent="0.55000000000000004">
      <c r="C50" t="s">
        <v>2</v>
      </c>
      <c r="F50" s="2"/>
      <c r="G50" s="2"/>
      <c r="H50" s="2"/>
      <c r="I50" s="2"/>
      <c r="J50" s="2"/>
      <c r="K50" s="2"/>
      <c r="L50" s="2"/>
      <c r="N50" s="9">
        <f>N48-N49</f>
        <v>-22990.200000000012</v>
      </c>
    </row>
    <row r="51" spans="2:14" x14ac:dyDescent="0.55000000000000004">
      <c r="C51" t="s">
        <v>3</v>
      </c>
      <c r="F51" s="2">
        <f>Flow!F49*0.66</f>
        <v>47174.82</v>
      </c>
      <c r="G51" s="2"/>
      <c r="H51" s="2">
        <f>Flow!H49*0.66</f>
        <v>19910.88</v>
      </c>
      <c r="I51" s="2"/>
      <c r="J51" s="2">
        <f>Flow!J49*0.66</f>
        <v>10741.5</v>
      </c>
      <c r="K51" s="2"/>
      <c r="L51" s="2">
        <f>Flow!L49*0.66</f>
        <v>4630.5600000000004</v>
      </c>
      <c r="N51" s="11">
        <f>N50/N49</f>
        <v>-0.16732319281606783</v>
      </c>
    </row>
    <row r="53" spans="2:14" x14ac:dyDescent="0.55000000000000004">
      <c r="B53" t="s">
        <v>4</v>
      </c>
      <c r="N53" s="2">
        <f>SUM(F54:L56)</f>
        <v>31194</v>
      </c>
    </row>
    <row r="54" spans="2:14" x14ac:dyDescent="0.55000000000000004">
      <c r="C54" t="s">
        <v>1</v>
      </c>
      <c r="F54" s="2">
        <f>Flow!F52*90</f>
        <v>3870</v>
      </c>
      <c r="G54" s="2"/>
      <c r="H54" s="2">
        <f>Flow!H52*90</f>
        <v>3960</v>
      </c>
      <c r="I54" s="2"/>
      <c r="J54" s="2">
        <f>Flow!J52*90</f>
        <v>3960</v>
      </c>
      <c r="K54" s="2"/>
      <c r="L54" s="2">
        <f>Flow!L52*90</f>
        <v>3960</v>
      </c>
      <c r="N54" s="2">
        <f>Prior!N52</f>
        <v>16815.000000000004</v>
      </c>
    </row>
    <row r="55" spans="2:14" x14ac:dyDescent="0.55000000000000004">
      <c r="C55" t="s">
        <v>2</v>
      </c>
      <c r="F55" s="2"/>
      <c r="G55" s="2"/>
      <c r="H55" s="2"/>
      <c r="I55" s="2"/>
      <c r="J55" s="2"/>
      <c r="K55" s="2"/>
      <c r="L55" s="2"/>
      <c r="N55" s="9">
        <f>N53-N54</f>
        <v>14378.999999999996</v>
      </c>
    </row>
    <row r="56" spans="2:14" x14ac:dyDescent="0.55000000000000004">
      <c r="C56" t="s">
        <v>3</v>
      </c>
      <c r="F56" s="2">
        <f>Flow!F54*0.936</f>
        <v>8437.1040000000012</v>
      </c>
      <c r="G56" s="2"/>
      <c r="H56" s="2">
        <f>Flow!H54*0.936</f>
        <v>4471.2719999999999</v>
      </c>
      <c r="I56" s="2"/>
      <c r="J56" s="2">
        <f>Flow!J54*0.936</f>
        <v>1924.4160000000002</v>
      </c>
      <c r="K56" s="2"/>
      <c r="L56" s="2">
        <f>Flow!L54*0.936</f>
        <v>611.20800000000008</v>
      </c>
      <c r="N56" s="11">
        <f>N55/N54</f>
        <v>0.85512934879571767</v>
      </c>
    </row>
    <row r="58" spans="2:14" x14ac:dyDescent="0.55000000000000004">
      <c r="B58" t="s">
        <v>5</v>
      </c>
      <c r="N58" s="2">
        <f>SUM(F59:L61)</f>
        <v>918.80000000000007</v>
      </c>
    </row>
    <row r="59" spans="2:14" x14ac:dyDescent="0.55000000000000004">
      <c r="C59" t="s">
        <v>1</v>
      </c>
      <c r="F59" s="2">
        <f>Flow!F57*170</f>
        <v>170</v>
      </c>
      <c r="G59" s="2"/>
      <c r="H59" s="2">
        <f>Flow!H57*170</f>
        <v>0</v>
      </c>
      <c r="I59" s="2"/>
      <c r="J59" s="2">
        <f>Flow!J57*170</f>
        <v>0</v>
      </c>
      <c r="K59" s="2"/>
      <c r="L59" s="2">
        <f>Flow!L57*170</f>
        <v>0</v>
      </c>
      <c r="N59" s="2">
        <f>Prior!N57</f>
        <v>703</v>
      </c>
    </row>
    <row r="60" spans="2:14" x14ac:dyDescent="0.55000000000000004">
      <c r="C60" t="s">
        <v>2</v>
      </c>
      <c r="F60" s="2"/>
      <c r="G60" s="2"/>
      <c r="H60" s="2"/>
      <c r="I60" s="2"/>
      <c r="J60" s="2"/>
      <c r="K60" s="2"/>
      <c r="L60" s="2"/>
      <c r="N60" s="9">
        <f>N58-N59</f>
        <v>215.80000000000007</v>
      </c>
    </row>
    <row r="61" spans="2:14" x14ac:dyDescent="0.55000000000000004">
      <c r="C61" t="s">
        <v>3</v>
      </c>
      <c r="F61" s="2">
        <f>Flow!F59*0.936</f>
        <v>748.80000000000007</v>
      </c>
      <c r="G61" s="2"/>
      <c r="H61" s="2">
        <f>Flow!H59*0.936</f>
        <v>0</v>
      </c>
      <c r="I61" s="2"/>
      <c r="J61" s="2">
        <f>Flow!J59*0.936</f>
        <v>0</v>
      </c>
      <c r="K61" s="2"/>
      <c r="L61" s="2">
        <f>Flow!L59*0.936</f>
        <v>0</v>
      </c>
      <c r="N61" s="11">
        <f>N60/N59</f>
        <v>0.30697012802275969</v>
      </c>
    </row>
    <row r="63" spans="2:14" x14ac:dyDescent="0.55000000000000004">
      <c r="B63" t="s">
        <v>6</v>
      </c>
      <c r="N63" s="2">
        <f>SUM(F64:L66)</f>
        <v>0</v>
      </c>
    </row>
    <row r="64" spans="2:14" x14ac:dyDescent="0.55000000000000004">
      <c r="C64" t="s">
        <v>1</v>
      </c>
      <c r="F64" s="2">
        <f>Flow!F62*90</f>
        <v>0</v>
      </c>
      <c r="G64" s="2"/>
      <c r="H64" s="2">
        <f>Flow!H62*90</f>
        <v>0</v>
      </c>
      <c r="I64" s="2"/>
      <c r="J64" s="2">
        <f>Flow!J62*90</f>
        <v>0</v>
      </c>
      <c r="K64" s="2"/>
      <c r="L64" s="2">
        <f>Flow!L62*90</f>
        <v>0</v>
      </c>
      <c r="N64" s="2">
        <f>Prior!N62</f>
        <v>0</v>
      </c>
    </row>
    <row r="65" spans="3:14" x14ac:dyDescent="0.55000000000000004">
      <c r="C65" t="s">
        <v>2</v>
      </c>
      <c r="F65" s="2"/>
      <c r="G65" s="2"/>
      <c r="H65" s="2"/>
      <c r="I65" s="2"/>
      <c r="J65" s="2"/>
      <c r="K65" s="2"/>
      <c r="L65" s="2"/>
      <c r="N65" s="9">
        <f>N63-N64</f>
        <v>0</v>
      </c>
    </row>
    <row r="66" spans="3:14" x14ac:dyDescent="0.55000000000000004">
      <c r="C66" t="s">
        <v>3</v>
      </c>
      <c r="F66" s="2">
        <f>Flow!F64*0.936</f>
        <v>0</v>
      </c>
      <c r="G66" s="2"/>
      <c r="H66" s="2">
        <f>Flow!H64*0.936</f>
        <v>0</v>
      </c>
      <c r="I66" s="2"/>
      <c r="J66" s="2">
        <f>Flow!J64*0.936</f>
        <v>0</v>
      </c>
      <c r="K66" s="2"/>
      <c r="L66" s="2">
        <f>Flow!L64*0.936</f>
        <v>0</v>
      </c>
      <c r="N66" s="11" t="e">
        <f>N65/N64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975E9-0CAE-46F8-9FD2-89A5F8368492}">
  <dimension ref="A1:N65"/>
  <sheetViews>
    <sheetView workbookViewId="0">
      <selection activeCell="N22" sqref="N22"/>
    </sheetView>
  </sheetViews>
  <sheetFormatPr defaultRowHeight="14.4" x14ac:dyDescent="0.55000000000000004"/>
  <cols>
    <col min="1" max="2" width="1.578125" customWidth="1"/>
    <col min="3" max="3" width="20.578125" customWidth="1"/>
    <col min="4" max="5" width="1.578125" customWidth="1"/>
    <col min="7" max="7" width="1.578125" customWidth="1"/>
    <col min="9" max="9" width="1.578125" customWidth="1"/>
    <col min="11" max="11" width="1.578125" customWidth="1"/>
    <col min="13" max="13" width="1.578125" customWidth="1"/>
    <col min="15" max="15" width="1.578125" customWidth="1"/>
    <col min="17" max="17" width="1.578125" customWidth="1"/>
    <col min="19" max="19" width="1.578125" customWidth="1"/>
    <col min="21" max="21" width="1.578125" customWidth="1"/>
  </cols>
  <sheetData>
    <row r="1" spans="1:14" s="3" customFormat="1" x14ac:dyDescent="0.55000000000000004">
      <c r="D1" s="4" t="s">
        <v>7</v>
      </c>
      <c r="F1" s="5" t="s">
        <v>8</v>
      </c>
      <c r="G1" s="5"/>
      <c r="H1" s="5" t="s">
        <v>9</v>
      </c>
      <c r="I1" s="5"/>
      <c r="J1" s="5" t="s">
        <v>10</v>
      </c>
      <c r="K1" s="5"/>
      <c r="L1" s="5" t="s">
        <v>11</v>
      </c>
      <c r="M1" s="5"/>
      <c r="N1" s="5"/>
    </row>
    <row r="2" spans="1:14" x14ac:dyDescent="0.55000000000000004">
      <c r="A2" t="s">
        <v>12</v>
      </c>
    </row>
    <row r="3" spans="1:14" x14ac:dyDescent="0.55000000000000004">
      <c r="B3" t="s">
        <v>0</v>
      </c>
    </row>
    <row r="4" spans="1:14" x14ac:dyDescent="0.55000000000000004">
      <c r="C4" t="s">
        <v>1</v>
      </c>
      <c r="F4" s="2">
        <f>F27+F48</f>
        <v>8237</v>
      </c>
      <c r="G4" s="2"/>
      <c r="H4" s="2">
        <f>H27+H48</f>
        <v>8282</v>
      </c>
      <c r="I4" s="2"/>
      <c r="J4" s="2">
        <f>J27+J48</f>
        <v>8222</v>
      </c>
      <c r="K4" s="2"/>
      <c r="L4" s="2">
        <f>L27+L48</f>
        <v>8214</v>
      </c>
    </row>
    <row r="5" spans="1:14" x14ac:dyDescent="0.55000000000000004">
      <c r="C5" t="s">
        <v>2</v>
      </c>
      <c r="F5" s="2"/>
      <c r="G5" s="2"/>
      <c r="H5" s="2"/>
      <c r="I5" s="2"/>
      <c r="J5" s="2"/>
      <c r="K5" s="2"/>
      <c r="L5" s="2"/>
    </row>
    <row r="6" spans="1:14" x14ac:dyDescent="0.55000000000000004">
      <c r="C6" t="s">
        <v>3</v>
      </c>
      <c r="F6" s="2">
        <f>F29+F50</f>
        <v>64372.042000000001</v>
      </c>
      <c r="G6" s="2"/>
      <c r="H6" s="2">
        <f>H29+H50</f>
        <v>29727.797999999999</v>
      </c>
      <c r="I6" s="2"/>
      <c r="J6" s="2">
        <f>J29+J50</f>
        <v>15736.392</v>
      </c>
      <c r="K6" s="2"/>
      <c r="L6" s="2">
        <f>L29+L50</f>
        <v>6642.6760000000004</v>
      </c>
    </row>
    <row r="8" spans="1:14" x14ac:dyDescent="0.55000000000000004">
      <c r="B8" t="s">
        <v>4</v>
      </c>
    </row>
    <row r="9" spans="1:14" x14ac:dyDescent="0.55000000000000004">
      <c r="C9" t="s">
        <v>1</v>
      </c>
      <c r="F9" s="2">
        <f>F32+F53</f>
        <v>2745</v>
      </c>
      <c r="G9" s="2"/>
      <c r="H9" s="2">
        <f>H32+H53</f>
        <v>2760</v>
      </c>
      <c r="I9" s="2"/>
      <c r="J9" s="2">
        <f>J32+J53</f>
        <v>2760</v>
      </c>
      <c r="K9" s="2"/>
      <c r="L9" s="2">
        <f>L32+L53</f>
        <v>2760</v>
      </c>
    </row>
    <row r="10" spans="1:14" x14ac:dyDescent="0.55000000000000004">
      <c r="C10" t="s">
        <v>2</v>
      </c>
      <c r="F10" s="2"/>
      <c r="G10" s="2"/>
      <c r="H10" s="2"/>
      <c r="I10" s="2"/>
      <c r="J10" s="2"/>
      <c r="K10" s="2"/>
      <c r="L10" s="2"/>
    </row>
    <row r="11" spans="1:14" x14ac:dyDescent="0.55000000000000004">
      <c r="C11" t="s">
        <v>3</v>
      </c>
      <c r="F11" s="2">
        <f>F34+F55</f>
        <v>19403.009999999998</v>
      </c>
      <c r="G11" s="2"/>
      <c r="H11" s="2">
        <f>H34+H55</f>
        <v>18671.842000000001</v>
      </c>
      <c r="I11" s="2"/>
      <c r="J11" s="2">
        <f>J34+J55</f>
        <v>11612.387999999999</v>
      </c>
      <c r="K11" s="2"/>
      <c r="L11" s="2">
        <f>L34+L55</f>
        <v>5907.5959999999995</v>
      </c>
    </row>
    <row r="13" spans="1:14" x14ac:dyDescent="0.55000000000000004">
      <c r="B13" t="s">
        <v>5</v>
      </c>
    </row>
    <row r="14" spans="1:14" x14ac:dyDescent="0.55000000000000004">
      <c r="C14" t="s">
        <v>1</v>
      </c>
      <c r="F14" s="2">
        <f>F37+F58</f>
        <v>1065</v>
      </c>
      <c r="G14" s="2"/>
      <c r="H14" s="2">
        <f>H37+H58</f>
        <v>1050</v>
      </c>
      <c r="I14" s="2"/>
      <c r="J14" s="2">
        <f>J37+J58</f>
        <v>1050</v>
      </c>
      <c r="K14" s="2"/>
      <c r="L14" s="2">
        <f>L37+L58</f>
        <v>1050</v>
      </c>
    </row>
    <row r="15" spans="1:14" x14ac:dyDescent="0.55000000000000004">
      <c r="C15" t="s">
        <v>2</v>
      </c>
      <c r="F15" s="2"/>
      <c r="G15" s="2"/>
      <c r="H15" s="2"/>
      <c r="I15" s="2"/>
      <c r="J15" s="2"/>
      <c r="K15" s="2"/>
      <c r="L15" s="2"/>
    </row>
    <row r="16" spans="1:14" x14ac:dyDescent="0.55000000000000004">
      <c r="C16" t="s">
        <v>3</v>
      </c>
      <c r="F16" s="2">
        <f>F39+F60</f>
        <v>7505.5459999999994</v>
      </c>
      <c r="G16" s="2"/>
      <c r="H16" s="2">
        <f>H39+H60</f>
        <v>6429.8440000000001</v>
      </c>
      <c r="I16" s="2"/>
      <c r="J16" s="2">
        <f>J39+J60</f>
        <v>6114.9039999999995</v>
      </c>
      <c r="K16" s="2"/>
      <c r="L16" s="2">
        <f>L39+L60</f>
        <v>7363.442</v>
      </c>
    </row>
    <row r="18" spans="1:14" x14ac:dyDescent="0.55000000000000004">
      <c r="B18" t="s">
        <v>6</v>
      </c>
    </row>
    <row r="19" spans="1:14" x14ac:dyDescent="0.55000000000000004">
      <c r="C19" t="s">
        <v>1</v>
      </c>
      <c r="F19" s="2">
        <f>F42+F63</f>
        <v>245</v>
      </c>
      <c r="G19" s="2"/>
      <c r="H19" s="2">
        <f>H42+H63</f>
        <v>245</v>
      </c>
      <c r="I19" s="2"/>
      <c r="J19" s="2">
        <f>J42+J63</f>
        <v>350</v>
      </c>
      <c r="K19" s="2"/>
      <c r="L19" s="2">
        <f>L42+L63</f>
        <v>350</v>
      </c>
    </row>
    <row r="20" spans="1:14" x14ac:dyDescent="0.55000000000000004">
      <c r="C20" t="s">
        <v>2</v>
      </c>
      <c r="F20" s="2"/>
      <c r="G20" s="2"/>
      <c r="H20" s="2"/>
      <c r="I20" s="2"/>
      <c r="J20" s="2"/>
      <c r="K20" s="2"/>
      <c r="L20" s="2"/>
    </row>
    <row r="21" spans="1:14" x14ac:dyDescent="0.55000000000000004">
      <c r="C21" t="s">
        <v>3</v>
      </c>
      <c r="F21" s="2">
        <f>F44+F65</f>
        <v>3748.5099999999998</v>
      </c>
      <c r="G21" s="2"/>
      <c r="H21" s="2">
        <f>H44+H65</f>
        <v>9102.49</v>
      </c>
      <c r="I21" s="2"/>
      <c r="J21" s="2">
        <f>J44+J65</f>
        <v>2533.6379999999999</v>
      </c>
      <c r="K21" s="2"/>
      <c r="L21" s="2">
        <f>L44+L65</f>
        <v>3346.328</v>
      </c>
    </row>
    <row r="22" spans="1:14" ht="14.7" thickBot="1" x14ac:dyDescent="0.6">
      <c r="F22" s="6">
        <f>SUM(F4:F21)</f>
        <v>107321.10799999999</v>
      </c>
      <c r="H22" s="6">
        <f>SUM(H4:H21)</f>
        <v>76268.974000000002</v>
      </c>
      <c r="J22" s="6">
        <f>SUM(J4:J21)</f>
        <v>48379.322</v>
      </c>
      <c r="L22" s="6">
        <f>SUM(L4:L21)</f>
        <v>35634.041999999994</v>
      </c>
    </row>
    <row r="23" spans="1:14" ht="14.7" thickTop="1" x14ac:dyDescent="0.55000000000000004">
      <c r="D23" s="1"/>
      <c r="F23" s="7"/>
      <c r="H23" s="7"/>
      <c r="J23" s="7"/>
      <c r="L23" s="7"/>
    </row>
    <row r="24" spans="1:14" x14ac:dyDescent="0.55000000000000004">
      <c r="D24" s="1"/>
      <c r="F24" s="7"/>
      <c r="H24" s="7"/>
      <c r="J24" s="7"/>
      <c r="L24" s="7"/>
    </row>
    <row r="25" spans="1:14" x14ac:dyDescent="0.55000000000000004">
      <c r="A25" t="s">
        <v>13</v>
      </c>
      <c r="F25" s="2"/>
      <c r="H25" s="2"/>
    </row>
    <row r="26" spans="1:14" x14ac:dyDescent="0.55000000000000004">
      <c r="B26" t="s">
        <v>0</v>
      </c>
      <c r="N26" s="2">
        <f>SUM(F27:L29)</f>
        <v>12033.947999999999</v>
      </c>
    </row>
    <row r="27" spans="1:14" x14ac:dyDescent="0.55000000000000004">
      <c r="C27" t="s">
        <v>1</v>
      </c>
      <c r="F27" s="2">
        <f>Flow!F26*8</f>
        <v>752</v>
      </c>
      <c r="G27" s="2"/>
      <c r="H27" s="2">
        <f>Flow!H26*8</f>
        <v>752</v>
      </c>
      <c r="I27" s="2"/>
      <c r="J27" s="2">
        <f>Flow!J26*8</f>
        <v>752</v>
      </c>
      <c r="K27" s="2"/>
      <c r="L27" s="2">
        <f>Flow!L26*8</f>
        <v>744</v>
      </c>
    </row>
    <row r="28" spans="1:14" x14ac:dyDescent="0.55000000000000004">
      <c r="C28" t="s">
        <v>2</v>
      </c>
      <c r="F28" s="2"/>
      <c r="G28" s="2"/>
      <c r="H28" s="2"/>
      <c r="I28" s="2"/>
      <c r="J28" s="2"/>
      <c r="K28" s="2"/>
      <c r="L28" s="2"/>
    </row>
    <row r="29" spans="1:14" x14ac:dyDescent="0.55000000000000004">
      <c r="C29" t="s">
        <v>3</v>
      </c>
      <c r="F29" s="2">
        <f>Flow!F28*0.462</f>
        <v>2901.8220000000001</v>
      </c>
      <c r="G29" s="2"/>
      <c r="H29" s="2">
        <f>Flow!H28*0.462</f>
        <v>3783.3180000000002</v>
      </c>
      <c r="I29" s="2"/>
      <c r="J29" s="2">
        <f>Flow!J28*0.462</f>
        <v>1739.8920000000001</v>
      </c>
      <c r="K29" s="2"/>
      <c r="L29" s="2">
        <f>Flow!L28*0.462</f>
        <v>608.91600000000005</v>
      </c>
    </row>
    <row r="31" spans="1:14" x14ac:dyDescent="0.55000000000000004">
      <c r="B31" t="s">
        <v>4</v>
      </c>
      <c r="N31" s="2">
        <f>SUM(F32:L34)</f>
        <v>49804.83600000001</v>
      </c>
    </row>
    <row r="32" spans="1:14" x14ac:dyDescent="0.55000000000000004">
      <c r="C32" t="s">
        <v>1</v>
      </c>
      <c r="F32" s="2">
        <f>Flow!F31*35</f>
        <v>2100</v>
      </c>
      <c r="G32" s="2"/>
      <c r="H32" s="2">
        <f>Flow!H31*35</f>
        <v>2100</v>
      </c>
      <c r="I32" s="2"/>
      <c r="J32" s="2">
        <f>Flow!J31*35</f>
        <v>2100</v>
      </c>
      <c r="K32" s="2"/>
      <c r="L32" s="2">
        <f>Flow!L31*35</f>
        <v>2100</v>
      </c>
    </row>
    <row r="33" spans="1:14" x14ac:dyDescent="0.55000000000000004">
      <c r="C33" t="s">
        <v>2</v>
      </c>
      <c r="F33" s="2"/>
      <c r="G33" s="2"/>
      <c r="H33" s="2"/>
      <c r="I33" s="2"/>
      <c r="J33" s="2"/>
      <c r="K33" s="2"/>
      <c r="L33" s="2"/>
    </row>
    <row r="34" spans="1:14" x14ac:dyDescent="0.55000000000000004">
      <c r="C34" t="s">
        <v>3</v>
      </c>
      <c r="F34" s="2">
        <f>Flow!F33*0.362</f>
        <v>11650.97</v>
      </c>
      <c r="G34" s="2"/>
      <c r="H34" s="2">
        <f>Flow!H33*0.362</f>
        <v>14563.621999999999</v>
      </c>
      <c r="I34" s="2"/>
      <c r="J34" s="2">
        <f>Flow!J33*0.362</f>
        <v>9844.2279999999992</v>
      </c>
      <c r="K34" s="2"/>
      <c r="L34" s="2">
        <f>Flow!L33*0.362</f>
        <v>5346.0159999999996</v>
      </c>
    </row>
    <row r="36" spans="1:14" x14ac:dyDescent="0.55000000000000004">
      <c r="B36" t="s">
        <v>5</v>
      </c>
      <c r="N36" s="2">
        <f>SUM(F37:L39)</f>
        <v>30925.735999999997</v>
      </c>
    </row>
    <row r="37" spans="1:14" x14ac:dyDescent="0.55000000000000004">
      <c r="C37" t="s">
        <v>1</v>
      </c>
      <c r="F37" s="2">
        <f>Flow!F36*75</f>
        <v>1050</v>
      </c>
      <c r="G37" s="2"/>
      <c r="H37" s="2">
        <f>Flow!H36*75</f>
        <v>1050</v>
      </c>
      <c r="I37" s="2"/>
      <c r="J37" s="2">
        <f>Flow!J36*75</f>
        <v>1050</v>
      </c>
      <c r="K37" s="2"/>
      <c r="L37" s="2">
        <f>Flow!L36*75</f>
        <v>1050</v>
      </c>
    </row>
    <row r="38" spans="1:14" x14ac:dyDescent="0.55000000000000004">
      <c r="C38" t="s">
        <v>2</v>
      </c>
      <c r="F38" s="2"/>
      <c r="G38" s="2"/>
      <c r="H38" s="2"/>
      <c r="I38" s="2"/>
      <c r="J38" s="2"/>
      <c r="K38" s="2"/>
      <c r="L38" s="2"/>
    </row>
    <row r="39" spans="1:14" x14ac:dyDescent="0.55000000000000004">
      <c r="C39" t="s">
        <v>3</v>
      </c>
      <c r="F39" s="2">
        <f>Flow!F38*0.362</f>
        <v>6817.5459999999994</v>
      </c>
      <c r="G39" s="2"/>
      <c r="H39" s="2">
        <f>Flow!H38*0.362</f>
        <v>6429.8440000000001</v>
      </c>
      <c r="I39" s="2"/>
      <c r="J39" s="2">
        <f>Flow!J38*0.362</f>
        <v>6114.9039999999995</v>
      </c>
      <c r="K39" s="2"/>
      <c r="L39" s="2">
        <f>Flow!L38*0.362</f>
        <v>7363.442</v>
      </c>
    </row>
    <row r="41" spans="1:14" x14ac:dyDescent="0.55000000000000004">
      <c r="B41" t="s">
        <v>6</v>
      </c>
      <c r="N41" s="2">
        <f>SUM(F42:L44)</f>
        <v>19920.966</v>
      </c>
    </row>
    <row r="42" spans="1:14" x14ac:dyDescent="0.55000000000000004">
      <c r="C42" t="s">
        <v>1</v>
      </c>
      <c r="F42" s="2">
        <f>Flow!F41*35</f>
        <v>245</v>
      </c>
      <c r="G42" s="2"/>
      <c r="H42" s="2">
        <f>Flow!H41*35</f>
        <v>245</v>
      </c>
      <c r="I42" s="2"/>
      <c r="J42" s="2">
        <f>Flow!J41*35</f>
        <v>350</v>
      </c>
      <c r="K42" s="2"/>
      <c r="L42" s="2">
        <f>Flow!L41*35</f>
        <v>350</v>
      </c>
    </row>
    <row r="43" spans="1:14" x14ac:dyDescent="0.55000000000000004">
      <c r="C43" t="s">
        <v>2</v>
      </c>
      <c r="F43" s="2"/>
      <c r="G43" s="2"/>
      <c r="H43" s="2"/>
      <c r="I43" s="2"/>
      <c r="J43" s="2"/>
      <c r="K43" s="2"/>
      <c r="L43" s="2"/>
    </row>
    <row r="44" spans="1:14" x14ac:dyDescent="0.55000000000000004">
      <c r="C44" t="s">
        <v>3</v>
      </c>
      <c r="F44" s="2">
        <f>Flow!F43*0.362</f>
        <v>3748.5099999999998</v>
      </c>
      <c r="G44" s="2"/>
      <c r="H44" s="2">
        <f>Flow!H43*0.362</f>
        <v>9102.49</v>
      </c>
      <c r="I44" s="2"/>
      <c r="J44" s="2">
        <f>Flow!J43*0.362</f>
        <v>2533.6379999999999</v>
      </c>
      <c r="K44" s="2"/>
      <c r="L44" s="2">
        <f>Flow!L43*0.362</f>
        <v>3346.328</v>
      </c>
    </row>
    <row r="46" spans="1:14" x14ac:dyDescent="0.55000000000000004">
      <c r="A46" t="s">
        <v>14</v>
      </c>
    </row>
    <row r="47" spans="1:14" x14ac:dyDescent="0.55000000000000004">
      <c r="B47" t="s">
        <v>0</v>
      </c>
      <c r="N47" s="2">
        <f>SUM(F48:L50)</f>
        <v>137399.96000000002</v>
      </c>
    </row>
    <row r="48" spans="1:14" x14ac:dyDescent="0.55000000000000004">
      <c r="C48" t="s">
        <v>1</v>
      </c>
      <c r="F48" s="2">
        <f>Flow!F47*15</f>
        <v>7485</v>
      </c>
      <c r="G48" s="2"/>
      <c r="H48" s="2">
        <f>Flow!H47*15</f>
        <v>7530</v>
      </c>
      <c r="I48" s="2"/>
      <c r="J48" s="2">
        <f>Flow!J47*15</f>
        <v>7470</v>
      </c>
      <c r="K48" s="2"/>
      <c r="L48" s="2">
        <f>Flow!L47*15</f>
        <v>7470</v>
      </c>
    </row>
    <row r="49" spans="2:14" x14ac:dyDescent="0.55000000000000004">
      <c r="C49" t="s">
        <v>2</v>
      </c>
      <c r="F49" s="2"/>
      <c r="G49" s="2"/>
      <c r="H49" s="2"/>
      <c r="I49" s="2"/>
      <c r="J49" s="2"/>
      <c r="K49" s="2"/>
      <c r="L49" s="2"/>
    </row>
    <row r="50" spans="2:14" x14ac:dyDescent="0.55000000000000004">
      <c r="C50" t="s">
        <v>3</v>
      </c>
      <c r="F50" s="2">
        <f>Flow!F49*0.86</f>
        <v>61470.22</v>
      </c>
      <c r="G50" s="2"/>
      <c r="H50" s="2">
        <f>Flow!H49*0.86</f>
        <v>25944.48</v>
      </c>
      <c r="I50" s="2"/>
      <c r="J50" s="2">
        <f>Flow!J49*0.86</f>
        <v>13996.5</v>
      </c>
      <c r="K50" s="2"/>
      <c r="L50" s="2">
        <f>Flow!L49*0.86</f>
        <v>6033.76</v>
      </c>
    </row>
    <row r="52" spans="2:14" x14ac:dyDescent="0.55000000000000004">
      <c r="B52" t="s">
        <v>4</v>
      </c>
      <c r="N52" s="2">
        <f>SUM(F53:L55)</f>
        <v>16815.000000000004</v>
      </c>
    </row>
    <row r="53" spans="2:14" x14ac:dyDescent="0.55000000000000004">
      <c r="C53" t="s">
        <v>1</v>
      </c>
      <c r="F53" s="2">
        <f>Flow!F52*15</f>
        <v>645</v>
      </c>
      <c r="G53" s="2"/>
      <c r="H53" s="2">
        <f>Flow!H52*15</f>
        <v>660</v>
      </c>
      <c r="I53" s="2"/>
      <c r="J53" s="2">
        <f>Flow!J52*15</f>
        <v>660</v>
      </c>
      <c r="K53" s="2"/>
      <c r="L53" s="2">
        <f>Flow!L52*15</f>
        <v>660</v>
      </c>
    </row>
    <row r="54" spans="2:14" x14ac:dyDescent="0.55000000000000004">
      <c r="C54" t="s">
        <v>2</v>
      </c>
      <c r="F54" s="2"/>
      <c r="G54" s="2"/>
      <c r="H54" s="2"/>
      <c r="I54" s="2"/>
      <c r="J54" s="2"/>
      <c r="K54" s="2"/>
      <c r="L54" s="2"/>
    </row>
    <row r="55" spans="2:14" x14ac:dyDescent="0.55000000000000004">
      <c r="C55" t="s">
        <v>3</v>
      </c>
      <c r="F55" s="2">
        <f>Flow!F54*0.86</f>
        <v>7752.04</v>
      </c>
      <c r="G55" s="2"/>
      <c r="H55" s="2">
        <f>Flow!H54*0.86</f>
        <v>4108.22</v>
      </c>
      <c r="I55" s="2"/>
      <c r="J55" s="2">
        <f>Flow!J54*0.86</f>
        <v>1768.16</v>
      </c>
      <c r="K55" s="2"/>
      <c r="L55" s="2">
        <f>Flow!L54*0.86</f>
        <v>561.58000000000004</v>
      </c>
    </row>
    <row r="57" spans="2:14" x14ac:dyDescent="0.55000000000000004">
      <c r="B57" t="s">
        <v>5</v>
      </c>
      <c r="N57" s="2">
        <f>SUM(F58:L60)</f>
        <v>703</v>
      </c>
    </row>
    <row r="58" spans="2:14" x14ac:dyDescent="0.55000000000000004">
      <c r="C58" t="s">
        <v>1</v>
      </c>
      <c r="F58" s="2">
        <f>Flow!F57*15</f>
        <v>15</v>
      </c>
      <c r="G58" s="2"/>
      <c r="H58" s="2">
        <f>Flow!H57*15</f>
        <v>0</v>
      </c>
      <c r="I58" s="2"/>
      <c r="J58" s="2">
        <f>Flow!J57*15</f>
        <v>0</v>
      </c>
      <c r="K58" s="2"/>
      <c r="L58" s="2">
        <f>Flow!L57*15</f>
        <v>0</v>
      </c>
    </row>
    <row r="59" spans="2:14" x14ac:dyDescent="0.55000000000000004">
      <c r="C59" t="s">
        <v>2</v>
      </c>
      <c r="F59" s="2"/>
      <c r="G59" s="2"/>
      <c r="H59" s="2"/>
      <c r="I59" s="2"/>
      <c r="J59" s="2"/>
      <c r="K59" s="2"/>
      <c r="L59" s="2"/>
    </row>
    <row r="60" spans="2:14" x14ac:dyDescent="0.55000000000000004">
      <c r="C60" t="s">
        <v>3</v>
      </c>
      <c r="F60" s="2">
        <f>Flow!F59*0.86</f>
        <v>688</v>
      </c>
      <c r="G60" s="2"/>
      <c r="H60" s="2">
        <f>Flow!H59*0.86</f>
        <v>0</v>
      </c>
      <c r="I60" s="2"/>
      <c r="J60" s="2">
        <f>Flow!J59*0.86</f>
        <v>0</v>
      </c>
      <c r="K60" s="2"/>
      <c r="L60" s="2">
        <f>Flow!L59*0.86</f>
        <v>0</v>
      </c>
    </row>
    <row r="62" spans="2:14" x14ac:dyDescent="0.55000000000000004">
      <c r="B62" t="s">
        <v>6</v>
      </c>
      <c r="N62" s="2">
        <f>SUM(F63:L65)</f>
        <v>0</v>
      </c>
    </row>
    <row r="63" spans="2:14" x14ac:dyDescent="0.55000000000000004">
      <c r="C63" t="s">
        <v>1</v>
      </c>
      <c r="F63" s="2">
        <f>Flow!F62*15</f>
        <v>0</v>
      </c>
      <c r="G63" s="2"/>
      <c r="H63" s="2">
        <f>Flow!H62*15</f>
        <v>0</v>
      </c>
      <c r="I63" s="2"/>
      <c r="J63" s="2">
        <f>Flow!J62*15</f>
        <v>0</v>
      </c>
      <c r="K63" s="2"/>
      <c r="L63" s="2">
        <f>Flow!L62*15</f>
        <v>0</v>
      </c>
    </row>
    <row r="64" spans="2:14" x14ac:dyDescent="0.55000000000000004">
      <c r="C64" t="s">
        <v>2</v>
      </c>
      <c r="F64" s="2"/>
      <c r="G64" s="2"/>
      <c r="H64" s="2"/>
      <c r="I64" s="2"/>
      <c r="J64" s="2"/>
      <c r="K64" s="2"/>
      <c r="L64" s="2"/>
    </row>
    <row r="65" spans="3:12" x14ac:dyDescent="0.55000000000000004">
      <c r="C65" t="s">
        <v>3</v>
      </c>
      <c r="F65" s="2">
        <f>Flow!F64*0.86</f>
        <v>0</v>
      </c>
      <c r="G65" s="2"/>
      <c r="H65" s="2">
        <f>Flow!H64*0.86</f>
        <v>0</v>
      </c>
      <c r="I65" s="2"/>
      <c r="J65" s="2">
        <f>Flow!J64*0.86</f>
        <v>0</v>
      </c>
      <c r="K65" s="2"/>
      <c r="L65" s="2">
        <f>Flow!L64*0.86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30A1-2938-404C-B2D6-2EFDDD0DA2F3}">
  <dimension ref="A1:N64"/>
  <sheetViews>
    <sheetView topLeftCell="A46" workbookViewId="0">
      <selection activeCell="F14" sqref="F14"/>
    </sheetView>
  </sheetViews>
  <sheetFormatPr defaultRowHeight="14.4" x14ac:dyDescent="0.55000000000000004"/>
  <cols>
    <col min="1" max="2" width="1.578125" customWidth="1"/>
    <col min="3" max="3" width="20.578125" customWidth="1"/>
    <col min="4" max="5" width="1.578125" customWidth="1"/>
    <col min="7" max="7" width="1.578125" customWidth="1"/>
    <col min="9" max="9" width="1.578125" customWidth="1"/>
    <col min="11" max="11" width="1.578125" customWidth="1"/>
    <col min="13" max="13" width="1.578125" customWidth="1"/>
    <col min="15" max="15" width="1.578125" customWidth="1"/>
    <col min="17" max="17" width="1.578125" customWidth="1"/>
    <col min="19" max="19" width="1.578125" customWidth="1"/>
    <col min="21" max="21" width="1.578125" customWidth="1"/>
  </cols>
  <sheetData>
    <row r="1" spans="1:14" s="3" customFormat="1" x14ac:dyDescent="0.55000000000000004">
      <c r="D1" s="4" t="s">
        <v>7</v>
      </c>
      <c r="F1" s="5" t="s">
        <v>8</v>
      </c>
      <c r="G1" s="5"/>
      <c r="H1" s="5" t="s">
        <v>9</v>
      </c>
      <c r="I1" s="5"/>
      <c r="J1" s="5" t="s">
        <v>10</v>
      </c>
      <c r="K1" s="5"/>
      <c r="L1" s="5" t="s">
        <v>11</v>
      </c>
      <c r="M1" s="5"/>
      <c r="N1" s="5"/>
    </row>
    <row r="2" spans="1:14" x14ac:dyDescent="0.55000000000000004">
      <c r="A2" t="s">
        <v>12</v>
      </c>
    </row>
    <row r="3" spans="1:14" x14ac:dyDescent="0.55000000000000004">
      <c r="B3" t="s">
        <v>0</v>
      </c>
    </row>
    <row r="4" spans="1:14" x14ac:dyDescent="0.55000000000000004">
      <c r="C4" t="s">
        <v>1</v>
      </c>
      <c r="F4">
        <v>593</v>
      </c>
      <c r="H4">
        <v>596</v>
      </c>
      <c r="J4">
        <v>592</v>
      </c>
      <c r="L4">
        <v>591</v>
      </c>
    </row>
    <row r="5" spans="1:14" x14ac:dyDescent="0.55000000000000004">
      <c r="C5" t="s">
        <v>2</v>
      </c>
      <c r="F5">
        <v>557</v>
      </c>
      <c r="H5">
        <v>551</v>
      </c>
      <c r="J5">
        <v>544</v>
      </c>
      <c r="L5">
        <v>514</v>
      </c>
    </row>
    <row r="6" spans="1:14" x14ac:dyDescent="0.55000000000000004">
      <c r="C6" t="s">
        <v>3</v>
      </c>
      <c r="F6">
        <v>77758</v>
      </c>
      <c r="H6">
        <v>38357</v>
      </c>
      <c r="J6">
        <v>20041</v>
      </c>
      <c r="L6">
        <v>8334</v>
      </c>
    </row>
    <row r="8" spans="1:14" x14ac:dyDescent="0.55000000000000004">
      <c r="B8" t="s">
        <v>4</v>
      </c>
    </row>
    <row r="9" spans="1:14" x14ac:dyDescent="0.55000000000000004">
      <c r="C9" t="s">
        <v>1</v>
      </c>
      <c r="F9">
        <v>103</v>
      </c>
      <c r="H9">
        <v>104</v>
      </c>
      <c r="J9">
        <v>104</v>
      </c>
      <c r="L9">
        <v>104</v>
      </c>
    </row>
    <row r="10" spans="1:14" x14ac:dyDescent="0.55000000000000004">
      <c r="C10" t="s">
        <v>2</v>
      </c>
      <c r="F10">
        <v>97</v>
      </c>
      <c r="H10">
        <v>97</v>
      </c>
      <c r="J10">
        <v>96</v>
      </c>
      <c r="L10">
        <v>87</v>
      </c>
    </row>
    <row r="11" spans="1:14" x14ac:dyDescent="0.55000000000000004">
      <c r="C11" t="s">
        <v>3</v>
      </c>
      <c r="F11">
        <v>41199</v>
      </c>
      <c r="H11">
        <v>45008</v>
      </c>
      <c r="J11">
        <v>29250</v>
      </c>
      <c r="L11">
        <v>15421</v>
      </c>
    </row>
    <row r="13" spans="1:14" x14ac:dyDescent="0.55000000000000004">
      <c r="B13" t="s">
        <v>5</v>
      </c>
    </row>
    <row r="14" spans="1:14" x14ac:dyDescent="0.55000000000000004">
      <c r="C14" t="s">
        <v>1</v>
      </c>
      <c r="F14">
        <v>15</v>
      </c>
      <c r="H14">
        <v>14</v>
      </c>
      <c r="J14">
        <v>14</v>
      </c>
      <c r="L14">
        <v>14</v>
      </c>
    </row>
    <row r="15" spans="1:14" x14ac:dyDescent="0.55000000000000004">
      <c r="C15" t="s">
        <v>2</v>
      </c>
      <c r="F15">
        <v>12</v>
      </c>
      <c r="H15">
        <v>11</v>
      </c>
      <c r="J15">
        <v>13</v>
      </c>
      <c r="L15">
        <v>13</v>
      </c>
    </row>
    <row r="16" spans="1:14" x14ac:dyDescent="0.55000000000000004">
      <c r="C16" t="s">
        <v>3</v>
      </c>
      <c r="F16">
        <v>19633</v>
      </c>
      <c r="H16">
        <v>17762</v>
      </c>
      <c r="J16">
        <v>16892</v>
      </c>
      <c r="L16">
        <v>20341</v>
      </c>
    </row>
    <row r="18" spans="1:12" x14ac:dyDescent="0.55000000000000004">
      <c r="B18" t="s">
        <v>6</v>
      </c>
    </row>
    <row r="19" spans="1:12" x14ac:dyDescent="0.55000000000000004">
      <c r="C19" t="s">
        <v>1</v>
      </c>
      <c r="F19">
        <v>7</v>
      </c>
      <c r="H19">
        <v>7</v>
      </c>
      <c r="J19">
        <v>10</v>
      </c>
      <c r="L19">
        <v>10</v>
      </c>
    </row>
    <row r="20" spans="1:12" x14ac:dyDescent="0.55000000000000004">
      <c r="C20" t="s">
        <v>2</v>
      </c>
      <c r="F20">
        <v>7</v>
      </c>
      <c r="H20">
        <v>7</v>
      </c>
      <c r="J20">
        <v>10</v>
      </c>
      <c r="L20">
        <v>10</v>
      </c>
    </row>
    <row r="21" spans="1:12" x14ac:dyDescent="0.55000000000000004">
      <c r="C21" t="s">
        <v>3</v>
      </c>
      <c r="F21">
        <v>10355</v>
      </c>
      <c r="H21">
        <v>25145</v>
      </c>
      <c r="J21">
        <v>6999</v>
      </c>
      <c r="L21">
        <v>9244</v>
      </c>
    </row>
    <row r="24" spans="1:12" x14ac:dyDescent="0.55000000000000004">
      <c r="A24" t="s">
        <v>13</v>
      </c>
    </row>
    <row r="25" spans="1:12" x14ac:dyDescent="0.55000000000000004">
      <c r="B25" t="s">
        <v>0</v>
      </c>
    </row>
    <row r="26" spans="1:12" x14ac:dyDescent="0.55000000000000004">
      <c r="C26" t="s">
        <v>1</v>
      </c>
      <c r="F26">
        <v>94</v>
      </c>
      <c r="H26">
        <v>94</v>
      </c>
      <c r="J26">
        <v>94</v>
      </c>
      <c r="L26">
        <v>93</v>
      </c>
    </row>
    <row r="27" spans="1:12" x14ac:dyDescent="0.55000000000000004">
      <c r="C27" t="s">
        <v>2</v>
      </c>
      <c r="F27">
        <v>85</v>
      </c>
      <c r="H27">
        <v>84</v>
      </c>
      <c r="J27">
        <v>85</v>
      </c>
      <c r="L27">
        <v>81</v>
      </c>
    </row>
    <row r="28" spans="1:12" x14ac:dyDescent="0.55000000000000004">
      <c r="C28" t="s">
        <v>3</v>
      </c>
      <c r="F28">
        <v>6281</v>
      </c>
      <c r="H28">
        <v>8189</v>
      </c>
      <c r="J28">
        <v>3766</v>
      </c>
      <c r="L28">
        <v>1318</v>
      </c>
    </row>
    <row r="30" spans="1:12" x14ac:dyDescent="0.55000000000000004">
      <c r="B30" t="s">
        <v>4</v>
      </c>
    </row>
    <row r="31" spans="1:12" x14ac:dyDescent="0.55000000000000004">
      <c r="C31" t="s">
        <v>1</v>
      </c>
      <c r="F31">
        <v>60</v>
      </c>
      <c r="H31">
        <v>60</v>
      </c>
      <c r="J31">
        <v>60</v>
      </c>
      <c r="L31">
        <v>60</v>
      </c>
    </row>
    <row r="32" spans="1:12" x14ac:dyDescent="0.55000000000000004">
      <c r="C32" t="s">
        <v>2</v>
      </c>
      <c r="F32">
        <v>58</v>
      </c>
      <c r="H32">
        <v>58</v>
      </c>
      <c r="J32">
        <v>57</v>
      </c>
      <c r="L32">
        <v>54</v>
      </c>
    </row>
    <row r="33" spans="1:12" x14ac:dyDescent="0.55000000000000004">
      <c r="C33" t="s">
        <v>3</v>
      </c>
      <c r="F33">
        <v>32185</v>
      </c>
      <c r="H33">
        <v>40231</v>
      </c>
      <c r="J33">
        <v>27194</v>
      </c>
      <c r="L33">
        <v>14768</v>
      </c>
    </row>
    <row r="35" spans="1:12" x14ac:dyDescent="0.55000000000000004">
      <c r="B35" t="s">
        <v>5</v>
      </c>
    </row>
    <row r="36" spans="1:12" x14ac:dyDescent="0.55000000000000004">
      <c r="C36" t="s">
        <v>1</v>
      </c>
      <c r="F36">
        <f>11+3</f>
        <v>14</v>
      </c>
      <c r="H36">
        <f>11+3</f>
        <v>14</v>
      </c>
      <c r="J36">
        <f>11+3</f>
        <v>14</v>
      </c>
      <c r="L36">
        <f>11+3</f>
        <v>14</v>
      </c>
    </row>
    <row r="37" spans="1:12" x14ac:dyDescent="0.55000000000000004">
      <c r="C37" t="s">
        <v>2</v>
      </c>
      <c r="F37">
        <f>10+1</f>
        <v>11</v>
      </c>
      <c r="H37">
        <f>10+1</f>
        <v>11</v>
      </c>
      <c r="J37">
        <f>10+3</f>
        <v>13</v>
      </c>
      <c r="L37">
        <f>10+3</f>
        <v>13</v>
      </c>
    </row>
    <row r="38" spans="1:12" x14ac:dyDescent="0.55000000000000004">
      <c r="C38" t="s">
        <v>3</v>
      </c>
      <c r="F38">
        <v>18833</v>
      </c>
      <c r="H38">
        <v>17762</v>
      </c>
      <c r="J38">
        <f>14452+2440</f>
        <v>16892</v>
      </c>
      <c r="L38">
        <f>11808+8533</f>
        <v>20341</v>
      </c>
    </row>
    <row r="40" spans="1:12" x14ac:dyDescent="0.55000000000000004">
      <c r="B40" t="s">
        <v>6</v>
      </c>
    </row>
    <row r="41" spans="1:12" x14ac:dyDescent="0.55000000000000004">
      <c r="C41" t="s">
        <v>1</v>
      </c>
      <c r="F41">
        <v>7</v>
      </c>
      <c r="H41">
        <v>7</v>
      </c>
      <c r="J41">
        <v>10</v>
      </c>
      <c r="L41">
        <v>10</v>
      </c>
    </row>
    <row r="42" spans="1:12" x14ac:dyDescent="0.55000000000000004">
      <c r="C42" t="s">
        <v>2</v>
      </c>
      <c r="F42">
        <v>7</v>
      </c>
      <c r="H42">
        <v>7</v>
      </c>
      <c r="J42">
        <v>10</v>
      </c>
      <c r="L42">
        <v>10</v>
      </c>
    </row>
    <row r="43" spans="1:12" x14ac:dyDescent="0.55000000000000004">
      <c r="C43" t="s">
        <v>3</v>
      </c>
      <c r="F43">
        <v>10355</v>
      </c>
      <c r="H43">
        <v>25145</v>
      </c>
      <c r="J43">
        <v>6999</v>
      </c>
      <c r="L43">
        <v>9244</v>
      </c>
    </row>
    <row r="45" spans="1:12" x14ac:dyDescent="0.55000000000000004">
      <c r="A45" t="s">
        <v>14</v>
      </c>
    </row>
    <row r="46" spans="1:12" x14ac:dyDescent="0.55000000000000004">
      <c r="B46" t="s">
        <v>0</v>
      </c>
    </row>
    <row r="47" spans="1:12" x14ac:dyDescent="0.55000000000000004">
      <c r="C47" t="s">
        <v>1</v>
      </c>
      <c r="F47">
        <f>F4-F26</f>
        <v>499</v>
      </c>
      <c r="H47">
        <f>H4-H26</f>
        <v>502</v>
      </c>
      <c r="J47">
        <f>J4-J26</f>
        <v>498</v>
      </c>
      <c r="L47">
        <f>L4-L26</f>
        <v>498</v>
      </c>
    </row>
    <row r="48" spans="1:12" x14ac:dyDescent="0.55000000000000004">
      <c r="C48" t="s">
        <v>2</v>
      </c>
      <c r="F48">
        <f>F5-F27</f>
        <v>472</v>
      </c>
      <c r="H48">
        <f>H5-H27</f>
        <v>467</v>
      </c>
      <c r="J48">
        <f>J5-J27</f>
        <v>459</v>
      </c>
      <c r="L48">
        <f>L5-L27</f>
        <v>433</v>
      </c>
    </row>
    <row r="49" spans="2:12" x14ac:dyDescent="0.55000000000000004">
      <c r="C49" t="s">
        <v>3</v>
      </c>
      <c r="F49">
        <f>F6-F28</f>
        <v>71477</v>
      </c>
      <c r="H49">
        <f>H6-H28</f>
        <v>30168</v>
      </c>
      <c r="J49">
        <f>J6-J28</f>
        <v>16275</v>
      </c>
      <c r="L49">
        <f>L6-L28</f>
        <v>7016</v>
      </c>
    </row>
    <row r="51" spans="2:12" x14ac:dyDescent="0.55000000000000004">
      <c r="B51" t="s">
        <v>4</v>
      </c>
    </row>
    <row r="52" spans="2:12" x14ac:dyDescent="0.55000000000000004">
      <c r="C52" t="s">
        <v>1</v>
      </c>
      <c r="F52">
        <f>F9-F31</f>
        <v>43</v>
      </c>
      <c r="H52">
        <f>H9-H31</f>
        <v>44</v>
      </c>
      <c r="J52">
        <f>J9-J31</f>
        <v>44</v>
      </c>
      <c r="L52">
        <f>L9-L31</f>
        <v>44</v>
      </c>
    </row>
    <row r="53" spans="2:12" x14ac:dyDescent="0.55000000000000004">
      <c r="C53" t="s">
        <v>2</v>
      </c>
      <c r="F53">
        <f>F10-F32</f>
        <v>39</v>
      </c>
      <c r="H53">
        <f>H10-H32</f>
        <v>39</v>
      </c>
      <c r="J53">
        <f>J10-J32</f>
        <v>39</v>
      </c>
      <c r="L53">
        <f>L10-L32</f>
        <v>33</v>
      </c>
    </row>
    <row r="54" spans="2:12" x14ac:dyDescent="0.55000000000000004">
      <c r="C54" t="s">
        <v>3</v>
      </c>
      <c r="F54">
        <f>F11-F33</f>
        <v>9014</v>
      </c>
      <c r="H54">
        <f>H11-H33</f>
        <v>4777</v>
      </c>
      <c r="J54">
        <f>J11-J33</f>
        <v>2056</v>
      </c>
      <c r="L54">
        <f>L11-L33</f>
        <v>653</v>
      </c>
    </row>
    <row r="56" spans="2:12" x14ac:dyDescent="0.55000000000000004">
      <c r="B56" t="s">
        <v>5</v>
      </c>
    </row>
    <row r="57" spans="2:12" x14ac:dyDescent="0.55000000000000004">
      <c r="C57" t="s">
        <v>1</v>
      </c>
      <c r="F57">
        <f>F14-F36</f>
        <v>1</v>
      </c>
      <c r="H57">
        <f>H14-H36</f>
        <v>0</v>
      </c>
      <c r="J57">
        <f>J14-J36</f>
        <v>0</v>
      </c>
      <c r="L57">
        <f>L14-L36</f>
        <v>0</v>
      </c>
    </row>
    <row r="58" spans="2:12" x14ac:dyDescent="0.55000000000000004">
      <c r="C58" t="s">
        <v>2</v>
      </c>
      <c r="F58">
        <f>F15-F37</f>
        <v>1</v>
      </c>
      <c r="H58">
        <f>H15-H37</f>
        <v>0</v>
      </c>
      <c r="J58">
        <f>J15-J37</f>
        <v>0</v>
      </c>
      <c r="L58">
        <f>L15-L37</f>
        <v>0</v>
      </c>
    </row>
    <row r="59" spans="2:12" x14ac:dyDescent="0.55000000000000004">
      <c r="C59" t="s">
        <v>3</v>
      </c>
      <c r="F59">
        <f>F16-F38</f>
        <v>800</v>
      </c>
      <c r="H59">
        <f>H16-H38</f>
        <v>0</v>
      </c>
      <c r="J59">
        <f>J16-J38</f>
        <v>0</v>
      </c>
      <c r="L59">
        <f>L16-L38</f>
        <v>0</v>
      </c>
    </row>
    <row r="61" spans="2:12" x14ac:dyDescent="0.55000000000000004">
      <c r="B61" t="s">
        <v>6</v>
      </c>
    </row>
    <row r="62" spans="2:12" x14ac:dyDescent="0.55000000000000004">
      <c r="C62" t="s">
        <v>1</v>
      </c>
      <c r="F62">
        <f>F19-F41</f>
        <v>0</v>
      </c>
      <c r="H62">
        <f>H19-H41</f>
        <v>0</v>
      </c>
      <c r="J62">
        <f>J19-J41</f>
        <v>0</v>
      </c>
      <c r="L62">
        <f>L19-L41</f>
        <v>0</v>
      </c>
    </row>
    <row r="63" spans="2:12" x14ac:dyDescent="0.55000000000000004">
      <c r="C63" t="s">
        <v>2</v>
      </c>
      <c r="F63">
        <f>F20-F42</f>
        <v>0</v>
      </c>
      <c r="H63">
        <f>H20-H42</f>
        <v>0</v>
      </c>
      <c r="J63">
        <f>J20-J42</f>
        <v>0</v>
      </c>
      <c r="L63">
        <f>L20-L42</f>
        <v>0</v>
      </c>
    </row>
    <row r="64" spans="2:12" x14ac:dyDescent="0.55000000000000004">
      <c r="C64" t="s">
        <v>3</v>
      </c>
      <c r="F64">
        <f>F21-F43</f>
        <v>0</v>
      </c>
      <c r="H64">
        <f>H21-H43</f>
        <v>0</v>
      </c>
      <c r="J64">
        <f>J21-J43</f>
        <v>0</v>
      </c>
      <c r="L64">
        <f>L21-L43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EMER</vt:lpstr>
      <vt:lpstr>Prior</vt:lpstr>
      <vt:lpstr>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Hartline</dc:creator>
  <cp:lastModifiedBy>Thomas Hartline</cp:lastModifiedBy>
  <dcterms:created xsi:type="dcterms:W3CDTF">2026-05-28T17:58:43Z</dcterms:created>
  <dcterms:modified xsi:type="dcterms:W3CDTF">2026-05-28T20:16:10Z</dcterms:modified>
</cp:coreProperties>
</file>