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6-00070 - 6-Month Review\DR1\Response 2\"/>
    </mc:Choice>
  </mc:AlternateContent>
  <xr:revisionPtr revIDLastSave="0" documentId="13_ncr:1_{F97DBD26-BD93-4F20-82C5-3EF66BAB2DF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11-30-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9" l="1"/>
  <c r="O27" i="9"/>
  <c r="O26" i="9"/>
  <c r="E22" i="9"/>
  <c r="E21" i="9" l="1"/>
  <c r="O25" i="9" s="1"/>
  <c r="K46" i="9"/>
  <c r="E20" i="9"/>
  <c r="K45" i="9"/>
  <c r="L45" i="9" s="1"/>
  <c r="E19" i="9"/>
  <c r="O23" i="9" s="1"/>
  <c r="J48" i="9"/>
  <c r="L48" i="9" s="1"/>
  <c r="D23" i="9"/>
  <c r="J47" i="9"/>
  <c r="L47" i="9"/>
  <c r="D22" i="9"/>
  <c r="F22" i="9" s="1"/>
  <c r="J46" i="9"/>
  <c r="D21" i="9"/>
  <c r="J45" i="9"/>
  <c r="D20" i="9"/>
  <c r="J44" i="9"/>
  <c r="D19" i="9"/>
  <c r="D32" i="9"/>
  <c r="G32" i="9" s="1"/>
  <c r="G15" i="9"/>
  <c r="G41" i="9" s="1"/>
  <c r="K43" i="9"/>
  <c r="E18" i="9"/>
  <c r="O22" i="9" s="1"/>
  <c r="J43" i="9"/>
  <c r="L43" i="9"/>
  <c r="J22" i="9"/>
  <c r="L22" i="9" s="1"/>
  <c r="D18" i="9"/>
  <c r="F18" i="9" s="1"/>
  <c r="K42" i="9"/>
  <c r="J42" i="9"/>
  <c r="K41" i="9"/>
  <c r="J41" i="9"/>
  <c r="K21" i="9"/>
  <c r="J21" i="9"/>
  <c r="L21" i="9" s="1"/>
  <c r="E17" i="9"/>
  <c r="D17" i="9"/>
  <c r="F17" i="9" s="1"/>
  <c r="E16" i="9"/>
  <c r="O20" i="9" s="1"/>
  <c r="D16" i="9"/>
  <c r="D62" i="9"/>
  <c r="E31" i="9" s="1"/>
  <c r="G31" i="9" s="1"/>
  <c r="L46" i="9"/>
  <c r="L44" i="9"/>
  <c r="D31" i="9"/>
  <c r="L27" i="9"/>
  <c r="L26" i="9"/>
  <c r="L25" i="9"/>
  <c r="L24" i="9"/>
  <c r="L23" i="9"/>
  <c r="F23" i="9"/>
  <c r="L20" i="9"/>
  <c r="M20" i="9" s="1"/>
  <c r="F21" i="9" l="1"/>
  <c r="G48" i="9" s="1"/>
  <c r="F20" i="9"/>
  <c r="O24" i="9"/>
  <c r="F19" i="9"/>
  <c r="G33" i="9"/>
  <c r="F16" i="9"/>
  <c r="O21" i="9"/>
  <c r="L42" i="9"/>
  <c r="G42" i="9"/>
  <c r="G44" i="9"/>
  <c r="L41" i="9"/>
  <c r="M41" i="9" s="1"/>
  <c r="M42" i="9" s="1"/>
  <c r="M43" i="9"/>
  <c r="M44" i="9" s="1"/>
  <c r="M45" i="9" s="1"/>
  <c r="M46" i="9" s="1"/>
  <c r="M21" i="9"/>
  <c r="M22" i="9" s="1"/>
  <c r="M23" i="9" s="1"/>
  <c r="M24" i="9" s="1"/>
  <c r="M25" i="9" s="1"/>
  <c r="G16" i="9"/>
  <c r="G17" i="9" s="1"/>
  <c r="G18" i="9" s="1"/>
  <c r="G19" i="9" s="1"/>
  <c r="G20" i="9" l="1"/>
  <c r="G21" i="9" s="1"/>
  <c r="G35" i="9" s="1"/>
  <c r="M50" i="9"/>
  <c r="M52" i="9" s="1"/>
  <c r="M47" i="9"/>
  <c r="M48" i="9" s="1"/>
  <c r="M26" i="9"/>
  <c r="M27" i="9" s="1"/>
  <c r="M29" i="9"/>
  <c r="M31" i="9" s="1"/>
  <c r="G22" i="9" l="1"/>
  <c r="G23" i="9" s="1"/>
  <c r="G46" i="9"/>
  <c r="G50" i="9" s="1"/>
  <c r="G37" i="9"/>
</calcChain>
</file>

<file path=xl/sharedStrings.xml><?xml version="1.0" encoding="utf-8"?>
<sst xmlns="http://schemas.openxmlformats.org/spreadsheetml/2006/main" count="102" uniqueCount="65">
  <si>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</si>
  <si>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</si>
  <si>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</si>
  <si>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</si>
  <si>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</si>
  <si>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</si>
  <si>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</si>
  <si>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</si>
  <si>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</si>
  <si>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</si>
  <si>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</si>
  <si>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</si>
  <si>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</si>
  <si>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</si>
  <si>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</si>
  <si>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</si>
  <si>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</si>
  <si>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</si>
  <si>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</si>
  <si>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</si>
  <si>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</si>
  <si>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</si>
  <si>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</si>
  <si>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</si>
  <si>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</si>
  <si>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</si>
  <si>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</si>
  <si>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</si>
  <si>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</si>
  <si>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</si>
  <si>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</si>
  <si>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</si>
  <si>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</si>
  <si>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</si>
  <si>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</si>
  <si>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</si>
  <si>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</si>
  <si>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</si>
  <si>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</si>
  <si>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</si>
  <si>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</si>
  <si>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</si>
  <si>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</si>
  <si>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</si>
  <si>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</si>
  <si>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</si>
  <si>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</si>
  <si>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(1)</t>
  </si>
  <si>
    <t>Cumulative 6-month (Over)/Under Recovery</t>
  </si>
  <si>
    <t>Monthly Recovery (per month for six months)</t>
  </si>
  <si>
    <t>Owen - Calculation of (Over)/Under Recovery</t>
  </si>
  <si>
    <t>Owen Electric Cooperative - Calculation of (Over)/Under Recovery - Direct Surcharge Pass-Throughs</t>
  </si>
  <si>
    <t>Special Contract</t>
  </si>
  <si>
    <t>Rate B Customers</t>
  </si>
  <si>
    <t>From Case No. 2025-00013 (Over)/Under-Recovery</t>
  </si>
  <si>
    <t>From Case No. 2025-00013 Recovery</t>
  </si>
  <si>
    <t>Monthly recovery (per month for six months)</t>
  </si>
  <si>
    <t>2025-00013</t>
  </si>
  <si>
    <t>DR1 Response 2 - Owen Surcharge Summary.xlsx</t>
  </si>
  <si>
    <t>Less Adjustment for Order amounts remaining to be amortized at end of review period December 2025</t>
  </si>
  <si>
    <t>1c</t>
  </si>
  <si>
    <t>From Case No. 2025-00266 (Over)/Under-Recovery</t>
  </si>
  <si>
    <t>8c</t>
  </si>
  <si>
    <t>From Case No. 2025-00266 Recovery</t>
  </si>
  <si>
    <t>Cumulative six month (Over)/Under-Recovery [Cumulative net of remaining Case amortizations (Ln 7&amp;8c)]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</si>
</sst>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</numFmts>
  <fonts count="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07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0" fontId="0" fillId="0" borderId="10" xfId="0" applyBorder="1"/>
    <xf numFmtId="5" fontId="0" fillId="0" borderId="0" xfId="0" applyNumberFormat="1" applyBorder="1"/>
    <xf numFmtId="0" fontId="2" fillId="0" borderId="0" xfId="1"/>
    <xf numFmtId="0" fontId="1" fillId="0" borderId="0" xfId="1" applyFont="1"/>
    <xf numFmtId="0" fontId="2" fillId="0" borderId="7" xfId="1" applyBorder="1"/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8" xfId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10" xfId="1" applyBorder="1" applyAlignment="1">
      <alignment horizontal="center"/>
    </xf>
    <xf numFmtId="49" fontId="2" fillId="0" borderId="10" xfId="1" applyNumberFormat="1" applyBorder="1" applyAlignment="1">
      <alignment horizontal="center"/>
    </xf>
    <xf numFmtId="5" fontId="2" fillId="3" borderId="7" xfId="1" applyNumberFormat="1" applyFill="1" applyBorder="1"/>
    <xf numFmtId="5" fontId="2" fillId="0" borderId="7" xfId="1" applyNumberFormat="1" applyBorder="1"/>
    <xf numFmtId="5" fontId="2" fillId="3" borderId="8" xfId="1" applyNumberFormat="1" applyFill="1" applyBorder="1"/>
    <xf numFmtId="5" fontId="2" fillId="0" borderId="8" xfId="1" applyNumberFormat="1" applyBorder="1"/>
    <xf numFmtId="5" fontId="2" fillId="0" borderId="9" xfId="1" applyNumberFormat="1" applyBorder="1"/>
    <xf numFmtId="0" fontId="2" fillId="0" borderId="11" xfId="1" applyBorder="1"/>
    <xf numFmtId="0" fontId="2" fillId="0" borderId="12" xfId="1" applyBorder="1"/>
    <xf numFmtId="0" fontId="2" fillId="0" borderId="13" xfId="1" applyBorder="1"/>
    <xf numFmtId="5" fontId="2" fillId="0" borderId="10" xfId="1" applyNumberFormat="1" applyBorder="1"/>
    <xf numFmtId="5" fontId="2" fillId="0" borderId="0" xfId="1" applyNumberFormat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5" fillId="0" borderId="0" xfId="0" applyFont="1" applyAlignment="1">
      <alignment horizontal="center"/>
    </xf>
    <xf numFmtId="5" fontId="4" fillId="3" borderId="8" xfId="3" applyNumberFormat="1" applyFont="1" applyFill="1" applyBorder="1"/>
    <xf numFmtId="5" fontId="2" fillId="3" borderId="9" xfId="1" applyNumberFormat="1" applyFill="1" applyBorder="1"/>
    <xf numFmtId="43" fontId="0" fillId="0" borderId="0" xfId="4" applyFont="1"/>
    <xf numFmtId="5" fontId="4" fillId="3" borderId="8" xfId="1" applyNumberFormat="1" applyFont="1" applyFill="1" applyBorder="1"/>
    <xf numFmtId="5" fontId="4" fillId="3" borderId="9" xfId="1" applyNumberFormat="1" applyFont="1" applyFill="1" applyBorder="1"/>
    <xf numFmtId="5" fontId="0" fillId="4" borderId="5" xfId="0" applyNumberFormat="1" applyFill="1" applyBorder="1"/>
    <xf numFmtId="5" fontId="0" fillId="4" borderId="7" xfId="0" applyNumberFormat="1" applyFill="1" applyBorder="1"/>
    <xf numFmtId="5" fontId="0" fillId="4" borderId="2" xfId="0" applyNumberFormat="1" applyFill="1" applyBorder="1"/>
    <xf numFmtId="5" fontId="0" fillId="4" borderId="8" xfId="0" applyNumberFormat="1" applyFill="1" applyBorder="1"/>
    <xf numFmtId="5" fontId="0" fillId="4" borderId="14" xfId="0" applyNumberFormat="1" applyFill="1" applyBorder="1"/>
    <xf numFmtId="5" fontId="0" fillId="4" borderId="9" xfId="0" applyNumberFormat="1" applyFill="1" applyBorder="1"/>
    <xf numFmtId="5" fontId="2" fillId="4" borderId="7" xfId="1" applyNumberFormat="1" applyFill="1" applyBorder="1"/>
    <xf numFmtId="5" fontId="2" fillId="4" borderId="8" xfId="1" applyNumberFormat="1" applyFill="1" applyBorder="1"/>
    <xf numFmtId="5" fontId="4" fillId="4" borderId="8" xfId="1" applyNumberFormat="1" applyFont="1" applyFill="1" applyBorder="1"/>
    <xf numFmtId="5" fontId="2" fillId="4" borderId="9" xfId="1" applyNumberFormat="1" applyFill="1" applyBorder="1"/>
    <xf numFmtId="5" fontId="4" fillId="4" borderId="9" xfId="1" applyNumberFormat="1" applyFont="1" applyFill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2" xfId="1" applyFont="1" applyBorder="1" applyAlignment="1">
      <alignment horizontal="center" wrapText="1"/>
    </xf>
    <xf numFmtId="0" fontId="1" fillId="0" borderId="3" xfId="1" applyFont="1" applyBorder="1" applyAlignment="1">
      <alignment horizontal="center" wrapText="1"/>
    </xf>
    <xf numFmtId="0" fontId="1" fillId="0" borderId="4" xfId="1" applyFont="1" applyBorder="1" applyAlignment="1">
      <alignment horizontal="center" wrapText="1"/>
    </xf>
    <xf numFmtId="0" fontId="1" fillId="0" borderId="5" xfId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1" fillId="0" borderId="6" xfId="1" applyFont="1" applyBorder="1" applyAlignment="1">
      <alignment horizontal="center" wrapText="1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0" borderId="15" xfId="0" applyBorder="1" applyAlignment="1">
      <alignment horizontal="center"/>
    </xf>
  </cellXfs>
  <cellStyles count="5">
    <cellStyle name="Comma" xfId="4" builtinId="3"/>
    <cellStyle name="Currency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204BA-344E-42ED-92D1-71F867A893A0}">
  <dimension ref="A1:O62"/>
  <sheetViews>
    <sheetView tabSelected="1" workbookViewId="0">
      <selection activeCell="A8" sqref="A8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10" max="11" width="16" bestFit="1" customWidth="1"/>
    <col min="12" max="13" width="14.625" bestFit="1" customWidth="1"/>
  </cols>
  <sheetData>
    <row r="1" spans="1:13" x14ac:dyDescent="0.2">
      <c r="A1" t="s">
        <v>58</v>
      </c>
    </row>
    <row r="4" spans="1:13" ht="14.25" customHeight="1" x14ac:dyDescent="0.2">
      <c r="B4" s="91" t="s">
        <v>50</v>
      </c>
      <c r="C4" s="92"/>
      <c r="D4" s="92"/>
      <c r="E4" s="92"/>
      <c r="F4" s="92"/>
      <c r="G4" s="93"/>
      <c r="I4" s="97" t="s">
        <v>51</v>
      </c>
      <c r="J4" s="98"/>
      <c r="K4" s="98"/>
      <c r="L4" s="98"/>
      <c r="M4" s="99"/>
    </row>
    <row r="5" spans="1:13" ht="14.25" customHeight="1" x14ac:dyDescent="0.2">
      <c r="B5" s="94"/>
      <c r="C5" s="95"/>
      <c r="D5" s="95"/>
      <c r="E5" s="95"/>
      <c r="F5" s="95"/>
      <c r="G5" s="96"/>
      <c r="I5" s="100"/>
      <c r="J5" s="101"/>
      <c r="K5" s="101"/>
      <c r="L5" s="101"/>
      <c r="M5" s="102"/>
    </row>
    <row r="6" spans="1:13" ht="15" x14ac:dyDescent="0.2">
      <c r="I6" s="53"/>
      <c r="J6" s="53"/>
      <c r="K6" s="53"/>
      <c r="L6" s="53"/>
      <c r="M6" s="53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x14ac:dyDescent="0.2">
      <c r="A12" s="74"/>
      <c r="B12" s="2">
        <v>1</v>
      </c>
      <c r="C12" s="103" t="s">
        <v>15</v>
      </c>
      <c r="D12" s="104"/>
      <c r="E12" s="104"/>
      <c r="F12" s="104"/>
      <c r="G12" s="105"/>
      <c r="H12" s="74"/>
    </row>
    <row r="13" spans="1:13" ht="15.75" x14ac:dyDescent="0.25">
      <c r="A13" s="32"/>
      <c r="B13" s="2" t="s">
        <v>16</v>
      </c>
      <c r="C13" s="8" t="s">
        <v>54</v>
      </c>
      <c r="D13" s="8"/>
      <c r="E13" s="8"/>
      <c r="F13" s="9"/>
      <c r="G13" s="10">
        <v>1741005</v>
      </c>
      <c r="H13" s="32"/>
      <c r="I13" s="54" t="s">
        <v>52</v>
      </c>
      <c r="J13" s="53"/>
      <c r="K13" s="53"/>
      <c r="L13" s="53"/>
      <c r="M13" s="53"/>
    </row>
    <row r="14" spans="1:13" ht="15" x14ac:dyDescent="0.2">
      <c r="A14" s="32"/>
      <c r="B14" s="4" t="s">
        <v>17</v>
      </c>
      <c r="C14" s="8" t="s">
        <v>61</v>
      </c>
      <c r="D14" s="8"/>
      <c r="E14" s="8"/>
      <c r="F14" s="11"/>
      <c r="G14" s="46">
        <v>186579</v>
      </c>
      <c r="H14" s="32"/>
      <c r="I14" s="53"/>
      <c r="J14" s="53"/>
      <c r="K14" s="53"/>
      <c r="L14" s="53"/>
      <c r="M14" s="53"/>
    </row>
    <row r="15" spans="1:13" ht="15" x14ac:dyDescent="0.2">
      <c r="A15" s="106"/>
      <c r="B15" s="5" t="s">
        <v>60</v>
      </c>
      <c r="C15" s="8" t="s">
        <v>18</v>
      </c>
      <c r="D15" s="8"/>
      <c r="E15" s="8"/>
      <c r="F15" s="11"/>
      <c r="G15" s="12">
        <f>G13+G14</f>
        <v>1927584</v>
      </c>
      <c r="H15" s="4"/>
      <c r="I15" s="55"/>
      <c r="J15" s="55"/>
      <c r="K15" s="56" t="s">
        <v>0</v>
      </c>
      <c r="L15" s="55"/>
      <c r="M15" s="55"/>
    </row>
    <row r="16" spans="1:13" ht="15" x14ac:dyDescent="0.2">
      <c r="A16" s="32"/>
      <c r="B16" s="4">
        <v>2</v>
      </c>
      <c r="C16" s="13">
        <v>45839</v>
      </c>
      <c r="D16" s="81">
        <f>1992046-0-1412</f>
        <v>1990634</v>
      </c>
      <c r="E16" s="82">
        <f>1506545.37+8220.65+277975.83+25768.39+351.53+34322.16</f>
        <v>1853183.93</v>
      </c>
      <c r="F16" s="14">
        <f t="shared" ref="F16:F23" si="0">D16-E16</f>
        <v>137450.07000000007</v>
      </c>
      <c r="G16" s="12">
        <f t="shared" ref="G16:G23" si="1">G15+F16</f>
        <v>2065034.07</v>
      </c>
      <c r="H16" s="4"/>
      <c r="I16" s="57"/>
      <c r="J16" s="58" t="s">
        <v>1</v>
      </c>
      <c r="K16" s="58" t="s">
        <v>2</v>
      </c>
      <c r="L16" s="57"/>
      <c r="M16" s="57"/>
    </row>
    <row r="17" spans="2:15" ht="15" x14ac:dyDescent="0.2">
      <c r="B17" s="4">
        <v>3</v>
      </c>
      <c r="C17" s="15">
        <v>45870</v>
      </c>
      <c r="D17" s="83">
        <f>1560626-0-1289</f>
        <v>1559337</v>
      </c>
      <c r="E17" s="84">
        <f>1684698.11+9641.76+352944.13+125787.54+373.57+42986.89</f>
        <v>2216432</v>
      </c>
      <c r="F17" s="16">
        <f t="shared" si="0"/>
        <v>-657095</v>
      </c>
      <c r="G17" s="17">
        <f t="shared" si="1"/>
        <v>1407939.07</v>
      </c>
      <c r="I17" s="57"/>
      <c r="J17" s="58" t="s">
        <v>3</v>
      </c>
      <c r="K17" s="58" t="s">
        <v>4</v>
      </c>
      <c r="L17" s="58" t="s">
        <v>5</v>
      </c>
      <c r="M17" s="58" t="s">
        <v>6</v>
      </c>
    </row>
    <row r="18" spans="2:15" ht="15" x14ac:dyDescent="0.2">
      <c r="B18" s="4">
        <v>4</v>
      </c>
      <c r="C18" s="15">
        <v>45901</v>
      </c>
      <c r="D18" s="83">
        <f>1009019-0-996</f>
        <v>1008023</v>
      </c>
      <c r="E18" s="84">
        <f>1250479.23+8455.78+301115.1+163883.79+366.93+41306.49</f>
        <v>1765607.3199999998</v>
      </c>
      <c r="F18" s="16">
        <f t="shared" si="0"/>
        <v>-757584.31999999983</v>
      </c>
      <c r="G18" s="17">
        <f t="shared" si="1"/>
        <v>650354.75000000023</v>
      </c>
      <c r="I18" s="59"/>
      <c r="J18" s="59" t="s">
        <v>7</v>
      </c>
      <c r="K18" s="59" t="s">
        <v>7</v>
      </c>
      <c r="L18" s="59" t="s">
        <v>8</v>
      </c>
      <c r="M18" s="59" t="s">
        <v>8</v>
      </c>
    </row>
    <row r="19" spans="2:15" ht="15" x14ac:dyDescent="0.2">
      <c r="B19" s="4">
        <v>5</v>
      </c>
      <c r="C19" s="15">
        <v>45931</v>
      </c>
      <c r="D19" s="83">
        <f>1025858-2203-1198</f>
        <v>1022457</v>
      </c>
      <c r="E19" s="84">
        <f>726778.74+5726.78+170455.01+40508.95+300.04+25079</f>
        <v>968848.52</v>
      </c>
      <c r="F19" s="16">
        <f t="shared" si="0"/>
        <v>53608.479999999981</v>
      </c>
      <c r="G19" s="17">
        <f t="shared" si="1"/>
        <v>703963.23000000021</v>
      </c>
      <c r="I19" s="60" t="s">
        <v>10</v>
      </c>
      <c r="J19" s="61" t="s">
        <v>47</v>
      </c>
      <c r="K19" s="61" t="s">
        <v>11</v>
      </c>
      <c r="L19" s="61" t="s">
        <v>12</v>
      </c>
      <c r="M19" s="61" t="s">
        <v>13</v>
      </c>
    </row>
    <row r="20" spans="2:15" ht="15" x14ac:dyDescent="0.2">
      <c r="B20" s="4">
        <v>6</v>
      </c>
      <c r="C20" s="15">
        <v>45962</v>
      </c>
      <c r="D20" s="83">
        <f>1389722-2436-1336</f>
        <v>1385950</v>
      </c>
      <c r="E20" s="84">
        <f>1288667.97+11087.31+307005.12+45715.36+668.61+41695.36</f>
        <v>1694839.7300000002</v>
      </c>
      <c r="F20" s="16">
        <f t="shared" si="0"/>
        <v>-308889.73000000021</v>
      </c>
      <c r="G20" s="17">
        <f t="shared" si="1"/>
        <v>395073.5</v>
      </c>
      <c r="I20" s="13">
        <v>45839</v>
      </c>
      <c r="J20" s="86">
        <v>1525399</v>
      </c>
      <c r="K20" s="86">
        <v>1525399</v>
      </c>
      <c r="L20" s="63">
        <f t="shared" ref="L20:L27" si="2">J20-K20</f>
        <v>0</v>
      </c>
      <c r="M20" s="63">
        <f>L20</f>
        <v>0</v>
      </c>
      <c r="O20" s="77">
        <f t="shared" ref="O20:O27" si="3">K20+E16+K41</f>
        <v>3680581.9299999997</v>
      </c>
    </row>
    <row r="21" spans="2:15" ht="15" x14ac:dyDescent="0.2">
      <c r="B21" s="4">
        <v>7</v>
      </c>
      <c r="C21" s="15">
        <v>45992</v>
      </c>
      <c r="D21" s="83">
        <f>2302909-2806-1532</f>
        <v>2298571</v>
      </c>
      <c r="E21" s="84">
        <f>1656574.12+11022.38+275837.66+33215.2+684.49+41651.86</f>
        <v>2018985.71</v>
      </c>
      <c r="F21" s="18">
        <f t="shared" si="0"/>
        <v>279585.29000000004</v>
      </c>
      <c r="G21" s="19">
        <f t="shared" si="1"/>
        <v>674658.79</v>
      </c>
      <c r="I21" s="15">
        <v>45870</v>
      </c>
      <c r="J21" s="87">
        <f>1369640</f>
        <v>1369640</v>
      </c>
      <c r="K21" s="87">
        <f>1369640</f>
        <v>1369640</v>
      </c>
      <c r="L21" s="65">
        <f t="shared" si="2"/>
        <v>0</v>
      </c>
      <c r="M21" s="65">
        <f>M20+L21</f>
        <v>0</v>
      </c>
      <c r="O21" s="77">
        <f t="shared" si="3"/>
        <v>3854697</v>
      </c>
    </row>
    <row r="22" spans="2:15" ht="15" x14ac:dyDescent="0.2">
      <c r="B22" s="20" t="s">
        <v>19</v>
      </c>
      <c r="C22" s="13">
        <v>46023</v>
      </c>
      <c r="D22" s="81">
        <f>2334803-2523-1362</f>
        <v>2330918</v>
      </c>
      <c r="E22" s="82">
        <f>2145641.12+11878.74+348262.02+114990.09+854.97+57853.33</f>
        <v>2679480.2700000005</v>
      </c>
      <c r="F22" s="14">
        <f t="shared" si="0"/>
        <v>-348562.27000000048</v>
      </c>
      <c r="G22" s="12">
        <f t="shared" si="1"/>
        <v>326096.51999999955</v>
      </c>
      <c r="I22" s="15">
        <v>45901</v>
      </c>
      <c r="J22" s="87">
        <f>832123</f>
        <v>832123</v>
      </c>
      <c r="K22" s="87">
        <v>832123</v>
      </c>
      <c r="L22" s="65">
        <f t="shared" si="2"/>
        <v>0</v>
      </c>
      <c r="M22" s="65">
        <f t="shared" ref="M22:M25" si="4">M21+L22</f>
        <v>0</v>
      </c>
      <c r="O22" s="77">
        <f t="shared" si="3"/>
        <v>2781476.32</v>
      </c>
    </row>
    <row r="23" spans="2:15" ht="15" x14ac:dyDescent="0.2">
      <c r="B23" s="21" t="s">
        <v>20</v>
      </c>
      <c r="C23" s="22">
        <v>46054</v>
      </c>
      <c r="D23" s="85">
        <f>1146593-1155-625</f>
        <v>1144813</v>
      </c>
      <c r="E23" s="80">
        <f>1931802.88+8876.58+291869.91+189911.06+580.66+50891.86</f>
        <v>2473932.9500000002</v>
      </c>
      <c r="F23" s="18">
        <f t="shared" si="0"/>
        <v>-1329119.9500000002</v>
      </c>
      <c r="G23" s="19">
        <f t="shared" si="1"/>
        <v>-1003023.4300000006</v>
      </c>
      <c r="I23" s="15">
        <v>45931</v>
      </c>
      <c r="J23" s="87">
        <v>1138592</v>
      </c>
      <c r="K23" s="87">
        <v>1138592</v>
      </c>
      <c r="L23" s="65">
        <f t="shared" si="2"/>
        <v>0</v>
      </c>
      <c r="M23" s="65">
        <f t="shared" si="4"/>
        <v>0</v>
      </c>
      <c r="O23" s="77">
        <f t="shared" si="3"/>
        <v>2305294.52</v>
      </c>
    </row>
    <row r="24" spans="2:15" ht="15" x14ac:dyDescent="0.2">
      <c r="B24" s="5"/>
      <c r="C24" s="23" t="s">
        <v>59</v>
      </c>
      <c r="D24" s="24"/>
      <c r="E24" s="24"/>
      <c r="F24" s="24"/>
      <c r="G24" s="25"/>
      <c r="I24" s="15">
        <v>45962</v>
      </c>
      <c r="J24" s="87">
        <v>1451126</v>
      </c>
      <c r="K24" s="88">
        <v>1451126</v>
      </c>
      <c r="L24" s="65">
        <f t="shared" si="2"/>
        <v>0</v>
      </c>
      <c r="M24" s="65">
        <f t="shared" si="4"/>
        <v>0</v>
      </c>
      <c r="O24" s="77">
        <f t="shared" si="3"/>
        <v>3386804.7300000004</v>
      </c>
    </row>
    <row r="25" spans="2:15" ht="15" x14ac:dyDescent="0.2">
      <c r="B25" s="2"/>
      <c r="C25" s="1"/>
      <c r="D25" s="1"/>
      <c r="E25" s="1"/>
      <c r="F25" s="1"/>
      <c r="G25" s="12"/>
      <c r="I25" s="15">
        <v>45992</v>
      </c>
      <c r="J25" s="89">
        <v>1646671</v>
      </c>
      <c r="K25" s="90">
        <v>1646671</v>
      </c>
      <c r="L25" s="66">
        <f t="shared" si="2"/>
        <v>0</v>
      </c>
      <c r="M25" s="66">
        <f t="shared" si="4"/>
        <v>0</v>
      </c>
      <c r="O25" s="77">
        <f t="shared" si="3"/>
        <v>3956020.71</v>
      </c>
    </row>
    <row r="26" spans="2:15" ht="15" x14ac:dyDescent="0.2">
      <c r="B26" s="4"/>
      <c r="C26" s="3"/>
      <c r="D26" s="4" t="s">
        <v>21</v>
      </c>
      <c r="E26" s="4" t="s">
        <v>22</v>
      </c>
      <c r="F26" s="3"/>
      <c r="G26" s="17"/>
      <c r="I26" s="13">
        <v>46023</v>
      </c>
      <c r="J26" s="86">
        <v>1536300</v>
      </c>
      <c r="K26" s="86">
        <v>1536300</v>
      </c>
      <c r="L26" s="65">
        <f t="shared" si="2"/>
        <v>0</v>
      </c>
      <c r="M26" s="65">
        <f>M25+L26</f>
        <v>0</v>
      </c>
      <c r="O26" s="77">
        <f t="shared" si="3"/>
        <v>4496223.2700000005</v>
      </c>
    </row>
    <row r="27" spans="2:15" ht="15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  <c r="I27" s="22">
        <v>46054</v>
      </c>
      <c r="J27" s="89">
        <v>965161</v>
      </c>
      <c r="K27" s="89">
        <v>965161</v>
      </c>
      <c r="L27" s="66">
        <f t="shared" si="2"/>
        <v>0</v>
      </c>
      <c r="M27" s="66">
        <f>M26+L27</f>
        <v>0</v>
      </c>
      <c r="O27" s="77">
        <f t="shared" si="3"/>
        <v>3608474.95</v>
      </c>
    </row>
    <row r="28" spans="2:15" ht="15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  <c r="I28" s="53"/>
      <c r="J28" s="53"/>
      <c r="K28" s="53"/>
      <c r="L28" s="53"/>
      <c r="M28" s="53"/>
    </row>
    <row r="29" spans="2:15" ht="15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  <c r="I29" s="67" t="s">
        <v>48</v>
      </c>
      <c r="J29" s="68"/>
      <c r="K29" s="68"/>
      <c r="L29" s="69"/>
      <c r="M29" s="70">
        <f>M25</f>
        <v>0</v>
      </c>
    </row>
    <row r="30" spans="2:15" ht="15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  <c r="I30" s="53"/>
      <c r="J30" s="53"/>
      <c r="K30" s="53"/>
      <c r="L30" s="53"/>
      <c r="M30" s="71"/>
    </row>
    <row r="31" spans="2:15" ht="15" x14ac:dyDescent="0.2">
      <c r="B31" s="20" t="s">
        <v>34</v>
      </c>
      <c r="C31" s="51" t="s">
        <v>55</v>
      </c>
      <c r="D31" s="35">
        <f>-G13</f>
        <v>-1741005</v>
      </c>
      <c r="E31" s="35">
        <f>D62</f>
        <v>1741005</v>
      </c>
      <c r="F31" s="51"/>
      <c r="G31" s="35">
        <f t="shared" ref="G31" si="5">D31+E31</f>
        <v>0</v>
      </c>
      <c r="I31" s="67" t="s">
        <v>49</v>
      </c>
      <c r="J31" s="68"/>
      <c r="K31" s="68"/>
      <c r="L31" s="69"/>
      <c r="M31" s="70">
        <f>M29/6</f>
        <v>0</v>
      </c>
    </row>
    <row r="32" spans="2:15" x14ac:dyDescent="0.2">
      <c r="B32" s="27" t="s">
        <v>35</v>
      </c>
      <c r="C32" s="51" t="s">
        <v>63</v>
      </c>
      <c r="D32" s="35">
        <f>-G14</f>
        <v>-186579</v>
      </c>
      <c r="E32" s="35">
        <v>0</v>
      </c>
      <c r="F32" s="51"/>
      <c r="G32" s="35">
        <f t="shared" ref="G32" si="6">D32+E32</f>
        <v>-186579</v>
      </c>
    </row>
    <row r="33" spans="2:13" ht="15" x14ac:dyDescent="0.2">
      <c r="B33" s="5" t="s">
        <v>62</v>
      </c>
      <c r="C33" s="29"/>
      <c r="D33" s="30"/>
      <c r="E33" s="30"/>
      <c r="F33" s="31" t="s">
        <v>36</v>
      </c>
      <c r="G33" s="19">
        <f>G31+G32</f>
        <v>-186579</v>
      </c>
      <c r="I33" s="53"/>
      <c r="J33" s="53"/>
      <c r="K33" s="53"/>
      <c r="L33" s="53"/>
      <c r="M33" s="53"/>
    </row>
    <row r="34" spans="2:13" ht="15.75" x14ac:dyDescent="0.25">
      <c r="B34" s="32"/>
      <c r="G34" s="33"/>
      <c r="I34" s="54" t="s">
        <v>53</v>
      </c>
      <c r="J34" s="53"/>
      <c r="K34" s="53"/>
      <c r="L34" s="53"/>
      <c r="M34" s="53"/>
    </row>
    <row r="35" spans="2:13" ht="15" x14ac:dyDescent="0.2">
      <c r="B35" s="6">
        <v>9</v>
      </c>
      <c r="C35" s="34" t="s">
        <v>64</v>
      </c>
      <c r="D35" s="8"/>
      <c r="E35" s="8"/>
      <c r="F35" s="9"/>
      <c r="G35" s="35">
        <f>G21+G33</f>
        <v>488079.79000000004</v>
      </c>
      <c r="I35" s="53"/>
      <c r="J35" s="53"/>
      <c r="K35" s="53"/>
      <c r="L35" s="53"/>
      <c r="M35" s="53"/>
    </row>
    <row r="36" spans="2:13" ht="15" x14ac:dyDescent="0.2">
      <c r="B36" s="32"/>
      <c r="G36" s="33"/>
      <c r="I36" s="55"/>
      <c r="J36" s="55"/>
      <c r="K36" s="56" t="s">
        <v>0</v>
      </c>
      <c r="L36" s="55"/>
      <c r="M36" s="55"/>
    </row>
    <row r="37" spans="2:13" ht="15" x14ac:dyDescent="0.2">
      <c r="B37" s="6">
        <v>10</v>
      </c>
      <c r="C37" s="34" t="s">
        <v>56</v>
      </c>
      <c r="D37" s="8"/>
      <c r="E37" s="8"/>
      <c r="F37" s="9"/>
      <c r="G37" s="35">
        <f>G35/6</f>
        <v>81346.631666666668</v>
      </c>
      <c r="I37" s="57"/>
      <c r="J37" s="58" t="s">
        <v>1</v>
      </c>
      <c r="K37" s="58" t="s">
        <v>2</v>
      </c>
      <c r="L37" s="57"/>
      <c r="M37" s="57"/>
    </row>
    <row r="38" spans="2:13" ht="15" x14ac:dyDescent="0.2">
      <c r="I38" s="57"/>
      <c r="J38" s="58" t="s">
        <v>3</v>
      </c>
      <c r="K38" s="58" t="s">
        <v>4</v>
      </c>
      <c r="L38" s="58" t="s">
        <v>5</v>
      </c>
      <c r="M38" s="58" t="s">
        <v>6</v>
      </c>
    </row>
    <row r="39" spans="2:13" ht="15" x14ac:dyDescent="0.2">
      <c r="B39" s="1"/>
      <c r="C39" s="36" t="s">
        <v>37</v>
      </c>
      <c r="D39" s="37"/>
      <c r="E39" s="37"/>
      <c r="F39" s="37"/>
      <c r="G39" s="38"/>
      <c r="I39" s="59"/>
      <c r="J39" s="59" t="s">
        <v>7</v>
      </c>
      <c r="K39" s="59" t="s">
        <v>7</v>
      </c>
      <c r="L39" s="59" t="s">
        <v>8</v>
      </c>
      <c r="M39" s="59" t="s">
        <v>8</v>
      </c>
    </row>
    <row r="40" spans="2:13" ht="15" x14ac:dyDescent="0.2">
      <c r="B40" s="1"/>
      <c r="C40" s="39"/>
      <c r="D40" s="39"/>
      <c r="E40" s="39"/>
      <c r="F40" s="39"/>
      <c r="G40" s="11"/>
      <c r="I40" s="60" t="s">
        <v>10</v>
      </c>
      <c r="J40" s="61" t="s">
        <v>47</v>
      </c>
      <c r="K40" s="61" t="s">
        <v>11</v>
      </c>
      <c r="L40" s="61" t="s">
        <v>12</v>
      </c>
      <c r="M40" s="61" t="s">
        <v>13</v>
      </c>
    </row>
    <row r="41" spans="2:13" ht="15" x14ac:dyDescent="0.2">
      <c r="B41" s="4">
        <v>11</v>
      </c>
      <c r="C41" s="40" t="s">
        <v>38</v>
      </c>
      <c r="D41" s="40"/>
      <c r="E41" s="40"/>
      <c r="F41" s="40"/>
      <c r="G41" s="41">
        <f>G15</f>
        <v>1927584</v>
      </c>
      <c r="I41" s="13">
        <v>45839</v>
      </c>
      <c r="J41" s="75">
        <f>300587+1412</f>
        <v>301999</v>
      </c>
      <c r="K41" s="62">
        <f>128805+20347+152847</f>
        <v>301999</v>
      </c>
      <c r="L41" s="63">
        <f>J41-K41</f>
        <v>0</v>
      </c>
      <c r="M41" s="63">
        <f>+L41</f>
        <v>0</v>
      </c>
    </row>
    <row r="42" spans="2:13" ht="15" x14ac:dyDescent="0.2">
      <c r="B42" s="4">
        <v>12</v>
      </c>
      <c r="C42" s="40" t="s">
        <v>39</v>
      </c>
      <c r="D42" s="40"/>
      <c r="E42" s="40"/>
      <c r="F42" s="40"/>
      <c r="G42" s="42">
        <f>G33</f>
        <v>-186579</v>
      </c>
      <c r="I42" s="15">
        <v>45870</v>
      </c>
      <c r="J42" s="75">
        <f>267336+1289</f>
        <v>268625</v>
      </c>
      <c r="K42" s="64">
        <f>111599+17726+139300</f>
        <v>268625</v>
      </c>
      <c r="L42" s="65">
        <f>J42-K42</f>
        <v>0</v>
      </c>
      <c r="M42" s="65">
        <f>M41+L42</f>
        <v>0</v>
      </c>
    </row>
    <row r="43" spans="2:13" ht="15" x14ac:dyDescent="0.2">
      <c r="B43" s="4"/>
      <c r="C43" s="40"/>
      <c r="D43" s="40"/>
      <c r="E43" s="40"/>
      <c r="F43" s="40"/>
      <c r="G43" s="41"/>
      <c r="I43" s="15">
        <v>45901</v>
      </c>
      <c r="J43" s="64">
        <f>182750+996</f>
        <v>183746</v>
      </c>
      <c r="K43" s="64">
        <f>77714+11899+94133</f>
        <v>183746</v>
      </c>
      <c r="L43" s="65">
        <f t="shared" ref="L43:L46" si="7">J43-K43</f>
        <v>0</v>
      </c>
      <c r="M43" s="65">
        <f t="shared" ref="M43:M46" si="8">M42+L43</f>
        <v>0</v>
      </c>
    </row>
    <row r="44" spans="2:13" ht="15.75" thickBot="1" x14ac:dyDescent="0.25">
      <c r="B44" s="4">
        <v>13</v>
      </c>
      <c r="C44" s="40" t="s">
        <v>40</v>
      </c>
      <c r="D44" s="40"/>
      <c r="E44" s="40"/>
      <c r="F44" s="40"/>
      <c r="G44" s="43">
        <f>G41+G42</f>
        <v>1741005</v>
      </c>
      <c r="I44" s="15">
        <v>45931</v>
      </c>
      <c r="J44" s="64">
        <f>1198+196656</f>
        <v>197854</v>
      </c>
      <c r="K44" s="64">
        <v>197854</v>
      </c>
      <c r="L44" s="65">
        <f t="shared" si="7"/>
        <v>0</v>
      </c>
      <c r="M44" s="65">
        <f t="shared" si="8"/>
        <v>0</v>
      </c>
    </row>
    <row r="45" spans="2:13" ht="15.75" thickTop="1" x14ac:dyDescent="0.2">
      <c r="B45" s="4"/>
      <c r="C45" s="40"/>
      <c r="D45" s="40"/>
      <c r="E45" s="40"/>
      <c r="F45" s="40"/>
      <c r="G45" s="41"/>
      <c r="I45" s="15">
        <v>45962</v>
      </c>
      <c r="J45" s="64">
        <f>1336+239503</f>
        <v>240839</v>
      </c>
      <c r="K45" s="78">
        <f>101516+15919+123404</f>
        <v>240839</v>
      </c>
      <c r="L45" s="65">
        <f t="shared" si="7"/>
        <v>0</v>
      </c>
      <c r="M45" s="65">
        <f t="shared" si="8"/>
        <v>0</v>
      </c>
    </row>
    <row r="46" spans="2:13" ht="15" x14ac:dyDescent="0.2">
      <c r="B46" s="4">
        <v>14</v>
      </c>
      <c r="C46" s="40" t="s">
        <v>41</v>
      </c>
      <c r="D46" s="40"/>
      <c r="E46" s="40"/>
      <c r="F46" s="40"/>
      <c r="G46" s="41">
        <f>G35</f>
        <v>488079.79000000004</v>
      </c>
      <c r="I46" s="15">
        <v>45992</v>
      </c>
      <c r="J46" s="76">
        <f>1532+288832</f>
        <v>290364</v>
      </c>
      <c r="K46" s="79">
        <f>290364</f>
        <v>290364</v>
      </c>
      <c r="L46" s="66">
        <f t="shared" si="7"/>
        <v>0</v>
      </c>
      <c r="M46" s="66">
        <f t="shared" si="8"/>
        <v>0</v>
      </c>
    </row>
    <row r="47" spans="2:13" ht="15" x14ac:dyDescent="0.2">
      <c r="B47" s="4"/>
      <c r="C47" s="40"/>
      <c r="D47" s="40"/>
      <c r="E47" s="40"/>
      <c r="F47" s="40"/>
      <c r="G47" s="41"/>
      <c r="I47" s="13">
        <v>46023</v>
      </c>
      <c r="J47" s="62">
        <f>1362+279081</f>
        <v>280443</v>
      </c>
      <c r="K47" s="62">
        <v>280443</v>
      </c>
      <c r="L47" s="65">
        <f>J47-K47</f>
        <v>0</v>
      </c>
      <c r="M47" s="65">
        <f>M46+L47</f>
        <v>0</v>
      </c>
    </row>
    <row r="48" spans="2:13" ht="15" x14ac:dyDescent="0.2">
      <c r="B48" s="4">
        <v>15</v>
      </c>
      <c r="C48" s="40" t="s">
        <v>42</v>
      </c>
      <c r="D48" s="40"/>
      <c r="E48" s="40"/>
      <c r="F48" s="40"/>
      <c r="G48" s="42">
        <f>SUM(F16:F21)</f>
        <v>-1252925.21</v>
      </c>
      <c r="I48" s="22">
        <v>46054</v>
      </c>
      <c r="J48" s="76">
        <f>625+168956</f>
        <v>169581</v>
      </c>
      <c r="K48" s="89">
        <v>169381</v>
      </c>
      <c r="L48" s="66">
        <f>J48-K48</f>
        <v>200</v>
      </c>
      <c r="M48" s="66">
        <f>M47+L48</f>
        <v>200</v>
      </c>
    </row>
    <row r="49" spans="2:13" ht="15" x14ac:dyDescent="0.2">
      <c r="B49" s="4"/>
      <c r="C49" s="40"/>
      <c r="D49" s="40"/>
      <c r="E49" s="40"/>
      <c r="F49" s="40"/>
      <c r="G49" s="41"/>
      <c r="I49" s="53"/>
      <c r="J49" s="53"/>
      <c r="K49" s="53"/>
      <c r="L49" s="53"/>
      <c r="M49" s="53"/>
    </row>
    <row r="50" spans="2:13" ht="15.75" thickBot="1" x14ac:dyDescent="0.25">
      <c r="B50" s="4">
        <v>16</v>
      </c>
      <c r="C50" s="40" t="s">
        <v>43</v>
      </c>
      <c r="D50" s="40"/>
      <c r="E50" s="40"/>
      <c r="F50" s="40"/>
      <c r="G50" s="43">
        <f>G46-G48</f>
        <v>1741005</v>
      </c>
      <c r="I50" s="67" t="s">
        <v>48</v>
      </c>
      <c r="J50" s="68"/>
      <c r="K50" s="68"/>
      <c r="L50" s="69"/>
      <c r="M50" s="70">
        <f>M46</f>
        <v>0</v>
      </c>
    </row>
    <row r="51" spans="2:13" ht="15.75" thickTop="1" x14ac:dyDescent="0.2">
      <c r="B51" s="28"/>
      <c r="C51" s="44"/>
      <c r="D51" s="44"/>
      <c r="E51" s="44"/>
      <c r="F51" s="44"/>
      <c r="G51" s="45"/>
      <c r="I51" s="53"/>
      <c r="J51" s="53"/>
      <c r="K51" s="53"/>
      <c r="L51" s="53"/>
      <c r="M51" s="71"/>
    </row>
    <row r="52" spans="2:13" ht="15" x14ac:dyDescent="0.2">
      <c r="I52" s="67" t="s">
        <v>49</v>
      </c>
      <c r="J52" s="68"/>
      <c r="K52" s="68"/>
      <c r="L52" s="69"/>
      <c r="M52" s="70">
        <f>M50/6</f>
        <v>0</v>
      </c>
    </row>
    <row r="53" spans="2:13" x14ac:dyDescent="0.2">
      <c r="B53" t="s">
        <v>44</v>
      </c>
    </row>
    <row r="54" spans="2:13" x14ac:dyDescent="0.2">
      <c r="B54" s="32"/>
      <c r="C54" s="1"/>
      <c r="D54" s="2" t="s">
        <v>45</v>
      </c>
      <c r="E54" s="27"/>
      <c r="F54" s="72"/>
      <c r="G54" s="72"/>
    </row>
    <row r="55" spans="2:13" x14ac:dyDescent="0.2">
      <c r="B55" s="32"/>
      <c r="C55" s="5" t="s">
        <v>10</v>
      </c>
      <c r="D55" s="5" t="s">
        <v>57</v>
      </c>
      <c r="E55" s="27"/>
      <c r="F55" s="72"/>
      <c r="G55" s="72"/>
    </row>
    <row r="56" spans="2:13" x14ac:dyDescent="0.2">
      <c r="C56" s="13">
        <v>45839</v>
      </c>
      <c r="D56" s="46">
        <v>290168</v>
      </c>
      <c r="E56" s="73"/>
      <c r="F56" s="52"/>
      <c r="G56" s="52"/>
    </row>
    <row r="57" spans="2:13" x14ac:dyDescent="0.2">
      <c r="C57" s="15">
        <v>45870</v>
      </c>
      <c r="D57" s="47">
        <v>290168</v>
      </c>
      <c r="E57" s="73"/>
      <c r="F57" s="52"/>
      <c r="G57" s="52"/>
    </row>
    <row r="58" spans="2:13" x14ac:dyDescent="0.2">
      <c r="C58" s="15">
        <v>45901</v>
      </c>
      <c r="D58" s="47">
        <v>290168</v>
      </c>
      <c r="E58" s="73"/>
      <c r="F58" s="52"/>
      <c r="G58" s="52"/>
    </row>
    <row r="59" spans="2:13" x14ac:dyDescent="0.2">
      <c r="C59" s="15">
        <v>45931</v>
      </c>
      <c r="D59" s="47">
        <v>290168</v>
      </c>
      <c r="E59" s="73"/>
      <c r="F59" s="52"/>
      <c r="G59" s="52"/>
    </row>
    <row r="60" spans="2:13" x14ac:dyDescent="0.2">
      <c r="C60" s="15">
        <v>45962</v>
      </c>
      <c r="D60" s="47">
        <v>290168</v>
      </c>
      <c r="E60" s="73"/>
      <c r="F60" s="52"/>
      <c r="G60" s="52"/>
    </row>
    <row r="61" spans="2:13" x14ac:dyDescent="0.2">
      <c r="C61" s="15">
        <v>45992</v>
      </c>
      <c r="D61" s="48">
        <v>290165</v>
      </c>
      <c r="E61" s="73"/>
      <c r="F61" s="52"/>
      <c r="G61" s="52"/>
    </row>
    <row r="62" spans="2:13" x14ac:dyDescent="0.2">
      <c r="C62" s="49" t="s">
        <v>46</v>
      </c>
      <c r="D62" s="35">
        <f>SUM(D56:D61)</f>
        <v>1741005</v>
      </c>
      <c r="E62" s="16"/>
      <c r="F62" s="52"/>
      <c r="G62" s="52"/>
    </row>
  </sheetData>
  <mergeCells count="3">
    <mergeCell ref="B4:G5"/>
    <mergeCell ref="I4:M5"/>
    <mergeCell ref="C12:G12"/>
  </mergeCells>
  <phoneticPr fontId="7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11-30-25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Ken Bickham</cp:lastModifiedBy>
  <dcterms:created xsi:type="dcterms:W3CDTF">2022-06-13T11:58:16Z</dcterms:created>
  <dcterms:modified xsi:type="dcterms:W3CDTF">2026-05-04T14:14:12Z</dcterms:modified>
</cp:coreProperties>
</file>