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B6766E5D-C9E8-4C14-8E63-A9ADDE6DF6E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9" l="1"/>
  <c r="K27" i="9"/>
  <c r="K26" i="9"/>
  <c r="K25" i="9"/>
  <c r="K24" i="9"/>
  <c r="K23" i="9"/>
  <c r="J28" i="9"/>
  <c r="D23" i="9"/>
  <c r="F23" i="9" s="1"/>
  <c r="J27" i="9"/>
  <c r="L27" i="9" s="1"/>
  <c r="D22" i="9"/>
  <c r="F22" i="9" s="1"/>
  <c r="J26" i="9"/>
  <c r="D21" i="9"/>
  <c r="F21" i="9" s="1"/>
  <c r="J25" i="9"/>
  <c r="L25" i="9" s="1"/>
  <c r="D20" i="9"/>
  <c r="J24" i="9"/>
  <c r="D19" i="9"/>
  <c r="F19" i="9" s="1"/>
  <c r="D32" i="9"/>
  <c r="G32" i="9" s="1"/>
  <c r="G15" i="9"/>
  <c r="G41" i="9" s="1"/>
  <c r="J23" i="9"/>
  <c r="L23" i="9" s="1"/>
  <c r="D18" i="9"/>
  <c r="F18" i="9" s="1"/>
  <c r="K22" i="9"/>
  <c r="J22" i="9"/>
  <c r="L22" i="9" s="1"/>
  <c r="K21" i="9"/>
  <c r="J21" i="9"/>
  <c r="L21" i="9" s="1"/>
  <c r="M21" i="9" s="1"/>
  <c r="D17" i="9"/>
  <c r="E16" i="9"/>
  <c r="D16" i="9"/>
  <c r="F16" i="9" s="1"/>
  <c r="D62" i="9"/>
  <c r="E31" i="9" s="1"/>
  <c r="D31" i="9"/>
  <c r="F20" i="9"/>
  <c r="F17" i="9"/>
  <c r="L28" i="9" l="1"/>
  <c r="L26" i="9"/>
  <c r="L24" i="9"/>
  <c r="G31" i="9"/>
  <c r="M22" i="9"/>
  <c r="M23" i="9" s="1"/>
  <c r="M24" i="9" s="1"/>
  <c r="M25" i="9" s="1"/>
  <c r="M26" i="9" s="1"/>
  <c r="G48" i="9"/>
  <c r="G16" i="9"/>
  <c r="G17" i="9" s="1"/>
  <c r="G18" i="9" s="1"/>
  <c r="G19" i="9" s="1"/>
  <c r="G20" i="9" s="1"/>
  <c r="G21" i="9" s="1"/>
  <c r="G33" i="9" l="1"/>
  <c r="G42" i="9" s="1"/>
  <c r="G44" i="9" s="1"/>
  <c r="G35" i="9"/>
  <c r="G22" i="9"/>
  <c r="G23" i="9" s="1"/>
  <c r="M30" i="9"/>
  <c r="M32" i="9" s="1"/>
  <c r="M27" i="9"/>
  <c r="M28" i="9" s="1"/>
  <c r="G46" i="9" l="1"/>
  <c r="G50" i="9" s="1"/>
  <c r="G37" i="9"/>
</calcChain>
</file>

<file path=xl/sharedStrings.xml><?xml version="1.0" encoding="utf-8"?>
<sst xmlns="http://schemas.openxmlformats.org/spreadsheetml/2006/main" count="83" uniqueCount="64">
  <si>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</si>
  <si>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</si>
  <si>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</si>
  <si>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</si>
  <si>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</si>
  <si>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</si>
  <si>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</si>
  <si>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</si>
  <si>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</si>
  <si>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</si>
  <si>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</si>
  <si>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</si>
  <si>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</si>
  <si>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</si>
  <si>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</si>
  <si>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</si>
  <si>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</si>
  <si>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</si>
  <si>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</si>
  <si>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</si>
  <si>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</si>
  <si>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</si>
  <si>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</si>
  <si>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</si>
  <si>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</si>
  <si>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</si>
  <si>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</si>
  <si>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</si>
  <si>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</si>
  <si>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</si>
  <si>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</si>
  <si>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</si>
  <si>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</si>
  <si>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</si>
  <si>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</si>
  <si>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</si>
  <si>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</si>
  <si>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</si>
  <si>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</si>
  <si>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</si>
  <si>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</si>
  <si>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</si>
  <si>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</si>
  <si>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</si>
  <si>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</si>
  <si>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</si>
  <si>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</si>
  <si>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(1)</t>
  </si>
  <si>
    <t>Cumulative 6-month (Over)/Under Recovery</t>
  </si>
  <si>
    <t>Monthly Recovery (per month for six months)</t>
  </si>
  <si>
    <t>Jackson Energy - Calculation of (Over)/Under Recovery</t>
  </si>
  <si>
    <t>Jackson - Calculation of (Over)/Under Recovery - Direct Surcharge Pass-Throughs</t>
  </si>
  <si>
    <t>Rate B, Rate C</t>
  </si>
  <si>
    <t>From Case No. 2025-00013 (Over)/Under-Recovery</t>
  </si>
  <si>
    <t>From Case No. 2025-00013 Recovery</t>
  </si>
  <si>
    <t>2025-00013</t>
  </si>
  <si>
    <t>Monthly recovery (per month for six months)</t>
  </si>
  <si>
    <t>DR1 Response 2 - Jackson Surcharge Summary.xlsx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</si>
  <si>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</si>
  <si>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</si>
  <si>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</si>
  <si>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</si>
  <si>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Cumulative six month (Over)/Under-Recovery [Cumulative net of remaining Case amortizations (Ln 7&amp;8c)]</t>
  </si>
  <si>
    <t>From Case No. 2025-00266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</si>
</sst>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101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10" xfId="0" applyBorder="1"/>
    <xf numFmtId="5" fontId="0" fillId="0" borderId="0" xfId="0" applyNumberFormat="1" applyBorder="1"/>
    <xf numFmtId="0" fontId="3" fillId="0" borderId="0" xfId="1"/>
    <xf numFmtId="0" fontId="1" fillId="0" borderId="0" xfId="1" applyFont="1"/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5" fontId="2" fillId="0" borderId="7" xfId="1" applyNumberFormat="1" applyFont="1" applyBorder="1"/>
    <xf numFmtId="5" fontId="2" fillId="0" borderId="8" xfId="1" applyNumberFormat="1" applyFont="1" applyBorder="1"/>
    <xf numFmtId="5" fontId="2" fillId="0" borderId="9" xfId="1" applyNumberFormat="1" applyFont="1" applyBorder="1"/>
    <xf numFmtId="0" fontId="2" fillId="0" borderId="0" xfId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5" fontId="2" fillId="0" borderId="10" xfId="1" applyNumberFormat="1" applyFont="1" applyBorder="1"/>
    <xf numFmtId="5" fontId="2" fillId="0" borderId="0" xfId="1" applyNumberFormat="1" applyFont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6" fillId="0" borderId="0" xfId="0" applyFont="1" applyAlignment="1">
      <alignment horizontal="center"/>
    </xf>
    <xf numFmtId="5" fontId="0" fillId="3" borderId="5" xfId="0" applyNumberFormat="1" applyFill="1" applyBorder="1"/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3" borderId="9" xfId="0" applyNumberFormat="1" applyFill="1" applyBorder="1"/>
    <xf numFmtId="5" fontId="2" fillId="3" borderId="8" xfId="1" applyNumberFormat="1" applyFont="1" applyFill="1" applyBorder="1"/>
    <xf numFmtId="5" fontId="5" fillId="3" borderId="8" xfId="1" applyNumberFormat="1" applyFont="1" applyFill="1" applyBorder="1"/>
    <xf numFmtId="5" fontId="2" fillId="3" borderId="8" xfId="3" applyNumberFormat="1" applyFont="1" applyFill="1" applyBorder="1" applyAlignment="1">
      <alignment horizontal="right"/>
    </xf>
    <xf numFmtId="5" fontId="5" fillId="3" borderId="8" xfId="3" applyNumberFormat="1" applyFont="1" applyFill="1" applyBorder="1" applyAlignment="1">
      <alignment horizontal="right"/>
    </xf>
    <xf numFmtId="5" fontId="2" fillId="3" borderId="9" xfId="1" applyNumberFormat="1" applyFont="1" applyFill="1" applyBorder="1"/>
    <xf numFmtId="5" fontId="0" fillId="3" borderId="9" xfId="1" applyNumberFormat="1" applyFont="1" applyFill="1" applyBorder="1"/>
    <xf numFmtId="5" fontId="5" fillId="3" borderId="9" xfId="1" applyNumberFormat="1" applyFon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5EE7-A307-4785-980A-8A15F926286F}">
  <dimension ref="A1:M73"/>
  <sheetViews>
    <sheetView tabSelected="1" workbookViewId="0">
      <selection activeCell="A6" sqref="A6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57</v>
      </c>
    </row>
    <row r="4" spans="1:13" ht="14.25" customHeight="1" x14ac:dyDescent="0.2">
      <c r="B4" s="86" t="s">
        <v>50</v>
      </c>
      <c r="C4" s="87"/>
      <c r="D4" s="87"/>
      <c r="E4" s="87"/>
      <c r="F4" s="87"/>
      <c r="G4" s="88"/>
      <c r="I4" s="92" t="s">
        <v>51</v>
      </c>
      <c r="J4" s="93"/>
      <c r="K4" s="93"/>
      <c r="L4" s="93"/>
      <c r="M4" s="94"/>
    </row>
    <row r="5" spans="1:13" ht="14.25" customHeight="1" x14ac:dyDescent="0.2">
      <c r="B5" s="89"/>
      <c r="C5" s="90"/>
      <c r="D5" s="90"/>
      <c r="E5" s="90"/>
      <c r="F5" s="90"/>
      <c r="G5" s="91"/>
      <c r="I5" s="95"/>
      <c r="J5" s="96"/>
      <c r="K5" s="96"/>
      <c r="L5" s="96"/>
      <c r="M5" s="97"/>
    </row>
    <row r="6" spans="1:13" ht="15" x14ac:dyDescent="0.2">
      <c r="I6" s="52"/>
      <c r="J6" s="52"/>
      <c r="K6" s="52"/>
      <c r="L6" s="52"/>
      <c r="M6" s="52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49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A12" s="72"/>
      <c r="B12" s="2">
        <v>1</v>
      </c>
      <c r="C12" s="98" t="s">
        <v>15</v>
      </c>
      <c r="D12" s="99"/>
      <c r="E12" s="99"/>
      <c r="F12" s="99"/>
      <c r="G12" s="100"/>
      <c r="H12" s="72"/>
      <c r="I12" s="53"/>
      <c r="J12" s="52"/>
      <c r="K12" s="52"/>
      <c r="L12" s="52"/>
      <c r="M12" s="52"/>
    </row>
    <row r="13" spans="1:13" ht="15.75" x14ac:dyDescent="0.25">
      <c r="A13" s="32"/>
      <c r="B13" s="2" t="s">
        <v>16</v>
      </c>
      <c r="C13" s="8" t="s">
        <v>53</v>
      </c>
      <c r="D13" s="8"/>
      <c r="E13" s="8"/>
      <c r="F13" s="9"/>
      <c r="G13" s="10">
        <v>175785</v>
      </c>
      <c r="H13" s="32"/>
      <c r="I13" s="53" t="s">
        <v>52</v>
      </c>
      <c r="J13" s="52"/>
      <c r="K13" s="52"/>
      <c r="L13" s="52"/>
      <c r="M13" s="52"/>
    </row>
    <row r="14" spans="1:13" ht="15.75" x14ac:dyDescent="0.25">
      <c r="A14" s="32"/>
      <c r="B14" s="4" t="s">
        <v>17</v>
      </c>
      <c r="C14" s="8" t="s">
        <v>60</v>
      </c>
      <c r="D14" s="8"/>
      <c r="E14" s="8"/>
      <c r="F14" s="11"/>
      <c r="G14" s="46">
        <v>-100064</v>
      </c>
      <c r="H14" s="32"/>
      <c r="I14" s="53"/>
      <c r="J14" s="52"/>
      <c r="K14" s="52"/>
      <c r="L14" s="52"/>
      <c r="M14" s="52"/>
    </row>
    <row r="15" spans="1:13" ht="15" x14ac:dyDescent="0.2">
      <c r="A15" s="72"/>
      <c r="B15" s="5" t="s">
        <v>59</v>
      </c>
      <c r="C15" s="8" t="s">
        <v>18</v>
      </c>
      <c r="D15" s="8"/>
      <c r="E15" s="8"/>
      <c r="F15" s="11"/>
      <c r="G15" s="12">
        <f>G13+G14</f>
        <v>75721</v>
      </c>
      <c r="H15" s="72"/>
      <c r="I15" s="52"/>
      <c r="J15" s="52"/>
      <c r="K15" s="52"/>
      <c r="L15" s="52"/>
      <c r="M15" s="52"/>
    </row>
    <row r="16" spans="1:13" x14ac:dyDescent="0.2">
      <c r="A16" s="32"/>
      <c r="B16" s="4">
        <v>2</v>
      </c>
      <c r="C16" s="13">
        <v>45839</v>
      </c>
      <c r="D16" s="74">
        <f>1400645-0</f>
        <v>1400645</v>
      </c>
      <c r="E16" s="75">
        <f>1532700.85</f>
        <v>1532700.85</v>
      </c>
      <c r="F16" s="14">
        <f t="shared" ref="F16:F23" si="0">D16-E16</f>
        <v>-132055.85000000009</v>
      </c>
      <c r="G16" s="12">
        <f t="shared" ref="G16:G23" si="1">G15+F16</f>
        <v>-56334.850000000093</v>
      </c>
      <c r="H16" s="32"/>
      <c r="I16" s="54"/>
      <c r="J16" s="54"/>
      <c r="K16" s="55" t="s">
        <v>0</v>
      </c>
      <c r="L16" s="54"/>
      <c r="M16" s="54"/>
    </row>
    <row r="17" spans="2:13" x14ac:dyDescent="0.2">
      <c r="B17" s="4">
        <v>3</v>
      </c>
      <c r="C17" s="15">
        <v>45870</v>
      </c>
      <c r="D17" s="76">
        <f>1098788-0</f>
        <v>1098788</v>
      </c>
      <c r="E17" s="77">
        <v>1196714.54</v>
      </c>
      <c r="F17" s="16">
        <f t="shared" si="0"/>
        <v>-97926.540000000037</v>
      </c>
      <c r="G17" s="17">
        <f t="shared" si="1"/>
        <v>-154261.39000000013</v>
      </c>
      <c r="I17" s="56"/>
      <c r="J17" s="57" t="s">
        <v>1</v>
      </c>
      <c r="K17" s="57" t="s">
        <v>2</v>
      </c>
      <c r="L17" s="56"/>
      <c r="M17" s="56"/>
    </row>
    <row r="18" spans="2:13" x14ac:dyDescent="0.2">
      <c r="B18" s="4">
        <v>4</v>
      </c>
      <c r="C18" s="15">
        <v>45901</v>
      </c>
      <c r="D18" s="76">
        <f>650298-0</f>
        <v>650298</v>
      </c>
      <c r="E18" s="77">
        <v>805010.75</v>
      </c>
      <c r="F18" s="16">
        <f t="shared" si="0"/>
        <v>-154712.75</v>
      </c>
      <c r="G18" s="17">
        <f t="shared" si="1"/>
        <v>-308974.14000000013</v>
      </c>
      <c r="I18" s="56"/>
      <c r="J18" s="57" t="s">
        <v>3</v>
      </c>
      <c r="K18" s="57" t="s">
        <v>4</v>
      </c>
      <c r="L18" s="57" t="s">
        <v>5</v>
      </c>
      <c r="M18" s="57" t="s">
        <v>6</v>
      </c>
    </row>
    <row r="19" spans="2:13" x14ac:dyDescent="0.2">
      <c r="B19" s="4">
        <v>5</v>
      </c>
      <c r="C19" s="15">
        <v>45931</v>
      </c>
      <c r="D19" s="76">
        <f>719794-272</f>
        <v>719522</v>
      </c>
      <c r="E19" s="77">
        <v>934197.23</v>
      </c>
      <c r="F19" s="16">
        <f t="shared" si="0"/>
        <v>-214675.22999999998</v>
      </c>
      <c r="G19" s="17">
        <f t="shared" si="1"/>
        <v>-523649.37000000011</v>
      </c>
      <c r="I19" s="58"/>
      <c r="J19" s="58" t="s">
        <v>7</v>
      </c>
      <c r="K19" s="58" t="s">
        <v>7</v>
      </c>
      <c r="L19" s="58" t="s">
        <v>8</v>
      </c>
      <c r="M19" s="58" t="s">
        <v>8</v>
      </c>
    </row>
    <row r="20" spans="2:13" x14ac:dyDescent="0.2">
      <c r="B20" s="4">
        <v>6</v>
      </c>
      <c r="C20" s="15">
        <v>45962</v>
      </c>
      <c r="D20" s="76">
        <f>1135706-297</f>
        <v>1135409</v>
      </c>
      <c r="E20" s="77">
        <v>1198814.71</v>
      </c>
      <c r="F20" s="16">
        <f t="shared" si="0"/>
        <v>-63405.709999999963</v>
      </c>
      <c r="G20" s="17">
        <f t="shared" si="1"/>
        <v>-587055.08000000007</v>
      </c>
      <c r="I20" s="59" t="s">
        <v>10</v>
      </c>
      <c r="J20" s="60" t="s">
        <v>47</v>
      </c>
      <c r="K20" s="60" t="s">
        <v>11</v>
      </c>
      <c r="L20" s="60" t="s">
        <v>12</v>
      </c>
      <c r="M20" s="60" t="s">
        <v>13</v>
      </c>
    </row>
    <row r="21" spans="2:13" x14ac:dyDescent="0.2">
      <c r="B21" s="4">
        <v>7</v>
      </c>
      <c r="C21" s="15">
        <v>45992</v>
      </c>
      <c r="D21" s="76">
        <f>1923388-341</f>
        <v>1923047</v>
      </c>
      <c r="E21" s="77">
        <v>1747571.54</v>
      </c>
      <c r="F21" s="18">
        <f t="shared" si="0"/>
        <v>175475.45999999996</v>
      </c>
      <c r="G21" s="19">
        <f t="shared" si="1"/>
        <v>-411579.62000000011</v>
      </c>
      <c r="I21" s="13">
        <v>45839</v>
      </c>
      <c r="J21" s="79">
        <f>76403+101664</f>
        <v>178067</v>
      </c>
      <c r="K21" s="79">
        <f>101664+76403</f>
        <v>178067</v>
      </c>
      <c r="L21" s="61">
        <f t="shared" ref="L21:L27" si="2">J21-K21</f>
        <v>0</v>
      </c>
      <c r="M21" s="62">
        <f>L21</f>
        <v>0</v>
      </c>
    </row>
    <row r="22" spans="2:13" x14ac:dyDescent="0.2">
      <c r="B22" s="20" t="s">
        <v>19</v>
      </c>
      <c r="C22" s="13">
        <v>46023</v>
      </c>
      <c r="D22" s="74">
        <f>2012891-297</f>
        <v>2012594</v>
      </c>
      <c r="E22" s="75">
        <v>1923629.43</v>
      </c>
      <c r="F22" s="14">
        <f t="shared" si="0"/>
        <v>88964.570000000065</v>
      </c>
      <c r="G22" s="12">
        <f t="shared" si="1"/>
        <v>-322615.05000000005</v>
      </c>
      <c r="I22" s="15">
        <v>45870</v>
      </c>
      <c r="J22" s="79">
        <f>68844+91337</f>
        <v>160181</v>
      </c>
      <c r="K22" s="80">
        <f>91337+68844</f>
        <v>160181</v>
      </c>
      <c r="L22" s="62">
        <f t="shared" si="2"/>
        <v>0</v>
      </c>
      <c r="M22" s="62">
        <f>M21+L22</f>
        <v>0</v>
      </c>
    </row>
    <row r="23" spans="2:13" x14ac:dyDescent="0.2">
      <c r="B23" s="21" t="s">
        <v>20</v>
      </c>
      <c r="C23" s="22">
        <v>46054</v>
      </c>
      <c r="D23" s="78">
        <f>965453-136</f>
        <v>965317</v>
      </c>
      <c r="E23" s="73">
        <v>720477</v>
      </c>
      <c r="F23" s="18">
        <f t="shared" si="0"/>
        <v>244840</v>
      </c>
      <c r="G23" s="19">
        <f t="shared" si="1"/>
        <v>-77775.050000000047</v>
      </c>
      <c r="I23" s="15">
        <v>45901</v>
      </c>
      <c r="J23" s="81">
        <f>47176+62366</f>
        <v>109542</v>
      </c>
      <c r="K23" s="81">
        <f>62366+47176</f>
        <v>109542</v>
      </c>
      <c r="L23" s="62">
        <f t="shared" si="2"/>
        <v>0</v>
      </c>
      <c r="M23" s="62">
        <f t="shared" ref="M23:M26" si="3">M22+L23</f>
        <v>0</v>
      </c>
    </row>
    <row r="24" spans="2:13" x14ac:dyDescent="0.2">
      <c r="B24" s="5"/>
      <c r="C24" s="23" t="s">
        <v>58</v>
      </c>
      <c r="D24" s="24"/>
      <c r="E24" s="24"/>
      <c r="F24" s="24"/>
      <c r="G24" s="25"/>
      <c r="I24" s="15">
        <v>45931</v>
      </c>
      <c r="J24" s="81">
        <f>51122+72245</f>
        <v>123367</v>
      </c>
      <c r="K24" s="82">
        <f>72245+51122</f>
        <v>123367</v>
      </c>
      <c r="L24" s="62">
        <f t="shared" si="2"/>
        <v>0</v>
      </c>
      <c r="M24" s="62">
        <f t="shared" si="3"/>
        <v>0</v>
      </c>
    </row>
    <row r="25" spans="2:13" x14ac:dyDescent="0.2">
      <c r="B25" s="2"/>
      <c r="C25" s="1"/>
      <c r="D25" s="1"/>
      <c r="E25" s="1"/>
      <c r="F25" s="1"/>
      <c r="G25" s="12"/>
      <c r="I25" s="15">
        <v>45962</v>
      </c>
      <c r="J25" s="81">
        <f>52725+85712</f>
        <v>138437</v>
      </c>
      <c r="K25" s="79">
        <f>85712+52725</f>
        <v>138437</v>
      </c>
      <c r="L25" s="62">
        <f t="shared" si="2"/>
        <v>0</v>
      </c>
      <c r="M25" s="62">
        <f t="shared" si="3"/>
        <v>0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7"/>
      <c r="I26" s="15">
        <v>45992</v>
      </c>
      <c r="J26" s="83">
        <f>66240+104284</f>
        <v>170524</v>
      </c>
      <c r="K26" s="84">
        <f>104284+66240</f>
        <v>170524</v>
      </c>
      <c r="L26" s="63">
        <f t="shared" si="2"/>
        <v>0</v>
      </c>
      <c r="M26" s="63">
        <f t="shared" si="3"/>
        <v>0</v>
      </c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13">
        <v>46023</v>
      </c>
      <c r="J27" s="79">
        <f>62652+92328</f>
        <v>154980</v>
      </c>
      <c r="K27" s="79">
        <f>92328+62652</f>
        <v>154980</v>
      </c>
      <c r="L27" s="62">
        <f t="shared" si="2"/>
        <v>0</v>
      </c>
      <c r="M27" s="62">
        <f>M26+L27</f>
        <v>0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  <c r="I28" s="22">
        <v>46054</v>
      </c>
      <c r="J28" s="83">
        <f>37371+34918</f>
        <v>72289</v>
      </c>
      <c r="K28" s="85">
        <f>34918+37371</f>
        <v>72289</v>
      </c>
      <c r="L28" s="63">
        <f>J28-K28</f>
        <v>0</v>
      </c>
      <c r="M28" s="63">
        <f>M27+L28</f>
        <v>0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  <c r="I29" s="64"/>
      <c r="J29" s="64"/>
      <c r="K29" s="64"/>
      <c r="L29" s="64"/>
      <c r="M29" s="64"/>
    </row>
    <row r="30" spans="2:13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  <c r="I30" s="65" t="s">
        <v>48</v>
      </c>
      <c r="J30" s="66"/>
      <c r="K30" s="66"/>
      <c r="L30" s="67"/>
      <c r="M30" s="68">
        <f>M26</f>
        <v>0</v>
      </c>
    </row>
    <row r="31" spans="2:13" x14ac:dyDescent="0.2">
      <c r="B31" s="20" t="s">
        <v>34</v>
      </c>
      <c r="C31" s="50" t="s">
        <v>54</v>
      </c>
      <c r="D31" s="35">
        <f>-G13</f>
        <v>-175785</v>
      </c>
      <c r="E31" s="35">
        <f>D62</f>
        <v>175785</v>
      </c>
      <c r="F31" s="50"/>
      <c r="G31" s="35">
        <f t="shared" ref="G31" si="4">D31+E31</f>
        <v>0</v>
      </c>
      <c r="I31" s="64"/>
      <c r="J31" s="64"/>
      <c r="K31" s="64"/>
      <c r="L31" s="64"/>
      <c r="M31" s="69"/>
    </row>
    <row r="32" spans="2:13" x14ac:dyDescent="0.2">
      <c r="B32" s="27" t="s">
        <v>35</v>
      </c>
      <c r="C32" s="50" t="s">
        <v>63</v>
      </c>
      <c r="D32" s="35">
        <f>-G14</f>
        <v>100064</v>
      </c>
      <c r="E32" s="35">
        <v>0</v>
      </c>
      <c r="F32" s="50"/>
      <c r="G32" s="35">
        <f t="shared" ref="G32" si="5">D32+E32</f>
        <v>100064</v>
      </c>
      <c r="I32" s="65" t="s">
        <v>49</v>
      </c>
      <c r="J32" s="66"/>
      <c r="K32" s="66"/>
      <c r="L32" s="67"/>
      <c r="M32" s="68">
        <f>M30/6</f>
        <v>0</v>
      </c>
    </row>
    <row r="33" spans="2:7" x14ac:dyDescent="0.2">
      <c r="B33" s="5" t="s">
        <v>61</v>
      </c>
      <c r="C33" s="29"/>
      <c r="D33" s="30"/>
      <c r="E33" s="30"/>
      <c r="F33" s="31" t="s">
        <v>36</v>
      </c>
      <c r="G33" s="19">
        <f>G31+G32</f>
        <v>100064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62</v>
      </c>
      <c r="D35" s="8"/>
      <c r="E35" s="8"/>
      <c r="F35" s="9"/>
      <c r="G35" s="35">
        <f>G21+G33</f>
        <v>-311515.62000000011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56</v>
      </c>
      <c r="D37" s="8"/>
      <c r="E37" s="8"/>
      <c r="F37" s="9"/>
      <c r="G37" s="35">
        <f>G35/6</f>
        <v>-51919.270000000019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75721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100064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175785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-311515.62000000011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-487300.62000000011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175785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70"/>
      <c r="G54" s="70"/>
    </row>
    <row r="55" spans="2:7" x14ac:dyDescent="0.2">
      <c r="B55" s="32"/>
      <c r="C55" s="5" t="s">
        <v>10</v>
      </c>
      <c r="D55" s="5" t="s">
        <v>55</v>
      </c>
      <c r="E55" s="27"/>
      <c r="F55" s="70"/>
      <c r="G55" s="70"/>
    </row>
    <row r="56" spans="2:7" x14ac:dyDescent="0.2">
      <c r="C56" s="13">
        <v>45839</v>
      </c>
      <c r="D56" s="46">
        <v>29298</v>
      </c>
      <c r="E56" s="71"/>
      <c r="F56" s="51"/>
      <c r="G56" s="51"/>
    </row>
    <row r="57" spans="2:7" x14ac:dyDescent="0.2">
      <c r="C57" s="15">
        <v>45870</v>
      </c>
      <c r="D57" s="47">
        <v>29298</v>
      </c>
      <c r="E57" s="71"/>
      <c r="F57" s="51"/>
      <c r="G57" s="51"/>
    </row>
    <row r="58" spans="2:7" x14ac:dyDescent="0.2">
      <c r="C58" s="15">
        <v>45901</v>
      </c>
      <c r="D58" s="47">
        <v>29298</v>
      </c>
      <c r="E58" s="71"/>
      <c r="F58" s="51"/>
      <c r="G58" s="51"/>
    </row>
    <row r="59" spans="2:7" x14ac:dyDescent="0.2">
      <c r="C59" s="15">
        <v>45931</v>
      </c>
      <c r="D59" s="47">
        <v>29298</v>
      </c>
      <c r="E59" s="71"/>
      <c r="F59" s="51"/>
      <c r="G59" s="51"/>
    </row>
    <row r="60" spans="2:7" x14ac:dyDescent="0.2">
      <c r="C60" s="15">
        <v>45962</v>
      </c>
      <c r="D60" s="47">
        <v>29298</v>
      </c>
      <c r="E60" s="71"/>
      <c r="F60" s="51"/>
      <c r="G60" s="51"/>
    </row>
    <row r="61" spans="2:7" x14ac:dyDescent="0.2">
      <c r="C61" s="15">
        <v>45992</v>
      </c>
      <c r="D61" s="47">
        <v>29295</v>
      </c>
      <c r="E61" s="71"/>
      <c r="F61" s="51"/>
      <c r="G61" s="51"/>
    </row>
    <row r="62" spans="2:7" x14ac:dyDescent="0.2">
      <c r="C62" s="48" t="s">
        <v>46</v>
      </c>
      <c r="D62" s="35">
        <f>SUM(D56:D61)</f>
        <v>175785</v>
      </c>
      <c r="E62" s="16"/>
      <c r="F62" s="51"/>
      <c r="G62" s="51"/>
    </row>
    <row r="73" spans="6:7" x14ac:dyDescent="0.2">
      <c r="F73" s="40"/>
      <c r="G73" s="40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2026-05-04T14:12:07Z</dcterms:modified>
</cp:coreProperties>
</file>