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6-00070 - 6-Month Review\DR1\Response 2\"/>
    </mc:Choice>
  </mc:AlternateContent>
  <xr:revisionPtr revIDLastSave="0" documentId="13_ncr:1_{BAF24145-4022-4A93-9E9A-95B4C2640AF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11-30-25" sheetId="9" r:id="rId1"/>
  </sheets>
  <definedNames>
    <definedName name="_xlnm.Print_Area" localSheetId="0">'11-30-25'!$A$1:$G$62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7" i="9" l="1"/>
  <c r="K28" i="9"/>
  <c r="E23" i="9"/>
  <c r="E22" i="9" l="1"/>
  <c r="K27" i="9"/>
  <c r="J28" i="9" l="1"/>
  <c r="L28" i="9" s="1"/>
  <c r="D23" i="9"/>
  <c r="E21" i="9"/>
  <c r="F21" i="9" s="1"/>
  <c r="K26" i="9"/>
  <c r="O26" i="9"/>
  <c r="E20" i="9"/>
  <c r="K25" i="9"/>
  <c r="E19" i="9"/>
  <c r="K24" i="9"/>
  <c r="E18" i="9"/>
  <c r="K23" i="9"/>
  <c r="L23" i="9" s="1"/>
  <c r="J27" i="9"/>
  <c r="L27" i="9" s="1"/>
  <c r="D22" i="9"/>
  <c r="J26" i="9"/>
  <c r="D21" i="9"/>
  <c r="J25" i="9"/>
  <c r="D20" i="9"/>
  <c r="J24" i="9"/>
  <c r="D19" i="9"/>
  <c r="D32" i="9"/>
  <c r="G32" i="9" s="1"/>
  <c r="G15" i="9"/>
  <c r="G41" i="9" s="1"/>
  <c r="J23" i="9"/>
  <c r="D18" i="9"/>
  <c r="K22" i="9"/>
  <c r="O22" i="9" s="1"/>
  <c r="J22" i="9"/>
  <c r="K21" i="9"/>
  <c r="J21" i="9"/>
  <c r="L21" i="9" s="1"/>
  <c r="M21" i="9" s="1"/>
  <c r="E17" i="9"/>
  <c r="D17" i="9"/>
  <c r="F17" i="9" s="1"/>
  <c r="E16" i="9"/>
  <c r="O21" i="9" s="1"/>
  <c r="D16" i="9"/>
  <c r="D62" i="9"/>
  <c r="E31" i="9" s="1"/>
  <c r="D31" i="9"/>
  <c r="O28" i="9"/>
  <c r="F23" i="9"/>
  <c r="F22" i="9"/>
  <c r="O27" i="9"/>
  <c r="L22" i="9" l="1"/>
  <c r="L26" i="9"/>
  <c r="O25" i="9"/>
  <c r="L25" i="9"/>
  <c r="F20" i="9"/>
  <c r="L24" i="9"/>
  <c r="O24" i="9"/>
  <c r="F19" i="9"/>
  <c r="O23" i="9"/>
  <c r="F18" i="9"/>
  <c r="F16" i="9"/>
  <c r="G31" i="9"/>
  <c r="M22" i="9"/>
  <c r="M23" i="9" s="1"/>
  <c r="G33" i="9" l="1"/>
  <c r="G42" i="9" s="1"/>
  <c r="G44" i="9" s="1"/>
  <c r="M24" i="9"/>
  <c r="M25" i="9" s="1"/>
  <c r="M26" i="9" s="1"/>
  <c r="M30" i="9" s="1"/>
  <c r="M32" i="9" s="1"/>
  <c r="G48" i="9"/>
  <c r="G16" i="9"/>
  <c r="G17" i="9" s="1"/>
  <c r="G18" i="9" s="1"/>
  <c r="G19" i="9" s="1"/>
  <c r="G20" i="9" s="1"/>
  <c r="G21" i="9" s="1"/>
  <c r="G22" i="9" s="1"/>
  <c r="G23" i="9" s="1"/>
  <c r="M27" i="9" l="1"/>
  <c r="M28" i="9" s="1"/>
  <c r="G35" i="9"/>
  <c r="G46" i="9" l="1"/>
  <c r="G50" i="9" s="1"/>
</calcChain>
</file>

<file path=xl/sharedStrings.xml><?xml version="1.0" encoding="utf-8"?>
<sst xmlns="http://schemas.openxmlformats.org/spreadsheetml/2006/main" count="90" uniqueCount="66">
  <si>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</si>
  <si>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</si>
  <si>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</si>
  <si>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</si>
  <si>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</si>
  <si>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</si>
  <si>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</si>
  <si>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</si>
  <si>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</si>
  <si>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</si>
  <si>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</si>
  <si>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</si>
  <si>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</si>
  <si>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</si>
  <si>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</si>
  <si>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</si>
  <si>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</si>
  <si>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</si>
  <si>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</si>
  <si>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</si>
  <si>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</si>
  <si>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</si>
  <si>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</si>
  <si>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</si>
  <si>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</si>
  <si>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</si>
  <si>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</si>
  <si>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</si>
  <si>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</si>
  <si>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</si>
  <si>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</si>
  <si>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</si>
  <si>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</si>
  <si>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</si>
  <si>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</si>
  <si>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</si>
  <si>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</si>
  <si>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</si>
  <si>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</si>
  <si>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</si>
  <si>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</si>
  <si>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</si>
  <si>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</si>
  <si>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</si>
  <si>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</si>
  <si>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</si>
  <si>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</si>
  <si>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Fleming-Mason - Calculation of (Over)/Under Recovery</t>
  </si>
  <si>
    <t>Fleming-Mason Energy Cooperative - Calculation of (Over)/Under Recovery - Direct Surcharge Pass-Throughs</t>
  </si>
  <si>
    <t>Steam, Rate B, Rate C, Rate G, and Rate H</t>
  </si>
  <si>
    <t>(1)</t>
  </si>
  <si>
    <t>Cumulative 6-month (Over)/Under Recovery</t>
  </si>
  <si>
    <t>From Case No. 2025-00013 (Over)/Under-Recovery</t>
  </si>
  <si>
    <t>From Case No. 2025-00013 Recovery</t>
  </si>
  <si>
    <t>2025-00013</t>
  </si>
  <si>
    <t>Monthly Recovery (per month for twelve months)</t>
  </si>
  <si>
    <t>Rate E</t>
  </si>
  <si>
    <t>Monthly recovery (per month for six months)</t>
  </si>
  <si>
    <t>DR1 Response 2 - Fleming-Mason Surcharge Summary.xlsx</t>
  </si>
  <si>
    <t>Less Adjustment for Order amounts remaining to be amortized at end of review period December 2025</t>
  </si>
  <si>
    <t>/ 12</t>
  </si>
  <si>
    <t>1c</t>
  </si>
  <si>
    <t>From Case No. 2025-00266 (Over)/Under-Recovery</t>
  </si>
  <si>
    <t>8c</t>
  </si>
  <si>
    <t>Cumulative six month (Over)/Under-Recovery [Cumulative net of remaining Case amortizations (Ln 7&amp;8c)]</t>
  </si>
  <si>
    <t>From Case No. 2025-00266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</si>
</sst>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\-yy;@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</cellStyleXfs>
  <cellXfs count="98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0" fontId="0" fillId="0" borderId="10" xfId="0" applyBorder="1" applyAlignment="1">
      <alignment horizontal="right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0" fontId="3" fillId="0" borderId="0" xfId="1"/>
    <xf numFmtId="0" fontId="1" fillId="0" borderId="0" xfId="1" applyFont="1"/>
    <xf numFmtId="0" fontId="2" fillId="0" borderId="7" xfId="1" applyFont="1" applyBorder="1"/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49" fontId="2" fillId="0" borderId="10" xfId="1" applyNumberFormat="1" applyFont="1" applyBorder="1" applyAlignment="1">
      <alignment horizontal="center"/>
    </xf>
    <xf numFmtId="5" fontId="2" fillId="3" borderId="8" xfId="3" applyNumberFormat="1" applyFont="1" applyFill="1" applyBorder="1" applyAlignment="1">
      <alignment horizontal="right"/>
    </xf>
    <xf numFmtId="5" fontId="2" fillId="3" borderId="0" xfId="3" applyNumberFormat="1" applyFont="1" applyFill="1" applyBorder="1" applyAlignment="1">
      <alignment horizontal="right"/>
    </xf>
    <xf numFmtId="5" fontId="2" fillId="0" borderId="7" xfId="1" applyNumberFormat="1" applyFont="1" applyBorder="1"/>
    <xf numFmtId="5" fontId="2" fillId="0" borderId="8" xfId="1" applyNumberFormat="1" applyFont="1" applyBorder="1"/>
    <xf numFmtId="5" fontId="2" fillId="3" borderId="8" xfId="1" applyNumberFormat="1" applyFont="1" applyFill="1" applyBorder="1"/>
    <xf numFmtId="5" fontId="2" fillId="0" borderId="9" xfId="1" applyNumberFormat="1" applyFont="1" applyBorder="1"/>
    <xf numFmtId="0" fontId="2" fillId="0" borderId="0" xfId="1" applyFont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5" fontId="2" fillId="0" borderId="10" xfId="1" applyNumberFormat="1" applyFont="1" applyBorder="1"/>
    <xf numFmtId="5" fontId="2" fillId="0" borderId="0" xfId="1" applyNumberFormat="1" applyFont="1"/>
    <xf numFmtId="0" fontId="0" fillId="0" borderId="0" xfId="0" applyBorder="1" applyAlignment="1">
      <alignment horizontal="center"/>
    </xf>
    <xf numFmtId="5" fontId="0" fillId="0" borderId="7" xfId="0" applyNumberFormat="1" applyFill="1" applyBorder="1"/>
    <xf numFmtId="5" fontId="0" fillId="0" borderId="0" xfId="0" applyNumberFormat="1" applyBorder="1"/>
    <xf numFmtId="5" fontId="0" fillId="0" borderId="8" xfId="0" applyNumberFormat="1" applyFill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7" fontId="0" fillId="0" borderId="0" xfId="0" applyNumberFormat="1"/>
    <xf numFmtId="5" fontId="2" fillId="3" borderId="7" xfId="1" applyNumberFormat="1" applyFont="1" applyFill="1" applyBorder="1"/>
    <xf numFmtId="5" fontId="2" fillId="3" borderId="9" xfId="1" applyNumberFormat="1" applyFont="1" applyFill="1" applyBorder="1"/>
    <xf numFmtId="5" fontId="0" fillId="3" borderId="9" xfId="0" applyNumberFormat="1" applyFill="1" applyBorder="1"/>
    <xf numFmtId="0" fontId="0" fillId="0" borderId="5" xfId="0" applyBorder="1" applyAlignment="1">
      <alignment horizontal="center"/>
    </xf>
    <xf numFmtId="5" fontId="0" fillId="0" borderId="14" xfId="0" quotePrefix="1" applyNumberForma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5" fontId="2" fillId="3" borderId="9" xfId="3" applyNumberFormat="1" applyFont="1" applyFill="1" applyBorder="1" applyAlignment="1">
      <alignment horizontal="right"/>
    </xf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61720-E3A6-4280-AE69-1F48D0B4CC77}">
  <dimension ref="A1:O62"/>
  <sheetViews>
    <sheetView tabSelected="1" zoomScaleNormal="100" workbookViewId="0">
      <selection activeCell="E29" sqref="E29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  <col min="15" max="15" width="13.125" bestFit="1" customWidth="1"/>
  </cols>
  <sheetData>
    <row r="1" spans="1:13" x14ac:dyDescent="0.2">
      <c r="A1" t="s">
        <v>58</v>
      </c>
    </row>
    <row r="4" spans="1:13" ht="14.25" customHeight="1" x14ac:dyDescent="0.2">
      <c r="B4" s="82" t="s">
        <v>47</v>
      </c>
      <c r="C4" s="83"/>
      <c r="D4" s="83"/>
      <c r="E4" s="83"/>
      <c r="F4" s="83"/>
      <c r="G4" s="84"/>
      <c r="I4" s="88" t="s">
        <v>48</v>
      </c>
      <c r="J4" s="89"/>
      <c r="K4" s="89"/>
      <c r="L4" s="89"/>
      <c r="M4" s="90"/>
    </row>
    <row r="5" spans="1:13" ht="14.25" customHeight="1" x14ac:dyDescent="0.2">
      <c r="B5" s="85"/>
      <c r="C5" s="86"/>
      <c r="D5" s="86"/>
      <c r="E5" s="86"/>
      <c r="F5" s="86"/>
      <c r="G5" s="87"/>
      <c r="I5" s="91"/>
      <c r="J5" s="92"/>
      <c r="K5" s="92"/>
      <c r="L5" s="92"/>
      <c r="M5" s="93"/>
    </row>
    <row r="6" spans="1:13" ht="15.75" x14ac:dyDescent="0.25">
      <c r="D6" s="74" t="s">
        <v>56</v>
      </c>
      <c r="I6" s="49"/>
      <c r="J6" s="49"/>
      <c r="K6" s="49"/>
      <c r="L6" s="49"/>
      <c r="M6" s="49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x14ac:dyDescent="0.2">
      <c r="B12" s="2">
        <v>1</v>
      </c>
      <c r="C12" s="94" t="s">
        <v>15</v>
      </c>
      <c r="D12" s="95"/>
      <c r="E12" s="95"/>
      <c r="F12" s="95"/>
      <c r="G12" s="96"/>
    </row>
    <row r="13" spans="1:13" ht="15.75" x14ac:dyDescent="0.25">
      <c r="B13" s="2" t="s">
        <v>16</v>
      </c>
      <c r="C13" s="8" t="s">
        <v>52</v>
      </c>
      <c r="D13" s="8"/>
      <c r="E13" s="8"/>
      <c r="F13" s="9"/>
      <c r="G13" s="10">
        <v>352336</v>
      </c>
      <c r="I13" s="50" t="s">
        <v>49</v>
      </c>
      <c r="J13" s="49"/>
      <c r="K13" s="49"/>
      <c r="L13" s="49"/>
      <c r="M13" s="49"/>
    </row>
    <row r="14" spans="1:13" ht="15.75" x14ac:dyDescent="0.25">
      <c r="B14" s="4" t="s">
        <v>17</v>
      </c>
      <c r="C14" s="8" t="s">
        <v>62</v>
      </c>
      <c r="D14" s="8"/>
      <c r="E14" s="8"/>
      <c r="F14" s="11"/>
      <c r="G14" s="12">
        <v>-7144</v>
      </c>
      <c r="I14" s="50"/>
      <c r="J14" s="49"/>
      <c r="K14" s="49"/>
      <c r="L14" s="49"/>
      <c r="M14" s="49"/>
    </row>
    <row r="15" spans="1:13" ht="15" x14ac:dyDescent="0.2">
      <c r="A15" s="75"/>
      <c r="B15" s="5" t="s">
        <v>61</v>
      </c>
      <c r="C15" s="8" t="s">
        <v>18</v>
      </c>
      <c r="D15" s="8"/>
      <c r="E15" s="8"/>
      <c r="F15" s="11"/>
      <c r="G15" s="12">
        <f>G13+G14</f>
        <v>345192</v>
      </c>
      <c r="H15" s="75"/>
      <c r="I15" s="49"/>
      <c r="J15" s="49"/>
      <c r="K15" s="49"/>
      <c r="L15" s="49"/>
      <c r="M15" s="49"/>
    </row>
    <row r="16" spans="1:13" x14ac:dyDescent="0.2">
      <c r="A16" s="31"/>
      <c r="B16" s="4">
        <v>2</v>
      </c>
      <c r="C16" s="13">
        <v>45839</v>
      </c>
      <c r="D16" s="44">
        <f>732135-0</f>
        <v>732135</v>
      </c>
      <c r="E16" s="45">
        <f>768616.8+1957</f>
        <v>770573.8</v>
      </c>
      <c r="F16" s="14">
        <f t="shared" ref="F16:F22" si="0">D16-E16</f>
        <v>-38438.800000000047</v>
      </c>
      <c r="G16" s="12">
        <f t="shared" ref="G16:G22" si="1">G15+F16</f>
        <v>306753.19999999995</v>
      </c>
      <c r="H16" s="31"/>
      <c r="I16" s="51"/>
      <c r="J16" s="51"/>
      <c r="K16" s="52" t="s">
        <v>0</v>
      </c>
      <c r="L16" s="51"/>
      <c r="M16" s="51"/>
    </row>
    <row r="17" spans="2:15" x14ac:dyDescent="0.2">
      <c r="B17" s="4">
        <v>3</v>
      </c>
      <c r="C17" s="15">
        <v>45870</v>
      </c>
      <c r="D17" s="46">
        <f>597015-0</f>
        <v>597015</v>
      </c>
      <c r="E17" s="47">
        <f>921433.6+2499</f>
        <v>923932.6</v>
      </c>
      <c r="F17" s="16">
        <f>D17-E17</f>
        <v>-326917.59999999998</v>
      </c>
      <c r="G17" s="17">
        <f t="shared" si="1"/>
        <v>-20164.400000000023</v>
      </c>
      <c r="I17" s="53"/>
      <c r="J17" s="54" t="s">
        <v>1</v>
      </c>
      <c r="K17" s="54" t="s">
        <v>2</v>
      </c>
      <c r="L17" s="53"/>
      <c r="M17" s="53"/>
    </row>
    <row r="18" spans="2:15" x14ac:dyDescent="0.2">
      <c r="B18" s="4">
        <v>4</v>
      </c>
      <c r="C18" s="15">
        <v>45901</v>
      </c>
      <c r="D18" s="46">
        <f>361830-0</f>
        <v>361830</v>
      </c>
      <c r="E18" s="47">
        <f>569022.39+1631</f>
        <v>570653.39</v>
      </c>
      <c r="F18" s="16">
        <f t="shared" si="0"/>
        <v>-208823.39</v>
      </c>
      <c r="G18" s="17">
        <f t="shared" si="1"/>
        <v>-228987.79000000004</v>
      </c>
      <c r="I18" s="53"/>
      <c r="J18" s="54" t="s">
        <v>3</v>
      </c>
      <c r="K18" s="54" t="s">
        <v>4</v>
      </c>
      <c r="L18" s="54" t="s">
        <v>5</v>
      </c>
      <c r="M18" s="54" t="s">
        <v>6</v>
      </c>
    </row>
    <row r="19" spans="2:15" x14ac:dyDescent="0.2">
      <c r="B19" s="4">
        <v>5</v>
      </c>
      <c r="C19" s="15">
        <v>45931</v>
      </c>
      <c r="D19" s="46">
        <f>376368-504</f>
        <v>375864</v>
      </c>
      <c r="E19" s="47">
        <f>430629.92+1995</f>
        <v>432624.92</v>
      </c>
      <c r="F19" s="16">
        <f t="shared" si="0"/>
        <v>-56760.919999999984</v>
      </c>
      <c r="G19" s="17">
        <f t="shared" si="1"/>
        <v>-285748.71000000002</v>
      </c>
      <c r="I19" s="55"/>
      <c r="J19" s="55" t="s">
        <v>7</v>
      </c>
      <c r="K19" s="55" t="s">
        <v>7</v>
      </c>
      <c r="L19" s="55" t="s">
        <v>8</v>
      </c>
      <c r="M19" s="55" t="s">
        <v>8</v>
      </c>
    </row>
    <row r="20" spans="2:15" x14ac:dyDescent="0.2">
      <c r="B20" s="4">
        <v>6</v>
      </c>
      <c r="C20" s="15">
        <v>45962</v>
      </c>
      <c r="D20" s="46">
        <f>581178-557</f>
        <v>580621</v>
      </c>
      <c r="E20" s="47">
        <f>657028.53+3209</f>
        <v>660237.53</v>
      </c>
      <c r="F20" s="16">
        <f t="shared" si="0"/>
        <v>-79616.530000000028</v>
      </c>
      <c r="G20" s="17">
        <f t="shared" si="1"/>
        <v>-365365.24000000005</v>
      </c>
      <c r="I20" s="56" t="s">
        <v>10</v>
      </c>
      <c r="J20" s="57" t="s">
        <v>50</v>
      </c>
      <c r="K20" s="57" t="s">
        <v>11</v>
      </c>
      <c r="L20" s="57" t="s">
        <v>12</v>
      </c>
      <c r="M20" s="57" t="s">
        <v>13</v>
      </c>
    </row>
    <row r="21" spans="2:15" x14ac:dyDescent="0.2">
      <c r="B21" s="4">
        <v>7</v>
      </c>
      <c r="C21" s="15">
        <v>45992</v>
      </c>
      <c r="D21" s="46">
        <f>962285-643</f>
        <v>961642</v>
      </c>
      <c r="E21" s="47">
        <f>971703.31+2251</f>
        <v>973954.31</v>
      </c>
      <c r="F21" s="18">
        <f t="shared" si="0"/>
        <v>-12312.310000000056</v>
      </c>
      <c r="G21" s="19">
        <f t="shared" si="1"/>
        <v>-377677.5500000001</v>
      </c>
      <c r="H21" s="32"/>
      <c r="I21" s="13">
        <v>45839</v>
      </c>
      <c r="J21" s="58">
        <f>194354+5148+99140+302857+83688</f>
        <v>685187</v>
      </c>
      <c r="K21" s="59">
        <f>302857+194354+42192+57493+83688+6560-1957</f>
        <v>685187</v>
      </c>
      <c r="L21" s="60">
        <f t="shared" ref="L21:L28" si="2">J21-K21</f>
        <v>0</v>
      </c>
      <c r="M21" s="61">
        <f>L21</f>
        <v>0</v>
      </c>
      <c r="O21" s="76">
        <f>E16+K21</f>
        <v>1455760.8</v>
      </c>
    </row>
    <row r="22" spans="2:15" x14ac:dyDescent="0.2">
      <c r="B22" s="20" t="s">
        <v>19</v>
      </c>
      <c r="C22" s="13">
        <v>46023</v>
      </c>
      <c r="D22" s="44">
        <f>1004118-580</f>
        <v>1003538</v>
      </c>
      <c r="E22" s="45">
        <f>1146227.05+2829</f>
        <v>1149056.05</v>
      </c>
      <c r="F22" s="14">
        <f t="shared" si="0"/>
        <v>-145518.05000000005</v>
      </c>
      <c r="G22" s="12">
        <f t="shared" si="1"/>
        <v>-523195.60000000015</v>
      </c>
      <c r="I22" s="15">
        <v>45870</v>
      </c>
      <c r="J22" s="58">
        <f>116072+4399+111703+169948+76348</f>
        <v>478470</v>
      </c>
      <c r="K22" s="59">
        <f>169948+116072+58654+54259+76348+5688-2499</f>
        <v>478470</v>
      </c>
      <c r="L22" s="61">
        <f t="shared" si="2"/>
        <v>0</v>
      </c>
      <c r="M22" s="61">
        <f>M21+L22</f>
        <v>0</v>
      </c>
      <c r="O22" s="76">
        <f t="shared" ref="O22:O27" si="3">E17+K22</f>
        <v>1402402.6</v>
      </c>
    </row>
    <row r="23" spans="2:15" x14ac:dyDescent="0.2">
      <c r="B23" s="80" t="s">
        <v>20</v>
      </c>
      <c r="C23" s="21">
        <v>46054</v>
      </c>
      <c r="D23" s="79">
        <f>488449-266</f>
        <v>488183</v>
      </c>
      <c r="E23" s="79">
        <f>673954.53+1428</f>
        <v>675382.53</v>
      </c>
      <c r="F23" s="18">
        <f>D23-E23</f>
        <v>-187199.53000000003</v>
      </c>
      <c r="G23" s="19">
        <f>G22+F23</f>
        <v>-710395.13000000012</v>
      </c>
      <c r="I23" s="15">
        <v>45901</v>
      </c>
      <c r="J23" s="58">
        <f>148403+3700+69255+195203+54022</f>
        <v>470583</v>
      </c>
      <c r="K23" s="58">
        <f>195203+148403+32523+37367+54022+4696-1631</f>
        <v>470583</v>
      </c>
      <c r="L23" s="61">
        <f t="shared" si="2"/>
        <v>0</v>
      </c>
      <c r="M23" s="61">
        <f t="shared" ref="M23:M26" si="4">M22+L23</f>
        <v>0</v>
      </c>
      <c r="O23" s="76">
        <f t="shared" si="3"/>
        <v>1041236.39</v>
      </c>
    </row>
    <row r="24" spans="2:15" x14ac:dyDescent="0.2">
      <c r="B24" s="5"/>
      <c r="C24" s="22" t="s">
        <v>59</v>
      </c>
      <c r="D24" s="23"/>
      <c r="E24" s="23"/>
      <c r="F24" s="23"/>
      <c r="G24" s="24"/>
      <c r="I24" s="15">
        <v>45931</v>
      </c>
      <c r="J24" s="58">
        <f>187655+10459+71867+229377+67221</f>
        <v>566579</v>
      </c>
      <c r="K24" s="58">
        <f>229377+187655+35038+37626+67221+11657-1995</f>
        <v>566579</v>
      </c>
      <c r="L24" s="61">
        <f t="shared" si="2"/>
        <v>0</v>
      </c>
      <c r="M24" s="61">
        <f t="shared" si="4"/>
        <v>0</v>
      </c>
      <c r="O24" s="76">
        <f t="shared" si="3"/>
        <v>999203.91999999993</v>
      </c>
    </row>
    <row r="25" spans="2:15" x14ac:dyDescent="0.2">
      <c r="B25" s="2"/>
      <c r="C25" s="1"/>
      <c r="D25" s="1"/>
      <c r="E25" s="1"/>
      <c r="F25" s="1"/>
      <c r="G25" s="12"/>
      <c r="I25" s="15">
        <v>45962</v>
      </c>
      <c r="J25" s="58">
        <f>226677+80709+96881+275668+83185</f>
        <v>763120</v>
      </c>
      <c r="K25" s="62">
        <f>275668+226677+53852+44902+83185+82045-3209</f>
        <v>763120</v>
      </c>
      <c r="L25" s="61">
        <f t="shared" si="2"/>
        <v>0</v>
      </c>
      <c r="M25" s="61">
        <f t="shared" si="4"/>
        <v>0</v>
      </c>
      <c r="O25" s="76">
        <f t="shared" si="3"/>
        <v>1423357.53</v>
      </c>
    </row>
    <row r="26" spans="2:15" x14ac:dyDescent="0.2">
      <c r="B26" s="4"/>
      <c r="C26" s="3"/>
      <c r="D26" s="4" t="s">
        <v>21</v>
      </c>
      <c r="E26" s="4" t="s">
        <v>22</v>
      </c>
      <c r="F26" s="3"/>
      <c r="G26" s="17"/>
      <c r="I26" s="15">
        <v>45992</v>
      </c>
      <c r="J26" s="62">
        <f>275833+139062+99667+349541+71577</f>
        <v>935680</v>
      </c>
      <c r="K26" s="78">
        <f>349541+275833+47231+53155+71577+140594-2251</f>
        <v>935680</v>
      </c>
      <c r="L26" s="63">
        <f t="shared" si="2"/>
        <v>0</v>
      </c>
      <c r="M26" s="63">
        <f t="shared" si="4"/>
        <v>0</v>
      </c>
      <c r="O26" s="76">
        <f t="shared" si="3"/>
        <v>1909634.31</v>
      </c>
    </row>
    <row r="27" spans="2:15" x14ac:dyDescent="0.2">
      <c r="B27" s="4">
        <v>8</v>
      </c>
      <c r="C27" s="3"/>
      <c r="D27" s="4" t="s">
        <v>23</v>
      </c>
      <c r="E27" s="4" t="s">
        <v>24</v>
      </c>
      <c r="F27" s="3"/>
      <c r="G27" s="25" t="s">
        <v>21</v>
      </c>
      <c r="I27" s="13">
        <v>46023</v>
      </c>
      <c r="J27" s="77">
        <f>273490+123425+114782+318236+31878</f>
        <v>861811</v>
      </c>
      <c r="K27" s="77">
        <f>318236+273490+63080+53169+31878+124787-2829</f>
        <v>861811</v>
      </c>
      <c r="L27" s="61">
        <f t="shared" si="2"/>
        <v>0</v>
      </c>
      <c r="M27" s="61">
        <f>M26+L27</f>
        <v>0</v>
      </c>
      <c r="O27" s="76">
        <f t="shared" si="3"/>
        <v>2010867.05</v>
      </c>
    </row>
    <row r="28" spans="2:15" x14ac:dyDescent="0.2">
      <c r="B28" s="4"/>
      <c r="C28" s="3"/>
      <c r="D28" s="4" t="s">
        <v>25</v>
      </c>
      <c r="E28" s="4" t="s">
        <v>26</v>
      </c>
      <c r="F28" s="3"/>
      <c r="G28" s="25" t="s">
        <v>27</v>
      </c>
      <c r="I28" s="21">
        <v>46054</v>
      </c>
      <c r="J28" s="78">
        <f>142848+63524+82764+183688+4827</f>
        <v>477651</v>
      </c>
      <c r="K28" s="97">
        <f>183688+142848+49610+33957+4827+64149-1428</f>
        <v>477651</v>
      </c>
      <c r="L28" s="63">
        <f t="shared" si="2"/>
        <v>0</v>
      </c>
      <c r="M28" s="63">
        <f>M27+L28</f>
        <v>0</v>
      </c>
      <c r="O28" s="76">
        <f>E23+K28</f>
        <v>1153033.53</v>
      </c>
    </row>
    <row r="29" spans="2:15" x14ac:dyDescent="0.2">
      <c r="B29" s="4"/>
      <c r="C29" s="3"/>
      <c r="D29" s="4" t="s">
        <v>28</v>
      </c>
      <c r="E29" s="4" t="s">
        <v>29</v>
      </c>
      <c r="F29" s="3"/>
      <c r="G29" s="25" t="s">
        <v>30</v>
      </c>
      <c r="I29" s="64"/>
      <c r="J29" s="64"/>
      <c r="K29" s="64"/>
      <c r="L29" s="64"/>
      <c r="M29" s="64"/>
    </row>
    <row r="30" spans="2:15" x14ac:dyDescent="0.2">
      <c r="B30" s="5"/>
      <c r="C30" s="3"/>
      <c r="D30" s="4" t="s">
        <v>31</v>
      </c>
      <c r="E30" s="4" t="s">
        <v>32</v>
      </c>
      <c r="F30" s="3"/>
      <c r="G30" s="25" t="s">
        <v>33</v>
      </c>
      <c r="I30" s="65" t="s">
        <v>51</v>
      </c>
      <c r="J30" s="66"/>
      <c r="K30" s="66"/>
      <c r="L30" s="67"/>
      <c r="M30" s="68">
        <f>M26</f>
        <v>0</v>
      </c>
    </row>
    <row r="31" spans="2:15" x14ac:dyDescent="0.2">
      <c r="B31" s="20" t="s">
        <v>34</v>
      </c>
      <c r="C31" s="48" t="s">
        <v>53</v>
      </c>
      <c r="D31" s="10">
        <f>-G13</f>
        <v>-352336</v>
      </c>
      <c r="E31" s="10">
        <f>D62</f>
        <v>176166</v>
      </c>
      <c r="F31" s="48"/>
      <c r="G31" s="10">
        <f>D31+E31</f>
        <v>-176170</v>
      </c>
      <c r="I31" s="64"/>
      <c r="J31" s="64"/>
      <c r="K31" s="64"/>
      <c r="L31" s="64"/>
      <c r="M31" s="69"/>
    </row>
    <row r="32" spans="2:15" x14ac:dyDescent="0.2">
      <c r="B32" s="26" t="s">
        <v>35</v>
      </c>
      <c r="C32" s="48" t="s">
        <v>65</v>
      </c>
      <c r="D32" s="10">
        <f>-G14</f>
        <v>7144</v>
      </c>
      <c r="E32" s="10">
        <v>0</v>
      </c>
      <c r="F32" s="48"/>
      <c r="G32" s="10">
        <f>D32+E32</f>
        <v>7144</v>
      </c>
      <c r="I32" s="65" t="s">
        <v>55</v>
      </c>
      <c r="J32" s="66"/>
      <c r="K32" s="66"/>
      <c r="L32" s="67"/>
      <c r="M32" s="68">
        <f>M30/12</f>
        <v>0</v>
      </c>
    </row>
    <row r="33" spans="2:7" x14ac:dyDescent="0.2">
      <c r="B33" s="5" t="s">
        <v>63</v>
      </c>
      <c r="C33" s="28"/>
      <c r="D33" s="29"/>
      <c r="E33" s="29"/>
      <c r="F33" s="30" t="s">
        <v>36</v>
      </c>
      <c r="G33" s="19">
        <f>G31+G32</f>
        <v>-169026</v>
      </c>
    </row>
    <row r="34" spans="2:7" x14ac:dyDescent="0.2">
      <c r="B34" s="31"/>
      <c r="G34" s="32"/>
    </row>
    <row r="35" spans="2:7" x14ac:dyDescent="0.2">
      <c r="B35" s="6">
        <v>9</v>
      </c>
      <c r="C35" s="33" t="s">
        <v>64</v>
      </c>
      <c r="D35" s="8"/>
      <c r="E35" s="8"/>
      <c r="F35" s="9"/>
      <c r="G35" s="10">
        <f>G21+G33</f>
        <v>-546703.55000000005</v>
      </c>
    </row>
    <row r="36" spans="2:7" x14ac:dyDescent="0.2">
      <c r="B36" s="31"/>
      <c r="G36" s="32"/>
    </row>
    <row r="37" spans="2:7" x14ac:dyDescent="0.2">
      <c r="B37" s="6">
        <v>10</v>
      </c>
      <c r="C37" s="33" t="s">
        <v>57</v>
      </c>
      <c r="D37" s="8"/>
      <c r="E37" s="8"/>
      <c r="F37" s="9"/>
      <c r="G37" s="10">
        <f>G35/6</f>
        <v>-91117.258333333346</v>
      </c>
    </row>
    <row r="39" spans="2:7" x14ac:dyDescent="0.2">
      <c r="B39" s="1"/>
      <c r="C39" s="34" t="s">
        <v>37</v>
      </c>
      <c r="D39" s="35"/>
      <c r="E39" s="35"/>
      <c r="F39" s="35"/>
      <c r="G39" s="36"/>
    </row>
    <row r="40" spans="2:7" x14ac:dyDescent="0.2">
      <c r="B40" s="1"/>
      <c r="C40" s="37"/>
      <c r="D40" s="37"/>
      <c r="E40" s="37"/>
      <c r="F40" s="37"/>
      <c r="G40" s="11"/>
    </row>
    <row r="41" spans="2:7" x14ac:dyDescent="0.2">
      <c r="B41" s="4">
        <v>11</v>
      </c>
      <c r="C41" t="s">
        <v>38</v>
      </c>
      <c r="G41" s="38">
        <f>G15</f>
        <v>345192</v>
      </c>
    </row>
    <row r="42" spans="2:7" x14ac:dyDescent="0.2">
      <c r="B42" s="4">
        <v>12</v>
      </c>
      <c r="C42" t="s">
        <v>39</v>
      </c>
      <c r="G42" s="39">
        <f>G33</f>
        <v>-169026</v>
      </c>
    </row>
    <row r="43" spans="2:7" x14ac:dyDescent="0.2">
      <c r="B43" s="4"/>
      <c r="G43" s="38"/>
    </row>
    <row r="44" spans="2:7" ht="15" thickBot="1" x14ac:dyDescent="0.25">
      <c r="B44" s="4">
        <v>13</v>
      </c>
      <c r="C44" t="s">
        <v>40</v>
      </c>
      <c r="G44" s="40">
        <f>G41+G42</f>
        <v>176166</v>
      </c>
    </row>
    <row r="45" spans="2:7" ht="15" thickTop="1" x14ac:dyDescent="0.2">
      <c r="B45" s="4"/>
      <c r="G45" s="38"/>
    </row>
    <row r="46" spans="2:7" x14ac:dyDescent="0.2">
      <c r="B46" s="4">
        <v>14</v>
      </c>
      <c r="C46" t="s">
        <v>41</v>
      </c>
      <c r="G46" s="38">
        <f>G35</f>
        <v>-546703.55000000005</v>
      </c>
    </row>
    <row r="47" spans="2:7" x14ac:dyDescent="0.2">
      <c r="B47" s="4"/>
      <c r="G47" s="38"/>
    </row>
    <row r="48" spans="2:7" x14ac:dyDescent="0.2">
      <c r="B48" s="4">
        <v>15</v>
      </c>
      <c r="C48" t="s">
        <v>42</v>
      </c>
      <c r="G48" s="39">
        <f>SUM(F16:F21)</f>
        <v>-722869.55</v>
      </c>
    </row>
    <row r="49" spans="2:7" x14ac:dyDescent="0.2">
      <c r="B49" s="4"/>
      <c r="G49" s="38"/>
    </row>
    <row r="50" spans="2:7" ht="15" thickBot="1" x14ac:dyDescent="0.25">
      <c r="B50" s="4">
        <v>16</v>
      </c>
      <c r="C50" t="s">
        <v>43</v>
      </c>
      <c r="G50" s="40">
        <f>G46-G48</f>
        <v>176166</v>
      </c>
    </row>
    <row r="51" spans="2:7" ht="15" thickTop="1" x14ac:dyDescent="0.2">
      <c r="B51" s="27"/>
      <c r="C51" s="41"/>
      <c r="D51" s="41"/>
      <c r="E51" s="41"/>
      <c r="F51" s="41"/>
      <c r="G51" s="42"/>
    </row>
    <row r="53" spans="2:7" x14ac:dyDescent="0.2">
      <c r="B53" t="s">
        <v>44</v>
      </c>
    </row>
    <row r="54" spans="2:7" x14ac:dyDescent="0.2">
      <c r="B54" s="31"/>
      <c r="C54" s="1"/>
      <c r="D54" s="2" t="s">
        <v>45</v>
      </c>
      <c r="E54" s="26"/>
      <c r="F54" s="70"/>
      <c r="G54" s="70"/>
    </row>
    <row r="55" spans="2:7" x14ac:dyDescent="0.2">
      <c r="B55" s="31"/>
      <c r="C55" s="5" t="s">
        <v>10</v>
      </c>
      <c r="D55" s="5" t="s">
        <v>54</v>
      </c>
      <c r="E55" s="26"/>
      <c r="F55" s="70"/>
      <c r="G55" s="70"/>
    </row>
    <row r="56" spans="2:7" x14ac:dyDescent="0.2">
      <c r="C56" s="13">
        <v>45839</v>
      </c>
      <c r="D56" s="71">
        <v>29361</v>
      </c>
      <c r="E56" s="81" t="s">
        <v>60</v>
      </c>
      <c r="F56" s="72"/>
      <c r="G56" s="72"/>
    </row>
    <row r="57" spans="2:7" x14ac:dyDescent="0.2">
      <c r="C57" s="15">
        <v>45870</v>
      </c>
      <c r="D57" s="73">
        <v>29361</v>
      </c>
      <c r="E57" s="81" t="s">
        <v>60</v>
      </c>
      <c r="F57" s="72"/>
      <c r="G57" s="72"/>
    </row>
    <row r="58" spans="2:7" x14ac:dyDescent="0.2">
      <c r="C58" s="15">
        <v>45901</v>
      </c>
      <c r="D58" s="73">
        <v>29361</v>
      </c>
      <c r="E58" s="81" t="s">
        <v>60</v>
      </c>
      <c r="F58" s="72"/>
      <c r="G58" s="72"/>
    </row>
    <row r="59" spans="2:7" x14ac:dyDescent="0.2">
      <c r="C59" s="15">
        <v>45931</v>
      </c>
      <c r="D59" s="73">
        <v>29361</v>
      </c>
      <c r="E59" s="81" t="s">
        <v>60</v>
      </c>
      <c r="F59" s="72"/>
      <c r="G59" s="72"/>
    </row>
    <row r="60" spans="2:7" x14ac:dyDescent="0.2">
      <c r="C60" s="15">
        <v>45962</v>
      </c>
      <c r="D60" s="73">
        <v>29361</v>
      </c>
      <c r="E60" s="81" t="s">
        <v>60</v>
      </c>
      <c r="F60" s="72"/>
      <c r="G60" s="72"/>
    </row>
    <row r="61" spans="2:7" x14ac:dyDescent="0.2">
      <c r="C61" s="15">
        <v>45992</v>
      </c>
      <c r="D61" s="73">
        <v>29361</v>
      </c>
      <c r="E61" s="81" t="s">
        <v>60</v>
      </c>
      <c r="F61" s="72"/>
      <c r="G61" s="72"/>
    </row>
    <row r="62" spans="2:7" x14ac:dyDescent="0.2">
      <c r="C62" s="43" t="s">
        <v>46</v>
      </c>
      <c r="D62" s="10">
        <f>SUM(D56:D61)</f>
        <v>176166</v>
      </c>
      <c r="E62" s="16"/>
      <c r="F62" s="72"/>
      <c r="G62" s="72"/>
    </row>
  </sheetData>
  <mergeCells count="3">
    <mergeCell ref="B4:G5"/>
    <mergeCell ref="I4:M5"/>
    <mergeCell ref="C12:G12"/>
  </mergeCells>
  <phoneticPr fontId="6" type="noConversion"/>
  <pageMargins left="0.7" right="0.7" top="0.75" bottom="0.75" header="0.3" footer="0.3"/>
  <pageSetup scale="54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11-30-25</vt:lpstr>
      <vt:lpstr>'11-30-25'!Print_Area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Ken Bickham</cp:lastModifiedBy>
  <cp:lastPrinted>2026-05-04T14:09:43Z</cp:lastPrinted>
  <dcterms:created xsi:type="dcterms:W3CDTF">2022-06-13T11:58:16Z</dcterms:created>
  <dcterms:modified xsi:type="dcterms:W3CDTF">2026-05-11T15:54:28Z</dcterms:modified>
</cp:coreProperties>
</file>