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kpccoop-my.sharepoint.com/personal/christian_everly_ekpc_coop/Documents/"/>
    </mc:Choice>
  </mc:AlternateContent>
  <xr:revisionPtr revIDLastSave="18" documentId="8_{425EC92C-7E15-4D08-881D-87FB706C67C3}" xr6:coauthVersionLast="47" xr6:coauthVersionMax="47" xr10:uidLastSave="{25DC6EFC-9CE2-4224-9114-5F01F1254051}"/>
  <bookViews>
    <workbookView xWindow="25695" yWindow="0" windowWidth="26010" windowHeight="20985" xr2:uid="{1DFFE369-7A91-4D8F-8208-EEC1794ED637}"/>
  </bookViews>
  <sheets>
    <sheet name="Bill Impact" sheetId="1" r:id="rId1"/>
    <sheet name="Supporting (with recovery)" sheetId="2" r:id="rId2"/>
    <sheet name="Supporting (as filed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4" i="3" l="1"/>
  <c r="H35" i="3"/>
  <c r="E35" i="3"/>
  <c r="Q34" i="3"/>
  <c r="H34" i="3"/>
  <c r="E34" i="3"/>
  <c r="Q33" i="3"/>
  <c r="H33" i="3"/>
  <c r="E33" i="3"/>
  <c r="Q32" i="3"/>
  <c r="H32" i="3"/>
  <c r="E32" i="3"/>
  <c r="Q31" i="3"/>
  <c r="H31" i="3"/>
  <c r="E31" i="3"/>
  <c r="Q30" i="3"/>
  <c r="H30" i="3"/>
  <c r="E30" i="3"/>
  <c r="J30" i="3" s="1"/>
  <c r="L30" i="3" s="1"/>
  <c r="N30" i="3" s="1"/>
  <c r="Q29" i="3"/>
  <c r="H29" i="3"/>
  <c r="E29" i="3"/>
  <c r="J29" i="3" s="1"/>
  <c r="L29" i="3" s="1"/>
  <c r="N29" i="3" s="1"/>
  <c r="Q28" i="3"/>
  <c r="H28" i="3"/>
  <c r="E28" i="3"/>
  <c r="Q27" i="3"/>
  <c r="H27" i="3"/>
  <c r="E27" i="3"/>
  <c r="Q26" i="3"/>
  <c r="H26" i="3"/>
  <c r="I26" i="3" s="1"/>
  <c r="J26" i="3" s="1"/>
  <c r="L26" i="3" s="1"/>
  <c r="N26" i="3" s="1"/>
  <c r="E26" i="3"/>
  <c r="Q25" i="3"/>
  <c r="H25" i="3"/>
  <c r="E25" i="3"/>
  <c r="J25" i="3" s="1"/>
  <c r="L25" i="3" s="1"/>
  <c r="N25" i="3" s="1"/>
  <c r="Q24" i="3"/>
  <c r="H24" i="3"/>
  <c r="I29" i="3" s="1"/>
  <c r="E24" i="3"/>
  <c r="Q23" i="3"/>
  <c r="R34" i="3" s="1"/>
  <c r="H23" i="3"/>
  <c r="E23" i="3"/>
  <c r="O22" i="3"/>
  <c r="Q22" i="3" s="1"/>
  <c r="R33" i="3" s="1"/>
  <c r="H22" i="3"/>
  <c r="I32" i="3" s="1"/>
  <c r="E22" i="3"/>
  <c r="O21" i="3"/>
  <c r="Q21" i="3" s="1"/>
  <c r="R32" i="3" s="1"/>
  <c r="H21" i="3"/>
  <c r="E21" i="3"/>
  <c r="O20" i="3"/>
  <c r="Q20" i="3" s="1"/>
  <c r="H20" i="3"/>
  <c r="I30" i="3" s="1"/>
  <c r="E20" i="3"/>
  <c r="O19" i="3"/>
  <c r="Q19" i="3" s="1"/>
  <c r="I19" i="3"/>
  <c r="J19" i="3" s="1"/>
  <c r="L19" i="3" s="1"/>
  <c r="N19" i="3" s="1"/>
  <c r="H19" i="3"/>
  <c r="E19" i="3"/>
  <c r="O18" i="3"/>
  <c r="Q18" i="3" s="1"/>
  <c r="H18" i="3"/>
  <c r="E18" i="3"/>
  <c r="O17" i="3"/>
  <c r="Q17" i="3" s="1"/>
  <c r="H17" i="3"/>
  <c r="I28" i="3" s="1"/>
  <c r="E17" i="3"/>
  <c r="O16" i="3"/>
  <c r="Q16" i="3" s="1"/>
  <c r="H16" i="3"/>
  <c r="E16" i="3"/>
  <c r="O15" i="3"/>
  <c r="Q15" i="3" s="1"/>
  <c r="H15" i="3"/>
  <c r="I25" i="3" s="1"/>
  <c r="E15" i="3"/>
  <c r="O14" i="3"/>
  <c r="Q14" i="3" s="1"/>
  <c r="R25" i="3" s="1"/>
  <c r="H14" i="3"/>
  <c r="E14" i="3"/>
  <c r="O13" i="3"/>
  <c r="Q13" i="3" s="1"/>
  <c r="H13" i="3"/>
  <c r="I14" i="3" s="1"/>
  <c r="E13" i="3"/>
  <c r="O12" i="3"/>
  <c r="Q12" i="3" s="1"/>
  <c r="H12" i="3"/>
  <c r="I21" i="3" s="1"/>
  <c r="E12" i="3"/>
  <c r="M34" i="2"/>
  <c r="H35" i="2"/>
  <c r="E35" i="2"/>
  <c r="Q34" i="2"/>
  <c r="H34" i="2"/>
  <c r="E34" i="2"/>
  <c r="Q33" i="2"/>
  <c r="H33" i="2"/>
  <c r="E33" i="2"/>
  <c r="Q32" i="2"/>
  <c r="H32" i="2"/>
  <c r="E32" i="2"/>
  <c r="Q31" i="2"/>
  <c r="H31" i="2"/>
  <c r="E31" i="2"/>
  <c r="Q30" i="2"/>
  <c r="H30" i="2"/>
  <c r="E30" i="2"/>
  <c r="Q29" i="2"/>
  <c r="H29" i="2"/>
  <c r="E29" i="2"/>
  <c r="Q28" i="2"/>
  <c r="H28" i="2"/>
  <c r="E28" i="2"/>
  <c r="Q27" i="2"/>
  <c r="H27" i="2"/>
  <c r="E27" i="2"/>
  <c r="Q26" i="2"/>
  <c r="H26" i="2"/>
  <c r="E26" i="2"/>
  <c r="Q25" i="2"/>
  <c r="H25" i="2"/>
  <c r="E25" i="2"/>
  <c r="Q24" i="2"/>
  <c r="H24" i="2"/>
  <c r="I34" i="2" s="1"/>
  <c r="E24" i="2"/>
  <c r="Q23" i="2"/>
  <c r="R34" i="2" s="1"/>
  <c r="H23" i="2"/>
  <c r="E23" i="2"/>
  <c r="O22" i="2"/>
  <c r="Q22" i="2" s="1"/>
  <c r="R33" i="2" s="1"/>
  <c r="H22" i="2"/>
  <c r="E22" i="2"/>
  <c r="O21" i="2"/>
  <c r="Q21" i="2" s="1"/>
  <c r="H21" i="2"/>
  <c r="E21" i="2"/>
  <c r="O20" i="2"/>
  <c r="Q20" i="2" s="1"/>
  <c r="H20" i="2"/>
  <c r="E20" i="2"/>
  <c r="O19" i="2"/>
  <c r="Q19" i="2" s="1"/>
  <c r="H19" i="2"/>
  <c r="E19" i="2"/>
  <c r="O18" i="2"/>
  <c r="Q18" i="2" s="1"/>
  <c r="H18" i="2"/>
  <c r="E18" i="2"/>
  <c r="O17" i="2"/>
  <c r="Q17" i="2" s="1"/>
  <c r="H17" i="2"/>
  <c r="I26" i="2" s="1"/>
  <c r="J26" i="2" s="1"/>
  <c r="L26" i="2" s="1"/>
  <c r="N26" i="2" s="1"/>
  <c r="E17" i="2"/>
  <c r="O16" i="2"/>
  <c r="Q16" i="2" s="1"/>
  <c r="R27" i="2" s="1"/>
  <c r="H16" i="2"/>
  <c r="E16" i="2"/>
  <c r="O15" i="2"/>
  <c r="Q15" i="2" s="1"/>
  <c r="H15" i="2"/>
  <c r="E15" i="2"/>
  <c r="O14" i="2"/>
  <c r="Q14" i="2" s="1"/>
  <c r="H14" i="2"/>
  <c r="E14" i="2"/>
  <c r="O13" i="2"/>
  <c r="Q13" i="2" s="1"/>
  <c r="H13" i="2"/>
  <c r="E13" i="2"/>
  <c r="O12" i="2"/>
  <c r="Q12" i="2" s="1"/>
  <c r="I12" i="2"/>
  <c r="J12" i="2" s="1"/>
  <c r="L12" i="2" s="1"/>
  <c r="N12" i="2" s="1"/>
  <c r="S12" i="2" s="1"/>
  <c r="H12" i="2"/>
  <c r="E12" i="2"/>
  <c r="B18" i="1"/>
  <c r="F34" i="1" s="1"/>
  <c r="S29" i="3" l="1"/>
  <c r="J15" i="3"/>
  <c r="L15" i="3" s="1"/>
  <c r="N15" i="3" s="1"/>
  <c r="S15" i="3" s="1"/>
  <c r="R26" i="3"/>
  <c r="J16" i="3"/>
  <c r="L16" i="3" s="1"/>
  <c r="N16" i="3" s="1"/>
  <c r="S16" i="3" s="1"/>
  <c r="R28" i="3"/>
  <c r="J18" i="3"/>
  <c r="L18" i="3" s="1"/>
  <c r="N18" i="3" s="1"/>
  <c r="S18" i="3" s="1"/>
  <c r="J20" i="3"/>
  <c r="L20" i="3" s="1"/>
  <c r="N20" i="3" s="1"/>
  <c r="S25" i="3"/>
  <c r="S26" i="3"/>
  <c r="J34" i="3"/>
  <c r="L34" i="3" s="1"/>
  <c r="N34" i="3" s="1"/>
  <c r="S34" i="3" s="1"/>
  <c r="R20" i="3"/>
  <c r="R21" i="3"/>
  <c r="R16" i="3"/>
  <c r="R18" i="3"/>
  <c r="S19" i="3" s="1"/>
  <c r="R22" i="3"/>
  <c r="R19" i="3"/>
  <c r="R13" i="3"/>
  <c r="R15" i="3"/>
  <c r="R17" i="3"/>
  <c r="R12" i="3"/>
  <c r="R23" i="3"/>
  <c r="R14" i="3"/>
  <c r="J27" i="3"/>
  <c r="L27" i="3" s="1"/>
  <c r="N27" i="3" s="1"/>
  <c r="S27" i="3" s="1"/>
  <c r="R24" i="3"/>
  <c r="R31" i="3"/>
  <c r="J28" i="3"/>
  <c r="L28" i="3" s="1"/>
  <c r="N28" i="3" s="1"/>
  <c r="J35" i="3"/>
  <c r="L35" i="3" s="1"/>
  <c r="N35" i="3" s="1"/>
  <c r="S35" i="3" s="1"/>
  <c r="R27" i="3"/>
  <c r="J31" i="3"/>
  <c r="L31" i="3" s="1"/>
  <c r="N31" i="3" s="1"/>
  <c r="J32" i="3"/>
  <c r="L32" i="3" s="1"/>
  <c r="N32" i="3" s="1"/>
  <c r="S32" i="3" s="1"/>
  <c r="R29" i="3"/>
  <c r="S30" i="3" s="1"/>
  <c r="R30" i="3"/>
  <c r="J13" i="3"/>
  <c r="L13" i="3" s="1"/>
  <c r="N13" i="3" s="1"/>
  <c r="S13" i="3" s="1"/>
  <c r="J14" i="3"/>
  <c r="L14" i="3" s="1"/>
  <c r="N14" i="3" s="1"/>
  <c r="J21" i="3"/>
  <c r="L21" i="3" s="1"/>
  <c r="N21" i="3" s="1"/>
  <c r="S21" i="3" s="1"/>
  <c r="I17" i="3"/>
  <c r="J17" i="3" s="1"/>
  <c r="L17" i="3" s="1"/>
  <c r="N17" i="3" s="1"/>
  <c r="S17" i="3" s="1"/>
  <c r="I15" i="3"/>
  <c r="I24" i="3"/>
  <c r="J24" i="3" s="1"/>
  <c r="L24" i="3" s="1"/>
  <c r="N24" i="3" s="1"/>
  <c r="S24" i="3" s="1"/>
  <c r="I22" i="3"/>
  <c r="J22" i="3" s="1"/>
  <c r="L22" i="3" s="1"/>
  <c r="N22" i="3" s="1"/>
  <c r="S22" i="3" s="1"/>
  <c r="I27" i="3"/>
  <c r="I18" i="3"/>
  <c r="I16" i="3"/>
  <c r="I13" i="3"/>
  <c r="I23" i="3"/>
  <c r="J23" i="3" s="1"/>
  <c r="L23" i="3" s="1"/>
  <c r="N23" i="3" s="1"/>
  <c r="S23" i="3" s="1"/>
  <c r="I31" i="3"/>
  <c r="I34" i="3"/>
  <c r="I20" i="3"/>
  <c r="I35" i="3"/>
  <c r="I12" i="3"/>
  <c r="J12" i="3" s="1"/>
  <c r="L12" i="3" s="1"/>
  <c r="N12" i="3" s="1"/>
  <c r="S12" i="3" s="1"/>
  <c r="I33" i="3"/>
  <c r="J33" i="3" s="1"/>
  <c r="L33" i="3" s="1"/>
  <c r="N33" i="3" s="1"/>
  <c r="S33" i="3" s="1"/>
  <c r="R16" i="2"/>
  <c r="R18" i="2"/>
  <c r="R15" i="2"/>
  <c r="R21" i="2"/>
  <c r="R12" i="2"/>
  <c r="R22" i="2"/>
  <c r="R19" i="2"/>
  <c r="R20" i="2"/>
  <c r="R13" i="2"/>
  <c r="R17" i="2"/>
  <c r="R14" i="2"/>
  <c r="R23" i="2"/>
  <c r="S26" i="2"/>
  <c r="J30" i="2"/>
  <c r="L30" i="2" s="1"/>
  <c r="N30" i="2" s="1"/>
  <c r="I21" i="2"/>
  <c r="J21" i="2" s="1"/>
  <c r="L21" i="2" s="1"/>
  <c r="N21" i="2" s="1"/>
  <c r="S21" i="2" s="1"/>
  <c r="J24" i="2"/>
  <c r="L24" i="2" s="1"/>
  <c r="N24" i="2" s="1"/>
  <c r="S24" i="2" s="1"/>
  <c r="R29" i="2"/>
  <c r="J31" i="2"/>
  <c r="L31" i="2" s="1"/>
  <c r="N31" i="2" s="1"/>
  <c r="S31" i="2" s="1"/>
  <c r="J13" i="2"/>
  <c r="L13" i="2" s="1"/>
  <c r="N13" i="2" s="1"/>
  <c r="S13" i="2" s="1"/>
  <c r="I19" i="2"/>
  <c r="J19" i="2" s="1"/>
  <c r="L19" i="2" s="1"/>
  <c r="N19" i="2" s="1"/>
  <c r="S19" i="2" s="1"/>
  <c r="I23" i="2"/>
  <c r="J23" i="2" s="1"/>
  <c r="L23" i="2" s="1"/>
  <c r="N23" i="2" s="1"/>
  <c r="S23" i="2" s="1"/>
  <c r="R24" i="2"/>
  <c r="R30" i="2"/>
  <c r="I31" i="2"/>
  <c r="J33" i="2"/>
  <c r="L33" i="2" s="1"/>
  <c r="N33" i="2" s="1"/>
  <c r="I30" i="2"/>
  <c r="R25" i="2"/>
  <c r="R31" i="2"/>
  <c r="J34" i="2"/>
  <c r="L34" i="2" s="1"/>
  <c r="N34" i="2" s="1"/>
  <c r="S34" i="2" s="1"/>
  <c r="J15" i="2"/>
  <c r="L15" i="2" s="1"/>
  <c r="N15" i="2" s="1"/>
  <c r="S15" i="2" s="1"/>
  <c r="J29" i="2"/>
  <c r="L29" i="2" s="1"/>
  <c r="N29" i="2" s="1"/>
  <c r="I28" i="2"/>
  <c r="J28" i="2" s="1"/>
  <c r="L28" i="2" s="1"/>
  <c r="N28" i="2" s="1"/>
  <c r="S28" i="2" s="1"/>
  <c r="I17" i="2"/>
  <c r="J17" i="2" s="1"/>
  <c r="L17" i="2" s="1"/>
  <c r="N17" i="2" s="1"/>
  <c r="S17" i="2" s="1"/>
  <c r="I27" i="2"/>
  <c r="J27" i="2" s="1"/>
  <c r="L27" i="2" s="1"/>
  <c r="N27" i="2" s="1"/>
  <c r="S27" i="2" s="1"/>
  <c r="R28" i="2"/>
  <c r="I25" i="2"/>
  <c r="J25" i="2" s="1"/>
  <c r="L25" i="2" s="1"/>
  <c r="N25" i="2" s="1"/>
  <c r="S25" i="2" s="1"/>
  <c r="R26" i="2"/>
  <c r="R32" i="2"/>
  <c r="J22" i="2"/>
  <c r="L22" i="2" s="1"/>
  <c r="N22" i="2" s="1"/>
  <c r="S22" i="2" s="1"/>
  <c r="I33" i="2"/>
  <c r="I24" i="2"/>
  <c r="I13" i="2"/>
  <c r="I29" i="2"/>
  <c r="I14" i="2"/>
  <c r="J14" i="2" s="1"/>
  <c r="L14" i="2" s="1"/>
  <c r="N14" i="2" s="1"/>
  <c r="S14" i="2" s="1"/>
  <c r="I35" i="2"/>
  <c r="J35" i="2" s="1"/>
  <c r="L35" i="2" s="1"/>
  <c r="N35" i="2" s="1"/>
  <c r="S35" i="2" s="1"/>
  <c r="I15" i="2"/>
  <c r="I22" i="2"/>
  <c r="I20" i="2"/>
  <c r="J20" i="2" s="1"/>
  <c r="L20" i="2" s="1"/>
  <c r="N20" i="2" s="1"/>
  <c r="S20" i="2" s="1"/>
  <c r="I32" i="2"/>
  <c r="J32" i="2" s="1"/>
  <c r="L32" i="2" s="1"/>
  <c r="N32" i="2" s="1"/>
  <c r="S32" i="2" s="1"/>
  <c r="I18" i="2"/>
  <c r="J18" i="2" s="1"/>
  <c r="L18" i="2" s="1"/>
  <c r="N18" i="2" s="1"/>
  <c r="S18" i="2" s="1"/>
  <c r="I16" i="2"/>
  <c r="J16" i="2" s="1"/>
  <c r="L16" i="2" s="1"/>
  <c r="N16" i="2" s="1"/>
  <c r="S16" i="2" s="1"/>
  <c r="F23" i="1"/>
  <c r="F27" i="1" s="1"/>
  <c r="S14" i="3" l="1"/>
  <c r="S31" i="3"/>
  <c r="S20" i="3"/>
  <c r="S28" i="3"/>
  <c r="S29" i="2"/>
  <c r="S30" i="2"/>
  <c r="S33" i="2"/>
  <c r="F38" i="1" l="1"/>
  <c r="F37" i="1"/>
  <c r="F36" i="1"/>
  <c r="F26" i="1"/>
  <c r="F25" i="1"/>
  <c r="F28" i="1" l="1"/>
  <c r="F29" i="1" s="1"/>
  <c r="F39" i="1"/>
  <c r="F40" i="1" s="1"/>
  <c r="F41" i="1" l="1"/>
  <c r="F30" i="1"/>
  <c r="F43" i="1" l="1"/>
</calcChain>
</file>

<file path=xl/sharedStrings.xml><?xml version="1.0" encoding="utf-8"?>
<sst xmlns="http://schemas.openxmlformats.org/spreadsheetml/2006/main" count="205" uniqueCount="86">
  <si>
    <t>Actual Average Residential Monthly Bill</t>
  </si>
  <si>
    <t>Residential Rate:</t>
  </si>
  <si>
    <t>Energy Charge:</t>
  </si>
  <si>
    <t>Environmental Surcharge (Nov. 2025):</t>
  </si>
  <si>
    <t>Fuel Adjustment Clause:</t>
  </si>
  <si>
    <t>County Tax:</t>
  </si>
  <si>
    <t>Actual Average Residential Monthly Bill with Recovery</t>
  </si>
  <si>
    <t>Average Monthly Residential kWh (Nov. 2025):</t>
  </si>
  <si>
    <t>Dollar Impact</t>
  </si>
  <si>
    <t>Licking Valley Residential Monthly Bill Impact</t>
  </si>
  <si>
    <t>Average Residential Usage Dec. 2024 through Nov. 2025</t>
  </si>
  <si>
    <t>kWh</t>
  </si>
  <si>
    <t>Total</t>
  </si>
  <si>
    <t>Average</t>
  </si>
  <si>
    <t>(1)</t>
  </si>
  <si>
    <t>(2)</t>
  </si>
  <si>
    <t>(3)</t>
  </si>
  <si>
    <t>(4)</t>
  </si>
  <si>
    <t>(5)</t>
  </si>
  <si>
    <t>(6)</t>
  </si>
  <si>
    <t>(7)</t>
  </si>
  <si>
    <t>(8a)</t>
  </si>
  <si>
    <t>(8b)</t>
  </si>
  <si>
    <t>(8c)</t>
  </si>
  <si>
    <t>(9)*</t>
  </si>
  <si>
    <t>(10)</t>
  </si>
  <si>
    <t>(11)</t>
  </si>
  <si>
    <t>(12)</t>
  </si>
  <si>
    <t>(13)</t>
  </si>
  <si>
    <t>(14)</t>
  </si>
  <si>
    <t>(15)</t>
  </si>
  <si>
    <t xml:space="preserve">EKPC </t>
  </si>
  <si>
    <t>On-peak</t>
  </si>
  <si>
    <t>EKPC Net</t>
  </si>
  <si>
    <t>EKPC 12-months</t>
  </si>
  <si>
    <t>Licking Valley</t>
  </si>
  <si>
    <t>Rates G</t>
  </si>
  <si>
    <t>Licking</t>
  </si>
  <si>
    <t>Amortization</t>
  </si>
  <si>
    <t>On-Peak</t>
  </si>
  <si>
    <t>12-months</t>
  </si>
  <si>
    <t>Monthly</t>
  </si>
  <si>
    <t>Revenue</t>
  </si>
  <si>
    <t>Ended Average</t>
  </si>
  <si>
    <t xml:space="preserve">Revenue </t>
  </si>
  <si>
    <t>Surcharge</t>
  </si>
  <si>
    <t>Valley</t>
  </si>
  <si>
    <t>of</t>
  </si>
  <si>
    <t>Net Revenue</t>
  </si>
  <si>
    <t>Retail</t>
  </si>
  <si>
    <t>Net Monthly</t>
  </si>
  <si>
    <t>ended</t>
  </si>
  <si>
    <t>Pass</t>
  </si>
  <si>
    <t>Revenues from</t>
  </si>
  <si>
    <t>Adjustment</t>
  </si>
  <si>
    <t xml:space="preserve">Sales </t>
  </si>
  <si>
    <t>Monthly Revenue</t>
  </si>
  <si>
    <t>Requirement</t>
  </si>
  <si>
    <t>Revenues</t>
  </si>
  <si>
    <t>(Over)/Under</t>
  </si>
  <si>
    <t xml:space="preserve">Monthly Retail </t>
  </si>
  <si>
    <t xml:space="preserve">Retail </t>
  </si>
  <si>
    <t>Avg. Retail</t>
  </si>
  <si>
    <t>Through</t>
  </si>
  <si>
    <t>Factor</t>
  </si>
  <si>
    <t xml:space="preserve">Sales to </t>
  </si>
  <si>
    <t xml:space="preserve">to </t>
  </si>
  <si>
    <t>from Sales to</t>
  </si>
  <si>
    <t>Recovery</t>
  </si>
  <si>
    <t>Revenues,</t>
  </si>
  <si>
    <t>Mechanism</t>
  </si>
  <si>
    <t>Expense</t>
  </si>
  <si>
    <t>EKPC</t>
  </si>
  <si>
    <t>Net of Rate G</t>
  </si>
  <si>
    <t xml:space="preserve">Net </t>
  </si>
  <si>
    <t>Month</t>
  </si>
  <si>
    <t>CESF %</t>
  </si>
  <si>
    <t>BESF %</t>
  </si>
  <si>
    <t>MESF %</t>
  </si>
  <si>
    <t>Col. (1) - Col. (2)</t>
  </si>
  <si>
    <t>Col. (4) - Col. (5)</t>
  </si>
  <si>
    <t>Col (3) x Col (7)</t>
  </si>
  <si>
    <t>Col (8a) - (8b)</t>
  </si>
  <si>
    <t>Col (8) + Col (9)</t>
  </si>
  <si>
    <t>Col. (11) - Col. (12)</t>
  </si>
  <si>
    <t>Col (10) / Col (14)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</si>
</sst>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&quot;$&quot;#,##0.00000_);[Red]\(&quot;$&quot;#,##0.00000\)"/>
    <numFmt numFmtId="167" formatCode="&quot;$&quot;#,##0.000000_);[Red]\(&quot;$&quot;#,##0.000000\)"/>
    <numFmt numFmtId="171" formatCode="_(* #,##0_);_(* \(#,##0\);_(* &quot;-&quot;??_);_(@_)"/>
    <numFmt numFmtId="177" formatCode="[$-409]mmm\-yy;@"/>
    <numFmt numFmtId="179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8" fontId="0" fillId="0" borderId="0" xfId="0" applyNumberFormat="1"/>
    <xf numFmtId="166" fontId="0" fillId="0" borderId="0" xfId="0" applyNumberFormat="1"/>
    <xf numFmtId="167" fontId="0" fillId="0" borderId="0" xfId="0" applyNumberFormat="1"/>
    <xf numFmtId="10" fontId="0" fillId="0" borderId="0" xfId="0" applyNumberFormat="1"/>
    <xf numFmtId="44" fontId="0" fillId="0" borderId="0" xfId="2" applyFont="1"/>
    <xf numFmtId="44" fontId="0" fillId="0" borderId="0" xfId="0" applyNumberFormat="1"/>
    <xf numFmtId="171" fontId="0" fillId="0" borderId="0" xfId="1" applyNumberFormat="1" applyFont="1"/>
    <xf numFmtId="8" fontId="0" fillId="0" borderId="1" xfId="0" applyNumberFormat="1" applyBorder="1"/>
    <xf numFmtId="177" fontId="3" fillId="0" borderId="0" xfId="0" applyNumberFormat="1" applyFont="1"/>
    <xf numFmtId="17" fontId="0" fillId="0" borderId="0" xfId="0" applyNumberFormat="1"/>
    <xf numFmtId="0" fontId="0" fillId="0" borderId="0" xfId="0" applyAlignment="1">
      <alignment horizontal="right"/>
    </xf>
    <xf numFmtId="171" fontId="3" fillId="0" borderId="0" xfId="1" applyNumberFormat="1" applyFont="1"/>
    <xf numFmtId="0" fontId="2" fillId="0" borderId="0" xfId="0" applyFont="1"/>
    <xf numFmtId="0" fontId="5" fillId="0" borderId="2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10" xfId="0" quotePrefix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79" fontId="0" fillId="0" borderId="0" xfId="2" applyNumberFormat="1" applyFont="1"/>
    <xf numFmtId="10" fontId="0" fillId="0" borderId="0" xfId="3" applyNumberFormat="1" applyFont="1"/>
    <xf numFmtId="179" fontId="6" fillId="0" borderId="0" xfId="0" applyNumberFormat="1" applyFont="1"/>
    <xf numFmtId="10" fontId="6" fillId="0" borderId="0" xfId="3" applyNumberFormat="1" applyFont="1" applyFill="1"/>
    <xf numFmtId="179" fontId="6" fillId="0" borderId="0" xfId="2" applyNumberFormat="1" applyFont="1" applyFill="1" applyAlignment="1"/>
    <xf numFmtId="179" fontId="6" fillId="0" borderId="0" xfId="2" applyNumberFormat="1" applyFont="1" applyFill="1"/>
    <xf numFmtId="179" fontId="0" fillId="0" borderId="0" xfId="2" applyNumberFormat="1" applyFont="1" applyFill="1"/>
    <xf numFmtId="10" fontId="6" fillId="0" borderId="0" xfId="3" applyNumberFormat="1" applyFont="1" applyFill="1" applyAlignment="1"/>
    <xf numFmtId="0" fontId="6" fillId="0" borderId="0" xfId="0" applyFont="1"/>
    <xf numFmtId="42" fontId="6" fillId="0" borderId="0" xfId="1" applyNumberFormat="1" applyFont="1" applyFill="1" applyAlignment="1">
      <alignment horizontal="center"/>
    </xf>
    <xf numFmtId="42" fontId="6" fillId="0" borderId="0" xfId="1" applyNumberFormat="1" applyFont="1" applyFill="1"/>
    <xf numFmtId="179" fontId="4" fillId="0" borderId="0" xfId="2" applyNumberFormat="1" applyFont="1" applyFill="1"/>
    <xf numFmtId="10" fontId="0" fillId="0" borderId="0" xfId="3" applyNumberFormat="1" applyFont="1" applyFill="1"/>
    <xf numFmtId="0" fontId="5" fillId="2" borderId="0" xfId="0" applyFont="1" applyFill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79" fontId="5" fillId="0" borderId="8" xfId="2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179" fontId="6" fillId="3" borderId="0" xfId="2" applyNumberFormat="1" applyFont="1" applyFill="1"/>
    <xf numFmtId="10" fontId="6" fillId="3" borderId="0" xfId="3" applyNumberFormat="1" applyFont="1" applyFill="1"/>
    <xf numFmtId="10" fontId="6" fillId="3" borderId="0" xfId="3" applyNumberFormat="1" applyFont="1" applyFill="1" applyAlignment="1"/>
    <xf numFmtId="179" fontId="6" fillId="3" borderId="0" xfId="2" applyNumberFormat="1" applyFont="1" applyFill="1" applyAlignment="1"/>
    <xf numFmtId="0" fontId="6" fillId="3" borderId="0" xfId="0" applyFont="1" applyFill="1"/>
    <xf numFmtId="42" fontId="6" fillId="3" borderId="0" xfId="1" applyNumberFormat="1" applyFont="1" applyFill="1" applyAlignment="1">
      <alignment horizontal="center"/>
    </xf>
    <xf numFmtId="42" fontId="6" fillId="3" borderId="0" xfId="1" applyNumberFormat="1" applyFont="1" applyFill="1"/>
    <xf numFmtId="0" fontId="0" fillId="3" borderId="0" xfId="0" applyFill="1"/>
    <xf numFmtId="179" fontId="0" fillId="3" borderId="0" xfId="2" applyNumberFormat="1" applyFont="1" applyFill="1"/>
    <xf numFmtId="10" fontId="0" fillId="3" borderId="0" xfId="3" applyNumberFormat="1" applyFont="1" applyFill="1"/>
    <xf numFmtId="171" fontId="0" fillId="0" borderId="0" xfId="1" applyNumberFormat="1" applyFont="1" applyFill="1"/>
    <xf numFmtId="171" fontId="0" fillId="0" borderId="1" xfId="1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FB02B-E686-4E9D-A2B9-8A2BF2239735}">
  <dimension ref="A1:H43"/>
  <sheetViews>
    <sheetView tabSelected="1" workbookViewId="0">
      <selection activeCell="E9" sqref="E9"/>
    </sheetView>
  </sheetViews>
  <sheetFormatPr defaultRowHeight="14.4" x14ac:dyDescent="0.3"/>
  <cols>
    <col min="2" max="2" width="9.33203125" bestFit="1" customWidth="1"/>
    <col min="5" max="5" width="10.109375" bestFit="1" customWidth="1"/>
    <col min="6" max="6" width="9.33203125" bestFit="1" customWidth="1"/>
  </cols>
  <sheetData>
    <row r="1" spans="1:8" x14ac:dyDescent="0.3">
      <c r="A1" t="s">
        <v>9</v>
      </c>
    </row>
    <row r="3" spans="1:8" x14ac:dyDescent="0.3">
      <c r="A3" t="s">
        <v>10</v>
      </c>
    </row>
    <row r="5" spans="1:8" x14ac:dyDescent="0.3">
      <c r="B5" t="s">
        <v>11</v>
      </c>
    </row>
    <row r="6" spans="1:8" x14ac:dyDescent="0.3">
      <c r="A6" s="9">
        <v>45650</v>
      </c>
      <c r="B6" s="12">
        <v>1335</v>
      </c>
      <c r="G6" s="5"/>
    </row>
    <row r="7" spans="1:8" x14ac:dyDescent="0.3">
      <c r="A7" s="9">
        <v>45682</v>
      </c>
      <c r="B7" s="12">
        <v>1481</v>
      </c>
      <c r="G7" s="5"/>
      <c r="H7" s="6"/>
    </row>
    <row r="8" spans="1:8" x14ac:dyDescent="0.3">
      <c r="A8" s="9">
        <v>45713</v>
      </c>
      <c r="B8" s="12">
        <v>1190</v>
      </c>
      <c r="G8" s="5"/>
    </row>
    <row r="9" spans="1:8" x14ac:dyDescent="0.3">
      <c r="A9" s="9">
        <v>45741</v>
      </c>
      <c r="B9" s="12">
        <v>806</v>
      </c>
      <c r="G9" s="5"/>
    </row>
    <row r="10" spans="1:8" x14ac:dyDescent="0.3">
      <c r="A10" s="9">
        <v>45772</v>
      </c>
      <c r="B10" s="12">
        <v>657</v>
      </c>
      <c r="G10" s="5"/>
    </row>
    <row r="11" spans="1:8" x14ac:dyDescent="0.3">
      <c r="A11" s="9">
        <v>45802</v>
      </c>
      <c r="B11" s="12">
        <v>689</v>
      </c>
    </row>
    <row r="12" spans="1:8" x14ac:dyDescent="0.3">
      <c r="A12" s="10">
        <v>45809</v>
      </c>
      <c r="B12" s="65">
        <v>1000</v>
      </c>
    </row>
    <row r="13" spans="1:8" x14ac:dyDescent="0.3">
      <c r="A13" s="10">
        <v>45839</v>
      </c>
      <c r="B13" s="65">
        <v>1039</v>
      </c>
    </row>
    <row r="14" spans="1:8" x14ac:dyDescent="0.3">
      <c r="A14" s="10">
        <v>45870</v>
      </c>
      <c r="B14" s="65">
        <v>805</v>
      </c>
    </row>
    <row r="15" spans="1:8" x14ac:dyDescent="0.3">
      <c r="A15" s="10">
        <v>45901</v>
      </c>
      <c r="B15" s="65">
        <v>671</v>
      </c>
    </row>
    <row r="16" spans="1:8" x14ac:dyDescent="0.3">
      <c r="A16" s="10">
        <v>45931</v>
      </c>
      <c r="B16" s="65">
        <v>832</v>
      </c>
    </row>
    <row r="17" spans="1:6" ht="15" thickBot="1" x14ac:dyDescent="0.35">
      <c r="A17" s="10">
        <v>45962</v>
      </c>
      <c r="B17" s="66">
        <v>1119</v>
      </c>
    </row>
    <row r="18" spans="1:6" ht="15" thickTop="1" x14ac:dyDescent="0.3">
      <c r="A18" s="11" t="s">
        <v>13</v>
      </c>
      <c r="B18" s="7">
        <f>AVERAGE(B6:B17)</f>
        <v>968.66666666666663</v>
      </c>
    </row>
    <row r="21" spans="1:6" x14ac:dyDescent="0.3">
      <c r="A21" t="s">
        <v>0</v>
      </c>
    </row>
    <row r="23" spans="1:6" x14ac:dyDescent="0.3">
      <c r="A23" t="s">
        <v>7</v>
      </c>
      <c r="F23" s="7">
        <f>B18</f>
        <v>968.66666666666663</v>
      </c>
    </row>
    <row r="25" spans="1:6" x14ac:dyDescent="0.3">
      <c r="A25" t="s">
        <v>1</v>
      </c>
      <c r="E25" s="1">
        <v>27.5</v>
      </c>
      <c r="F25" s="1">
        <f>E25</f>
        <v>27.5</v>
      </c>
    </row>
    <row r="26" spans="1:6" x14ac:dyDescent="0.3">
      <c r="A26" t="s">
        <v>2</v>
      </c>
      <c r="E26" s="3">
        <v>0.109666</v>
      </c>
      <c r="F26" s="1">
        <f>E26*F23</f>
        <v>106.22979866666667</v>
      </c>
    </row>
    <row r="27" spans="1:6" x14ac:dyDescent="0.3">
      <c r="A27" t="s">
        <v>4</v>
      </c>
      <c r="E27" s="2">
        <v>-1.5089999999999999E-2</v>
      </c>
      <c r="F27" s="1">
        <f>E27*F23</f>
        <v>-14.617179999999999</v>
      </c>
    </row>
    <row r="28" spans="1:6" x14ac:dyDescent="0.3">
      <c r="A28" t="s">
        <v>3</v>
      </c>
      <c r="E28" s="4">
        <v>0.1246</v>
      </c>
      <c r="F28" s="1">
        <f>SUM(F25:F27)*E28</f>
        <v>14.841432285866668</v>
      </c>
    </row>
    <row r="29" spans="1:6" ht="15" thickBot="1" x14ac:dyDescent="0.35">
      <c r="A29" t="s">
        <v>5</v>
      </c>
      <c r="E29" s="4">
        <v>0.03</v>
      </c>
      <c r="F29" s="8">
        <f>SUM(F25:F28)*E29</f>
        <v>4.0186215285760003</v>
      </c>
    </row>
    <row r="30" spans="1:6" ht="15" thickTop="1" x14ac:dyDescent="0.3">
      <c r="F30" s="1">
        <f>SUM(F25:F29)</f>
        <v>137.97267248110936</v>
      </c>
    </row>
    <row r="32" spans="1:6" x14ac:dyDescent="0.3">
      <c r="A32" t="s">
        <v>6</v>
      </c>
    </row>
    <row r="34" spans="1:6" x14ac:dyDescent="0.3">
      <c r="A34" t="s">
        <v>7</v>
      </c>
      <c r="F34" s="7">
        <f>B18</f>
        <v>968.66666666666663</v>
      </c>
    </row>
    <row r="36" spans="1:6" x14ac:dyDescent="0.3">
      <c r="A36" t="s">
        <v>1</v>
      </c>
      <c r="E36" s="1">
        <v>27.5</v>
      </c>
      <c r="F36" s="1">
        <f>E36</f>
        <v>27.5</v>
      </c>
    </row>
    <row r="37" spans="1:6" x14ac:dyDescent="0.3">
      <c r="A37" t="s">
        <v>2</v>
      </c>
      <c r="E37" s="3">
        <v>0.109666</v>
      </c>
      <c r="F37" s="1">
        <f>E37*F34</f>
        <v>106.22979866666667</v>
      </c>
    </row>
    <row r="38" spans="1:6" x14ac:dyDescent="0.3">
      <c r="A38" t="s">
        <v>4</v>
      </c>
      <c r="E38" s="2">
        <v>-1.5089999999999999E-2</v>
      </c>
      <c r="F38" s="1">
        <f>E38*F34</f>
        <v>-14.617179999999999</v>
      </c>
    </row>
    <row r="39" spans="1:6" x14ac:dyDescent="0.3">
      <c r="A39" t="s">
        <v>3</v>
      </c>
      <c r="E39" s="4">
        <v>0.1037</v>
      </c>
      <c r="F39" s="1">
        <f>SUM(F36:F38)*E39</f>
        <v>12.351978555733334</v>
      </c>
    </row>
    <row r="40" spans="1:6" ht="15" thickBot="1" x14ac:dyDescent="0.35">
      <c r="A40" t="s">
        <v>5</v>
      </c>
      <c r="E40" s="4">
        <v>0.03</v>
      </c>
      <c r="F40" s="8">
        <f>SUM(F36:F39)*E40</f>
        <v>3.9439379166720006</v>
      </c>
    </row>
    <row r="41" spans="1:6" ht="15" thickTop="1" x14ac:dyDescent="0.3">
      <c r="F41" s="1">
        <f>SUM(F36:F40)</f>
        <v>135.40853513907203</v>
      </c>
    </row>
    <row r="43" spans="1:6" x14ac:dyDescent="0.3">
      <c r="A43" s="13" t="s">
        <v>8</v>
      </c>
      <c r="F43" s="1">
        <f>F41-F30</f>
        <v>-2.564137342037327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B435-DA17-43C7-92D0-E2F4578B9CEC}">
  <dimension ref="B3:S35"/>
  <sheetViews>
    <sheetView workbookViewId="0">
      <selection activeCell="F46" sqref="F46"/>
    </sheetView>
  </sheetViews>
  <sheetFormatPr defaultRowHeight="14.4" x14ac:dyDescent="0.3"/>
  <cols>
    <col min="6" max="6" width="13.21875" bestFit="1" customWidth="1"/>
    <col min="7" max="7" width="10.109375" bestFit="1" customWidth="1"/>
    <col min="8" max="8" width="12.21875" bestFit="1" customWidth="1"/>
    <col min="9" max="9" width="14.44140625" bestFit="1" customWidth="1"/>
    <col min="10" max="10" width="11.5546875" bestFit="1" customWidth="1"/>
    <col min="11" max="11" width="9.5546875" bestFit="1" customWidth="1"/>
    <col min="12" max="12" width="11.88671875" bestFit="1" customWidth="1"/>
    <col min="13" max="13" width="10.6640625" bestFit="1" customWidth="1"/>
    <col min="14" max="14" width="12.21875" bestFit="1" customWidth="1"/>
    <col min="15" max="15" width="11.88671875" bestFit="1" customWidth="1"/>
    <col min="16" max="16" width="9.5546875" bestFit="1" customWidth="1"/>
    <col min="17" max="17" width="13.88671875" bestFit="1" customWidth="1"/>
    <col min="18" max="18" width="11.21875" bestFit="1" customWidth="1"/>
    <col min="19" max="19" width="12.88671875" bestFit="1" customWidth="1"/>
  </cols>
  <sheetData>
    <row r="3" spans="2:19" x14ac:dyDescent="0.3">
      <c r="B3" s="49"/>
      <c r="C3" s="14" t="s">
        <v>14</v>
      </c>
      <c r="D3" s="15" t="s">
        <v>15</v>
      </c>
      <c r="E3" s="16" t="s">
        <v>16</v>
      </c>
      <c r="F3" s="15" t="s">
        <v>17</v>
      </c>
      <c r="G3" s="15" t="s">
        <v>18</v>
      </c>
      <c r="H3" s="15" t="s">
        <v>19</v>
      </c>
      <c r="I3" s="15" t="s">
        <v>20</v>
      </c>
      <c r="J3" s="15" t="s">
        <v>21</v>
      </c>
      <c r="K3" s="15" t="s">
        <v>22</v>
      </c>
      <c r="L3" s="15" t="s">
        <v>23</v>
      </c>
      <c r="M3" s="15" t="s">
        <v>24</v>
      </c>
      <c r="N3" s="17" t="s">
        <v>25</v>
      </c>
      <c r="O3" s="15" t="s">
        <v>26</v>
      </c>
      <c r="P3" s="15" t="s">
        <v>27</v>
      </c>
      <c r="Q3" s="15" t="s">
        <v>28</v>
      </c>
      <c r="R3" s="15" t="s">
        <v>29</v>
      </c>
      <c r="S3" s="15" t="s">
        <v>30</v>
      </c>
    </row>
    <row r="4" spans="2:19" x14ac:dyDescent="0.3">
      <c r="B4" s="18"/>
      <c r="C4" s="19"/>
      <c r="D4" s="18"/>
      <c r="E4" s="18"/>
      <c r="F4" s="20" t="s">
        <v>31</v>
      </c>
      <c r="G4" s="50" t="s">
        <v>32</v>
      </c>
      <c r="H4" s="51" t="s">
        <v>33</v>
      </c>
      <c r="I4" s="18" t="s">
        <v>34</v>
      </c>
      <c r="J4" s="18" t="s">
        <v>35</v>
      </c>
      <c r="K4" s="20" t="s">
        <v>36</v>
      </c>
      <c r="L4" s="20" t="s">
        <v>37</v>
      </c>
      <c r="M4" s="21" t="s">
        <v>38</v>
      </c>
      <c r="N4" s="51" t="s">
        <v>35</v>
      </c>
      <c r="O4" s="18" t="s">
        <v>35</v>
      </c>
      <c r="P4" s="22" t="s">
        <v>39</v>
      </c>
      <c r="Q4" s="21" t="s">
        <v>35</v>
      </c>
      <c r="R4" s="18" t="s">
        <v>40</v>
      </c>
      <c r="S4" s="18" t="s">
        <v>35</v>
      </c>
    </row>
    <row r="5" spans="2:19" x14ac:dyDescent="0.3">
      <c r="B5" s="22"/>
      <c r="C5" s="23"/>
      <c r="D5" s="22"/>
      <c r="E5" s="22"/>
      <c r="F5" s="24" t="s">
        <v>41</v>
      </c>
      <c r="G5" s="50" t="s">
        <v>42</v>
      </c>
      <c r="H5" s="50" t="s">
        <v>41</v>
      </c>
      <c r="I5" s="22" t="s">
        <v>43</v>
      </c>
      <c r="J5" s="22" t="s">
        <v>44</v>
      </c>
      <c r="K5" s="24" t="s">
        <v>45</v>
      </c>
      <c r="L5" s="24" t="s">
        <v>46</v>
      </c>
      <c r="M5" s="25" t="s">
        <v>47</v>
      </c>
      <c r="N5" s="22" t="s">
        <v>48</v>
      </c>
      <c r="O5" s="22" t="s">
        <v>12</v>
      </c>
      <c r="P5" s="22" t="s">
        <v>49</v>
      </c>
      <c r="Q5" s="25" t="s">
        <v>50</v>
      </c>
      <c r="R5" s="52" t="s">
        <v>51</v>
      </c>
      <c r="S5" s="22" t="s">
        <v>52</v>
      </c>
    </row>
    <row r="6" spans="2:19" x14ac:dyDescent="0.3">
      <c r="B6" s="22" t="s">
        <v>45</v>
      </c>
      <c r="C6" s="23"/>
      <c r="D6" s="22"/>
      <c r="E6" s="22"/>
      <c r="F6" s="24" t="s">
        <v>53</v>
      </c>
      <c r="G6" s="50" t="s">
        <v>54</v>
      </c>
      <c r="H6" s="50" t="s">
        <v>55</v>
      </c>
      <c r="I6" s="22" t="s">
        <v>56</v>
      </c>
      <c r="J6" s="22" t="s">
        <v>57</v>
      </c>
      <c r="K6" s="24" t="s">
        <v>58</v>
      </c>
      <c r="L6" s="24" t="s">
        <v>42</v>
      </c>
      <c r="M6" s="25" t="s">
        <v>59</v>
      </c>
      <c r="N6" s="22" t="s">
        <v>42</v>
      </c>
      <c r="O6" s="22" t="s">
        <v>60</v>
      </c>
      <c r="P6" s="22" t="s">
        <v>42</v>
      </c>
      <c r="Q6" s="25" t="s">
        <v>61</v>
      </c>
      <c r="R6" s="52" t="s">
        <v>62</v>
      </c>
      <c r="S6" s="22" t="s">
        <v>63</v>
      </c>
    </row>
    <row r="7" spans="2:19" x14ac:dyDescent="0.3">
      <c r="B7" s="22" t="s">
        <v>64</v>
      </c>
      <c r="C7" s="23"/>
      <c r="D7" s="22"/>
      <c r="E7" s="22"/>
      <c r="F7" s="24" t="s">
        <v>65</v>
      </c>
      <c r="G7" s="50"/>
      <c r="H7" s="50" t="s">
        <v>66</v>
      </c>
      <c r="I7" s="22" t="s">
        <v>67</v>
      </c>
      <c r="J7" s="22"/>
      <c r="K7" s="24"/>
      <c r="L7" s="24" t="s">
        <v>57</v>
      </c>
      <c r="M7" s="25" t="s">
        <v>68</v>
      </c>
      <c r="N7" s="22" t="s">
        <v>57</v>
      </c>
      <c r="O7" s="22" t="s">
        <v>58</v>
      </c>
      <c r="P7" s="22" t="s">
        <v>54</v>
      </c>
      <c r="Q7" s="25" t="s">
        <v>58</v>
      </c>
      <c r="R7" s="22" t="s">
        <v>69</v>
      </c>
      <c r="S7" s="22" t="s">
        <v>70</v>
      </c>
    </row>
    <row r="8" spans="2:19" x14ac:dyDescent="0.3">
      <c r="B8" s="22" t="s">
        <v>71</v>
      </c>
      <c r="C8" s="53" t="s">
        <v>72</v>
      </c>
      <c r="D8" s="50" t="s">
        <v>72</v>
      </c>
      <c r="E8" s="50" t="s">
        <v>72</v>
      </c>
      <c r="F8" s="24" t="s">
        <v>35</v>
      </c>
      <c r="G8" s="50"/>
      <c r="H8" s="50" t="s">
        <v>35</v>
      </c>
      <c r="I8" s="22" t="s">
        <v>35</v>
      </c>
      <c r="J8" s="22"/>
      <c r="K8" s="24"/>
      <c r="L8" s="24" t="s">
        <v>73</v>
      </c>
      <c r="M8" s="25"/>
      <c r="N8" s="22"/>
      <c r="O8" s="26"/>
      <c r="P8" s="26"/>
      <c r="Q8" s="25"/>
      <c r="R8" s="22" t="s">
        <v>74</v>
      </c>
      <c r="S8" s="22" t="s">
        <v>64</v>
      </c>
    </row>
    <row r="9" spans="2:19" x14ac:dyDescent="0.3">
      <c r="B9" s="27" t="s">
        <v>75</v>
      </c>
      <c r="C9" s="28" t="s">
        <v>76</v>
      </c>
      <c r="D9" s="27" t="s">
        <v>77</v>
      </c>
      <c r="E9" s="27" t="s">
        <v>78</v>
      </c>
      <c r="F9" s="29"/>
      <c r="G9" s="27"/>
      <c r="H9" s="27"/>
      <c r="I9" s="27"/>
      <c r="J9" s="27"/>
      <c r="K9" s="30"/>
      <c r="L9" s="30"/>
      <c r="M9" s="31"/>
      <c r="N9" s="27"/>
      <c r="O9" s="32"/>
      <c r="P9" s="32"/>
      <c r="Q9" s="31"/>
      <c r="R9" s="27"/>
      <c r="S9" s="27"/>
    </row>
    <row r="10" spans="2:19" x14ac:dyDescent="0.3">
      <c r="B10" s="54"/>
      <c r="C10" s="28"/>
      <c r="D10" s="27"/>
      <c r="E10" s="33" t="s">
        <v>79</v>
      </c>
      <c r="F10" s="29"/>
      <c r="G10" s="27"/>
      <c r="H10" s="34" t="s">
        <v>80</v>
      </c>
      <c r="I10" s="27"/>
      <c r="J10" s="34" t="s">
        <v>81</v>
      </c>
      <c r="K10" s="35"/>
      <c r="L10" s="35" t="s">
        <v>82</v>
      </c>
      <c r="M10" s="31"/>
      <c r="N10" s="33" t="s">
        <v>83</v>
      </c>
      <c r="O10" s="32"/>
      <c r="P10" s="32"/>
      <c r="Q10" s="35" t="s">
        <v>84</v>
      </c>
      <c r="R10" s="27"/>
      <c r="S10" s="33" t="s">
        <v>85</v>
      </c>
    </row>
    <row r="12" spans="2:19" x14ac:dyDescent="0.3">
      <c r="B12" s="10">
        <v>45292</v>
      </c>
      <c r="C12" s="39">
        <v>0.1532</v>
      </c>
      <c r="D12" s="39">
        <v>0</v>
      </c>
      <c r="E12" s="43">
        <f t="shared" ref="E12:E35" si="0">C12-D12</f>
        <v>0.1532</v>
      </c>
      <c r="F12" s="40">
        <v>2617184</v>
      </c>
      <c r="G12" s="44"/>
      <c r="H12" s="41">
        <f t="shared" ref="H12:H35" si="1">+F12-G12</f>
        <v>2617184</v>
      </c>
      <c r="I12" s="41">
        <f t="shared" ref="I12:I19" si="2">SUM(H1:H12)/12</f>
        <v>218098.66666666666</v>
      </c>
      <c r="J12" s="41">
        <f t="shared" ref="J12:J35" si="3">+E12*I12</f>
        <v>33412.715733333331</v>
      </c>
      <c r="K12" s="45">
        <v>0</v>
      </c>
      <c r="L12" s="45">
        <f t="shared" ref="L12:L35" si="4">J12-K12</f>
        <v>33412.715733333331</v>
      </c>
      <c r="M12" s="41">
        <v>0</v>
      </c>
      <c r="N12" s="46">
        <f t="shared" ref="N12:N35" si="5">+L12+M12</f>
        <v>33412.715733333331</v>
      </c>
      <c r="O12" s="47">
        <f>3006956.55+61768</f>
        <v>3068724.55</v>
      </c>
      <c r="Q12" s="36">
        <f t="shared" ref="Q12:Q34" si="6">+O12-P12</f>
        <v>3068724.55</v>
      </c>
      <c r="R12" s="36">
        <f t="shared" ref="R12" si="7">SUM(Q1:Q12)/12</f>
        <v>255727.04583333331</v>
      </c>
      <c r="S12" s="37" t="e">
        <f t="shared" ref="S12:S30" si="8">N12/R11</f>
        <v>#DIV/0!</v>
      </c>
    </row>
    <row r="13" spans="2:19" x14ac:dyDescent="0.3">
      <c r="B13" s="10">
        <v>45323</v>
      </c>
      <c r="C13" s="39">
        <v>0.1116</v>
      </c>
      <c r="D13" s="39">
        <v>3.3999999999999998E-3</v>
      </c>
      <c r="E13" s="43">
        <f t="shared" si="0"/>
        <v>0.1082</v>
      </c>
      <c r="F13" s="40">
        <v>2210531</v>
      </c>
      <c r="G13" s="44"/>
      <c r="H13" s="41">
        <f t="shared" si="1"/>
        <v>2210531</v>
      </c>
      <c r="I13" s="41">
        <f t="shared" si="2"/>
        <v>402309.58333333331</v>
      </c>
      <c r="J13" s="41">
        <f t="shared" si="3"/>
        <v>43529.896916666665</v>
      </c>
      <c r="K13" s="45">
        <v>0</v>
      </c>
      <c r="L13" s="45">
        <f t="shared" si="4"/>
        <v>43529.896916666665</v>
      </c>
      <c r="M13" s="41">
        <v>0</v>
      </c>
      <c r="N13" s="46">
        <f t="shared" si="5"/>
        <v>43529.896916666665</v>
      </c>
      <c r="O13" s="47">
        <f>2334811.79+66344</f>
        <v>2401155.79</v>
      </c>
      <c r="Q13" s="36">
        <f t="shared" si="6"/>
        <v>2401155.79</v>
      </c>
      <c r="R13" s="36">
        <f t="shared" ref="R13" si="9">SUM(Q2:Q13)/12</f>
        <v>455823.36166666663</v>
      </c>
      <c r="S13" s="37">
        <f t="shared" si="8"/>
        <v>0.17022015319035397</v>
      </c>
    </row>
    <row r="14" spans="2:19" x14ac:dyDescent="0.3">
      <c r="B14" s="10">
        <v>45352</v>
      </c>
      <c r="C14" s="39">
        <v>0.151</v>
      </c>
      <c r="D14" s="39">
        <v>3.3999999999999998E-3</v>
      </c>
      <c r="E14" s="43">
        <f t="shared" si="0"/>
        <v>0.14760000000000001</v>
      </c>
      <c r="F14" s="40">
        <v>1902770</v>
      </c>
      <c r="G14" s="44"/>
      <c r="H14" s="41">
        <f t="shared" si="1"/>
        <v>1902770</v>
      </c>
      <c r="I14" s="41">
        <f t="shared" si="2"/>
        <v>560873.75</v>
      </c>
      <c r="J14" s="41">
        <f t="shared" si="3"/>
        <v>82784.965500000006</v>
      </c>
      <c r="K14" s="45">
        <v>0</v>
      </c>
      <c r="L14" s="45">
        <f t="shared" si="4"/>
        <v>82784.965500000006</v>
      </c>
      <c r="M14" s="41">
        <v>-10457</v>
      </c>
      <c r="N14" s="46">
        <f t="shared" si="5"/>
        <v>72327.965500000006</v>
      </c>
      <c r="O14" s="47">
        <f>2287132.7+47759</f>
        <v>2334891.7000000002</v>
      </c>
      <c r="Q14" s="42">
        <f t="shared" si="6"/>
        <v>2334891.7000000002</v>
      </c>
      <c r="R14" s="42">
        <f t="shared" ref="R14:R15" si="10">SUM(Q3:Q14)/12</f>
        <v>650397.67000000004</v>
      </c>
      <c r="S14" s="48">
        <f t="shared" si="8"/>
        <v>0.15867542469859588</v>
      </c>
    </row>
    <row r="15" spans="2:19" x14ac:dyDescent="0.3">
      <c r="B15" s="10">
        <v>45383</v>
      </c>
      <c r="C15" s="39">
        <v>0.18140000000000001</v>
      </c>
      <c r="D15" s="39">
        <v>3.3999999999999998E-3</v>
      </c>
      <c r="E15" s="43">
        <f t="shared" si="0"/>
        <v>0.17800000000000002</v>
      </c>
      <c r="F15" s="40">
        <v>1470923</v>
      </c>
      <c r="G15" s="44"/>
      <c r="H15" s="41">
        <f t="shared" si="1"/>
        <v>1470923</v>
      </c>
      <c r="I15" s="41">
        <f t="shared" si="2"/>
        <v>683450.66666666663</v>
      </c>
      <c r="J15" s="41">
        <f t="shared" si="3"/>
        <v>121654.21866666667</v>
      </c>
      <c r="K15" s="45">
        <v>0</v>
      </c>
      <c r="L15" s="45">
        <f t="shared" si="4"/>
        <v>121654.21866666667</v>
      </c>
      <c r="M15" s="41">
        <v>-10457</v>
      </c>
      <c r="N15" s="46">
        <f t="shared" si="5"/>
        <v>111197.21866666667</v>
      </c>
      <c r="O15" s="47">
        <f>1969038.46+54307</f>
        <v>2023345.46</v>
      </c>
      <c r="Q15" s="42">
        <f t="shared" si="6"/>
        <v>2023345.46</v>
      </c>
      <c r="R15" s="42">
        <f t="shared" si="10"/>
        <v>819009.79166666663</v>
      </c>
      <c r="S15" s="48">
        <f t="shared" si="8"/>
        <v>0.17096804585211178</v>
      </c>
    </row>
    <row r="16" spans="2:19" x14ac:dyDescent="0.3">
      <c r="B16" s="10">
        <v>45413</v>
      </c>
      <c r="C16" s="39">
        <v>0.219</v>
      </c>
      <c r="D16" s="39">
        <v>3.3999999999999998E-3</v>
      </c>
      <c r="E16" s="43">
        <f t="shared" si="0"/>
        <v>0.21560000000000001</v>
      </c>
      <c r="F16" s="40">
        <v>1673124</v>
      </c>
      <c r="G16" s="44"/>
      <c r="H16" s="41">
        <f t="shared" si="1"/>
        <v>1673124</v>
      </c>
      <c r="I16" s="41">
        <f t="shared" si="2"/>
        <v>822877.66666666663</v>
      </c>
      <c r="J16" s="41">
        <f t="shared" si="3"/>
        <v>177412.42493333333</v>
      </c>
      <c r="K16" s="45">
        <v>0</v>
      </c>
      <c r="L16" s="45">
        <f t="shared" si="4"/>
        <v>177412.42493333333</v>
      </c>
      <c r="M16" s="41">
        <v>-10457</v>
      </c>
      <c r="N16" s="46">
        <f t="shared" si="5"/>
        <v>166955.42493333333</v>
      </c>
      <c r="O16" s="47">
        <f>1922855.17+76957</f>
        <v>1999812.17</v>
      </c>
      <c r="Q16" s="42">
        <f t="shared" si="6"/>
        <v>1999812.17</v>
      </c>
      <c r="R16" s="42">
        <f t="shared" ref="R16" si="11">SUM(Q5:Q16)/12</f>
        <v>985660.80583333329</v>
      </c>
      <c r="S16" s="48">
        <f t="shared" si="8"/>
        <v>0.20385034053571296</v>
      </c>
    </row>
    <row r="17" spans="2:19" x14ac:dyDescent="0.3">
      <c r="B17" s="10">
        <v>45444</v>
      </c>
      <c r="C17" s="39">
        <v>0.2006</v>
      </c>
      <c r="D17" s="39">
        <v>3.3999999999999998E-3</v>
      </c>
      <c r="E17" s="43">
        <f t="shared" si="0"/>
        <v>0.19720000000000001</v>
      </c>
      <c r="F17" s="40">
        <v>1869669</v>
      </c>
      <c r="G17" s="44"/>
      <c r="H17" s="41">
        <f t="shared" si="1"/>
        <v>1869669</v>
      </c>
      <c r="I17" s="41">
        <f t="shared" si="2"/>
        <v>978683.41666666663</v>
      </c>
      <c r="J17" s="41">
        <f t="shared" si="3"/>
        <v>192996.36976666667</v>
      </c>
      <c r="K17" s="45">
        <v>0</v>
      </c>
      <c r="L17" s="45">
        <f t="shared" si="4"/>
        <v>192996.36976666667</v>
      </c>
      <c r="M17" s="41">
        <v>-10457</v>
      </c>
      <c r="N17" s="46">
        <f t="shared" si="5"/>
        <v>182539.36976666667</v>
      </c>
      <c r="O17" s="47">
        <f>2528435.12+81081</f>
        <v>2609516.12</v>
      </c>
      <c r="Q17" s="42">
        <f t="shared" si="6"/>
        <v>2609516.12</v>
      </c>
      <c r="R17" s="42">
        <f t="shared" ref="R17" si="12">SUM(Q6:Q17)/12</f>
        <v>1203120.4824999999</v>
      </c>
      <c r="S17" s="48">
        <f t="shared" si="8"/>
        <v>0.18519491562042745</v>
      </c>
    </row>
    <row r="18" spans="2:19" x14ac:dyDescent="0.3">
      <c r="B18" s="10">
        <v>45474</v>
      </c>
      <c r="C18" s="39">
        <v>0.1784</v>
      </c>
      <c r="D18" s="39">
        <v>3.3999999999999998E-3</v>
      </c>
      <c r="E18" s="43">
        <f t="shared" si="0"/>
        <v>0.17500000000000002</v>
      </c>
      <c r="F18" s="40">
        <v>1943643</v>
      </c>
      <c r="G18" s="44"/>
      <c r="H18" s="41">
        <f t="shared" si="1"/>
        <v>1943643</v>
      </c>
      <c r="I18" s="41">
        <f t="shared" si="2"/>
        <v>1140653.6666666667</v>
      </c>
      <c r="J18" s="41">
        <f t="shared" si="3"/>
        <v>199614.39166666669</v>
      </c>
      <c r="K18" s="45">
        <v>0</v>
      </c>
      <c r="L18" s="45">
        <f t="shared" si="4"/>
        <v>199614.39166666669</v>
      </c>
      <c r="M18" s="41">
        <v>-10457</v>
      </c>
      <c r="N18" s="46">
        <f t="shared" si="5"/>
        <v>189157.39166666669</v>
      </c>
      <c r="O18" s="47">
        <f>2472485.68+68097</f>
        <v>2540582.6800000002</v>
      </c>
      <c r="Q18" s="42">
        <f t="shared" si="6"/>
        <v>2540582.6800000002</v>
      </c>
      <c r="R18" s="42">
        <f t="shared" ref="R18" si="13">SUM(Q7:Q18)/12</f>
        <v>1414835.7058333333</v>
      </c>
      <c r="S18" s="48">
        <f t="shared" si="8"/>
        <v>0.15722231847770632</v>
      </c>
    </row>
    <row r="19" spans="2:19" x14ac:dyDescent="0.3">
      <c r="B19" s="10">
        <v>45505</v>
      </c>
      <c r="C19" s="39">
        <v>0.1797</v>
      </c>
      <c r="D19" s="39">
        <v>3.3999999999999998E-3</v>
      </c>
      <c r="E19" s="43">
        <f t="shared" si="0"/>
        <v>0.17630000000000001</v>
      </c>
      <c r="F19" s="40">
        <v>1848266</v>
      </c>
      <c r="G19" s="44"/>
      <c r="H19" s="41">
        <f t="shared" si="1"/>
        <v>1848266</v>
      </c>
      <c r="I19" s="41">
        <f t="shared" si="2"/>
        <v>1294675.8333333333</v>
      </c>
      <c r="J19" s="41">
        <f t="shared" si="3"/>
        <v>228251.34941666666</v>
      </c>
      <c r="K19" s="45">
        <v>55242</v>
      </c>
      <c r="L19" s="45">
        <f t="shared" si="4"/>
        <v>173009.34941666666</v>
      </c>
      <c r="M19" s="41">
        <v>-10458</v>
      </c>
      <c r="N19" s="46">
        <f t="shared" si="5"/>
        <v>162551.34941666666</v>
      </c>
      <c r="O19" s="47">
        <f>2133336.58+55242</f>
        <v>2188578.58</v>
      </c>
      <c r="Q19" s="42">
        <f t="shared" si="6"/>
        <v>2188578.58</v>
      </c>
      <c r="R19" s="42">
        <f t="shared" ref="R19" si="14">SUM(Q8:Q19)/12</f>
        <v>1597217.2541666664</v>
      </c>
      <c r="S19" s="48">
        <f t="shared" si="8"/>
        <v>0.11489061856897688</v>
      </c>
    </row>
    <row r="20" spans="2:19" x14ac:dyDescent="0.3">
      <c r="B20" s="10">
        <v>45536</v>
      </c>
      <c r="C20" s="39">
        <v>0.1832</v>
      </c>
      <c r="D20" s="39">
        <v>3.3999999999999998E-3</v>
      </c>
      <c r="E20" s="43">
        <f t="shared" si="0"/>
        <v>0.17980000000000002</v>
      </c>
      <c r="F20" s="40">
        <v>1826093</v>
      </c>
      <c r="G20" s="44"/>
      <c r="H20" s="41">
        <f t="shared" si="1"/>
        <v>1826093</v>
      </c>
      <c r="I20" s="41">
        <f t="shared" ref="I20" si="15">SUM(H9:H20)/12</f>
        <v>1446850.25</v>
      </c>
      <c r="J20" s="41">
        <f t="shared" si="3"/>
        <v>260143.67495000002</v>
      </c>
      <c r="K20" s="45">
        <v>82031</v>
      </c>
      <c r="L20" s="45">
        <f t="shared" si="4"/>
        <v>178112.67495000002</v>
      </c>
      <c r="M20" s="41">
        <v>0</v>
      </c>
      <c r="N20" s="46">
        <f t="shared" si="5"/>
        <v>178112.67495000002</v>
      </c>
      <c r="O20" s="47">
        <f>2004167.03+82031</f>
        <v>2086198.03</v>
      </c>
      <c r="Q20" s="42">
        <f t="shared" si="6"/>
        <v>2086198.03</v>
      </c>
      <c r="R20" s="42">
        <f t="shared" ref="R20" si="16">SUM(Q9:Q20)/12</f>
        <v>1771067.0899999999</v>
      </c>
      <c r="S20" s="48">
        <f t="shared" si="8"/>
        <v>0.11151436943556478</v>
      </c>
    </row>
    <row r="21" spans="2:19" x14ac:dyDescent="0.3">
      <c r="B21" s="10">
        <v>45566</v>
      </c>
      <c r="C21" s="39">
        <v>0.19450000000000001</v>
      </c>
      <c r="D21" s="39">
        <v>3.3999999999999998E-3</v>
      </c>
      <c r="E21" s="43">
        <f t="shared" si="0"/>
        <v>0.19110000000000002</v>
      </c>
      <c r="F21" s="40">
        <v>1533759</v>
      </c>
      <c r="G21" s="44"/>
      <c r="H21" s="41">
        <f t="shared" si="1"/>
        <v>1533759</v>
      </c>
      <c r="I21" s="41">
        <f t="shared" ref="I21:I35" si="17">SUM(H10:H21)/12</f>
        <v>1574663.5</v>
      </c>
      <c r="J21" s="41">
        <f t="shared" si="3"/>
        <v>300918.19485000003</v>
      </c>
      <c r="K21" s="45">
        <v>67788</v>
      </c>
      <c r="L21" s="45">
        <f t="shared" si="4"/>
        <v>233130.19485000003</v>
      </c>
      <c r="M21" s="41">
        <v>0</v>
      </c>
      <c r="N21" s="46">
        <f t="shared" si="5"/>
        <v>233130.19485000003</v>
      </c>
      <c r="O21" s="47">
        <f>2106143.32+67788</f>
        <v>2173931.3199999998</v>
      </c>
      <c r="Q21" s="42">
        <f t="shared" si="6"/>
        <v>2173931.3199999998</v>
      </c>
      <c r="R21" s="42">
        <f t="shared" ref="R21" si="18">SUM(Q10:Q21)/12</f>
        <v>1952228.0333333332</v>
      </c>
      <c r="S21" s="48">
        <f t="shared" si="8"/>
        <v>0.13163261638496149</v>
      </c>
    </row>
    <row r="22" spans="2:19" x14ac:dyDescent="0.3">
      <c r="B22" s="10">
        <v>45597</v>
      </c>
      <c r="C22" s="39">
        <v>0.2298</v>
      </c>
      <c r="D22" s="39">
        <v>3.3999999999999998E-3</v>
      </c>
      <c r="E22" s="43">
        <f t="shared" si="0"/>
        <v>0.22640000000000002</v>
      </c>
      <c r="F22" s="40">
        <v>1753874</v>
      </c>
      <c r="G22" s="44"/>
      <c r="H22" s="41">
        <f t="shared" si="1"/>
        <v>1753874</v>
      </c>
      <c r="I22" s="41">
        <f t="shared" si="17"/>
        <v>1720819.6666666667</v>
      </c>
      <c r="J22" s="41">
        <f t="shared" si="3"/>
        <v>389593.57253333338</v>
      </c>
      <c r="K22" s="45">
        <v>74095</v>
      </c>
      <c r="L22" s="45">
        <f t="shared" si="4"/>
        <v>315498.57253333338</v>
      </c>
      <c r="M22" s="41">
        <v>0</v>
      </c>
      <c r="N22" s="46">
        <f t="shared" si="5"/>
        <v>315498.57253333338</v>
      </c>
      <c r="O22" s="47">
        <f>2861237.28+74095</f>
        <v>2935332.28</v>
      </c>
      <c r="Q22" s="42">
        <f t="shared" si="6"/>
        <v>2935332.28</v>
      </c>
      <c r="R22" s="42">
        <f t="shared" ref="R22" si="19">SUM(Q11:Q22)/12</f>
        <v>2196839.0566666666</v>
      </c>
      <c r="S22" s="48">
        <f t="shared" si="8"/>
        <v>0.16160948779873585</v>
      </c>
    </row>
    <row r="23" spans="2:19" x14ac:dyDescent="0.3">
      <c r="B23" s="10">
        <v>45627</v>
      </c>
      <c r="C23" s="39">
        <v>0.21010000000000001</v>
      </c>
      <c r="D23" s="39">
        <v>3.3999999999999998E-3</v>
      </c>
      <c r="E23" s="43">
        <f t="shared" si="0"/>
        <v>0.20670000000000002</v>
      </c>
      <c r="F23" s="40">
        <v>2177397</v>
      </c>
      <c r="G23" s="44"/>
      <c r="H23" s="41">
        <f t="shared" si="1"/>
        <v>2177397</v>
      </c>
      <c r="I23" s="41">
        <f t="shared" si="17"/>
        <v>1902269.4166666667</v>
      </c>
      <c r="J23" s="41">
        <f t="shared" si="3"/>
        <v>393199.08842500008</v>
      </c>
      <c r="K23" s="45">
        <v>81195</v>
      </c>
      <c r="L23" s="45">
        <f t="shared" si="4"/>
        <v>312004.08842500008</v>
      </c>
      <c r="M23" s="41">
        <v>0</v>
      </c>
      <c r="N23" s="46">
        <f t="shared" si="5"/>
        <v>312004.08842500008</v>
      </c>
      <c r="O23" s="41">
        <v>3040616.42</v>
      </c>
      <c r="Q23" s="42">
        <f t="shared" si="6"/>
        <v>3040616.42</v>
      </c>
      <c r="R23" s="42">
        <f t="shared" ref="R23:R34" si="20">SUM(Q12:Q23)/12</f>
        <v>2450223.7583333333</v>
      </c>
      <c r="S23" s="48">
        <f t="shared" si="8"/>
        <v>0.142024099343178</v>
      </c>
    </row>
    <row r="24" spans="2:19" x14ac:dyDescent="0.3">
      <c r="B24" s="10">
        <v>45658</v>
      </c>
      <c r="C24" s="39">
        <v>0.15939999999999999</v>
      </c>
      <c r="D24" s="39">
        <v>3.3999999999999998E-3</v>
      </c>
      <c r="E24" s="43">
        <f t="shared" si="0"/>
        <v>0.156</v>
      </c>
      <c r="F24" s="40">
        <v>2815423</v>
      </c>
      <c r="G24" s="44"/>
      <c r="H24" s="41">
        <f t="shared" si="1"/>
        <v>2815423</v>
      </c>
      <c r="I24" s="41">
        <f t="shared" si="17"/>
        <v>1918789.3333333333</v>
      </c>
      <c r="J24" s="41">
        <f t="shared" si="3"/>
        <v>299331.136</v>
      </c>
      <c r="K24" s="45">
        <v>60571</v>
      </c>
      <c r="L24" s="45">
        <f t="shared" si="4"/>
        <v>238760.136</v>
      </c>
      <c r="M24" s="41">
        <v>0</v>
      </c>
      <c r="N24" s="46">
        <f t="shared" si="5"/>
        <v>238760.136</v>
      </c>
      <c r="O24" s="41">
        <v>3327327.71</v>
      </c>
      <c r="Q24" s="42">
        <f t="shared" si="6"/>
        <v>3327327.71</v>
      </c>
      <c r="R24" s="42">
        <f t="shared" si="20"/>
        <v>2471774.021666667</v>
      </c>
      <c r="S24" s="48">
        <f t="shared" si="8"/>
        <v>9.7444217160969432E-2</v>
      </c>
    </row>
    <row r="25" spans="2:19" x14ac:dyDescent="0.3">
      <c r="B25" s="10">
        <v>45689</v>
      </c>
      <c r="C25" s="39">
        <v>9.1800000000000007E-2</v>
      </c>
      <c r="D25" s="39">
        <v>3.3999999999999998E-3</v>
      </c>
      <c r="E25" s="43">
        <f t="shared" si="0"/>
        <v>8.8400000000000006E-2</v>
      </c>
      <c r="F25" s="40">
        <v>2617709</v>
      </c>
      <c r="G25" s="44"/>
      <c r="H25" s="41">
        <f t="shared" si="1"/>
        <v>2617709</v>
      </c>
      <c r="I25" s="41">
        <f t="shared" si="17"/>
        <v>1952720.8333333333</v>
      </c>
      <c r="J25" s="41">
        <f t="shared" si="3"/>
        <v>172620.52166666667</v>
      </c>
      <c r="K25" s="45">
        <v>56845</v>
      </c>
      <c r="L25" s="45">
        <f t="shared" si="4"/>
        <v>115775.52166666667</v>
      </c>
      <c r="M25" s="41">
        <v>0</v>
      </c>
      <c r="N25" s="46">
        <f t="shared" si="5"/>
        <v>115775.52166666667</v>
      </c>
      <c r="O25" s="41">
        <v>3161515.37</v>
      </c>
      <c r="Q25" s="42">
        <f t="shared" si="6"/>
        <v>3161515.37</v>
      </c>
      <c r="R25" s="42">
        <f t="shared" si="20"/>
        <v>2535137.3199999998</v>
      </c>
      <c r="S25" s="48">
        <f t="shared" si="8"/>
        <v>4.6839039755180202E-2</v>
      </c>
    </row>
    <row r="26" spans="2:19" x14ac:dyDescent="0.3">
      <c r="B26" s="10">
        <v>45717</v>
      </c>
      <c r="C26" s="39">
        <v>0.1255</v>
      </c>
      <c r="D26" s="39">
        <v>3.3999999999999998E-3</v>
      </c>
      <c r="E26" s="43">
        <f t="shared" si="0"/>
        <v>0.1221</v>
      </c>
      <c r="F26" s="40">
        <v>2188530</v>
      </c>
      <c r="G26" s="44"/>
      <c r="H26" s="41">
        <f t="shared" si="1"/>
        <v>2188530</v>
      </c>
      <c r="I26" s="41">
        <f t="shared" si="17"/>
        <v>1976534.1666666667</v>
      </c>
      <c r="J26" s="41">
        <f t="shared" si="3"/>
        <v>241334.82175</v>
      </c>
      <c r="K26" s="45">
        <v>43185</v>
      </c>
      <c r="L26" s="45">
        <f t="shared" si="4"/>
        <v>198149.82175</v>
      </c>
      <c r="M26" s="41">
        <v>0</v>
      </c>
      <c r="N26" s="46">
        <f t="shared" si="5"/>
        <v>198149.82175</v>
      </c>
      <c r="O26" s="41">
        <v>2723976.32</v>
      </c>
      <c r="Q26" s="42">
        <f t="shared" si="6"/>
        <v>2723976.32</v>
      </c>
      <c r="R26" s="42">
        <f t="shared" si="20"/>
        <v>2567561.0383333336</v>
      </c>
      <c r="S26" s="48">
        <f t="shared" si="8"/>
        <v>7.8161376185334225E-2</v>
      </c>
    </row>
    <row r="27" spans="2:19" x14ac:dyDescent="0.3">
      <c r="B27" s="10">
        <v>45748</v>
      </c>
      <c r="C27" s="39">
        <v>0.1865</v>
      </c>
      <c r="D27" s="39">
        <v>3.3999999999999998E-3</v>
      </c>
      <c r="E27" s="43">
        <f t="shared" si="0"/>
        <v>0.18310000000000001</v>
      </c>
      <c r="F27" s="40">
        <v>1682081</v>
      </c>
      <c r="G27" s="44"/>
      <c r="H27" s="41">
        <f t="shared" si="1"/>
        <v>1682081</v>
      </c>
      <c r="I27" s="41">
        <f t="shared" si="17"/>
        <v>1994130.6666666667</v>
      </c>
      <c r="J27" s="41">
        <f t="shared" si="3"/>
        <v>365125.3250666667</v>
      </c>
      <c r="K27" s="45">
        <v>51136</v>
      </c>
      <c r="L27" s="45">
        <f t="shared" si="4"/>
        <v>313989.3250666667</v>
      </c>
      <c r="M27" s="41">
        <v>0</v>
      </c>
      <c r="N27" s="46">
        <f t="shared" si="5"/>
        <v>313989.3250666667</v>
      </c>
      <c r="O27" s="41">
        <v>2250859.7599999998</v>
      </c>
      <c r="Q27" s="42">
        <f t="shared" si="6"/>
        <v>2250859.7599999998</v>
      </c>
      <c r="R27" s="42">
        <f t="shared" si="20"/>
        <v>2586520.5633333339</v>
      </c>
      <c r="S27" s="48">
        <f t="shared" si="8"/>
        <v>0.12229089021793414</v>
      </c>
    </row>
    <row r="28" spans="2:19" x14ac:dyDescent="0.3">
      <c r="B28" s="10">
        <v>45778</v>
      </c>
      <c r="C28" s="39">
        <v>0.21809999999999999</v>
      </c>
      <c r="D28" s="39">
        <v>3.3999999999999998E-3</v>
      </c>
      <c r="E28" s="43">
        <f t="shared" si="0"/>
        <v>0.2147</v>
      </c>
      <c r="F28" s="40">
        <v>1459565</v>
      </c>
      <c r="G28" s="44"/>
      <c r="H28" s="41">
        <f t="shared" si="1"/>
        <v>1459565</v>
      </c>
      <c r="I28" s="41">
        <f t="shared" si="17"/>
        <v>1976334.0833333333</v>
      </c>
      <c r="J28" s="41">
        <f t="shared" si="3"/>
        <v>424318.92769166664</v>
      </c>
      <c r="K28" s="45">
        <v>67319</v>
      </c>
      <c r="L28" s="45">
        <f t="shared" si="4"/>
        <v>356999.92769166664</v>
      </c>
      <c r="M28" s="41">
        <v>0</v>
      </c>
      <c r="N28" s="46">
        <f t="shared" si="5"/>
        <v>356999.92769166664</v>
      </c>
      <c r="O28" s="41">
        <v>2297927.52</v>
      </c>
      <c r="Q28" s="42">
        <f t="shared" si="6"/>
        <v>2297927.52</v>
      </c>
      <c r="R28" s="42">
        <f t="shared" si="20"/>
        <v>2611363.5091666668</v>
      </c>
      <c r="S28" s="48">
        <f t="shared" si="8"/>
        <v>0.13802323196363422</v>
      </c>
    </row>
    <row r="29" spans="2:19" x14ac:dyDescent="0.3">
      <c r="B29" s="10">
        <v>45809</v>
      </c>
      <c r="C29" s="39">
        <v>0.24990000000000001</v>
      </c>
      <c r="D29" s="39">
        <v>3.3999999999999998E-3</v>
      </c>
      <c r="E29" s="43">
        <f t="shared" si="0"/>
        <v>0.24650000000000002</v>
      </c>
      <c r="F29" s="40">
        <v>1790261</v>
      </c>
      <c r="G29" s="44"/>
      <c r="H29" s="41">
        <f t="shared" si="1"/>
        <v>1790261</v>
      </c>
      <c r="I29" s="41">
        <f t="shared" si="17"/>
        <v>1969716.75</v>
      </c>
      <c r="J29" s="41">
        <f t="shared" si="3"/>
        <v>485535.17887500004</v>
      </c>
      <c r="K29" s="45">
        <v>73506</v>
      </c>
      <c r="L29" s="45">
        <f t="shared" si="4"/>
        <v>412029.17887500004</v>
      </c>
      <c r="M29" s="41">
        <v>0</v>
      </c>
      <c r="N29" s="46">
        <f t="shared" si="5"/>
        <v>412029.17887500004</v>
      </c>
      <c r="O29" s="41">
        <v>2748144.28</v>
      </c>
      <c r="Q29" s="42">
        <f t="shared" si="6"/>
        <v>2748144.28</v>
      </c>
      <c r="R29" s="42">
        <f t="shared" si="20"/>
        <v>2622915.8558333335</v>
      </c>
      <c r="S29" s="48">
        <f t="shared" si="8"/>
        <v>0.15778315712410562</v>
      </c>
    </row>
    <row r="30" spans="2:19" x14ac:dyDescent="0.3">
      <c r="B30" s="10">
        <v>45839</v>
      </c>
      <c r="C30" s="39">
        <v>0.22850000000000001</v>
      </c>
      <c r="D30" s="39">
        <v>3.3999999999999998E-3</v>
      </c>
      <c r="E30" s="43">
        <f t="shared" si="0"/>
        <v>0.22510000000000002</v>
      </c>
      <c r="F30" s="40">
        <v>1981669</v>
      </c>
      <c r="G30" s="44"/>
      <c r="H30" s="41">
        <f t="shared" si="1"/>
        <v>1981669</v>
      </c>
      <c r="I30" s="41">
        <f t="shared" si="17"/>
        <v>1972885.5833333333</v>
      </c>
      <c r="J30" s="41">
        <f t="shared" si="3"/>
        <v>444096.54480833333</v>
      </c>
      <c r="K30" s="45">
        <v>74076</v>
      </c>
      <c r="L30" s="45">
        <f t="shared" si="4"/>
        <v>370020.54480833333</v>
      </c>
      <c r="M30" s="41">
        <v>-106898</v>
      </c>
      <c r="N30" s="46">
        <f t="shared" si="5"/>
        <v>263122.54480833333</v>
      </c>
      <c r="O30" s="41">
        <v>2639972.98</v>
      </c>
      <c r="Q30" s="42">
        <f t="shared" si="6"/>
        <v>2639972.98</v>
      </c>
      <c r="R30" s="42">
        <f t="shared" si="20"/>
        <v>2631198.3808333334</v>
      </c>
      <c r="S30" s="48">
        <f t="shared" si="8"/>
        <v>0.1003168074275627</v>
      </c>
    </row>
    <row r="31" spans="2:19" x14ac:dyDescent="0.3">
      <c r="B31" s="10">
        <v>45870</v>
      </c>
      <c r="C31" s="39">
        <v>0.17730000000000001</v>
      </c>
      <c r="D31" s="39">
        <v>3.3999999999999998E-3</v>
      </c>
      <c r="E31" s="43">
        <f t="shared" si="0"/>
        <v>0.17390000000000003</v>
      </c>
      <c r="F31" s="40">
        <v>1736604</v>
      </c>
      <c r="G31" s="44"/>
      <c r="H31" s="41">
        <f t="shared" si="1"/>
        <v>1736604</v>
      </c>
      <c r="I31" s="41">
        <f t="shared" si="17"/>
        <v>1963580.4166666667</v>
      </c>
      <c r="J31" s="41">
        <f t="shared" si="3"/>
        <v>341466.63445833343</v>
      </c>
      <c r="K31" s="45">
        <v>58492</v>
      </c>
      <c r="L31" s="45">
        <f t="shared" si="4"/>
        <v>282974.63445833343</v>
      </c>
      <c r="M31" s="41">
        <v>-106898</v>
      </c>
      <c r="N31" s="46">
        <f t="shared" si="5"/>
        <v>176076.63445833343</v>
      </c>
      <c r="O31" s="41">
        <v>2428525.48</v>
      </c>
      <c r="Q31" s="42">
        <f t="shared" si="6"/>
        <v>2428525.48</v>
      </c>
      <c r="R31" s="42">
        <f t="shared" si="20"/>
        <v>2651193.9558333335</v>
      </c>
      <c r="S31" s="48">
        <f>N31/R30</f>
        <v>6.6918798575182972E-2</v>
      </c>
    </row>
    <row r="32" spans="2:19" x14ac:dyDescent="0.3">
      <c r="B32" s="10">
        <v>45901</v>
      </c>
      <c r="C32" s="39">
        <v>0.21260000000000001</v>
      </c>
      <c r="D32" s="39">
        <v>3.3999999999999998E-3</v>
      </c>
      <c r="E32" s="43">
        <f t="shared" si="0"/>
        <v>0.20920000000000002</v>
      </c>
      <c r="F32" s="40">
        <v>1306017</v>
      </c>
      <c r="G32" s="44"/>
      <c r="H32" s="41">
        <f t="shared" si="1"/>
        <v>1306017</v>
      </c>
      <c r="I32" s="41">
        <f t="shared" si="17"/>
        <v>1920240.75</v>
      </c>
      <c r="J32" s="41">
        <f t="shared" si="3"/>
        <v>401714.36490000004</v>
      </c>
      <c r="K32" s="45">
        <v>39997</v>
      </c>
      <c r="L32" s="45">
        <f t="shared" si="4"/>
        <v>361717.36490000004</v>
      </c>
      <c r="M32" s="41">
        <v>-106898</v>
      </c>
      <c r="N32" s="46">
        <f t="shared" si="5"/>
        <v>254819.36490000004</v>
      </c>
      <c r="O32" s="41">
        <v>2116402.1800000002</v>
      </c>
      <c r="Q32" s="42">
        <f t="shared" si="6"/>
        <v>2116402.1800000002</v>
      </c>
      <c r="R32" s="42">
        <f t="shared" si="20"/>
        <v>2653710.9683333333</v>
      </c>
      <c r="S32" s="48">
        <f>N32/R31</f>
        <v>9.6114946377019866E-2</v>
      </c>
    </row>
    <row r="33" spans="2:19" x14ac:dyDescent="0.3">
      <c r="B33" s="10">
        <v>45931</v>
      </c>
      <c r="C33" s="39">
        <v>0.23669999999999999</v>
      </c>
      <c r="D33" s="39">
        <v>3.3999999999999998E-3</v>
      </c>
      <c r="E33" s="43">
        <f t="shared" si="0"/>
        <v>0.23330000000000001</v>
      </c>
      <c r="F33" s="40">
        <v>1270974</v>
      </c>
      <c r="G33" s="44"/>
      <c r="H33" s="41">
        <f t="shared" si="1"/>
        <v>1270974</v>
      </c>
      <c r="I33" s="41">
        <f t="shared" si="17"/>
        <v>1898342</v>
      </c>
      <c r="J33" s="41">
        <f t="shared" si="3"/>
        <v>442883.18859999999</v>
      </c>
      <c r="K33" s="45">
        <v>54023</v>
      </c>
      <c r="L33" s="45">
        <f t="shared" si="4"/>
        <v>388860.18859999999</v>
      </c>
      <c r="M33" s="41">
        <v>-106898</v>
      </c>
      <c r="N33" s="46">
        <f t="shared" si="5"/>
        <v>281962.18859999999</v>
      </c>
      <c r="O33" s="41">
        <v>2292801.92</v>
      </c>
      <c r="Q33" s="42">
        <f t="shared" si="6"/>
        <v>2292801.92</v>
      </c>
      <c r="R33" s="42">
        <f t="shared" si="20"/>
        <v>2663616.8516666666</v>
      </c>
      <c r="S33" s="48">
        <f>N33/R32</f>
        <v>0.10625203421346475</v>
      </c>
    </row>
    <row r="34" spans="2:19" x14ac:dyDescent="0.3">
      <c r="B34" s="10">
        <v>45962</v>
      </c>
      <c r="C34" s="56">
        <v>0.27086890532910146</v>
      </c>
      <c r="D34" s="56">
        <v>3.3999999999999998E-3</v>
      </c>
      <c r="E34" s="57">
        <f t="shared" si="0"/>
        <v>0.26746890532910145</v>
      </c>
      <c r="F34" s="58">
        <v>1715442</v>
      </c>
      <c r="G34" s="59"/>
      <c r="H34" s="55">
        <f t="shared" si="1"/>
        <v>1715442</v>
      </c>
      <c r="I34" s="55">
        <f t="shared" si="17"/>
        <v>1895139.3333333333</v>
      </c>
      <c r="J34" s="55">
        <f t="shared" si="3"/>
        <v>506890.84293278976</v>
      </c>
      <c r="K34" s="60">
        <v>68097</v>
      </c>
      <c r="L34" s="60">
        <f t="shared" si="4"/>
        <v>438793.84293278976</v>
      </c>
      <c r="M34" s="55">
        <f>-106898-55560</f>
        <v>-162458</v>
      </c>
      <c r="N34" s="61">
        <f t="shared" si="5"/>
        <v>276335.84293278976</v>
      </c>
      <c r="O34" s="55">
        <v>2683998.86</v>
      </c>
      <c r="P34" s="62"/>
      <c r="Q34" s="63">
        <f t="shared" si="6"/>
        <v>2683998.86</v>
      </c>
      <c r="R34" s="63">
        <f t="shared" si="20"/>
        <v>2642672.4000000004</v>
      </c>
      <c r="S34" s="64">
        <f>N34/R33</f>
        <v>0.10374459177936275</v>
      </c>
    </row>
    <row r="35" spans="2:19" x14ac:dyDescent="0.3">
      <c r="B35" s="10">
        <v>45992</v>
      </c>
      <c r="C35" s="39">
        <v>0.2412</v>
      </c>
      <c r="D35" s="39">
        <v>3.3999999999999998E-3</v>
      </c>
      <c r="E35" s="43">
        <f t="shared" si="0"/>
        <v>0.23780000000000001</v>
      </c>
      <c r="F35" s="40">
        <v>2306870</v>
      </c>
      <c r="G35" s="44"/>
      <c r="H35" s="41">
        <f t="shared" si="1"/>
        <v>2306870</v>
      </c>
      <c r="I35" s="41">
        <f t="shared" si="17"/>
        <v>1905928.75</v>
      </c>
      <c r="J35" s="41">
        <f t="shared" si="3"/>
        <v>453229.85675000004</v>
      </c>
      <c r="K35" s="45">
        <v>73854</v>
      </c>
      <c r="L35" s="45">
        <f t="shared" si="4"/>
        <v>379375.85675000004</v>
      </c>
      <c r="M35" s="41">
        <v>-106899</v>
      </c>
      <c r="N35" s="46">
        <f t="shared" si="5"/>
        <v>272476.85675000004</v>
      </c>
      <c r="O35" s="38"/>
      <c r="Q35" s="42"/>
      <c r="R35" s="42"/>
      <c r="S35" s="48">
        <f>N35/R34</f>
        <v>0.1031065586298173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04F13-BCE6-49A3-9110-2DB048F9D55D}">
  <dimension ref="B3:S35"/>
  <sheetViews>
    <sheetView workbookViewId="0">
      <selection activeCell="M34" sqref="M34"/>
    </sheetView>
  </sheetViews>
  <sheetFormatPr defaultRowHeight="14.4" x14ac:dyDescent="0.3"/>
  <cols>
    <col min="6" max="6" width="13.21875" bestFit="1" customWidth="1"/>
    <col min="7" max="7" width="10.109375" bestFit="1" customWidth="1"/>
    <col min="8" max="8" width="12.21875" bestFit="1" customWidth="1"/>
    <col min="9" max="9" width="14.44140625" bestFit="1" customWidth="1"/>
    <col min="10" max="10" width="11.5546875" bestFit="1" customWidth="1"/>
    <col min="11" max="11" width="9.5546875" bestFit="1" customWidth="1"/>
    <col min="12" max="12" width="11.88671875" bestFit="1" customWidth="1"/>
    <col min="13" max="13" width="10.6640625" bestFit="1" customWidth="1"/>
    <col min="14" max="14" width="12.21875" bestFit="1" customWidth="1"/>
    <col min="15" max="15" width="11.88671875" bestFit="1" customWidth="1"/>
    <col min="16" max="16" width="9.5546875" bestFit="1" customWidth="1"/>
    <col min="17" max="17" width="13.88671875" bestFit="1" customWidth="1"/>
    <col min="18" max="18" width="11.21875" bestFit="1" customWidth="1"/>
    <col min="19" max="19" width="12.88671875" bestFit="1" customWidth="1"/>
  </cols>
  <sheetData>
    <row r="3" spans="2:19" x14ac:dyDescent="0.3">
      <c r="B3" s="49"/>
      <c r="C3" s="14" t="s">
        <v>14</v>
      </c>
      <c r="D3" s="15" t="s">
        <v>15</v>
      </c>
      <c r="E3" s="16" t="s">
        <v>16</v>
      </c>
      <c r="F3" s="15" t="s">
        <v>17</v>
      </c>
      <c r="G3" s="15" t="s">
        <v>18</v>
      </c>
      <c r="H3" s="15" t="s">
        <v>19</v>
      </c>
      <c r="I3" s="15" t="s">
        <v>20</v>
      </c>
      <c r="J3" s="15" t="s">
        <v>21</v>
      </c>
      <c r="K3" s="15" t="s">
        <v>22</v>
      </c>
      <c r="L3" s="15" t="s">
        <v>23</v>
      </c>
      <c r="M3" s="15" t="s">
        <v>24</v>
      </c>
      <c r="N3" s="17" t="s">
        <v>25</v>
      </c>
      <c r="O3" s="15" t="s">
        <v>26</v>
      </c>
      <c r="P3" s="15" t="s">
        <v>27</v>
      </c>
      <c r="Q3" s="15" t="s">
        <v>28</v>
      </c>
      <c r="R3" s="15" t="s">
        <v>29</v>
      </c>
      <c r="S3" s="15" t="s">
        <v>30</v>
      </c>
    </row>
    <row r="4" spans="2:19" x14ac:dyDescent="0.3">
      <c r="B4" s="18"/>
      <c r="C4" s="19"/>
      <c r="D4" s="18"/>
      <c r="E4" s="18"/>
      <c r="F4" s="20" t="s">
        <v>31</v>
      </c>
      <c r="G4" s="50" t="s">
        <v>32</v>
      </c>
      <c r="H4" s="51" t="s">
        <v>33</v>
      </c>
      <c r="I4" s="18" t="s">
        <v>34</v>
      </c>
      <c r="J4" s="18" t="s">
        <v>35</v>
      </c>
      <c r="K4" s="20" t="s">
        <v>36</v>
      </c>
      <c r="L4" s="20" t="s">
        <v>37</v>
      </c>
      <c r="M4" s="21" t="s">
        <v>38</v>
      </c>
      <c r="N4" s="51" t="s">
        <v>35</v>
      </c>
      <c r="O4" s="18" t="s">
        <v>35</v>
      </c>
      <c r="P4" s="22" t="s">
        <v>39</v>
      </c>
      <c r="Q4" s="21" t="s">
        <v>35</v>
      </c>
      <c r="R4" s="18" t="s">
        <v>40</v>
      </c>
      <c r="S4" s="18" t="s">
        <v>35</v>
      </c>
    </row>
    <row r="5" spans="2:19" x14ac:dyDescent="0.3">
      <c r="B5" s="22"/>
      <c r="C5" s="23"/>
      <c r="D5" s="22"/>
      <c r="E5" s="22"/>
      <c r="F5" s="24" t="s">
        <v>41</v>
      </c>
      <c r="G5" s="50" t="s">
        <v>42</v>
      </c>
      <c r="H5" s="50" t="s">
        <v>41</v>
      </c>
      <c r="I5" s="22" t="s">
        <v>43</v>
      </c>
      <c r="J5" s="22" t="s">
        <v>44</v>
      </c>
      <c r="K5" s="24" t="s">
        <v>45</v>
      </c>
      <c r="L5" s="24" t="s">
        <v>46</v>
      </c>
      <c r="M5" s="25" t="s">
        <v>47</v>
      </c>
      <c r="N5" s="22" t="s">
        <v>48</v>
      </c>
      <c r="O5" s="22" t="s">
        <v>12</v>
      </c>
      <c r="P5" s="22" t="s">
        <v>49</v>
      </c>
      <c r="Q5" s="25" t="s">
        <v>50</v>
      </c>
      <c r="R5" s="52" t="s">
        <v>51</v>
      </c>
      <c r="S5" s="22" t="s">
        <v>52</v>
      </c>
    </row>
    <row r="6" spans="2:19" x14ac:dyDescent="0.3">
      <c r="B6" s="22" t="s">
        <v>45</v>
      </c>
      <c r="C6" s="23"/>
      <c r="D6" s="22"/>
      <c r="E6" s="22"/>
      <c r="F6" s="24" t="s">
        <v>53</v>
      </c>
      <c r="G6" s="50" t="s">
        <v>54</v>
      </c>
      <c r="H6" s="50" t="s">
        <v>55</v>
      </c>
      <c r="I6" s="22" t="s">
        <v>56</v>
      </c>
      <c r="J6" s="22" t="s">
        <v>57</v>
      </c>
      <c r="K6" s="24" t="s">
        <v>58</v>
      </c>
      <c r="L6" s="24" t="s">
        <v>42</v>
      </c>
      <c r="M6" s="25" t="s">
        <v>59</v>
      </c>
      <c r="N6" s="22" t="s">
        <v>42</v>
      </c>
      <c r="O6" s="22" t="s">
        <v>60</v>
      </c>
      <c r="P6" s="22" t="s">
        <v>42</v>
      </c>
      <c r="Q6" s="25" t="s">
        <v>61</v>
      </c>
      <c r="R6" s="52" t="s">
        <v>62</v>
      </c>
      <c r="S6" s="22" t="s">
        <v>63</v>
      </c>
    </row>
    <row r="7" spans="2:19" x14ac:dyDescent="0.3">
      <c r="B7" s="22" t="s">
        <v>64</v>
      </c>
      <c r="C7" s="23"/>
      <c r="D7" s="22"/>
      <c r="E7" s="22"/>
      <c r="F7" s="24" t="s">
        <v>65</v>
      </c>
      <c r="G7" s="50"/>
      <c r="H7" s="50" t="s">
        <v>66</v>
      </c>
      <c r="I7" s="22" t="s">
        <v>67</v>
      </c>
      <c r="J7" s="22"/>
      <c r="K7" s="24"/>
      <c r="L7" s="24" t="s">
        <v>57</v>
      </c>
      <c r="M7" s="25" t="s">
        <v>68</v>
      </c>
      <c r="N7" s="22" t="s">
        <v>57</v>
      </c>
      <c r="O7" s="22" t="s">
        <v>58</v>
      </c>
      <c r="P7" s="22" t="s">
        <v>54</v>
      </c>
      <c r="Q7" s="25" t="s">
        <v>58</v>
      </c>
      <c r="R7" s="22" t="s">
        <v>69</v>
      </c>
      <c r="S7" s="22" t="s">
        <v>70</v>
      </c>
    </row>
    <row r="8" spans="2:19" x14ac:dyDescent="0.3">
      <c r="B8" s="22" t="s">
        <v>71</v>
      </c>
      <c r="C8" s="53" t="s">
        <v>72</v>
      </c>
      <c r="D8" s="50" t="s">
        <v>72</v>
      </c>
      <c r="E8" s="50" t="s">
        <v>72</v>
      </c>
      <c r="F8" s="24" t="s">
        <v>35</v>
      </c>
      <c r="G8" s="50"/>
      <c r="H8" s="50" t="s">
        <v>35</v>
      </c>
      <c r="I8" s="22" t="s">
        <v>35</v>
      </c>
      <c r="J8" s="22"/>
      <c r="K8" s="24"/>
      <c r="L8" s="24" t="s">
        <v>73</v>
      </c>
      <c r="M8" s="25"/>
      <c r="N8" s="22"/>
      <c r="O8" s="26"/>
      <c r="P8" s="26"/>
      <c r="Q8" s="25"/>
      <c r="R8" s="22" t="s">
        <v>74</v>
      </c>
      <c r="S8" s="22" t="s">
        <v>64</v>
      </c>
    </row>
    <row r="9" spans="2:19" x14ac:dyDescent="0.3">
      <c r="B9" s="27" t="s">
        <v>75</v>
      </c>
      <c r="C9" s="28" t="s">
        <v>76</v>
      </c>
      <c r="D9" s="27" t="s">
        <v>77</v>
      </c>
      <c r="E9" s="27" t="s">
        <v>78</v>
      </c>
      <c r="F9" s="29"/>
      <c r="G9" s="27"/>
      <c r="H9" s="27"/>
      <c r="I9" s="27"/>
      <c r="J9" s="27"/>
      <c r="K9" s="30"/>
      <c r="L9" s="30"/>
      <c r="M9" s="31"/>
      <c r="N9" s="27"/>
      <c r="O9" s="32"/>
      <c r="P9" s="32"/>
      <c r="Q9" s="31"/>
      <c r="R9" s="27"/>
      <c r="S9" s="27"/>
    </row>
    <row r="10" spans="2:19" x14ac:dyDescent="0.3">
      <c r="B10" s="54"/>
      <c r="C10" s="28"/>
      <c r="D10" s="27"/>
      <c r="E10" s="33" t="s">
        <v>79</v>
      </c>
      <c r="F10" s="29"/>
      <c r="G10" s="27"/>
      <c r="H10" s="34" t="s">
        <v>80</v>
      </c>
      <c r="I10" s="27"/>
      <c r="J10" s="34" t="s">
        <v>81</v>
      </c>
      <c r="K10" s="35"/>
      <c r="L10" s="35" t="s">
        <v>82</v>
      </c>
      <c r="M10" s="31"/>
      <c r="N10" s="33" t="s">
        <v>83</v>
      </c>
      <c r="O10" s="32"/>
      <c r="P10" s="32"/>
      <c r="Q10" s="35" t="s">
        <v>84</v>
      </c>
      <c r="R10" s="27"/>
      <c r="S10" s="33" t="s">
        <v>85</v>
      </c>
    </row>
    <row r="12" spans="2:19" x14ac:dyDescent="0.3">
      <c r="B12" s="10">
        <v>45292</v>
      </c>
      <c r="C12" s="39">
        <v>0.1532</v>
      </c>
      <c r="D12" s="39">
        <v>0</v>
      </c>
      <c r="E12" s="43">
        <f t="shared" ref="E12:E35" si="0">C12-D12</f>
        <v>0.1532</v>
      </c>
      <c r="F12" s="40">
        <v>2617184</v>
      </c>
      <c r="G12" s="44"/>
      <c r="H12" s="41">
        <f t="shared" ref="H12:H35" si="1">+F12-G12</f>
        <v>2617184</v>
      </c>
      <c r="I12" s="41">
        <f t="shared" ref="I12:I19" si="2">SUM(H1:H12)/12</f>
        <v>218098.66666666666</v>
      </c>
      <c r="J12" s="41">
        <f t="shared" ref="J12:J35" si="3">+E12*I12</f>
        <v>33412.715733333331</v>
      </c>
      <c r="K12" s="45">
        <v>0</v>
      </c>
      <c r="L12" s="45">
        <f t="shared" ref="L12:L35" si="4">J12-K12</f>
        <v>33412.715733333331</v>
      </c>
      <c r="M12" s="41">
        <v>0</v>
      </c>
      <c r="N12" s="46">
        <f t="shared" ref="N12:N35" si="5">+L12+M12</f>
        <v>33412.715733333331</v>
      </c>
      <c r="O12" s="47">
        <f>3006956.55+61768</f>
        <v>3068724.55</v>
      </c>
      <c r="Q12" s="36">
        <f t="shared" ref="Q12:Q34" si="6">+O12-P12</f>
        <v>3068724.55</v>
      </c>
      <c r="R12" s="36">
        <f t="shared" ref="R12" si="7">SUM(Q1:Q12)/12</f>
        <v>255727.04583333331</v>
      </c>
      <c r="S12" s="37" t="e">
        <f t="shared" ref="S12:S30" si="8">N12/R11</f>
        <v>#DIV/0!</v>
      </c>
    </row>
    <row r="13" spans="2:19" x14ac:dyDescent="0.3">
      <c r="B13" s="10">
        <v>45323</v>
      </c>
      <c r="C13" s="39">
        <v>0.1116</v>
      </c>
      <c r="D13" s="39">
        <v>3.3999999999999998E-3</v>
      </c>
      <c r="E13" s="43">
        <f t="shared" si="0"/>
        <v>0.1082</v>
      </c>
      <c r="F13" s="40">
        <v>2210531</v>
      </c>
      <c r="G13" s="44"/>
      <c r="H13" s="41">
        <f t="shared" si="1"/>
        <v>2210531</v>
      </c>
      <c r="I13" s="41">
        <f t="shared" si="2"/>
        <v>402309.58333333331</v>
      </c>
      <c r="J13" s="41">
        <f t="shared" si="3"/>
        <v>43529.896916666665</v>
      </c>
      <c r="K13" s="45">
        <v>0</v>
      </c>
      <c r="L13" s="45">
        <f t="shared" si="4"/>
        <v>43529.896916666665</v>
      </c>
      <c r="M13" s="41">
        <v>0</v>
      </c>
      <c r="N13" s="46">
        <f t="shared" si="5"/>
        <v>43529.896916666665</v>
      </c>
      <c r="O13" s="47">
        <f>2334811.79+66344</f>
        <v>2401155.79</v>
      </c>
      <c r="Q13" s="36">
        <f t="shared" si="6"/>
        <v>2401155.79</v>
      </c>
      <c r="R13" s="36">
        <f t="shared" ref="R13" si="9">SUM(Q2:Q13)/12</f>
        <v>455823.36166666663</v>
      </c>
      <c r="S13" s="37">
        <f t="shared" si="8"/>
        <v>0.17022015319035397</v>
      </c>
    </row>
    <row r="14" spans="2:19" x14ac:dyDescent="0.3">
      <c r="B14" s="10">
        <v>45352</v>
      </c>
      <c r="C14" s="39">
        <v>0.151</v>
      </c>
      <c r="D14" s="39">
        <v>3.3999999999999998E-3</v>
      </c>
      <c r="E14" s="43">
        <f t="shared" si="0"/>
        <v>0.14760000000000001</v>
      </c>
      <c r="F14" s="40">
        <v>1902770</v>
      </c>
      <c r="G14" s="44"/>
      <c r="H14" s="41">
        <f t="shared" si="1"/>
        <v>1902770</v>
      </c>
      <c r="I14" s="41">
        <f t="shared" si="2"/>
        <v>560873.75</v>
      </c>
      <c r="J14" s="41">
        <f t="shared" si="3"/>
        <v>82784.965500000006</v>
      </c>
      <c r="K14" s="45">
        <v>0</v>
      </c>
      <c r="L14" s="45">
        <f t="shared" si="4"/>
        <v>82784.965500000006</v>
      </c>
      <c r="M14" s="41">
        <v>-10457</v>
      </c>
      <c r="N14" s="46">
        <f t="shared" si="5"/>
        <v>72327.965500000006</v>
      </c>
      <c r="O14" s="47">
        <f>2287132.7+47759</f>
        <v>2334891.7000000002</v>
      </c>
      <c r="Q14" s="42">
        <f t="shared" si="6"/>
        <v>2334891.7000000002</v>
      </c>
      <c r="R14" s="42">
        <f t="shared" ref="R14:R15" si="10">SUM(Q3:Q14)/12</f>
        <v>650397.67000000004</v>
      </c>
      <c r="S14" s="48">
        <f t="shared" si="8"/>
        <v>0.15867542469859588</v>
      </c>
    </row>
    <row r="15" spans="2:19" x14ac:dyDescent="0.3">
      <c r="B15" s="10">
        <v>45383</v>
      </c>
      <c r="C15" s="39">
        <v>0.18140000000000001</v>
      </c>
      <c r="D15" s="39">
        <v>3.3999999999999998E-3</v>
      </c>
      <c r="E15" s="43">
        <f t="shared" si="0"/>
        <v>0.17800000000000002</v>
      </c>
      <c r="F15" s="40">
        <v>1470923</v>
      </c>
      <c r="G15" s="44"/>
      <c r="H15" s="41">
        <f t="shared" si="1"/>
        <v>1470923</v>
      </c>
      <c r="I15" s="41">
        <f t="shared" si="2"/>
        <v>683450.66666666663</v>
      </c>
      <c r="J15" s="41">
        <f t="shared" si="3"/>
        <v>121654.21866666667</v>
      </c>
      <c r="K15" s="45">
        <v>0</v>
      </c>
      <c r="L15" s="45">
        <f t="shared" si="4"/>
        <v>121654.21866666667</v>
      </c>
      <c r="M15" s="41">
        <v>-10457</v>
      </c>
      <c r="N15" s="46">
        <f t="shared" si="5"/>
        <v>111197.21866666667</v>
      </c>
      <c r="O15" s="47">
        <f>1969038.46+54307</f>
        <v>2023345.46</v>
      </c>
      <c r="Q15" s="42">
        <f t="shared" si="6"/>
        <v>2023345.46</v>
      </c>
      <c r="R15" s="42">
        <f t="shared" si="10"/>
        <v>819009.79166666663</v>
      </c>
      <c r="S15" s="48">
        <f t="shared" si="8"/>
        <v>0.17096804585211178</v>
      </c>
    </row>
    <row r="16" spans="2:19" x14ac:dyDescent="0.3">
      <c r="B16" s="10">
        <v>45413</v>
      </c>
      <c r="C16" s="39">
        <v>0.219</v>
      </c>
      <c r="D16" s="39">
        <v>3.3999999999999998E-3</v>
      </c>
      <c r="E16" s="43">
        <f t="shared" si="0"/>
        <v>0.21560000000000001</v>
      </c>
      <c r="F16" s="40">
        <v>1673124</v>
      </c>
      <c r="G16" s="44"/>
      <c r="H16" s="41">
        <f t="shared" si="1"/>
        <v>1673124</v>
      </c>
      <c r="I16" s="41">
        <f t="shared" si="2"/>
        <v>822877.66666666663</v>
      </c>
      <c r="J16" s="41">
        <f t="shared" si="3"/>
        <v>177412.42493333333</v>
      </c>
      <c r="K16" s="45">
        <v>0</v>
      </c>
      <c r="L16" s="45">
        <f t="shared" si="4"/>
        <v>177412.42493333333</v>
      </c>
      <c r="M16" s="41">
        <v>-10457</v>
      </c>
      <c r="N16" s="46">
        <f t="shared" si="5"/>
        <v>166955.42493333333</v>
      </c>
      <c r="O16" s="47">
        <f>1922855.17+76957</f>
        <v>1999812.17</v>
      </c>
      <c r="Q16" s="42">
        <f t="shared" si="6"/>
        <v>1999812.17</v>
      </c>
      <c r="R16" s="42">
        <f t="shared" ref="R16" si="11">SUM(Q5:Q16)/12</f>
        <v>985660.80583333329</v>
      </c>
      <c r="S16" s="48">
        <f t="shared" si="8"/>
        <v>0.20385034053571296</v>
      </c>
    </row>
    <row r="17" spans="2:19" x14ac:dyDescent="0.3">
      <c r="B17" s="10">
        <v>45444</v>
      </c>
      <c r="C17" s="39">
        <v>0.2006</v>
      </c>
      <c r="D17" s="39">
        <v>3.3999999999999998E-3</v>
      </c>
      <c r="E17" s="43">
        <f t="shared" si="0"/>
        <v>0.19720000000000001</v>
      </c>
      <c r="F17" s="40">
        <v>1869669</v>
      </c>
      <c r="G17" s="44"/>
      <c r="H17" s="41">
        <f t="shared" si="1"/>
        <v>1869669</v>
      </c>
      <c r="I17" s="41">
        <f t="shared" si="2"/>
        <v>978683.41666666663</v>
      </c>
      <c r="J17" s="41">
        <f t="shared" si="3"/>
        <v>192996.36976666667</v>
      </c>
      <c r="K17" s="45">
        <v>0</v>
      </c>
      <c r="L17" s="45">
        <f t="shared" si="4"/>
        <v>192996.36976666667</v>
      </c>
      <c r="M17" s="41">
        <v>-10457</v>
      </c>
      <c r="N17" s="46">
        <f t="shared" si="5"/>
        <v>182539.36976666667</v>
      </c>
      <c r="O17" s="47">
        <f>2528435.12+81081</f>
        <v>2609516.12</v>
      </c>
      <c r="Q17" s="42">
        <f t="shared" si="6"/>
        <v>2609516.12</v>
      </c>
      <c r="R17" s="42">
        <f t="shared" ref="R17" si="12">SUM(Q6:Q17)/12</f>
        <v>1203120.4824999999</v>
      </c>
      <c r="S17" s="48">
        <f t="shared" si="8"/>
        <v>0.18519491562042745</v>
      </c>
    </row>
    <row r="18" spans="2:19" x14ac:dyDescent="0.3">
      <c r="B18" s="10">
        <v>45474</v>
      </c>
      <c r="C18" s="39">
        <v>0.1784</v>
      </c>
      <c r="D18" s="39">
        <v>3.3999999999999998E-3</v>
      </c>
      <c r="E18" s="43">
        <f t="shared" si="0"/>
        <v>0.17500000000000002</v>
      </c>
      <c r="F18" s="40">
        <v>1943643</v>
      </c>
      <c r="G18" s="44"/>
      <c r="H18" s="41">
        <f t="shared" si="1"/>
        <v>1943643</v>
      </c>
      <c r="I18" s="41">
        <f t="shared" si="2"/>
        <v>1140653.6666666667</v>
      </c>
      <c r="J18" s="41">
        <f t="shared" si="3"/>
        <v>199614.39166666669</v>
      </c>
      <c r="K18" s="45">
        <v>0</v>
      </c>
      <c r="L18" s="45">
        <f t="shared" si="4"/>
        <v>199614.39166666669</v>
      </c>
      <c r="M18" s="41">
        <v>-10457</v>
      </c>
      <c r="N18" s="46">
        <f t="shared" si="5"/>
        <v>189157.39166666669</v>
      </c>
      <c r="O18" s="47">
        <f>2472485.68+68097</f>
        <v>2540582.6800000002</v>
      </c>
      <c r="Q18" s="42">
        <f t="shared" si="6"/>
        <v>2540582.6800000002</v>
      </c>
      <c r="R18" s="42">
        <f t="shared" ref="R18" si="13">SUM(Q7:Q18)/12</f>
        <v>1414835.7058333333</v>
      </c>
      <c r="S18" s="48">
        <f t="shared" si="8"/>
        <v>0.15722231847770632</v>
      </c>
    </row>
    <row r="19" spans="2:19" x14ac:dyDescent="0.3">
      <c r="B19" s="10">
        <v>45505</v>
      </c>
      <c r="C19" s="39">
        <v>0.1797</v>
      </c>
      <c r="D19" s="39">
        <v>3.3999999999999998E-3</v>
      </c>
      <c r="E19" s="43">
        <f t="shared" si="0"/>
        <v>0.17630000000000001</v>
      </c>
      <c r="F19" s="40">
        <v>1848266</v>
      </c>
      <c r="G19" s="44"/>
      <c r="H19" s="41">
        <f t="shared" si="1"/>
        <v>1848266</v>
      </c>
      <c r="I19" s="41">
        <f t="shared" si="2"/>
        <v>1294675.8333333333</v>
      </c>
      <c r="J19" s="41">
        <f t="shared" si="3"/>
        <v>228251.34941666666</v>
      </c>
      <c r="K19" s="45">
        <v>55242</v>
      </c>
      <c r="L19" s="45">
        <f t="shared" si="4"/>
        <v>173009.34941666666</v>
      </c>
      <c r="M19" s="41">
        <v>-10458</v>
      </c>
      <c r="N19" s="46">
        <f t="shared" si="5"/>
        <v>162551.34941666666</v>
      </c>
      <c r="O19" s="47">
        <f>2133336.58+55242</f>
        <v>2188578.58</v>
      </c>
      <c r="Q19" s="42">
        <f t="shared" si="6"/>
        <v>2188578.58</v>
      </c>
      <c r="R19" s="42">
        <f t="shared" ref="R19" si="14">SUM(Q8:Q19)/12</f>
        <v>1597217.2541666664</v>
      </c>
      <c r="S19" s="48">
        <f t="shared" si="8"/>
        <v>0.11489061856897688</v>
      </c>
    </row>
    <row r="20" spans="2:19" x14ac:dyDescent="0.3">
      <c r="B20" s="10">
        <v>45536</v>
      </c>
      <c r="C20" s="39">
        <v>0.1832</v>
      </c>
      <c r="D20" s="39">
        <v>3.3999999999999998E-3</v>
      </c>
      <c r="E20" s="43">
        <f t="shared" si="0"/>
        <v>0.17980000000000002</v>
      </c>
      <c r="F20" s="40">
        <v>1826093</v>
      </c>
      <c r="G20" s="44"/>
      <c r="H20" s="41">
        <f t="shared" si="1"/>
        <v>1826093</v>
      </c>
      <c r="I20" s="41">
        <f t="shared" ref="I20" si="15">SUM(H9:H20)/12</f>
        <v>1446850.25</v>
      </c>
      <c r="J20" s="41">
        <f t="shared" si="3"/>
        <v>260143.67495000002</v>
      </c>
      <c r="K20" s="45">
        <v>82031</v>
      </c>
      <c r="L20" s="45">
        <f t="shared" si="4"/>
        <v>178112.67495000002</v>
      </c>
      <c r="M20" s="41">
        <v>0</v>
      </c>
      <c r="N20" s="46">
        <f t="shared" si="5"/>
        <v>178112.67495000002</v>
      </c>
      <c r="O20" s="47">
        <f>2004167.03+82031</f>
        <v>2086198.03</v>
      </c>
      <c r="Q20" s="42">
        <f t="shared" si="6"/>
        <v>2086198.03</v>
      </c>
      <c r="R20" s="42">
        <f t="shared" ref="R20" si="16">SUM(Q9:Q20)/12</f>
        <v>1771067.0899999999</v>
      </c>
      <c r="S20" s="48">
        <f t="shared" si="8"/>
        <v>0.11151436943556478</v>
      </c>
    </row>
    <row r="21" spans="2:19" x14ac:dyDescent="0.3">
      <c r="B21" s="10">
        <v>45566</v>
      </c>
      <c r="C21" s="39">
        <v>0.19450000000000001</v>
      </c>
      <c r="D21" s="39">
        <v>3.3999999999999998E-3</v>
      </c>
      <c r="E21" s="43">
        <f t="shared" si="0"/>
        <v>0.19110000000000002</v>
      </c>
      <c r="F21" s="40">
        <v>1533759</v>
      </c>
      <c r="G21" s="44"/>
      <c r="H21" s="41">
        <f t="shared" si="1"/>
        <v>1533759</v>
      </c>
      <c r="I21" s="41">
        <f t="shared" ref="I21:I35" si="17">SUM(H10:H21)/12</f>
        <v>1574663.5</v>
      </c>
      <c r="J21" s="41">
        <f t="shared" si="3"/>
        <v>300918.19485000003</v>
      </c>
      <c r="K21" s="45">
        <v>67788</v>
      </c>
      <c r="L21" s="45">
        <f t="shared" si="4"/>
        <v>233130.19485000003</v>
      </c>
      <c r="M21" s="41">
        <v>0</v>
      </c>
      <c r="N21" s="46">
        <f t="shared" si="5"/>
        <v>233130.19485000003</v>
      </c>
      <c r="O21" s="47">
        <f>2106143.32+67788</f>
        <v>2173931.3199999998</v>
      </c>
      <c r="Q21" s="42">
        <f t="shared" si="6"/>
        <v>2173931.3199999998</v>
      </c>
      <c r="R21" s="42">
        <f t="shared" ref="R21" si="18">SUM(Q10:Q21)/12</f>
        <v>1952228.0333333332</v>
      </c>
      <c r="S21" s="48">
        <f t="shared" si="8"/>
        <v>0.13163261638496149</v>
      </c>
    </row>
    <row r="22" spans="2:19" x14ac:dyDescent="0.3">
      <c r="B22" s="10">
        <v>45597</v>
      </c>
      <c r="C22" s="39">
        <v>0.2298</v>
      </c>
      <c r="D22" s="39">
        <v>3.3999999999999998E-3</v>
      </c>
      <c r="E22" s="43">
        <f t="shared" si="0"/>
        <v>0.22640000000000002</v>
      </c>
      <c r="F22" s="40">
        <v>1753874</v>
      </c>
      <c r="G22" s="44"/>
      <c r="H22" s="41">
        <f t="shared" si="1"/>
        <v>1753874</v>
      </c>
      <c r="I22" s="41">
        <f t="shared" si="17"/>
        <v>1720819.6666666667</v>
      </c>
      <c r="J22" s="41">
        <f t="shared" si="3"/>
        <v>389593.57253333338</v>
      </c>
      <c r="K22" s="45">
        <v>74095</v>
      </c>
      <c r="L22" s="45">
        <f t="shared" si="4"/>
        <v>315498.57253333338</v>
      </c>
      <c r="M22" s="41">
        <v>0</v>
      </c>
      <c r="N22" s="46">
        <f t="shared" si="5"/>
        <v>315498.57253333338</v>
      </c>
      <c r="O22" s="47">
        <f>2861237.28+74095</f>
        <v>2935332.28</v>
      </c>
      <c r="Q22" s="42">
        <f t="shared" si="6"/>
        <v>2935332.28</v>
      </c>
      <c r="R22" s="42">
        <f t="shared" ref="R22" si="19">SUM(Q11:Q22)/12</f>
        <v>2196839.0566666666</v>
      </c>
      <c r="S22" s="48">
        <f t="shared" si="8"/>
        <v>0.16160948779873585</v>
      </c>
    </row>
    <row r="23" spans="2:19" x14ac:dyDescent="0.3">
      <c r="B23" s="10">
        <v>45627</v>
      </c>
      <c r="C23" s="39">
        <v>0.21010000000000001</v>
      </c>
      <c r="D23" s="39">
        <v>3.3999999999999998E-3</v>
      </c>
      <c r="E23" s="43">
        <f t="shared" si="0"/>
        <v>0.20670000000000002</v>
      </c>
      <c r="F23" s="40">
        <v>2177397</v>
      </c>
      <c r="G23" s="44"/>
      <c r="H23" s="41">
        <f t="shared" si="1"/>
        <v>2177397</v>
      </c>
      <c r="I23" s="41">
        <f t="shared" si="17"/>
        <v>1902269.4166666667</v>
      </c>
      <c r="J23" s="41">
        <f t="shared" si="3"/>
        <v>393199.08842500008</v>
      </c>
      <c r="K23" s="45">
        <v>81195</v>
      </c>
      <c r="L23" s="45">
        <f t="shared" si="4"/>
        <v>312004.08842500008</v>
      </c>
      <c r="M23" s="41">
        <v>0</v>
      </c>
      <c r="N23" s="46">
        <f t="shared" si="5"/>
        <v>312004.08842500008</v>
      </c>
      <c r="O23" s="41">
        <v>3040616.42</v>
      </c>
      <c r="Q23" s="42">
        <f t="shared" si="6"/>
        <v>3040616.42</v>
      </c>
      <c r="R23" s="42">
        <f t="shared" ref="R23:R34" si="20">SUM(Q12:Q23)/12</f>
        <v>2450223.7583333333</v>
      </c>
      <c r="S23" s="48">
        <f t="shared" si="8"/>
        <v>0.142024099343178</v>
      </c>
    </row>
    <row r="24" spans="2:19" x14ac:dyDescent="0.3">
      <c r="B24" s="10">
        <v>45658</v>
      </c>
      <c r="C24" s="39">
        <v>0.15939999999999999</v>
      </c>
      <c r="D24" s="39">
        <v>3.3999999999999998E-3</v>
      </c>
      <c r="E24" s="43">
        <f t="shared" si="0"/>
        <v>0.156</v>
      </c>
      <c r="F24" s="40">
        <v>2815423</v>
      </c>
      <c r="G24" s="44"/>
      <c r="H24" s="41">
        <f t="shared" si="1"/>
        <v>2815423</v>
      </c>
      <c r="I24" s="41">
        <f t="shared" si="17"/>
        <v>1918789.3333333333</v>
      </c>
      <c r="J24" s="41">
        <f t="shared" si="3"/>
        <v>299331.136</v>
      </c>
      <c r="K24" s="45">
        <v>60571</v>
      </c>
      <c r="L24" s="45">
        <f t="shared" si="4"/>
        <v>238760.136</v>
      </c>
      <c r="M24" s="41">
        <v>0</v>
      </c>
      <c r="N24" s="46">
        <f t="shared" si="5"/>
        <v>238760.136</v>
      </c>
      <c r="O24" s="41">
        <v>3327327.71</v>
      </c>
      <c r="Q24" s="42">
        <f t="shared" si="6"/>
        <v>3327327.71</v>
      </c>
      <c r="R24" s="42">
        <f t="shared" si="20"/>
        <v>2471774.021666667</v>
      </c>
      <c r="S24" s="48">
        <f t="shared" si="8"/>
        <v>9.7444217160969432E-2</v>
      </c>
    </row>
    <row r="25" spans="2:19" x14ac:dyDescent="0.3">
      <c r="B25" s="10">
        <v>45689</v>
      </c>
      <c r="C25" s="39">
        <v>9.1800000000000007E-2</v>
      </c>
      <c r="D25" s="39">
        <v>3.3999999999999998E-3</v>
      </c>
      <c r="E25" s="43">
        <f t="shared" si="0"/>
        <v>8.8400000000000006E-2</v>
      </c>
      <c r="F25" s="40">
        <v>2617709</v>
      </c>
      <c r="G25" s="44"/>
      <c r="H25" s="41">
        <f t="shared" si="1"/>
        <v>2617709</v>
      </c>
      <c r="I25" s="41">
        <f t="shared" si="17"/>
        <v>1952720.8333333333</v>
      </c>
      <c r="J25" s="41">
        <f t="shared" si="3"/>
        <v>172620.52166666667</v>
      </c>
      <c r="K25" s="45">
        <v>56845</v>
      </c>
      <c r="L25" s="45">
        <f t="shared" si="4"/>
        <v>115775.52166666667</v>
      </c>
      <c r="M25" s="41">
        <v>0</v>
      </c>
      <c r="N25" s="46">
        <f t="shared" si="5"/>
        <v>115775.52166666667</v>
      </c>
      <c r="O25" s="41">
        <v>3161515.37</v>
      </c>
      <c r="Q25" s="42">
        <f t="shared" si="6"/>
        <v>3161515.37</v>
      </c>
      <c r="R25" s="42">
        <f t="shared" si="20"/>
        <v>2535137.3199999998</v>
      </c>
      <c r="S25" s="48">
        <f t="shared" si="8"/>
        <v>4.6839039755180202E-2</v>
      </c>
    </row>
    <row r="26" spans="2:19" x14ac:dyDescent="0.3">
      <c r="B26" s="10">
        <v>45717</v>
      </c>
      <c r="C26" s="39">
        <v>0.1255</v>
      </c>
      <c r="D26" s="39">
        <v>3.3999999999999998E-3</v>
      </c>
      <c r="E26" s="43">
        <f t="shared" si="0"/>
        <v>0.1221</v>
      </c>
      <c r="F26" s="40">
        <v>2188530</v>
      </c>
      <c r="G26" s="44"/>
      <c r="H26" s="41">
        <f t="shared" si="1"/>
        <v>2188530</v>
      </c>
      <c r="I26" s="41">
        <f t="shared" si="17"/>
        <v>1976534.1666666667</v>
      </c>
      <c r="J26" s="41">
        <f t="shared" si="3"/>
        <v>241334.82175</v>
      </c>
      <c r="K26" s="45">
        <v>43185</v>
      </c>
      <c r="L26" s="45">
        <f t="shared" si="4"/>
        <v>198149.82175</v>
      </c>
      <c r="M26" s="41">
        <v>0</v>
      </c>
      <c r="N26" s="46">
        <f t="shared" si="5"/>
        <v>198149.82175</v>
      </c>
      <c r="O26" s="41">
        <v>2723976.32</v>
      </c>
      <c r="Q26" s="42">
        <f t="shared" si="6"/>
        <v>2723976.32</v>
      </c>
      <c r="R26" s="42">
        <f t="shared" si="20"/>
        <v>2567561.0383333336</v>
      </c>
      <c r="S26" s="48">
        <f t="shared" si="8"/>
        <v>7.8161376185334225E-2</v>
      </c>
    </row>
    <row r="27" spans="2:19" x14ac:dyDescent="0.3">
      <c r="B27" s="10">
        <v>45748</v>
      </c>
      <c r="C27" s="39">
        <v>0.1865</v>
      </c>
      <c r="D27" s="39">
        <v>3.3999999999999998E-3</v>
      </c>
      <c r="E27" s="43">
        <f t="shared" si="0"/>
        <v>0.18310000000000001</v>
      </c>
      <c r="F27" s="40">
        <v>1682081</v>
      </c>
      <c r="G27" s="44"/>
      <c r="H27" s="41">
        <f t="shared" si="1"/>
        <v>1682081</v>
      </c>
      <c r="I27" s="41">
        <f t="shared" si="17"/>
        <v>1994130.6666666667</v>
      </c>
      <c r="J27" s="41">
        <f t="shared" si="3"/>
        <v>365125.3250666667</v>
      </c>
      <c r="K27" s="45">
        <v>51136</v>
      </c>
      <c r="L27" s="45">
        <f t="shared" si="4"/>
        <v>313989.3250666667</v>
      </c>
      <c r="M27" s="41">
        <v>0</v>
      </c>
      <c r="N27" s="46">
        <f t="shared" si="5"/>
        <v>313989.3250666667</v>
      </c>
      <c r="O27" s="41">
        <v>2250859.7599999998</v>
      </c>
      <c r="Q27" s="42">
        <f t="shared" si="6"/>
        <v>2250859.7599999998</v>
      </c>
      <c r="R27" s="42">
        <f t="shared" si="20"/>
        <v>2586520.5633333339</v>
      </c>
      <c r="S27" s="48">
        <f t="shared" si="8"/>
        <v>0.12229089021793414</v>
      </c>
    </row>
    <row r="28" spans="2:19" x14ac:dyDescent="0.3">
      <c r="B28" s="10">
        <v>45778</v>
      </c>
      <c r="C28" s="39">
        <v>0.21809999999999999</v>
      </c>
      <c r="D28" s="39">
        <v>3.3999999999999998E-3</v>
      </c>
      <c r="E28" s="43">
        <f t="shared" si="0"/>
        <v>0.2147</v>
      </c>
      <c r="F28" s="40">
        <v>1459565</v>
      </c>
      <c r="G28" s="44"/>
      <c r="H28" s="41">
        <f t="shared" si="1"/>
        <v>1459565</v>
      </c>
      <c r="I28" s="41">
        <f t="shared" si="17"/>
        <v>1976334.0833333333</v>
      </c>
      <c r="J28" s="41">
        <f t="shared" si="3"/>
        <v>424318.92769166664</v>
      </c>
      <c r="K28" s="45">
        <v>67319</v>
      </c>
      <c r="L28" s="45">
        <f t="shared" si="4"/>
        <v>356999.92769166664</v>
      </c>
      <c r="M28" s="41">
        <v>0</v>
      </c>
      <c r="N28" s="46">
        <f t="shared" si="5"/>
        <v>356999.92769166664</v>
      </c>
      <c r="O28" s="41">
        <v>2297927.52</v>
      </c>
      <c r="Q28" s="42">
        <f t="shared" si="6"/>
        <v>2297927.52</v>
      </c>
      <c r="R28" s="42">
        <f t="shared" si="20"/>
        <v>2611363.5091666668</v>
      </c>
      <c r="S28" s="48">
        <f t="shared" si="8"/>
        <v>0.13802323196363422</v>
      </c>
    </row>
    <row r="29" spans="2:19" x14ac:dyDescent="0.3">
      <c r="B29" s="10">
        <v>45809</v>
      </c>
      <c r="C29" s="39">
        <v>0.24990000000000001</v>
      </c>
      <c r="D29" s="39">
        <v>3.3999999999999998E-3</v>
      </c>
      <c r="E29" s="43">
        <f t="shared" si="0"/>
        <v>0.24650000000000002</v>
      </c>
      <c r="F29" s="40">
        <v>1790261</v>
      </c>
      <c r="G29" s="44"/>
      <c r="H29" s="41">
        <f t="shared" si="1"/>
        <v>1790261</v>
      </c>
      <c r="I29" s="41">
        <f t="shared" si="17"/>
        <v>1969716.75</v>
      </c>
      <c r="J29" s="41">
        <f t="shared" si="3"/>
        <v>485535.17887500004</v>
      </c>
      <c r="K29" s="45">
        <v>73506</v>
      </c>
      <c r="L29" s="45">
        <f t="shared" si="4"/>
        <v>412029.17887500004</v>
      </c>
      <c r="M29" s="41">
        <v>0</v>
      </c>
      <c r="N29" s="46">
        <f t="shared" si="5"/>
        <v>412029.17887500004</v>
      </c>
      <c r="O29" s="41">
        <v>2748144.28</v>
      </c>
      <c r="Q29" s="42">
        <f t="shared" si="6"/>
        <v>2748144.28</v>
      </c>
      <c r="R29" s="42">
        <f t="shared" si="20"/>
        <v>2622915.8558333335</v>
      </c>
      <c r="S29" s="48">
        <f t="shared" si="8"/>
        <v>0.15778315712410562</v>
      </c>
    </row>
    <row r="30" spans="2:19" x14ac:dyDescent="0.3">
      <c r="B30" s="10">
        <v>45839</v>
      </c>
      <c r="C30" s="39">
        <v>0.22850000000000001</v>
      </c>
      <c r="D30" s="39">
        <v>3.3999999999999998E-3</v>
      </c>
      <c r="E30" s="43">
        <f t="shared" si="0"/>
        <v>0.22510000000000002</v>
      </c>
      <c r="F30" s="40">
        <v>1981669</v>
      </c>
      <c r="G30" s="44"/>
      <c r="H30" s="41">
        <f t="shared" si="1"/>
        <v>1981669</v>
      </c>
      <c r="I30" s="41">
        <f t="shared" si="17"/>
        <v>1972885.5833333333</v>
      </c>
      <c r="J30" s="41">
        <f t="shared" si="3"/>
        <v>444096.54480833333</v>
      </c>
      <c r="K30" s="45">
        <v>74076</v>
      </c>
      <c r="L30" s="45">
        <f t="shared" si="4"/>
        <v>370020.54480833333</v>
      </c>
      <c r="M30" s="41">
        <v>-106898</v>
      </c>
      <c r="N30" s="46">
        <f t="shared" si="5"/>
        <v>263122.54480833333</v>
      </c>
      <c r="O30" s="41">
        <v>2639972.98</v>
      </c>
      <c r="Q30" s="42">
        <f t="shared" si="6"/>
        <v>2639972.98</v>
      </c>
      <c r="R30" s="42">
        <f t="shared" si="20"/>
        <v>2631198.3808333334</v>
      </c>
      <c r="S30" s="48">
        <f t="shared" si="8"/>
        <v>0.1003168074275627</v>
      </c>
    </row>
    <row r="31" spans="2:19" x14ac:dyDescent="0.3">
      <c r="B31" s="10">
        <v>45870</v>
      </c>
      <c r="C31" s="39">
        <v>0.17730000000000001</v>
      </c>
      <c r="D31" s="39">
        <v>3.3999999999999998E-3</v>
      </c>
      <c r="E31" s="43">
        <f t="shared" si="0"/>
        <v>0.17390000000000003</v>
      </c>
      <c r="F31" s="40">
        <v>1736604</v>
      </c>
      <c r="G31" s="44"/>
      <c r="H31" s="41">
        <f t="shared" si="1"/>
        <v>1736604</v>
      </c>
      <c r="I31" s="41">
        <f t="shared" si="17"/>
        <v>1963580.4166666667</v>
      </c>
      <c r="J31" s="41">
        <f t="shared" si="3"/>
        <v>341466.63445833343</v>
      </c>
      <c r="K31" s="45">
        <v>58492</v>
      </c>
      <c r="L31" s="45">
        <f t="shared" si="4"/>
        <v>282974.63445833343</v>
      </c>
      <c r="M31" s="41">
        <v>-106898</v>
      </c>
      <c r="N31" s="46">
        <f t="shared" si="5"/>
        <v>176076.63445833343</v>
      </c>
      <c r="O31" s="41">
        <v>2428525.48</v>
      </c>
      <c r="Q31" s="42">
        <f t="shared" si="6"/>
        <v>2428525.48</v>
      </c>
      <c r="R31" s="42">
        <f t="shared" si="20"/>
        <v>2651193.9558333335</v>
      </c>
      <c r="S31" s="48">
        <f>N31/R30</f>
        <v>6.6918798575182972E-2</v>
      </c>
    </row>
    <row r="32" spans="2:19" x14ac:dyDescent="0.3">
      <c r="B32" s="10">
        <v>45901</v>
      </c>
      <c r="C32" s="39">
        <v>0.21260000000000001</v>
      </c>
      <c r="D32" s="39">
        <v>3.3999999999999998E-3</v>
      </c>
      <c r="E32" s="43">
        <f t="shared" si="0"/>
        <v>0.20920000000000002</v>
      </c>
      <c r="F32" s="40">
        <v>1306017</v>
      </c>
      <c r="G32" s="44"/>
      <c r="H32" s="41">
        <f t="shared" si="1"/>
        <v>1306017</v>
      </c>
      <c r="I32" s="41">
        <f t="shared" si="17"/>
        <v>1920240.75</v>
      </c>
      <c r="J32" s="41">
        <f t="shared" si="3"/>
        <v>401714.36490000004</v>
      </c>
      <c r="K32" s="45">
        <v>39997</v>
      </c>
      <c r="L32" s="45">
        <f t="shared" si="4"/>
        <v>361717.36490000004</v>
      </c>
      <c r="M32" s="41">
        <v>-106898</v>
      </c>
      <c r="N32" s="46">
        <f t="shared" si="5"/>
        <v>254819.36490000004</v>
      </c>
      <c r="O32" s="41">
        <v>2116402.1800000002</v>
      </c>
      <c r="Q32" s="42">
        <f t="shared" si="6"/>
        <v>2116402.1800000002</v>
      </c>
      <c r="R32" s="42">
        <f t="shared" si="20"/>
        <v>2653710.9683333333</v>
      </c>
      <c r="S32" s="48">
        <f>N32/R31</f>
        <v>9.6114946377019866E-2</v>
      </c>
    </row>
    <row r="33" spans="2:19" x14ac:dyDescent="0.3">
      <c r="B33" s="10">
        <v>45931</v>
      </c>
      <c r="C33" s="39">
        <v>0.23669999999999999</v>
      </c>
      <c r="D33" s="39">
        <v>3.3999999999999998E-3</v>
      </c>
      <c r="E33" s="43">
        <f t="shared" si="0"/>
        <v>0.23330000000000001</v>
      </c>
      <c r="F33" s="40">
        <v>1270974</v>
      </c>
      <c r="G33" s="44"/>
      <c r="H33" s="41">
        <f t="shared" si="1"/>
        <v>1270974</v>
      </c>
      <c r="I33" s="41">
        <f t="shared" si="17"/>
        <v>1898342</v>
      </c>
      <c r="J33" s="41">
        <f t="shared" si="3"/>
        <v>442883.18859999999</v>
      </c>
      <c r="K33" s="45">
        <v>54023</v>
      </c>
      <c r="L33" s="45">
        <f t="shared" si="4"/>
        <v>388860.18859999999</v>
      </c>
      <c r="M33" s="41">
        <v>-106898</v>
      </c>
      <c r="N33" s="46">
        <f t="shared" si="5"/>
        <v>281962.18859999999</v>
      </c>
      <c r="O33" s="41">
        <v>2292801.92</v>
      </c>
      <c r="Q33" s="42">
        <f t="shared" si="6"/>
        <v>2292801.92</v>
      </c>
      <c r="R33" s="42">
        <f t="shared" si="20"/>
        <v>2663616.8516666666</v>
      </c>
      <c r="S33" s="48">
        <f>N33/R32</f>
        <v>0.10625203421346475</v>
      </c>
    </row>
    <row r="34" spans="2:19" x14ac:dyDescent="0.3">
      <c r="B34" s="10">
        <v>45962</v>
      </c>
      <c r="C34" s="56">
        <v>0.27086890532910146</v>
      </c>
      <c r="D34" s="56">
        <v>3.3999999999999998E-3</v>
      </c>
      <c r="E34" s="57">
        <f t="shared" si="0"/>
        <v>0.26746890532910145</v>
      </c>
      <c r="F34" s="58">
        <v>1715442</v>
      </c>
      <c r="G34" s="59"/>
      <c r="H34" s="55">
        <f t="shared" si="1"/>
        <v>1715442</v>
      </c>
      <c r="I34" s="55">
        <f t="shared" si="17"/>
        <v>1895139.3333333333</v>
      </c>
      <c r="J34" s="55">
        <f t="shared" si="3"/>
        <v>506890.84293278976</v>
      </c>
      <c r="K34" s="60">
        <v>68097</v>
      </c>
      <c r="L34" s="60">
        <f t="shared" si="4"/>
        <v>438793.84293278976</v>
      </c>
      <c r="M34" s="55">
        <f>-106898</f>
        <v>-106898</v>
      </c>
      <c r="N34" s="61">
        <f t="shared" si="5"/>
        <v>331895.84293278976</v>
      </c>
      <c r="O34" s="55">
        <v>2683998.86</v>
      </c>
      <c r="P34" s="62"/>
      <c r="Q34" s="63">
        <f t="shared" si="6"/>
        <v>2683998.86</v>
      </c>
      <c r="R34" s="63">
        <f t="shared" si="20"/>
        <v>2642672.4000000004</v>
      </c>
      <c r="S34" s="64">
        <f>N34/R33</f>
        <v>0.12460344764868016</v>
      </c>
    </row>
    <row r="35" spans="2:19" x14ac:dyDescent="0.3">
      <c r="B35" s="10">
        <v>45992</v>
      </c>
      <c r="C35" s="39">
        <v>0.2412</v>
      </c>
      <c r="D35" s="39">
        <v>3.3999999999999998E-3</v>
      </c>
      <c r="E35" s="43">
        <f t="shared" si="0"/>
        <v>0.23780000000000001</v>
      </c>
      <c r="F35" s="40">
        <v>2306870</v>
      </c>
      <c r="G35" s="44"/>
      <c r="H35" s="41">
        <f t="shared" si="1"/>
        <v>2306870</v>
      </c>
      <c r="I35" s="41">
        <f t="shared" si="17"/>
        <v>1905928.75</v>
      </c>
      <c r="J35" s="41">
        <f t="shared" si="3"/>
        <v>453229.85675000004</v>
      </c>
      <c r="K35" s="45">
        <v>73854</v>
      </c>
      <c r="L35" s="45">
        <f t="shared" si="4"/>
        <v>379375.85675000004</v>
      </c>
      <c r="M35" s="41">
        <v>-106899</v>
      </c>
      <c r="N35" s="46">
        <f t="shared" si="5"/>
        <v>272476.85675000004</v>
      </c>
      <c r="O35" s="38"/>
      <c r="Q35" s="42"/>
      <c r="R35" s="42"/>
      <c r="S35" s="48">
        <f>N35/R34</f>
        <v>0.1031065586298173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Bill Impact</vt:lpstr>
      <vt:lpstr>Supporting (with recovery)</vt:lpstr>
      <vt:lpstr>Supporting (as filed)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Everly</dc:creator>
  <cp:lastModifiedBy>Christian Everly</cp:lastModifiedBy>
  <dcterms:created xsi:type="dcterms:W3CDTF">2026-05-12T19:49:34Z</dcterms:created>
  <dcterms:modified xsi:type="dcterms:W3CDTF">2026-05-13T17:22:24Z</dcterms:modified>
</cp:coreProperties>
</file>