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18595\Desktop\KRWA\Lake Village WA\Application\"/>
    </mc:Choice>
  </mc:AlternateContent>
  <xr:revisionPtr revIDLastSave="0" documentId="13_ncr:1_{54A7AFE2-C340-435F-88B0-73ED0730E91E}" xr6:coauthVersionLast="47" xr6:coauthVersionMax="47" xr10:uidLastSave="{00000000-0000-0000-0000-000000000000}"/>
  <bookViews>
    <workbookView xWindow="28680" yWindow="270" windowWidth="25440" windowHeight="15270" tabRatio="641" firstSheet="5" activeTab="8" xr2:uid="{00000000-000D-0000-FFFF-FFFF00000000}"/>
  </bookViews>
  <sheets>
    <sheet name="SAO" sheetId="6" r:id="rId1"/>
    <sheet name="References" sheetId="58" r:id="rId2"/>
    <sheet name="Wages" sheetId="55" r:id="rId3"/>
    <sheet name="Medical" sheetId="40" r:id="rId4"/>
    <sheet name="Debt Service" sheetId="50" r:id="rId5"/>
    <sheet name="Depreciation" sheetId="51" r:id="rId6"/>
    <sheet name="Capital" sheetId="56" r:id="rId7"/>
    <sheet name="Water Loss" sheetId="54" r:id="rId8"/>
    <sheet name="Rates" sheetId="2" r:id="rId9"/>
    <sheet name="Bills" sheetId="42" r:id="rId10"/>
    <sheet name="Bills with Surcharge" sheetId="57" r:id="rId11"/>
    <sheet name="ExBA" sheetId="52" r:id="rId12"/>
    <sheet name="PrBA" sheetId="53" r:id="rId13"/>
    <sheet name="Notice_R" sheetId="36" r:id="rId14"/>
    <sheet name="Notice_W" sheetId="37" r:id="rId15"/>
  </sheets>
  <definedNames>
    <definedName name="AHV">#REF!</definedName>
    <definedName name="_xlnm.Print_Area" localSheetId="9">Bills!$B$1:$I$27</definedName>
    <definedName name="_xlnm.Print_Area" localSheetId="4">'Debt Service'!$A$1:$O$24</definedName>
    <definedName name="_xlnm.Print_Area" localSheetId="5">Depreciation!$A$1:$L$47</definedName>
    <definedName name="_xlnm.Print_Area" localSheetId="12">PrBA!$A$1:$K$32</definedName>
    <definedName name="_xlnm.Print_Area" localSheetId="8">Rates!$B$2:$J$20</definedName>
    <definedName name="_xlnm.Print_Area" localSheetId="0">SAO!$A$1:$G$57</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55" l="1"/>
  <c r="P14" i="2"/>
  <c r="P13" i="2"/>
  <c r="H18" i="55" l="1"/>
  <c r="H22" i="55" s="1"/>
  <c r="J44" i="40"/>
  <c r="G47" i="6"/>
  <c r="G48" i="6"/>
  <c r="G64" i="6"/>
  <c r="J13" i="55"/>
  <c r="J8" i="55"/>
  <c r="J6" i="55"/>
  <c r="J5" i="55"/>
  <c r="M13" i="55"/>
  <c r="G67" i="6"/>
  <c r="G66" i="6"/>
  <c r="M26" i="50"/>
  <c r="H29" i="55" l="1"/>
  <c r="P3" i="55"/>
  <c r="G12" i="6"/>
  <c r="E12" i="6"/>
  <c r="L17" i="50"/>
  <c r="K17" i="50"/>
  <c r="J17" i="50"/>
  <c r="I17" i="50"/>
  <c r="H17" i="50"/>
  <c r="G17" i="50"/>
  <c r="F17" i="50"/>
  <c r="E17" i="50"/>
  <c r="D17" i="50"/>
  <c r="C17" i="50"/>
  <c r="L15" i="50"/>
  <c r="J15" i="50"/>
  <c r="H15" i="50"/>
  <c r="F15" i="50"/>
  <c r="D15" i="50"/>
  <c r="L14" i="50"/>
  <c r="J14" i="50"/>
  <c r="H14" i="50"/>
  <c r="F14" i="50"/>
  <c r="D14" i="50"/>
  <c r="J45" i="40"/>
  <c r="E31" i="54"/>
  <c r="B32" i="54"/>
  <c r="J39" i="40"/>
  <c r="S18" i="40" l="1"/>
  <c r="R18" i="40"/>
  <c r="Q18" i="40"/>
  <c r="P18" i="40"/>
  <c r="O18" i="40"/>
  <c r="P5" i="55"/>
  <c r="C3" i="56"/>
  <c r="T18" i="40" l="1"/>
  <c r="T20" i="40" s="1"/>
  <c r="E25" i="57"/>
  <c r="E24" i="57"/>
  <c r="E23" i="57"/>
  <c r="E22" i="57"/>
  <c r="E21" i="57"/>
  <c r="E20" i="57"/>
  <c r="E19" i="57"/>
  <c r="E18" i="57"/>
  <c r="E17" i="57"/>
  <c r="E16" i="57"/>
  <c r="E15" i="57"/>
  <c r="E14" i="57"/>
  <c r="E13" i="57"/>
  <c r="E12" i="57"/>
  <c r="E11" i="57"/>
  <c r="E10" i="57"/>
  <c r="M15" i="50"/>
  <c r="D65" i="40"/>
  <c r="D64" i="40"/>
  <c r="D63" i="40"/>
  <c r="I63" i="40" s="1"/>
  <c r="D62" i="40"/>
  <c r="D61" i="40"/>
  <c r="I61" i="40" s="1"/>
  <c r="D60" i="40"/>
  <c r="D59" i="40"/>
  <c r="D58" i="40"/>
  <c r="D57" i="40"/>
  <c r="I57" i="40" s="1"/>
  <c r="D56" i="40"/>
  <c r="D55" i="40"/>
  <c r="E65" i="40"/>
  <c r="E64" i="40"/>
  <c r="E63" i="40"/>
  <c r="E62" i="40"/>
  <c r="E61" i="40"/>
  <c r="E60" i="40"/>
  <c r="E59" i="40"/>
  <c r="E58" i="40"/>
  <c r="I62" i="40"/>
  <c r="I58" i="40"/>
  <c r="C66" i="40"/>
  <c r="I65" i="40"/>
  <c r="E57" i="40"/>
  <c r="E56" i="40"/>
  <c r="E55" i="40"/>
  <c r="D36" i="40"/>
  <c r="D35" i="40"/>
  <c r="D34" i="40"/>
  <c r="D33" i="40"/>
  <c r="I33" i="40" s="1"/>
  <c r="D32" i="40"/>
  <c r="D31" i="40"/>
  <c r="F31" i="40" s="1"/>
  <c r="G31" i="40" s="1"/>
  <c r="D30" i="40"/>
  <c r="B37" i="40"/>
  <c r="B19" i="40"/>
  <c r="B27" i="40"/>
  <c r="F64" i="40" l="1"/>
  <c r="G64" i="40" s="1"/>
  <c r="E66" i="40"/>
  <c r="F65" i="40"/>
  <c r="G65" i="40" s="1"/>
  <c r="F61" i="40"/>
  <c r="G61" i="40" s="1"/>
  <c r="J61" i="40" s="1"/>
  <c r="F58" i="40"/>
  <c r="G58" i="40" s="1"/>
  <c r="J58" i="40" s="1"/>
  <c r="F55" i="40"/>
  <c r="G55" i="40" s="1"/>
  <c r="J65" i="40"/>
  <c r="F62" i="40"/>
  <c r="G62" i="40" s="1"/>
  <c r="J62" i="40" s="1"/>
  <c r="F57" i="40"/>
  <c r="G57" i="40" s="1"/>
  <c r="J57" i="40" s="1"/>
  <c r="F63" i="40"/>
  <c r="G63" i="40" s="1"/>
  <c r="J63" i="40" s="1"/>
  <c r="F60" i="40"/>
  <c r="G60" i="40" s="1"/>
  <c r="J60" i="40" s="1"/>
  <c r="F59" i="40"/>
  <c r="G59" i="40" s="1"/>
  <c r="J59" i="40" s="1"/>
  <c r="J64" i="40"/>
  <c r="I60" i="40"/>
  <c r="I64" i="40"/>
  <c r="J55" i="40"/>
  <c r="I56" i="40"/>
  <c r="F56" i="40"/>
  <c r="G56" i="40" s="1"/>
  <c r="J56" i="40" s="1"/>
  <c r="I59" i="40"/>
  <c r="I55" i="40"/>
  <c r="J31" i="40"/>
  <c r="I34" i="40"/>
  <c r="F32" i="40"/>
  <c r="G32" i="40" s="1"/>
  <c r="J32" i="40" s="1"/>
  <c r="I32" i="40"/>
  <c r="F33" i="40"/>
  <c r="G33" i="40" s="1"/>
  <c r="J33" i="40" s="1"/>
  <c r="F36" i="40"/>
  <c r="G36" i="40" s="1"/>
  <c r="J36" i="40" s="1"/>
  <c r="I31" i="40"/>
  <c r="F30" i="40"/>
  <c r="G30" i="40" s="1"/>
  <c r="J30" i="40" s="1"/>
  <c r="I30" i="40"/>
  <c r="F35" i="40"/>
  <c r="G35" i="40" s="1"/>
  <c r="J35" i="40" s="1"/>
  <c r="F34" i="40"/>
  <c r="G34" i="40" s="1"/>
  <c r="J34" i="40" s="1"/>
  <c r="I36" i="40"/>
  <c r="I35" i="40"/>
  <c r="H25" i="55"/>
  <c r="B31" i="54"/>
  <c r="C23" i="54"/>
  <c r="C8" i="54"/>
  <c r="D26" i="40"/>
  <c r="D25" i="40"/>
  <c r="D24" i="40"/>
  <c r="D23" i="40"/>
  <c r="D22" i="40"/>
  <c r="J37" i="40" l="1"/>
  <c r="J66" i="40"/>
  <c r="I66" i="40"/>
  <c r="F24" i="40"/>
  <c r="G24" i="40" s="1"/>
  <c r="J24" i="40" s="1"/>
  <c r="J22" i="40"/>
  <c r="F25" i="40"/>
  <c r="G25" i="40" s="1"/>
  <c r="J25" i="40" s="1"/>
  <c r="D27" i="40"/>
  <c r="I24" i="40"/>
  <c r="F23" i="40"/>
  <c r="G23" i="40" s="1"/>
  <c r="J23" i="40" s="1"/>
  <c r="I23" i="40"/>
  <c r="I25" i="40"/>
  <c r="F22" i="40"/>
  <c r="G22" i="40" s="1"/>
  <c r="I22" i="40"/>
  <c r="F26" i="40"/>
  <c r="G26" i="40" s="1"/>
  <c r="J26" i="40" s="1"/>
  <c r="I26" i="40"/>
  <c r="J27" i="40" l="1"/>
  <c r="I27" i="40"/>
  <c r="D15" i="40" l="1"/>
  <c r="D7" i="40"/>
  <c r="F9" i="52"/>
  <c r="F11" i="52"/>
  <c r="F15" i="40" l="1"/>
  <c r="G15" i="40" s="1"/>
  <c r="J15" i="40" s="1"/>
  <c r="I15" i="40"/>
  <c r="I7" i="40"/>
  <c r="F7" i="40"/>
  <c r="G7" i="40" s="1"/>
  <c r="J7" i="40" s="1"/>
  <c r="I94" i="52" l="1"/>
  <c r="K94" i="52" s="1"/>
  <c r="K65" i="52"/>
  <c r="C17" i="52" s="1"/>
  <c r="J91" i="52"/>
  <c r="I91" i="52"/>
  <c r="H91" i="52"/>
  <c r="G91" i="52"/>
  <c r="F91" i="52"/>
  <c r="E91" i="52"/>
  <c r="D91" i="52"/>
  <c r="J62" i="52"/>
  <c r="I62" i="52"/>
  <c r="H62" i="52"/>
  <c r="G62" i="52"/>
  <c r="F62" i="52"/>
  <c r="E62" i="52"/>
  <c r="K90" i="52"/>
  <c r="K89" i="52"/>
  <c r="K88" i="52"/>
  <c r="K87" i="52"/>
  <c r="C19" i="52" s="1"/>
  <c r="K86" i="52"/>
  <c r="K85" i="52"/>
  <c r="K84" i="52"/>
  <c r="K83" i="52"/>
  <c r="K82" i="52"/>
  <c r="K81" i="52"/>
  <c r="K80" i="52"/>
  <c r="K79" i="52"/>
  <c r="K78" i="52"/>
  <c r="K77" i="52"/>
  <c r="K76" i="52"/>
  <c r="K75" i="52"/>
  <c r="K74" i="52"/>
  <c r="K73" i="52"/>
  <c r="K72" i="52"/>
  <c r="K71" i="52"/>
  <c r="C18" i="52" s="1"/>
  <c r="K70" i="52"/>
  <c r="K69" i="52"/>
  <c r="K68" i="52"/>
  <c r="K67" i="52"/>
  <c r="K66" i="52"/>
  <c r="K61" i="52"/>
  <c r="P61" i="52" s="1"/>
  <c r="K60" i="52"/>
  <c r="P60" i="52" s="1"/>
  <c r="K59" i="52"/>
  <c r="P59" i="52" s="1"/>
  <c r="K58" i="52"/>
  <c r="P58" i="52" s="1"/>
  <c r="K57" i="52"/>
  <c r="P57" i="52" s="1"/>
  <c r="K56" i="52"/>
  <c r="P56" i="52" s="1"/>
  <c r="K55" i="52"/>
  <c r="P55" i="52" s="1"/>
  <c r="K54" i="52"/>
  <c r="P54" i="52" s="1"/>
  <c r="K53" i="52"/>
  <c r="P53" i="52" s="1"/>
  <c r="K52" i="52"/>
  <c r="P52" i="52" s="1"/>
  <c r="K51" i="52"/>
  <c r="P51" i="52" s="1"/>
  <c r="K50" i="52"/>
  <c r="P50" i="52" s="1"/>
  <c r="K49" i="52"/>
  <c r="P49" i="52" s="1"/>
  <c r="K48" i="52"/>
  <c r="P48" i="52" s="1"/>
  <c r="K47" i="52"/>
  <c r="P47" i="52" s="1"/>
  <c r="K46" i="52"/>
  <c r="P46" i="52" s="1"/>
  <c r="K45" i="52"/>
  <c r="P45" i="52" s="1"/>
  <c r="K44" i="52"/>
  <c r="P44" i="52" s="1"/>
  <c r="K43" i="52"/>
  <c r="P43" i="52" s="1"/>
  <c r="K42" i="52"/>
  <c r="P42" i="52" s="1"/>
  <c r="K41" i="52"/>
  <c r="P41" i="52" s="1"/>
  <c r="K40" i="52"/>
  <c r="K39" i="52"/>
  <c r="D18" i="52" s="1"/>
  <c r="K38" i="52"/>
  <c r="K37" i="52"/>
  <c r="D17" i="52" s="1"/>
  <c r="D62" i="52"/>
  <c r="D19" i="52" l="1"/>
  <c r="K91" i="52"/>
  <c r="K62" i="52"/>
  <c r="B4" i="37"/>
  <c r="B5" i="36"/>
  <c r="G34" i="6"/>
  <c r="O21" i="2"/>
  <c r="G36" i="6" l="1"/>
  <c r="E36" i="6"/>
  <c r="F9" i="53" l="1"/>
  <c r="D16" i="40" l="1"/>
  <c r="I16" i="40" l="1"/>
  <c r="F16" i="40"/>
  <c r="G16" i="40" s="1"/>
  <c r="J16" i="40" s="1"/>
  <c r="B11" i="40"/>
  <c r="D9" i="40"/>
  <c r="D8" i="40"/>
  <c r="D18" i="40"/>
  <c r="D17" i="40"/>
  <c r="D14" i="40"/>
  <c r="D10" i="40"/>
  <c r="D6" i="40"/>
  <c r="D32" i="53"/>
  <c r="E7" i="53" s="1"/>
  <c r="C32" i="53"/>
  <c r="D7" i="53" s="1"/>
  <c r="D19" i="53"/>
  <c r="D18" i="53"/>
  <c r="D17" i="53"/>
  <c r="E17" i="53" s="1"/>
  <c r="H17" i="53" s="1"/>
  <c r="C19" i="53"/>
  <c r="F19" i="53" s="1"/>
  <c r="C18" i="53"/>
  <c r="E18" i="53" s="1"/>
  <c r="C17" i="53"/>
  <c r="G16" i="53"/>
  <c r="F16" i="53"/>
  <c r="E16" i="53"/>
  <c r="G8" i="6"/>
  <c r="F19" i="52"/>
  <c r="E19" i="52"/>
  <c r="G19" i="52" s="1"/>
  <c r="E18" i="52"/>
  <c r="M12" i="50"/>
  <c r="F5" i="55"/>
  <c r="F51" i="51"/>
  <c r="J27" i="51"/>
  <c r="H19" i="55"/>
  <c r="E22" i="42"/>
  <c r="E21" i="42"/>
  <c r="E20" i="42"/>
  <c r="E19" i="42"/>
  <c r="E18" i="42"/>
  <c r="E17" i="42"/>
  <c r="E24" i="42"/>
  <c r="E23" i="42"/>
  <c r="E16" i="42"/>
  <c r="E15" i="42"/>
  <c r="E14" i="42"/>
  <c r="E13" i="42"/>
  <c r="E12" i="42"/>
  <c r="E11" i="42"/>
  <c r="B33" i="54"/>
  <c r="E10" i="42"/>
  <c r="G11" i="6"/>
  <c r="A33" i="54"/>
  <c r="A32" i="54"/>
  <c r="A31" i="54"/>
  <c r="I6" i="40" l="1"/>
  <c r="I10" i="40"/>
  <c r="I17" i="40"/>
  <c r="F18" i="40"/>
  <c r="G18" i="40" s="1"/>
  <c r="J18" i="40"/>
  <c r="I14" i="40"/>
  <c r="D19" i="40"/>
  <c r="E11" i="40"/>
  <c r="F8" i="40"/>
  <c r="G8" i="40" s="1"/>
  <c r="J8" i="40" s="1"/>
  <c r="F9" i="40"/>
  <c r="G9" i="40" s="1"/>
  <c r="J9" i="40" s="1"/>
  <c r="C11" i="40"/>
  <c r="F6" i="40"/>
  <c r="G6" i="40" s="1"/>
  <c r="J6" i="40" s="1"/>
  <c r="D11" i="40"/>
  <c r="I9" i="40"/>
  <c r="I8" i="40"/>
  <c r="F14" i="40"/>
  <c r="G14" i="40" s="1"/>
  <c r="J14" i="40" s="1"/>
  <c r="F17" i="40"/>
  <c r="G17" i="40" s="1"/>
  <c r="J17" i="40" s="1"/>
  <c r="I18" i="40"/>
  <c r="F10" i="40"/>
  <c r="G10" i="40" s="1"/>
  <c r="J10" i="40" s="1"/>
  <c r="F18" i="53"/>
  <c r="F20" i="53" s="1"/>
  <c r="D25" i="53" s="1"/>
  <c r="D20" i="53"/>
  <c r="E19" i="53"/>
  <c r="G19" i="53" s="1"/>
  <c r="G20" i="53" s="1"/>
  <c r="D26" i="53" s="1"/>
  <c r="C20" i="53"/>
  <c r="H18" i="53"/>
  <c r="F44" i="51"/>
  <c r="J19" i="51"/>
  <c r="J18" i="51"/>
  <c r="J23" i="51"/>
  <c r="K23" i="51" s="1"/>
  <c r="I19" i="40" l="1"/>
  <c r="J11" i="40"/>
  <c r="J19" i="40"/>
  <c r="I11" i="40"/>
  <c r="E20" i="53"/>
  <c r="D24" i="53" s="1"/>
  <c r="D27" i="53" s="1"/>
  <c r="D6" i="53"/>
  <c r="D8" i="53" s="1"/>
  <c r="C24" i="53"/>
  <c r="H19" i="53"/>
  <c r="H20" i="53" s="1"/>
  <c r="E6" i="53" s="1"/>
  <c r="E8" i="53" s="1"/>
  <c r="K19" i="51"/>
  <c r="K18" i="51"/>
  <c r="C6" i="56"/>
  <c r="E27" i="6" s="1"/>
  <c r="C5" i="56"/>
  <c r="E18" i="6" s="1"/>
  <c r="F10" i="55"/>
  <c r="F8" i="55"/>
  <c r="G7" i="55"/>
  <c r="F7" i="55"/>
  <c r="G11" i="55"/>
  <c r="G9" i="55"/>
  <c r="G6" i="55"/>
  <c r="F9" i="55"/>
  <c r="F6" i="55"/>
  <c r="G5" i="55"/>
  <c r="C22" i="54"/>
  <c r="C14" i="54"/>
  <c r="C4" i="54"/>
  <c r="F32" i="52"/>
  <c r="D7" i="52"/>
  <c r="D20" i="52"/>
  <c r="E17" i="52"/>
  <c r="C20" i="52"/>
  <c r="G16" i="52"/>
  <c r="F16" i="52"/>
  <c r="E16" i="52"/>
  <c r="D6" i="52" l="1"/>
  <c r="C24" i="52"/>
  <c r="F24" i="52" s="1"/>
  <c r="C27" i="53"/>
  <c r="D26" i="54"/>
  <c r="D28" i="54" s="1"/>
  <c r="F11" i="55"/>
  <c r="H11" i="55" s="1"/>
  <c r="N11" i="55" s="1"/>
  <c r="H6" i="55"/>
  <c r="N6" i="55" s="1"/>
  <c r="G8" i="55"/>
  <c r="G10" i="55"/>
  <c r="H10" i="55" s="1"/>
  <c r="N10" i="55" s="1"/>
  <c r="H9" i="55"/>
  <c r="N9" i="55" s="1"/>
  <c r="H7" i="55"/>
  <c r="N7" i="55" s="1"/>
  <c r="D8" i="52"/>
  <c r="D35" i="54" s="1"/>
  <c r="H17" i="52"/>
  <c r="F18" i="52"/>
  <c r="C27" i="52"/>
  <c r="E7" i="52"/>
  <c r="J7" i="52" s="1"/>
  <c r="J46" i="40" l="1"/>
  <c r="E21" i="6" s="1"/>
  <c r="C33" i="54"/>
  <c r="D33" i="54" s="1"/>
  <c r="C32" i="54"/>
  <c r="D32" i="54" s="1"/>
  <c r="E25" i="6" s="1"/>
  <c r="G25" i="6" s="1"/>
  <c r="C31" i="54"/>
  <c r="D31" i="54" s="1"/>
  <c r="H8" i="55"/>
  <c r="N8" i="55" s="1"/>
  <c r="F7" i="52"/>
  <c r="F20" i="52"/>
  <c r="D25" i="52" s="1"/>
  <c r="F25" i="52" s="1"/>
  <c r="G20" i="52"/>
  <c r="D26" i="52" s="1"/>
  <c r="F26" i="52" s="1"/>
  <c r="H5" i="55"/>
  <c r="H18" i="52"/>
  <c r="E20" i="52"/>
  <c r="D24" i="52" s="1"/>
  <c r="N5" i="55" l="1"/>
  <c r="N13" i="55" s="1"/>
  <c r="E23" i="6"/>
  <c r="D34" i="54"/>
  <c r="D36" i="54" s="1"/>
  <c r="H23" i="2" s="1"/>
  <c r="I23" i="2" s="1"/>
  <c r="D27" i="52"/>
  <c r="H19" i="52"/>
  <c r="H20" i="52" s="1"/>
  <c r="E6" i="52" s="1"/>
  <c r="F27" i="52"/>
  <c r="H44" i="51"/>
  <c r="J38" i="51"/>
  <c r="K38" i="51" s="1"/>
  <c r="J35" i="51"/>
  <c r="K35" i="51" s="1"/>
  <c r="J34" i="51"/>
  <c r="K34" i="51" s="1"/>
  <c r="J33" i="51"/>
  <c r="K33" i="51" s="1"/>
  <c r="J32" i="51"/>
  <c r="K32" i="51" s="1"/>
  <c r="J31" i="51"/>
  <c r="K31" i="51" s="1"/>
  <c r="J30" i="51"/>
  <c r="J29" i="51"/>
  <c r="K29" i="51" s="1"/>
  <c r="J28" i="51"/>
  <c r="K28" i="51" s="1"/>
  <c r="K27" i="51"/>
  <c r="J24" i="51"/>
  <c r="K24" i="51" s="1"/>
  <c r="J22" i="51"/>
  <c r="K22" i="51" s="1"/>
  <c r="J15" i="51"/>
  <c r="K15" i="51" s="1"/>
  <c r="J14" i="51"/>
  <c r="K14" i="51" s="1"/>
  <c r="J13" i="51"/>
  <c r="K13" i="51" s="1"/>
  <c r="J12" i="51"/>
  <c r="K12" i="51" s="1"/>
  <c r="J11" i="51"/>
  <c r="K11" i="51" s="1"/>
  <c r="J10" i="51"/>
  <c r="K10" i="51" s="1"/>
  <c r="M14" i="50"/>
  <c r="M13" i="50"/>
  <c r="M17" i="50" s="1"/>
  <c r="E8" i="52" l="1"/>
  <c r="J6" i="52"/>
  <c r="K30" i="51"/>
  <c r="K44" i="51" s="1"/>
  <c r="H20" i="55"/>
  <c r="E17" i="6" s="1"/>
  <c r="G18" i="6" s="1"/>
  <c r="H28" i="55"/>
  <c r="H30" i="55" s="1"/>
  <c r="E20" i="6" s="1"/>
  <c r="G22" i="6" s="1"/>
  <c r="M20" i="50"/>
  <c r="F6" i="52"/>
  <c r="H24" i="55"/>
  <c r="H26" i="55" s="1"/>
  <c r="E40" i="6" s="1"/>
  <c r="J44" i="51"/>
  <c r="F50" i="51" s="1"/>
  <c r="F52" i="51" s="1"/>
  <c r="E39" i="6" s="1"/>
  <c r="G39" i="6" s="1"/>
  <c r="P17" i="50"/>
  <c r="F8" i="52" l="1"/>
  <c r="F10" i="52" s="1"/>
  <c r="F12" i="52" s="1"/>
  <c r="M22" i="50"/>
  <c r="D11" i="36"/>
  <c r="D10" i="36"/>
  <c r="D9" i="36"/>
  <c r="B11" i="36"/>
  <c r="B10" i="36"/>
  <c r="B9" i="36"/>
  <c r="E9" i="42"/>
  <c r="E6" i="6" l="1"/>
  <c r="G6" i="6" s="1"/>
  <c r="P22" i="50"/>
  <c r="G40" i="6"/>
  <c r="G35" i="6"/>
  <c r="G33" i="6"/>
  <c r="G32" i="6"/>
  <c r="G31" i="6"/>
  <c r="G30" i="6"/>
  <c r="G29" i="6"/>
  <c r="G27" i="6"/>
  <c r="G26" i="6"/>
  <c r="G23" i="6"/>
  <c r="G19" i="6"/>
  <c r="G7" i="6"/>
  <c r="G54" i="6" l="1"/>
  <c r="G69" i="6" s="1"/>
  <c r="G28" i="6"/>
  <c r="G37" i="6" s="1"/>
  <c r="F10" i="36"/>
  <c r="F9" i="36"/>
  <c r="C9" i="37" l="1"/>
  <c r="F13" i="2" l="1"/>
  <c r="F11" i="2"/>
  <c r="G10" i="6" l="1"/>
  <c r="D13" i="6"/>
  <c r="D37" i="6"/>
  <c r="G50" i="6" l="1"/>
  <c r="D41" i="6"/>
  <c r="G41" i="6" l="1"/>
  <c r="G13" i="6"/>
  <c r="D43" i="6"/>
  <c r="G46" i="6" l="1"/>
  <c r="G43" i="6"/>
  <c r="G49" i="6" l="1"/>
  <c r="G53" i="6" s="1"/>
  <c r="G61" i="6"/>
  <c r="G63" i="6" s="1"/>
  <c r="G65" i="6" s="1"/>
  <c r="G68" i="6" s="1"/>
  <c r="G70" i="6" s="1"/>
  <c r="G72" i="6" s="1"/>
  <c r="G55" i="6" l="1"/>
  <c r="G57" i="6" s="1"/>
  <c r="E18" i="2" s="1"/>
  <c r="Q14" i="2" l="1"/>
  <c r="R14" i="2" s="1"/>
  <c r="S14" i="2" s="1"/>
  <c r="E13" i="2"/>
  <c r="E26" i="53" s="1"/>
  <c r="F26" i="53" s="1"/>
  <c r="E12" i="2"/>
  <c r="E25" i="53" s="1"/>
  <c r="F25" i="53" s="1"/>
  <c r="E32" i="53"/>
  <c r="F32" i="53" s="1"/>
  <c r="F7" i="53" s="1"/>
  <c r="E11" i="2"/>
  <c r="E24" i="53" l="1"/>
  <c r="F24" i="53" s="1"/>
  <c r="F27" i="53" s="1"/>
  <c r="F6" i="53" s="1"/>
  <c r="F8" i="53" s="1"/>
  <c r="F10" i="53" s="1"/>
  <c r="Q13" i="2"/>
  <c r="R13" i="2" s="1"/>
  <c r="S13" i="2" s="1"/>
  <c r="F18" i="57"/>
  <c r="G18" i="57" s="1"/>
  <c r="H18" i="57" s="1"/>
  <c r="F11" i="57"/>
  <c r="G11" i="57" s="1"/>
  <c r="H11" i="57" s="1"/>
  <c r="F23" i="42"/>
  <c r="G23" i="42" s="1"/>
  <c r="H23" i="42" s="1"/>
  <c r="F15" i="42"/>
  <c r="G15" i="42" s="1"/>
  <c r="H15" i="42" s="1"/>
  <c r="F25" i="57"/>
  <c r="G25" i="57" s="1"/>
  <c r="H25" i="57" s="1"/>
  <c r="F10" i="57"/>
  <c r="G10" i="57" s="1"/>
  <c r="H10" i="57" s="1"/>
  <c r="F22" i="42"/>
  <c r="G22" i="42" s="1"/>
  <c r="H22" i="42" s="1"/>
  <c r="F14" i="42"/>
  <c r="G14" i="42" s="1"/>
  <c r="H14" i="42" s="1"/>
  <c r="F24" i="57"/>
  <c r="G24" i="57" s="1"/>
  <c r="H24" i="57" s="1"/>
  <c r="F17" i="57"/>
  <c r="G17" i="57" s="1"/>
  <c r="H17" i="57" s="1"/>
  <c r="F21" i="42"/>
  <c r="G21" i="42" s="1"/>
  <c r="H21" i="42" s="1"/>
  <c r="F13" i="42"/>
  <c r="G13" i="42" s="1"/>
  <c r="H13" i="42" s="1"/>
  <c r="F23" i="57"/>
  <c r="G23" i="57" s="1"/>
  <c r="H23" i="57" s="1"/>
  <c r="F16" i="57"/>
  <c r="G16" i="57" s="1"/>
  <c r="H16" i="57" s="1"/>
  <c r="F20" i="42"/>
  <c r="G20" i="42" s="1"/>
  <c r="H20" i="42" s="1"/>
  <c r="F12" i="42"/>
  <c r="G12" i="42" s="1"/>
  <c r="H12" i="42" s="1"/>
  <c r="F15" i="57"/>
  <c r="G15" i="57" s="1"/>
  <c r="H15" i="57" s="1"/>
  <c r="F19" i="42"/>
  <c r="G19" i="42" s="1"/>
  <c r="H19" i="42" s="1"/>
  <c r="F11" i="42"/>
  <c r="G11" i="42" s="1"/>
  <c r="H11" i="42" s="1"/>
  <c r="F21" i="57"/>
  <c r="G21" i="57" s="1"/>
  <c r="H21" i="57" s="1"/>
  <c r="F14" i="57"/>
  <c r="G14" i="57" s="1"/>
  <c r="H14" i="57" s="1"/>
  <c r="F18" i="42"/>
  <c r="G18" i="42" s="1"/>
  <c r="H18" i="42" s="1"/>
  <c r="F10" i="42"/>
  <c r="G10" i="42" s="1"/>
  <c r="H10" i="42" s="1"/>
  <c r="F20" i="57"/>
  <c r="G20" i="57" s="1"/>
  <c r="H20" i="57" s="1"/>
  <c r="F13" i="57"/>
  <c r="G13" i="57" s="1"/>
  <c r="H13" i="57" s="1"/>
  <c r="F17" i="42"/>
  <c r="G17" i="42" s="1"/>
  <c r="H17" i="42" s="1"/>
  <c r="F9" i="42"/>
  <c r="G9" i="42" s="1"/>
  <c r="H9" i="42" s="1"/>
  <c r="F19" i="57"/>
  <c r="G19" i="57" s="1"/>
  <c r="H19" i="57" s="1"/>
  <c r="F12" i="57"/>
  <c r="G12" i="57" s="1"/>
  <c r="H12" i="57" s="1"/>
  <c r="F24" i="42"/>
  <c r="G24" i="42" s="1"/>
  <c r="H24" i="42" s="1"/>
  <c r="F16" i="42"/>
  <c r="G16" i="42" s="1"/>
  <c r="H16" i="42" s="1"/>
  <c r="F22" i="57"/>
  <c r="G22" i="57" s="1"/>
  <c r="H22" i="57" s="1"/>
  <c r="H13" i="2"/>
  <c r="E11" i="36"/>
  <c r="H12" i="2"/>
  <c r="I12" i="2" s="1"/>
  <c r="E10" i="36"/>
  <c r="E9" i="36"/>
  <c r="D9" i="37"/>
  <c r="H18" i="2"/>
  <c r="I18" i="2" s="1"/>
  <c r="H11" i="2"/>
  <c r="I11" i="2" s="1"/>
  <c r="G11" i="36" l="1"/>
  <c r="H11" i="36" s="1"/>
  <c r="I13" i="2"/>
  <c r="G9" i="36"/>
  <c r="H9" i="36" s="1"/>
  <c r="G10" i="36"/>
  <c r="H10" i="36" s="1"/>
  <c r="E9" i="37"/>
  <c r="F9" i="37" s="1"/>
</calcChain>
</file>

<file path=xl/sharedStrings.xml><?xml version="1.0" encoding="utf-8"?>
<sst xmlns="http://schemas.openxmlformats.org/spreadsheetml/2006/main" count="669" uniqueCount="402">
  <si>
    <t>Total Operating Expenses</t>
  </si>
  <si>
    <t>Taxes Other Than Income</t>
  </si>
  <si>
    <t>Salaries and Wages - Employees</t>
  </si>
  <si>
    <t>Salaries and Wages - Officers</t>
  </si>
  <si>
    <t>Employee Pensions and Benefits</t>
  </si>
  <si>
    <t>Purchased Water</t>
  </si>
  <si>
    <t>Purchased Power</t>
  </si>
  <si>
    <t>Materials and Supplies</t>
  </si>
  <si>
    <t>Miscellaneous Expenses</t>
  </si>
  <si>
    <t>Proposed</t>
  </si>
  <si>
    <t>Percent</t>
  </si>
  <si>
    <t>Interest Income</t>
  </si>
  <si>
    <t>Total</t>
  </si>
  <si>
    <t>Gallons</t>
  </si>
  <si>
    <t>Operating Revenues</t>
  </si>
  <si>
    <t>Sales for Resale</t>
  </si>
  <si>
    <t>Other Water Revenues:</t>
  </si>
  <si>
    <t>Misc. Service Revenues</t>
  </si>
  <si>
    <t>Total Operating Revenues</t>
  </si>
  <si>
    <t>Operating Expenses</t>
  </si>
  <si>
    <t>Depreciation Expense</t>
  </si>
  <si>
    <t>Plus:</t>
  </si>
  <si>
    <t>Less:</t>
  </si>
  <si>
    <t>Other Operating Revenue</t>
  </si>
  <si>
    <t>Existing</t>
  </si>
  <si>
    <t>Change</t>
  </si>
  <si>
    <t>No. of Gallons per Month</t>
  </si>
  <si>
    <t>Table A</t>
  </si>
  <si>
    <t>SCHEDULE OF ADJUSTED OPERATIONS</t>
  </si>
  <si>
    <t>Test Year</t>
  </si>
  <si>
    <t>Adjustments</t>
  </si>
  <si>
    <t>Ref.</t>
  </si>
  <si>
    <t>Proforma</t>
  </si>
  <si>
    <t>Operation and Maintenance</t>
  </si>
  <si>
    <t>Total Operation and Mnt. Expenses</t>
  </si>
  <si>
    <t>Total Utility Operating Income</t>
  </si>
  <si>
    <t>Pro Forma Operating Expenses</t>
  </si>
  <si>
    <t>Adjustment</t>
  </si>
  <si>
    <t>Forfeited Discounts</t>
  </si>
  <si>
    <t>DEPRECIATION EXPENSE ADJUSTMENTS</t>
  </si>
  <si>
    <t>Depreciation</t>
  </si>
  <si>
    <t>Date in</t>
  </si>
  <si>
    <t>Original</t>
  </si>
  <si>
    <t>Expense</t>
  </si>
  <si>
    <t>Service</t>
  </si>
  <si>
    <t>Life</t>
  </si>
  <si>
    <t>Depr. Exp.</t>
  </si>
  <si>
    <t>SUMMARY</t>
  </si>
  <si>
    <t>FIRST</t>
  </si>
  <si>
    <t>ALL OVER</t>
  </si>
  <si>
    <t>USAGE</t>
  </si>
  <si>
    <t>BILLS</t>
  </si>
  <si>
    <t>GALLONS</t>
  </si>
  <si>
    <t>TOTAL</t>
  </si>
  <si>
    <t>RATE</t>
  </si>
  <si>
    <t>REVENUE</t>
  </si>
  <si>
    <t>Increase</t>
  </si>
  <si>
    <t>CURRENT AND PROPOSED RATES</t>
  </si>
  <si>
    <t>Current</t>
  </si>
  <si>
    <t>MONTHLY WATER RATES</t>
  </si>
  <si>
    <t>Dollar</t>
  </si>
  <si>
    <t>Charge per 1,000 Gals.</t>
  </si>
  <si>
    <t>No. of Gallons per Month:</t>
  </si>
  <si>
    <t>For all Water Purchased</t>
  </si>
  <si>
    <t>Wholesale Rate for All Wholesale Customers</t>
  </si>
  <si>
    <t xml:space="preserve">  RETAIL RATES  </t>
  </si>
  <si>
    <t>Private Fire Protection</t>
  </si>
  <si>
    <t>Other Water Revenues</t>
  </si>
  <si>
    <t>Insurance - Other</t>
  </si>
  <si>
    <t>Revenue Required From Sales of Water</t>
  </si>
  <si>
    <t>Revenue from Sales with Present Rates</t>
  </si>
  <si>
    <t>Total Revenue Requirement</t>
  </si>
  <si>
    <t>Required Revenue Increase</t>
  </si>
  <si>
    <t>Percent Increase</t>
  </si>
  <si>
    <t>various</t>
  </si>
  <si>
    <t>Meter</t>
  </si>
  <si>
    <t>Difference</t>
  </si>
  <si>
    <t>Bill</t>
  </si>
  <si>
    <t>Percentage</t>
  </si>
  <si>
    <t>Size</t>
  </si>
  <si>
    <t>5/8 x 3/4"</t>
  </si>
  <si>
    <t>TOTALS</t>
  </si>
  <si>
    <t>REVENUE FROM WHOLESALE SALES</t>
  </si>
  <si>
    <t>per Month*</t>
  </si>
  <si>
    <t>* Highlighted usage represents the average residential bill.</t>
  </si>
  <si>
    <t>Chemicals</t>
  </si>
  <si>
    <t>For all Water Sold</t>
  </si>
  <si>
    <t>Monthly Rates for Water Usage</t>
  </si>
  <si>
    <t>Salaries &amp; Wages and Associated Adjustments</t>
  </si>
  <si>
    <t>Pro Forma</t>
  </si>
  <si>
    <t xml:space="preserve">Pro Forma </t>
  </si>
  <si>
    <t>Employee</t>
  </si>
  <si>
    <t>Reg. Hrs</t>
  </si>
  <si>
    <t>O. T. Hours</t>
  </si>
  <si>
    <t>Wage Rate</t>
  </si>
  <si>
    <t>Reg. Wages</t>
  </si>
  <si>
    <t>O. T. Wages</t>
  </si>
  <si>
    <t>Wages</t>
  </si>
  <si>
    <t>Pro Forma Salaries &amp; Wages Expense</t>
  </si>
  <si>
    <t>Pro Forma Salaries &amp; Wages Adj'mt</t>
  </si>
  <si>
    <t xml:space="preserve"> </t>
  </si>
  <si>
    <t>Times: 7.65 Percent FICA Rate</t>
  </si>
  <si>
    <t>Pro Forma Payroll Taxes</t>
  </si>
  <si>
    <t>Less: Test Year Payroll Taxes</t>
  </si>
  <si>
    <t>Payroll Tax Adjustment</t>
  </si>
  <si>
    <t>Total Pro Forma Pension Contribution</t>
  </si>
  <si>
    <t>Less: Test Year Pension Contribution</t>
  </si>
  <si>
    <t>Pension &amp; Benefits Adjustment</t>
  </si>
  <si>
    <t>Average Annual Principal and Interest Payments</t>
  </si>
  <si>
    <t>Additional Working Capital</t>
  </si>
  <si>
    <t>Table B</t>
  </si>
  <si>
    <t>DEBT SERVICE SCHDULE</t>
  </si>
  <si>
    <t>CY 2026</t>
  </si>
  <si>
    <t>Interest</t>
  </si>
  <si>
    <t>Principal</t>
  </si>
  <si>
    <t>&amp; Fees</t>
  </si>
  <si>
    <t>Average Annual Principal &amp; Interest</t>
  </si>
  <si>
    <t>Average Annual Coverage</t>
  </si>
  <si>
    <t>General Plant</t>
  </si>
  <si>
    <t>Pumping Plant</t>
  </si>
  <si>
    <t>Transmission &amp; Distribution Plant</t>
  </si>
  <si>
    <t>Transportation Equipment</t>
  </si>
  <si>
    <t>Asset</t>
  </si>
  <si>
    <t>Structures &amp; Improvements</t>
  </si>
  <si>
    <t>Communication &amp; Computer Eqmt.</t>
  </si>
  <si>
    <t>Office Furniture &amp; Equipment</t>
  </si>
  <si>
    <t>Power Operated Equipment</t>
  </si>
  <si>
    <t>Tools, Shop, &amp; Garage Equipment</t>
  </si>
  <si>
    <t>Tank Repairs &amp; Painting</t>
  </si>
  <si>
    <t>Telemetry</t>
  </si>
  <si>
    <t>Pumping Equipment</t>
  </si>
  <si>
    <t>Hydrants</t>
  </si>
  <si>
    <t>Transmission &amp; Distribution Mains</t>
  </si>
  <si>
    <t>Meter Installations</t>
  </si>
  <si>
    <t>Meter Change-outs</t>
  </si>
  <si>
    <t>Pump Equipment</t>
  </si>
  <si>
    <t>Tank Fence</t>
  </si>
  <si>
    <t>Services</t>
  </si>
  <si>
    <t>Reservoirs &amp; Tanks</t>
  </si>
  <si>
    <t>Tank Painting &amp; Repairs</t>
  </si>
  <si>
    <t>Entire Group</t>
  </si>
  <si>
    <t xml:space="preserve">              *  Includes only costs associated with assets that contributed to depreciation expense in the test year.</t>
  </si>
  <si>
    <t>Cost *</t>
  </si>
  <si>
    <t>Reported</t>
  </si>
  <si>
    <t>varies</t>
  </si>
  <si>
    <t>RETAIL</t>
  </si>
  <si>
    <t>WHOLESALE</t>
  </si>
  <si>
    <t>RETAIL USAGE BY RATE INCREMENT</t>
  </si>
  <si>
    <t>THOUSAND</t>
  </si>
  <si>
    <t>NEXT</t>
  </si>
  <si>
    <t>RETAIL REVENUE BY RATE INCREMENT</t>
  </si>
  <si>
    <t>THOUSAND GALLONS</t>
  </si>
  <si>
    <t>Wholesale</t>
  </si>
  <si>
    <t>Water Loss Adjustment</t>
  </si>
  <si>
    <t>Uses:</t>
  </si>
  <si>
    <t xml:space="preserve">  water loss percentage</t>
  </si>
  <si>
    <t xml:space="preserve">  allowable in rates</t>
  </si>
  <si>
    <t xml:space="preserve">  adjustment percentage</t>
  </si>
  <si>
    <t>Produced</t>
  </si>
  <si>
    <t>Purchased</t>
  </si>
  <si>
    <t>Total Produced and Purchased</t>
  </si>
  <si>
    <t>Total Other Water Used</t>
  </si>
  <si>
    <t>Losses:</t>
  </si>
  <si>
    <t xml:space="preserve">   WTP</t>
  </si>
  <si>
    <t xml:space="preserve">   Flushing</t>
  </si>
  <si>
    <t xml:space="preserve">   Fire</t>
  </si>
  <si>
    <t xml:space="preserve">   Other</t>
  </si>
  <si>
    <t xml:space="preserve">   Tank O.F.</t>
  </si>
  <si>
    <t xml:space="preserve">   Line Brks.</t>
  </si>
  <si>
    <t xml:space="preserve">   Line Leaks</t>
  </si>
  <si>
    <t xml:space="preserve">   Unknown</t>
  </si>
  <si>
    <t>Total Losses:</t>
  </si>
  <si>
    <t>Sold, Used, and Lost</t>
  </si>
  <si>
    <t>Total Gross Wages</t>
  </si>
  <si>
    <t>D</t>
  </si>
  <si>
    <t>E</t>
  </si>
  <si>
    <t>COMPONENT</t>
  </si>
  <si>
    <t>TOTAL METERED WATER SALES</t>
  </si>
  <si>
    <t>LESS ADJUSTMENTS</t>
  </si>
  <si>
    <t>FROM PSC ANNUAL REPORT</t>
  </si>
  <si>
    <t>DIFFERENCE</t>
  </si>
  <si>
    <t>F</t>
  </si>
  <si>
    <t>H</t>
  </si>
  <si>
    <t>Labor and Materials Adjustment for New Service Installations</t>
  </si>
  <si>
    <t xml:space="preserve">Labor </t>
  </si>
  <si>
    <t xml:space="preserve">Materials </t>
  </si>
  <si>
    <t>New Meter Fees Collected</t>
  </si>
  <si>
    <t>Medical Insurance Adjustment</t>
  </si>
  <si>
    <t>MONTHLY</t>
  </si>
  <si>
    <t>EMPLOYEE</t>
  </si>
  <si>
    <t>PREMIUM</t>
  </si>
  <si>
    <t>CONTRIB</t>
  </si>
  <si>
    <t>CONTRIB %</t>
  </si>
  <si>
    <t>Premium</t>
  </si>
  <si>
    <t>Source of Supply Plant</t>
  </si>
  <si>
    <t>Collecting &amp; Impounding Reservoirs</t>
  </si>
  <si>
    <t>Supply Mains</t>
  </si>
  <si>
    <t>Allowed Depreciation</t>
  </si>
  <si>
    <t>Less: Reported Depreciation</t>
  </si>
  <si>
    <t>Adjustment to Allowed Depreciation</t>
  </si>
  <si>
    <t>``</t>
  </si>
  <si>
    <t>Pension</t>
  </si>
  <si>
    <t>Eligible</t>
  </si>
  <si>
    <t>TABLE D</t>
  </si>
  <si>
    <t>WATER LOSS REDUCTION SURCHARGE</t>
  </si>
  <si>
    <t>Amount per Customer</t>
  </si>
  <si>
    <t>per month</t>
  </si>
  <si>
    <t>Total Adjustment</t>
  </si>
  <si>
    <t>Monthly Surcharge Amount</t>
  </si>
  <si>
    <t>CURRENT AND PROPOSED BILLS</t>
  </si>
  <si>
    <t>/ Number of Bills</t>
  </si>
  <si>
    <t>TABLE E</t>
  </si>
  <si>
    <t xml:space="preserve">   Excavation Damages</t>
  </si>
  <si>
    <t>First 2,000 Gallons</t>
  </si>
  <si>
    <t>Lake Village Water Association</t>
  </si>
  <si>
    <t>Computation of Adjustment:</t>
  </si>
  <si>
    <t>LAKE VILLAGE WATER ASSOCIATION</t>
  </si>
  <si>
    <t>Rate per Thousand Gallons per Month</t>
  </si>
  <si>
    <t>WHOLESALE WATER RATE</t>
  </si>
  <si>
    <t>LAKE VILLAGE WATER ASSOCATION</t>
  </si>
  <si>
    <t>Next 18,000 Gallons</t>
  </si>
  <si>
    <t>Over 20,000 Gallons</t>
  </si>
  <si>
    <t>Executive Director</t>
  </si>
  <si>
    <t>Office Manager</t>
  </si>
  <si>
    <t>Maintenance Supervisor</t>
  </si>
  <si>
    <t>Distribution/Collection Operator</t>
  </si>
  <si>
    <t>Billing Clerk</t>
  </si>
  <si>
    <t>Operator-in-Training</t>
  </si>
  <si>
    <t>No. in</t>
  </si>
  <si>
    <t>Ea. Teir</t>
  </si>
  <si>
    <t>`</t>
  </si>
  <si>
    <t>Lake Village Water Association, Inc.</t>
  </si>
  <si>
    <t>Lake Village Water Assocation, Inc.</t>
  </si>
  <si>
    <t>Less Adjustments</t>
  </si>
  <si>
    <t>Net Metered Water Sales</t>
  </si>
  <si>
    <t>UTILITY</t>
  </si>
  <si>
    <t xml:space="preserve">TOTAL </t>
  </si>
  <si>
    <t>Annual</t>
  </si>
  <si>
    <t>Utility Share</t>
  </si>
  <si>
    <t>NET METERED WATER SALES</t>
  </si>
  <si>
    <t>*Note: Revenues not adjusted because tapping fees collected</t>
  </si>
  <si>
    <t>are closed out to Statement of Member Equity</t>
  </si>
  <si>
    <t>MEDICAL</t>
  </si>
  <si>
    <t>DENTAL</t>
  </si>
  <si>
    <t>AFLAC</t>
  </si>
  <si>
    <t>Two Person MS</t>
  </si>
  <si>
    <t>Single CH</t>
  </si>
  <si>
    <t>Single RM</t>
  </si>
  <si>
    <t>ANTHEM</t>
  </si>
  <si>
    <t>Single LP</t>
  </si>
  <si>
    <t>A</t>
  </si>
  <si>
    <t>B</t>
  </si>
  <si>
    <t>C</t>
  </si>
  <si>
    <t>I</t>
  </si>
  <si>
    <t>G</t>
  </si>
  <si>
    <t>Increase in salaries and wages.</t>
  </si>
  <si>
    <t>Decrease labor attributable to tapping fees.</t>
  </si>
  <si>
    <t>Decrease materials attributable to tapping fees.</t>
  </si>
  <si>
    <t>Increase in management fee charged to Mercer County Sanitation District.</t>
  </si>
  <si>
    <t>Increase in employer portion of pension contribution.</t>
  </si>
  <si>
    <t>Decrease depreciation to allowed useful lives.</t>
  </si>
  <si>
    <t>Increase in employer portion of FICA taxes.</t>
  </si>
  <si>
    <t>J</t>
  </si>
  <si>
    <t>K</t>
  </si>
  <si>
    <t>L</t>
  </si>
  <si>
    <t>Average of next five years annual debt service payments.</t>
  </si>
  <si>
    <t>Twenty percent of average of next five years debt service payments.</t>
  </si>
  <si>
    <t>WITH WATER LOSS REDUCTION SURCHARGE</t>
  </si>
  <si>
    <t>CY 2027</t>
  </si>
  <si>
    <t>CY 2028</t>
  </si>
  <si>
    <t>CY 2029</t>
  </si>
  <si>
    <t>CY 2030</t>
  </si>
  <si>
    <t>CY 2026 - 2030</t>
  </si>
  <si>
    <t>Amortization rate case expense</t>
  </si>
  <si>
    <t>3 year amortization of rate case expense ($13,480)</t>
  </si>
  <si>
    <t>48 months or until $171,220 effective 11/10/23, case 23-321</t>
  </si>
  <si>
    <t>4 years</t>
  </si>
  <si>
    <t>cost per year</t>
  </si>
  <si>
    <t>Residential</t>
  </si>
  <si>
    <t>Commercial</t>
  </si>
  <si>
    <t>Sales to Commercial Customers</t>
  </si>
  <si>
    <t>Sales to Residential Customers</t>
  </si>
  <si>
    <t>Contractual Services - Eng</t>
  </si>
  <si>
    <t>Contractual Services - Acct.</t>
  </si>
  <si>
    <t>Contractual Services - Legal</t>
  </si>
  <si>
    <t>Transportation</t>
  </si>
  <si>
    <t>Insurance - Vehicle</t>
  </si>
  <si>
    <t>Insurance - General liability</t>
  </si>
  <si>
    <t>2024 AR pg.20</t>
  </si>
  <si>
    <t>USAGE 2024</t>
  </si>
  <si>
    <t>Block</t>
  </si>
  <si>
    <t>Bills</t>
  </si>
  <si>
    <t>2024 Billing adjustments(Adjustments-2,953.13, Correct Billing -7,449.28, Leak Adj. -28,876.97)</t>
  </si>
  <si>
    <t>ADJUSTMENT TO SAO BILLED REVENUES</t>
  </si>
  <si>
    <t>Rita Monson</t>
  </si>
  <si>
    <t>Lorne Patterson</t>
  </si>
  <si>
    <t>Colby Harper</t>
  </si>
  <si>
    <t>Evan May</t>
  </si>
  <si>
    <t>Increase metered sales to billing analysis total.</t>
  </si>
  <si>
    <t xml:space="preserve">2024 Annual Report </t>
  </si>
  <si>
    <t>page 56</t>
  </si>
  <si>
    <t>Total Sales</t>
  </si>
  <si>
    <t>CURRENT BILLING ANALYSIS WITH 2024 USAGE &amp; EXISTING RATES</t>
  </si>
  <si>
    <t>CURRENT BILLING ANALYSIS WITH 2024 USAGE &amp; PROPOSED RATES</t>
  </si>
  <si>
    <t>RATE PER THOUSAND</t>
  </si>
  <si>
    <t>Case No. 2022-00068</t>
  </si>
  <si>
    <t>Two Person</t>
  </si>
  <si>
    <t xml:space="preserve">Family </t>
  </si>
  <si>
    <t xml:space="preserve">Single   </t>
  </si>
  <si>
    <t>Vision</t>
  </si>
  <si>
    <t>Life- MetLife</t>
  </si>
  <si>
    <t>Michael Sanford</t>
  </si>
  <si>
    <t>Jonathan Whitenack</t>
  </si>
  <si>
    <t>ACC</t>
  </si>
  <si>
    <t>SPEVNT</t>
  </si>
  <si>
    <t>CANCER</t>
  </si>
  <si>
    <t>POLICY</t>
  </si>
  <si>
    <t>TYPE</t>
  </si>
  <si>
    <t>RD 91-11</t>
  </si>
  <si>
    <t>RD 91-12</t>
  </si>
  <si>
    <t>KRWFC 2015C</t>
  </si>
  <si>
    <t>KRWFC 2021B</t>
  </si>
  <si>
    <t>References</t>
  </si>
  <si>
    <t>Decrease in pension benefits to reflect change in salaries and current contribution rates.</t>
  </si>
  <si>
    <t>TOTAL CURRENT UTILITY SHARE OF MEDICAL, DENTAL, VISION AND LIFE INSURANCE PROFORMA ANNUAL PREMIUM</t>
  </si>
  <si>
    <t>LESS: MEDICAL, DENTAL, VISION AND LIFE INSURANCE PREMIUM PAID IN TEST YEAR</t>
  </si>
  <si>
    <t>INCREASE IN UTILITY SHARE OF MEDICAL, DENTAL, VISION AND LIFE INSURANCE PREMIUM OVER TEST YEAR</t>
  </si>
  <si>
    <t>Exclude purchased water expense for water above 15% water loss.</t>
  </si>
  <si>
    <t>Commissioners</t>
  </si>
  <si>
    <t>Pro Forma Salaries and Commissioners Wage Expense</t>
  </si>
  <si>
    <t>23 new taps at $895 each</t>
  </si>
  <si>
    <t>JAN - Dec 2024</t>
  </si>
  <si>
    <t>SEP</t>
  </si>
  <si>
    <t>x12</t>
  </si>
  <si>
    <t>Less: 2024 Test Year Salaries &amp; Wages Exp</t>
  </si>
  <si>
    <t>Colonial</t>
  </si>
  <si>
    <t>Met life</t>
  </si>
  <si>
    <t>Emp Ins</t>
  </si>
  <si>
    <t>Account 52035- 2024 Quick Report</t>
  </si>
  <si>
    <t>Trans. AM</t>
  </si>
  <si>
    <t>Colonial Life Ins</t>
  </si>
  <si>
    <t>Source 11/14/25 email</t>
  </si>
  <si>
    <t>Reclassify utilities included in Miscellaneous expenses</t>
  </si>
  <si>
    <t>Reclassify utilities to purchase power expense</t>
  </si>
  <si>
    <t>Exclude purchased power expense for water above 15% water loss.</t>
  </si>
  <si>
    <t xml:space="preserve"> CONTRIBUTION-Eligible wages times 10%</t>
  </si>
  <si>
    <t>Amount</t>
  </si>
  <si>
    <t xml:space="preserve">Approved in </t>
  </si>
  <si>
    <t>case</t>
  </si>
  <si>
    <t>2014-00445</t>
  </si>
  <si>
    <t>2016-00153</t>
  </si>
  <si>
    <t>2021-00020</t>
  </si>
  <si>
    <t>2023-00107</t>
  </si>
  <si>
    <t>Increase in cost of medical and dental insurance.</t>
  </si>
  <si>
    <t>Lake Village WA provides management to Mercer County Sanitation District the contracted fee increased from $42,500 to $65,000 a $22,500 increase</t>
  </si>
  <si>
    <t>The utility's test year water loss was 17.82 percent. The PSC's maximum allowable loss for rate-making purposes in 15.0 percent. Therefore, the expenses for purchased water and purchased power above the 15 percent limit is not allowed in the rate base and must be deducted. Purchased water  expense was decreased by $17,737 and Purchased power expense was decreased by $320,</t>
  </si>
  <si>
    <t>The utility collected $20,585 in tapping fees in 2024. These taps were installed by the utility and were recorded as labor and material expenses.  Labor expense has been reduced by $6,176 or 30% of the tapping fees while materials and supplies expense has been reduced by $14,410 or 70% of the tapping fees.</t>
  </si>
  <si>
    <t>Divided by:  Operating Ratio</t>
  </si>
  <si>
    <t>Subtotal</t>
  </si>
  <si>
    <t>Plus: Interest Expense</t>
  </si>
  <si>
    <t>REVENUE REQUIREMENTS USING OPERATING RATIO METHOD</t>
  </si>
  <si>
    <t>Five yr. Average interest expense</t>
  </si>
  <si>
    <t>Debt Service Cell m26</t>
  </si>
  <si>
    <t>Bonus</t>
  </si>
  <si>
    <t>Yes</t>
  </si>
  <si>
    <t>REVENUE REQUIREMENTS USING DEBT SERVICE COVERAGE METHOD</t>
  </si>
  <si>
    <t>Tab Debt Service Cell M20</t>
  </si>
  <si>
    <t>Tab Debt Service Cell M22</t>
  </si>
  <si>
    <t>AFLAC INS. - PAYROLL DEDUCTED</t>
  </si>
  <si>
    <t>%</t>
  </si>
  <si>
    <t>Contribution</t>
  </si>
  <si>
    <t>PTO</t>
  </si>
  <si>
    <t>Hours</t>
  </si>
  <si>
    <t>SAO cell d17</t>
  </si>
  <si>
    <t>SAO cell d39</t>
  </si>
  <si>
    <t>Increase in employee health insurance</t>
  </si>
  <si>
    <t xml:space="preserve">Increase in purchased Power expense due to misclassification of $11,382 to Miscellanious expense. </t>
  </si>
  <si>
    <t xml:space="preserve">Amortization of rate case expense over 3 years ($13,480 / 3= $4,493) </t>
  </si>
  <si>
    <t>The PSC requires adjustments to a water utility's depreciation expense when asset lives fall outside the ranges recommended by NARUC in its publication titled "Depreciation Practices for small utilities".  Therefore, adjustments are included to bring asset lives to the midpoint of the recommended ranges, depreciation expense was reduced by $96,223. See Table A.</t>
  </si>
  <si>
    <t>Reference</t>
  </si>
  <si>
    <t>M</t>
  </si>
  <si>
    <t>Revenue requirements were computed using the Debt Service Coverage Method.  Annual debt service payments for the utility's debt are shown in Table B. the five-year average of these payments $310,265 is added in the revenue requirement calculation.</t>
  </si>
  <si>
    <t>The amount of $62,053 is included in the revenue requirement as additional working capital.  The amount shown in Table B for coverage on long term debt is required by the utility's loan documents.</t>
  </si>
  <si>
    <t>***Not used***</t>
  </si>
  <si>
    <t>Effective 10/4/22 for 48 months or until $171,220 is collected</t>
  </si>
  <si>
    <t>Adjustment to revenues to match 2024 billing analysis with current rates.</t>
  </si>
  <si>
    <t>Increase in individual employee wage rates</t>
  </si>
  <si>
    <t>Increased wages results in an increase to payroll taxes of $471.</t>
  </si>
  <si>
    <t>Minimum Bill</t>
  </si>
  <si>
    <t>Per 1,000 gallons</t>
  </si>
  <si>
    <t xml:space="preserve"> Existing </t>
  </si>
  <si>
    <t xml:space="preserve"> Proposed </t>
  </si>
  <si>
    <t xml:space="preserve"> Bill </t>
  </si>
  <si>
    <t xml:space="preserve"> Change </t>
  </si>
  <si>
    <t xml:space="preserve"> Percentage </t>
  </si>
  <si>
    <t>Wholesale Customer</t>
  </si>
  <si>
    <t>Retail Customer</t>
  </si>
  <si>
    <t>Usage</t>
  </si>
  <si>
    <t xml:space="preserve"> Bill</t>
  </si>
  <si>
    <t>Average</t>
  </si>
  <si>
    <t>Customer</t>
  </si>
  <si>
    <t>WLRS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</si>
</sst>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 numFmtId="167" formatCode="0.0%"/>
    <numFmt numFmtId="168" formatCode="_(* #,##0.0_);_(* \(#,##0.0\);_(* &quot;-&quot;??_);_(@_)"/>
    <numFmt numFmtId="169" formatCode="mm/dd/yy;@"/>
    <numFmt numFmtId="170" formatCode="_([$$-409]* #,##0.00_);_([$$-409]* \(#,##0.00\);_([$$-409]* &quot;-&quot;??_);_(@_)"/>
  </numFmts>
  <fonts count="4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2"/>
      <name val="Arial"/>
      <family val="2"/>
    </font>
    <font>
      <sz val="11"/>
      <name val="Calibri"/>
      <family val="2"/>
      <scheme val="minor"/>
    </font>
    <font>
      <b/>
      <sz val="14"/>
      <name val="Calibri"/>
      <family val="2"/>
      <scheme val="minor"/>
    </font>
    <font>
      <b/>
      <u/>
      <sz val="14"/>
      <name val="Calibri"/>
      <family val="2"/>
      <scheme val="minor"/>
    </font>
    <font>
      <u/>
      <sz val="11"/>
      <name val="Calibri"/>
      <family val="2"/>
      <scheme val="minor"/>
    </font>
    <font>
      <b/>
      <sz val="11"/>
      <name val="Calibri"/>
      <family val="2"/>
      <scheme val="minor"/>
    </font>
    <font>
      <b/>
      <u/>
      <sz val="11"/>
      <name val="Calibri"/>
      <family val="2"/>
      <scheme val="minor"/>
    </font>
    <font>
      <u val="singleAccounting"/>
      <sz val="11"/>
      <name val="Calibri"/>
      <family val="2"/>
      <scheme val="minor"/>
    </font>
    <font>
      <b/>
      <u val="singleAccounting"/>
      <sz val="11"/>
      <name val="Calibri"/>
      <family val="2"/>
      <scheme val="minor"/>
    </font>
    <font>
      <b/>
      <u/>
      <sz val="12"/>
      <name val="Calibri"/>
      <family val="2"/>
      <scheme val="minor"/>
    </font>
    <font>
      <b/>
      <sz val="12"/>
      <name val="Calibri"/>
      <family val="2"/>
      <scheme val="minor"/>
    </font>
    <font>
      <sz val="8"/>
      <color rgb="FFFF0000"/>
      <name val="Calibri"/>
      <family val="2"/>
      <scheme val="minor"/>
    </font>
    <font>
      <b/>
      <sz val="11"/>
      <color rgb="FFFF0000"/>
      <name val="Calibri"/>
      <family val="2"/>
      <scheme val="minor"/>
    </font>
    <font>
      <sz val="10"/>
      <name val="Calibri"/>
      <family val="2"/>
      <scheme val="minor"/>
    </font>
    <font>
      <u/>
      <sz val="10"/>
      <name val="Calibri"/>
      <family val="2"/>
      <scheme val="minor"/>
    </font>
    <font>
      <b/>
      <i/>
      <u val="singleAccounting"/>
      <sz val="14"/>
      <name val="Calibri"/>
      <family val="2"/>
      <scheme val="minor"/>
    </font>
    <font>
      <b/>
      <sz val="8"/>
      <color rgb="FF00B050"/>
      <name val="Calibri"/>
      <family val="2"/>
      <scheme val="minor"/>
    </font>
    <font>
      <sz val="11"/>
      <color theme="1"/>
      <name val="Calibri"/>
      <family val="2"/>
      <scheme val="minor"/>
    </font>
    <font>
      <b/>
      <sz val="11"/>
      <color rgb="FF00B050"/>
      <name val="Calibri"/>
      <family val="2"/>
      <scheme val="minor"/>
    </font>
    <font>
      <sz val="8"/>
      <name val="Calibri"/>
      <family val="2"/>
      <scheme val="minor"/>
    </font>
    <font>
      <b/>
      <u/>
      <sz val="11"/>
      <color rgb="FFC00000"/>
      <name val="Calibri"/>
      <family val="2"/>
      <scheme val="minor"/>
    </font>
    <font>
      <u/>
      <sz val="11"/>
      <color theme="1"/>
      <name val="Calibri"/>
      <family val="2"/>
      <scheme val="minor"/>
    </font>
    <font>
      <b/>
      <sz val="16"/>
      <name val="Calibri"/>
      <family val="2"/>
      <scheme val="minor"/>
    </font>
    <font>
      <b/>
      <u/>
      <sz val="16"/>
      <name val="Calibri"/>
      <family val="2"/>
      <scheme val="minor"/>
    </font>
    <font>
      <b/>
      <sz val="10"/>
      <name val="Calibri"/>
      <family val="2"/>
      <scheme val="minor"/>
    </font>
    <font>
      <sz val="11"/>
      <name val="Arial"/>
      <family val="2"/>
    </font>
    <font>
      <b/>
      <i/>
      <u/>
      <sz val="14"/>
      <name val="Calibri"/>
      <family val="2"/>
      <scheme val="minor"/>
    </font>
    <font>
      <b/>
      <sz val="11"/>
      <color rgb="FF000000"/>
      <name val="Calibri"/>
      <family val="2"/>
    </font>
    <font>
      <sz val="8"/>
      <name val="Arial"/>
      <family val="2"/>
    </font>
    <font>
      <u/>
      <sz val="12"/>
      <name val="Arial"/>
      <family val="2"/>
    </font>
    <font>
      <b/>
      <sz val="14"/>
      <name val="Arial"/>
      <family val="2"/>
    </font>
    <font>
      <b/>
      <sz val="11"/>
      <name val="Arial"/>
      <family val="2"/>
    </font>
    <font>
      <b/>
      <u/>
      <sz val="14"/>
      <name val="Arial"/>
      <family val="2"/>
    </font>
    <font>
      <b/>
      <u/>
      <sz val="11"/>
      <name val="Arial"/>
      <family val="2"/>
    </font>
    <font>
      <b/>
      <sz val="12"/>
      <name val="Arial"/>
      <family val="2"/>
    </font>
    <font>
      <b/>
      <u val="singleAccounting"/>
      <sz val="11"/>
      <name val="Arial"/>
      <family val="2"/>
    </font>
    <font>
      <sz val="11"/>
      <name val="Calibri"/>
      <family val="2"/>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2" fillId="0" borderId="0"/>
    <xf numFmtId="43" fontId="22" fillId="0" borderId="0" applyFont="0" applyFill="0" applyBorder="0" applyAlignment="0" applyProtection="0"/>
    <xf numFmtId="44" fontId="22" fillId="0" borderId="0" applyFont="0" applyFill="0" applyBorder="0" applyAlignment="0" applyProtection="0"/>
  </cellStyleXfs>
  <cellXfs count="456">
    <xf numFmtId="0" fontId="0" fillId="0" borderId="0" xfId="0"/>
    <xf numFmtId="0" fontId="6" fillId="0" borderId="0" xfId="0" applyFont="1"/>
    <xf numFmtId="165" fontId="6" fillId="0" borderId="0" xfId="0" applyNumberFormat="1" applyFont="1"/>
    <xf numFmtId="3" fontId="6" fillId="0" borderId="0" xfId="0" applyNumberFormat="1" applyFont="1"/>
    <xf numFmtId="0" fontId="0" fillId="0" borderId="6" xfId="0" applyBorder="1"/>
    <xf numFmtId="165" fontId="6" fillId="0" borderId="1" xfId="1" applyNumberFormat="1" applyFont="1" applyBorder="1"/>
    <xf numFmtId="165" fontId="6" fillId="0" borderId="0" xfId="1" applyNumberFormat="1" applyFont="1" applyBorder="1"/>
    <xf numFmtId="165" fontId="6" fillId="0" borderId="0" xfId="1" applyNumberFormat="1" applyFont="1"/>
    <xf numFmtId="165" fontId="6" fillId="0" borderId="3" xfId="1" applyNumberFormat="1" applyFont="1" applyBorder="1"/>
    <xf numFmtId="165" fontId="6" fillId="0" borderId="2" xfId="1" applyNumberFormat="1" applyFont="1" applyBorder="1"/>
    <xf numFmtId="165" fontId="6" fillId="0" borderId="4" xfId="1" applyNumberFormat="1" applyFont="1" applyBorder="1"/>
    <xf numFmtId="165" fontId="6" fillId="0" borderId="7" xfId="1" applyNumberFormat="1" applyFont="1" applyBorder="1"/>
    <xf numFmtId="165" fontId="6" fillId="0" borderId="8" xfId="1" applyNumberFormat="1" applyFont="1" applyBorder="1"/>
    <xf numFmtId="165" fontId="6" fillId="0" borderId="5" xfId="1" applyNumberFormat="1" applyFont="1" applyBorder="1"/>
    <xf numFmtId="165" fontId="6" fillId="0" borderId="6" xfId="1" applyNumberFormat="1" applyFont="1" applyBorder="1"/>
    <xf numFmtId="43" fontId="6" fillId="0" borderId="0" xfId="1" applyFont="1"/>
    <xf numFmtId="165" fontId="12" fillId="0" borderId="0" xfId="1" applyNumberFormat="1" applyFont="1" applyBorder="1" applyAlignment="1">
      <alignment horizontal="center"/>
    </xf>
    <xf numFmtId="43" fontId="6" fillId="0" borderId="0" xfId="1" applyFont="1" applyBorder="1"/>
    <xf numFmtId="165" fontId="6" fillId="0" borderId="0" xfId="5" applyNumberFormat="1" applyFont="1"/>
    <xf numFmtId="3" fontId="6" fillId="0" borderId="0" xfId="0" applyNumberFormat="1" applyFont="1" applyAlignment="1">
      <alignment horizontal="right"/>
    </xf>
    <xf numFmtId="0" fontId="18" fillId="0" borderId="0" xfId="0" applyFont="1"/>
    <xf numFmtId="0" fontId="6" fillId="0" borderId="0" xfId="0" applyFont="1" applyAlignment="1">
      <alignment horizontal="center"/>
    </xf>
    <xf numFmtId="0" fontId="6" fillId="0" borderId="0" xfId="0" applyFont="1" applyAlignment="1">
      <alignment horizontal="right"/>
    </xf>
    <xf numFmtId="165" fontId="6" fillId="0" borderId="0" xfId="5" applyNumberFormat="1" applyFont="1" applyBorder="1"/>
    <xf numFmtId="0" fontId="17" fillId="0" borderId="0" xfId="0" applyFont="1" applyAlignment="1">
      <alignment horizontal="centerContinuous"/>
    </xf>
    <xf numFmtId="0" fontId="6" fillId="0" borderId="0" xfId="0" applyFont="1" applyAlignment="1">
      <alignment horizontal="centerContinuous"/>
    </xf>
    <xf numFmtId="168" fontId="11" fillId="0" borderId="0" xfId="5" applyNumberFormat="1" applyFont="1" applyBorder="1" applyAlignment="1">
      <alignment horizontal="center"/>
    </xf>
    <xf numFmtId="43" fontId="6" fillId="0" borderId="0" xfId="1" applyFont="1" applyBorder="1" applyAlignment="1"/>
    <xf numFmtId="43" fontId="6" fillId="0" borderId="0" xfId="1" applyFont="1" applyBorder="1" applyAlignment="1">
      <alignment horizontal="right"/>
    </xf>
    <xf numFmtId="43" fontId="6" fillId="0" borderId="7" xfId="1" applyFont="1" applyBorder="1"/>
    <xf numFmtId="43" fontId="12" fillId="0" borderId="0" xfId="1" applyFont="1" applyBorder="1" applyAlignment="1">
      <alignment horizontal="center"/>
    </xf>
    <xf numFmtId="0" fontId="18" fillId="0" borderId="1" xfId="0" applyFont="1" applyBorder="1"/>
    <xf numFmtId="0" fontId="19" fillId="0" borderId="0" xfId="0" applyFont="1" applyAlignment="1">
      <alignment horizontal="center"/>
    </xf>
    <xf numFmtId="166" fontId="18" fillId="0" borderId="0" xfId="6" applyNumberFormat="1" applyFont="1"/>
    <xf numFmtId="167" fontId="18" fillId="0" borderId="0" xfId="7" applyNumberFormat="1" applyFont="1"/>
    <xf numFmtId="3" fontId="19" fillId="0" borderId="0" xfId="0" applyNumberFormat="1" applyFont="1"/>
    <xf numFmtId="43" fontId="6" fillId="0" borderId="0" xfId="1" applyFont="1" applyBorder="1" applyAlignment="1">
      <alignment horizontal="right" vertical="center"/>
    </xf>
    <xf numFmtId="44" fontId="6" fillId="0" borderId="0" xfId="2" applyFont="1" applyBorder="1" applyAlignment="1"/>
    <xf numFmtId="44" fontId="6" fillId="0" borderId="0" xfId="2" applyFont="1" applyBorder="1" applyAlignment="1">
      <alignment vertical="center"/>
    </xf>
    <xf numFmtId="166" fontId="18" fillId="0" borderId="0" xfId="5" applyNumberFormat="1" applyFont="1"/>
    <xf numFmtId="165" fontId="6" fillId="0" borderId="1" xfId="0" applyNumberFormat="1" applyFont="1" applyBorder="1"/>
    <xf numFmtId="165" fontId="9" fillId="0" borderId="0" xfId="1" applyNumberFormat="1" applyFont="1"/>
    <xf numFmtId="165" fontId="12" fillId="0" borderId="8" xfId="1" applyNumberFormat="1" applyFont="1" applyBorder="1" applyAlignment="1">
      <alignment horizontal="center"/>
    </xf>
    <xf numFmtId="43" fontId="9" fillId="0" borderId="0" xfId="1" applyFont="1" applyBorder="1" applyAlignment="1">
      <alignment horizontal="left"/>
    </xf>
    <xf numFmtId="3" fontId="7" fillId="0" borderId="0" xfId="0" applyNumberFormat="1" applyFont="1" applyAlignment="1">
      <alignment horizontal="center" vertical="center"/>
    </xf>
    <xf numFmtId="3" fontId="15" fillId="0" borderId="7" xfId="0" applyNumberFormat="1" applyFont="1" applyBorder="1" applyAlignment="1">
      <alignment horizontal="center" vertical="center"/>
    </xf>
    <xf numFmtId="3" fontId="15" fillId="0" borderId="0" xfId="0" applyNumberFormat="1" applyFont="1" applyAlignment="1">
      <alignment horizontal="center" vertical="center"/>
    </xf>
    <xf numFmtId="3" fontId="15" fillId="0" borderId="8" xfId="0" applyNumberFormat="1" applyFont="1" applyBorder="1" applyAlignment="1">
      <alignment horizontal="center" vertical="center"/>
    </xf>
    <xf numFmtId="165" fontId="12" fillId="0" borderId="7" xfId="1" applyNumberFormat="1" applyFont="1" applyBorder="1" applyAlignment="1">
      <alignment horizontal="center"/>
    </xf>
    <xf numFmtId="43" fontId="6" fillId="0" borderId="8" xfId="1" quotePrefix="1" applyFont="1" applyBorder="1" applyAlignment="1">
      <alignment horizontal="center"/>
    </xf>
    <xf numFmtId="43" fontId="6" fillId="0" borderId="1" xfId="1" applyFont="1" applyBorder="1"/>
    <xf numFmtId="43" fontId="6" fillId="0" borderId="5" xfId="1" applyFont="1" applyBorder="1"/>
    <xf numFmtId="167" fontId="6" fillId="0" borderId="8" xfId="3" applyNumberFormat="1" applyFont="1" applyBorder="1"/>
    <xf numFmtId="165" fontId="6" fillId="2" borderId="0" xfId="1" applyNumberFormat="1" applyFont="1" applyFill="1" applyBorder="1"/>
    <xf numFmtId="43" fontId="6" fillId="2" borderId="8" xfId="1" quotePrefix="1" applyFont="1" applyFill="1" applyBorder="1" applyAlignment="1">
      <alignment horizontal="center"/>
    </xf>
    <xf numFmtId="43" fontId="6" fillId="2" borderId="0" xfId="1" applyFont="1" applyFill="1" applyBorder="1"/>
    <xf numFmtId="167" fontId="6" fillId="2" borderId="8" xfId="3" applyNumberFormat="1" applyFont="1" applyFill="1" applyBorder="1"/>
    <xf numFmtId="165" fontId="17" fillId="0" borderId="0" xfId="1" applyNumberFormat="1" applyFont="1"/>
    <xf numFmtId="10" fontId="6" fillId="0" borderId="0" xfId="0" applyNumberFormat="1" applyFont="1"/>
    <xf numFmtId="44" fontId="6" fillId="0" borderId="0" xfId="2" applyFont="1" applyBorder="1"/>
    <xf numFmtId="165" fontId="6" fillId="0" borderId="0" xfId="5" quotePrefix="1" applyNumberFormat="1" applyFont="1"/>
    <xf numFmtId="43" fontId="11" fillId="0" borderId="0" xfId="1" applyFont="1" applyBorder="1" applyAlignment="1">
      <alignment horizontal="center"/>
    </xf>
    <xf numFmtId="43" fontId="6" fillId="0" borderId="0" xfId="1" applyFont="1" applyBorder="1" applyAlignment="1">
      <alignment horizontal="center"/>
    </xf>
    <xf numFmtId="167" fontId="6" fillId="0" borderId="0" xfId="3" applyNumberFormat="1" applyFont="1" applyBorder="1" applyAlignment="1"/>
    <xf numFmtId="166" fontId="6" fillId="0" borderId="0" xfId="1" applyNumberFormat="1" applyFont="1" applyBorder="1" applyAlignment="1"/>
    <xf numFmtId="2" fontId="6" fillId="0" borderId="0" xfId="1" applyNumberFormat="1" applyFont="1" applyBorder="1"/>
    <xf numFmtId="2" fontId="6" fillId="0" borderId="0" xfId="1" applyNumberFormat="1" applyFont="1" applyBorder="1" applyAlignment="1"/>
    <xf numFmtId="166" fontId="18" fillId="0" borderId="0" xfId="0" applyNumberFormat="1" applyFont="1"/>
    <xf numFmtId="0" fontId="6" fillId="0" borderId="7" xfId="0" applyFont="1" applyBorder="1"/>
    <xf numFmtId="165" fontId="23" fillId="0" borderId="0" xfId="1" applyNumberFormat="1" applyFont="1"/>
    <xf numFmtId="165" fontId="6" fillId="0" borderId="0" xfId="1" applyNumberFormat="1" applyFont="1" applyAlignment="1">
      <alignment horizontal="centerContinuous" vertical="center"/>
    </xf>
    <xf numFmtId="165" fontId="6" fillId="0" borderId="0" xfId="1" applyNumberFormat="1" applyFont="1" applyAlignment="1">
      <alignment vertical="center"/>
    </xf>
    <xf numFmtId="165" fontId="15" fillId="0" borderId="0" xfId="1" applyNumberFormat="1" applyFont="1" applyAlignment="1">
      <alignment horizontal="centerContinuous" vertical="center"/>
    </xf>
    <xf numFmtId="165" fontId="11" fillId="0" borderId="0" xfId="1" applyNumberFormat="1" applyFont="1" applyAlignment="1">
      <alignment horizontal="center" vertical="center"/>
    </xf>
    <xf numFmtId="165" fontId="9" fillId="0" borderId="0" xfId="1" applyNumberFormat="1" applyFont="1" applyAlignment="1">
      <alignment vertical="center"/>
    </xf>
    <xf numFmtId="165" fontId="6" fillId="0" borderId="0" xfId="1" applyNumberFormat="1" applyFont="1" applyAlignment="1">
      <alignment horizontal="center" vertical="center"/>
    </xf>
    <xf numFmtId="165" fontId="16" fillId="0" borderId="0" xfId="1" applyNumberFormat="1" applyFont="1" applyAlignment="1">
      <alignment vertical="center"/>
    </xf>
    <xf numFmtId="165" fontId="21" fillId="0" borderId="0" xfId="1" applyNumberFormat="1" applyFont="1" applyAlignment="1">
      <alignment vertical="center"/>
    </xf>
    <xf numFmtId="165" fontId="24" fillId="0" borderId="0" xfId="1" applyNumberFormat="1" applyFont="1" applyAlignment="1">
      <alignment vertical="center"/>
    </xf>
    <xf numFmtId="165" fontId="10" fillId="0" borderId="0" xfId="1" applyNumberFormat="1" applyFont="1" applyAlignment="1">
      <alignment vertical="center"/>
    </xf>
    <xf numFmtId="165" fontId="6" fillId="0" borderId="0" xfId="1" applyNumberFormat="1" applyFont="1" applyAlignment="1">
      <alignment horizontal="center"/>
    </xf>
    <xf numFmtId="165" fontId="16" fillId="0" borderId="0" xfId="1" applyNumberFormat="1" applyFont="1" applyAlignment="1">
      <alignment horizontal="left"/>
    </xf>
    <xf numFmtId="165" fontId="16" fillId="0" borderId="0" xfId="1" applyNumberFormat="1" applyFont="1" applyAlignment="1">
      <alignment horizontal="center"/>
    </xf>
    <xf numFmtId="165" fontId="13" fillId="0" borderId="0" xfId="1" quotePrefix="1" applyNumberFormat="1" applyFont="1" applyAlignment="1">
      <alignment horizontal="center" vertical="center"/>
    </xf>
    <xf numFmtId="165" fontId="13" fillId="0" borderId="0" xfId="1" applyNumberFormat="1" applyFont="1" applyAlignment="1">
      <alignment horizontal="center" vertical="center"/>
    </xf>
    <xf numFmtId="165" fontId="6" fillId="0" borderId="0" xfId="1" applyNumberFormat="1" applyFont="1" applyAlignment="1"/>
    <xf numFmtId="165" fontId="13" fillId="0" borderId="0" xfId="1" applyNumberFormat="1" applyFont="1" applyAlignment="1">
      <alignment vertical="center"/>
    </xf>
    <xf numFmtId="165" fontId="6" fillId="0" borderId="6" xfId="5" applyNumberFormat="1" applyFont="1" applyBorder="1"/>
    <xf numFmtId="165" fontId="6" fillId="0" borderId="0" xfId="5" applyNumberFormat="1" applyFont="1" applyBorder="1" applyAlignment="1">
      <alignment horizontal="center"/>
    </xf>
    <xf numFmtId="10" fontId="6" fillId="0" borderId="0" xfId="3" applyNumberFormat="1" applyFont="1" applyBorder="1" applyAlignment="1">
      <alignment vertical="center"/>
    </xf>
    <xf numFmtId="10" fontId="6" fillId="0" borderId="0" xfId="3" applyNumberFormat="1" applyFont="1" applyBorder="1"/>
    <xf numFmtId="10" fontId="6" fillId="2" borderId="0" xfId="3" applyNumberFormat="1" applyFont="1" applyFill="1" applyBorder="1"/>
    <xf numFmtId="165" fontId="6" fillId="0" borderId="8" xfId="5" applyNumberFormat="1" applyFont="1" applyBorder="1"/>
    <xf numFmtId="165" fontId="6" fillId="0" borderId="4" xfId="5" applyNumberFormat="1" applyFont="1" applyBorder="1"/>
    <xf numFmtId="0" fontId="6" fillId="0" borderId="3" xfId="0" applyFont="1" applyBorder="1"/>
    <xf numFmtId="0" fontId="6" fillId="0" borderId="5" xfId="0" applyFont="1" applyBorder="1"/>
    <xf numFmtId="3" fontId="6" fillId="0" borderId="2" xfId="0" applyNumberFormat="1" applyFont="1" applyBorder="1"/>
    <xf numFmtId="3" fontId="10" fillId="0" borderId="0" xfId="0" applyNumberFormat="1" applyFont="1" applyAlignment="1">
      <alignment horizontal="center"/>
    </xf>
    <xf numFmtId="3" fontId="11" fillId="0" borderId="0" xfId="0" applyNumberFormat="1" applyFont="1" applyAlignment="1">
      <alignment horizontal="center"/>
    </xf>
    <xf numFmtId="3" fontId="11" fillId="0" borderId="0" xfId="0" applyNumberFormat="1" applyFont="1"/>
    <xf numFmtId="3" fontId="10" fillId="0" borderId="0" xfId="0" applyNumberFormat="1" applyFont="1"/>
    <xf numFmtId="3" fontId="6" fillId="0" borderId="1" xfId="0" applyNumberFormat="1" applyFont="1" applyBorder="1"/>
    <xf numFmtId="44" fontId="13" fillId="0" borderId="0" xfId="0" applyNumberFormat="1" applyFont="1" applyAlignment="1">
      <alignment horizontal="center"/>
    </xf>
    <xf numFmtId="169" fontId="6" fillId="0" borderId="0" xfId="0" applyNumberFormat="1" applyFont="1" applyAlignment="1">
      <alignment horizontal="center"/>
    </xf>
    <xf numFmtId="168" fontId="6" fillId="0" borderId="0" xfId="5" applyNumberFormat="1" applyFont="1" applyAlignment="1"/>
    <xf numFmtId="168" fontId="6" fillId="0" borderId="2" xfId="5" applyNumberFormat="1" applyFont="1" applyBorder="1"/>
    <xf numFmtId="168" fontId="6" fillId="0" borderId="0" xfId="5" applyNumberFormat="1" applyFont="1" applyBorder="1" applyAlignment="1"/>
    <xf numFmtId="168" fontId="6" fillId="0" borderId="0" xfId="5" applyNumberFormat="1" applyFont="1" applyBorder="1" applyAlignment="1">
      <alignment horizontal="center"/>
    </xf>
    <xf numFmtId="168" fontId="17" fillId="0" borderId="0" xfId="5" applyNumberFormat="1" applyFont="1" applyBorder="1" applyAlignment="1"/>
    <xf numFmtId="168" fontId="6" fillId="0" borderId="0" xfId="5" quotePrefix="1" applyNumberFormat="1" applyFont="1" applyBorder="1" applyAlignment="1">
      <alignment horizontal="center"/>
    </xf>
    <xf numFmtId="3" fontId="6" fillId="0" borderId="4" xfId="0" applyNumberFormat="1" applyFont="1" applyBorder="1"/>
    <xf numFmtId="3" fontId="6" fillId="0" borderId="8" xfId="0" applyNumberFormat="1" applyFont="1" applyBorder="1"/>
    <xf numFmtId="3" fontId="6" fillId="0" borderId="6" xfId="0" applyNumberFormat="1" applyFont="1" applyBorder="1"/>
    <xf numFmtId="3" fontId="6" fillId="0" borderId="7" xfId="0" applyNumberFormat="1" applyFont="1" applyBorder="1"/>
    <xf numFmtId="4" fontId="6" fillId="0" borderId="7" xfId="0" applyNumberFormat="1" applyFont="1" applyBorder="1"/>
    <xf numFmtId="0" fontId="0" fillId="0" borderId="0" xfId="0" applyAlignment="1">
      <alignment vertical="top"/>
    </xf>
    <xf numFmtId="3" fontId="0" fillId="0" borderId="0" xfId="0" applyNumberFormat="1" applyAlignment="1">
      <alignment vertical="top"/>
    </xf>
    <xf numFmtId="165" fontId="0" fillId="0" borderId="0" xfId="1" applyNumberFormat="1" applyFont="1" applyBorder="1" applyAlignment="1">
      <alignment vertical="top"/>
    </xf>
    <xf numFmtId="165" fontId="10" fillId="0" borderId="0" xfId="5" applyNumberFormat="1" applyFont="1" applyBorder="1" applyAlignment="1">
      <alignment vertical="center"/>
    </xf>
    <xf numFmtId="0" fontId="6" fillId="0" borderId="0" xfId="0" applyFont="1" applyAlignment="1">
      <alignment vertical="top"/>
    </xf>
    <xf numFmtId="0" fontId="6" fillId="0" borderId="0" xfId="0" applyFont="1" applyAlignment="1">
      <alignment horizontal="center" vertical="top"/>
    </xf>
    <xf numFmtId="0" fontId="30" fillId="0" borderId="0" xfId="0" applyFont="1"/>
    <xf numFmtId="165" fontId="30" fillId="0" borderId="0" xfId="1" applyNumberFormat="1" applyFont="1"/>
    <xf numFmtId="43" fontId="6" fillId="0" borderId="0" xfId="1" applyFont="1" applyAlignment="1">
      <alignment horizontal="right"/>
    </xf>
    <xf numFmtId="10" fontId="6" fillId="0" borderId="1" xfId="3" applyNumberFormat="1" applyFont="1" applyBorder="1"/>
    <xf numFmtId="0" fontId="6" fillId="0" borderId="0" xfId="0" applyFont="1" applyAlignment="1">
      <alignment horizontal="left"/>
    </xf>
    <xf numFmtId="37" fontId="6" fillId="0" borderId="0" xfId="0" applyNumberFormat="1" applyFont="1" applyAlignment="1">
      <alignment horizontal="center"/>
    </xf>
    <xf numFmtId="165" fontId="6" fillId="0" borderId="0" xfId="1" applyNumberFormat="1" applyFont="1" applyBorder="1" applyAlignment="1"/>
    <xf numFmtId="164" fontId="6" fillId="0" borderId="0" xfId="6" applyNumberFormat="1" applyFont="1" applyBorder="1"/>
    <xf numFmtId="164" fontId="6" fillId="0" borderId="0" xfId="0" applyNumberFormat="1" applyFont="1"/>
    <xf numFmtId="164" fontId="0" fillId="0" borderId="0" xfId="0" applyNumberFormat="1" applyAlignment="1">
      <alignment vertical="top"/>
    </xf>
    <xf numFmtId="10" fontId="0" fillId="0" borderId="0" xfId="3" applyNumberFormat="1" applyFont="1" applyBorder="1" applyAlignment="1">
      <alignment vertical="top"/>
    </xf>
    <xf numFmtId="164" fontId="6" fillId="0" borderId="0" xfId="2" applyNumberFormat="1" applyFont="1" applyBorder="1" applyAlignment="1"/>
    <xf numFmtId="3" fontId="6" fillId="0" borderId="0" xfId="0" applyNumberFormat="1" applyFont="1" applyAlignment="1">
      <alignment horizontal="left"/>
    </xf>
    <xf numFmtId="37" fontId="6" fillId="0" borderId="0" xfId="0" applyNumberFormat="1" applyFont="1" applyAlignment="1">
      <alignment horizontal="center" wrapText="1"/>
    </xf>
    <xf numFmtId="37" fontId="6" fillId="0" borderId="0" xfId="0" quotePrefix="1" applyNumberFormat="1" applyFont="1"/>
    <xf numFmtId="37" fontId="6" fillId="0" borderId="0" xfId="0" applyNumberFormat="1" applyFont="1"/>
    <xf numFmtId="0" fontId="10" fillId="0" borderId="0" xfId="0" applyFont="1" applyAlignment="1">
      <alignment horizontal="left"/>
    </xf>
    <xf numFmtId="0" fontId="6" fillId="0" borderId="0" xfId="0" applyFont="1" applyAlignment="1">
      <alignment horizontal="center" wrapText="1"/>
    </xf>
    <xf numFmtId="37" fontId="6" fillId="0" borderId="0" xfId="0" applyNumberFormat="1" applyFont="1" applyAlignment="1">
      <alignment horizontal="right"/>
    </xf>
    <xf numFmtId="165" fontId="6" fillId="0" borderId="0" xfId="5" applyNumberFormat="1" applyFont="1" applyBorder="1" applyAlignment="1">
      <alignment horizontal="right"/>
    </xf>
    <xf numFmtId="165" fontId="6" fillId="0" borderId="0" xfId="0" applyNumberFormat="1" applyFont="1" applyAlignment="1">
      <alignment horizontal="right"/>
    </xf>
    <xf numFmtId="44" fontId="6" fillId="0" borderId="0" xfId="5" applyNumberFormat="1" applyFont="1" applyBorder="1"/>
    <xf numFmtId="3" fontId="6" fillId="0" borderId="0" xfId="0" applyNumberFormat="1" applyFont="1" applyAlignment="1">
      <alignment vertical="top"/>
    </xf>
    <xf numFmtId="44" fontId="6" fillId="0" borderId="0" xfId="0" applyNumberFormat="1" applyFont="1" applyAlignment="1">
      <alignment vertical="top"/>
    </xf>
    <xf numFmtId="165" fontId="12" fillId="0" borderId="0" xfId="1" applyNumberFormat="1" applyFont="1" applyBorder="1" applyAlignment="1"/>
    <xf numFmtId="164" fontId="12" fillId="0" borderId="0" xfId="1" applyNumberFormat="1" applyFont="1" applyBorder="1" applyAlignment="1"/>
    <xf numFmtId="164" fontId="12" fillId="0" borderId="0" xfId="2" applyNumberFormat="1" applyFont="1" applyBorder="1" applyAlignment="1"/>
    <xf numFmtId="6" fontId="6" fillId="0" borderId="0" xfId="0" applyNumberFormat="1" applyFont="1"/>
    <xf numFmtId="9" fontId="6" fillId="0" borderId="0" xfId="0" applyNumberFormat="1" applyFont="1"/>
    <xf numFmtId="0" fontId="6" fillId="0" borderId="0" xfId="0" quotePrefix="1" applyFont="1"/>
    <xf numFmtId="44" fontId="6" fillId="0" borderId="0" xfId="0" applyNumberFormat="1" applyFont="1" applyAlignment="1">
      <alignment horizontal="right"/>
    </xf>
    <xf numFmtId="9" fontId="6" fillId="0" borderId="0" xfId="0" applyNumberFormat="1" applyFont="1" applyAlignment="1">
      <alignment horizontal="right"/>
    </xf>
    <xf numFmtId="167" fontId="6" fillId="0" borderId="0" xfId="3" applyNumberFormat="1" applyFont="1" applyFill="1" applyBorder="1" applyAlignment="1">
      <alignment horizontal="right"/>
    </xf>
    <xf numFmtId="9" fontId="6" fillId="0" borderId="0" xfId="3" applyFont="1" applyFill="1" applyBorder="1" applyAlignment="1">
      <alignment horizontal="right"/>
    </xf>
    <xf numFmtId="44" fontId="3" fillId="0" borderId="0" xfId="0" applyNumberFormat="1" applyFont="1" applyAlignment="1">
      <alignment horizontal="right"/>
    </xf>
    <xf numFmtId="3" fontId="6" fillId="0" borderId="2" xfId="0" applyNumberFormat="1" applyFont="1" applyBorder="1" applyAlignment="1">
      <alignment horizontal="right"/>
    </xf>
    <xf numFmtId="3" fontId="11" fillId="0" borderId="0" xfId="0" applyNumberFormat="1" applyFont="1" applyAlignment="1">
      <alignment horizontal="right"/>
    </xf>
    <xf numFmtId="0" fontId="0" fillId="0" borderId="0" xfId="0" applyAlignment="1">
      <alignment horizontal="right"/>
    </xf>
    <xf numFmtId="168" fontId="6" fillId="0" borderId="1" xfId="5" applyNumberFormat="1" applyFont="1" applyBorder="1" applyAlignment="1">
      <alignment horizontal="right"/>
    </xf>
    <xf numFmtId="168" fontId="6" fillId="0" borderId="0" xfId="5" applyNumberFormat="1" applyFont="1" applyBorder="1" applyAlignment="1">
      <alignment horizontal="right"/>
    </xf>
    <xf numFmtId="164" fontId="6" fillId="0" borderId="0" xfId="0" applyNumberFormat="1" applyFont="1" applyAlignment="1">
      <alignment horizontal="right"/>
    </xf>
    <xf numFmtId="164" fontId="6" fillId="0" borderId="2" xfId="0" applyNumberFormat="1" applyFont="1" applyBorder="1" applyAlignment="1">
      <alignment horizontal="right"/>
    </xf>
    <xf numFmtId="164" fontId="10" fillId="0" borderId="0" xfId="0" applyNumberFormat="1" applyFont="1" applyAlignment="1">
      <alignment horizontal="center"/>
    </xf>
    <xf numFmtId="164" fontId="11" fillId="0" borderId="0" xfId="0" applyNumberFormat="1" applyFont="1" applyAlignment="1">
      <alignment horizontal="center"/>
    </xf>
    <xf numFmtId="164" fontId="11" fillId="0" borderId="0" xfId="0" applyNumberFormat="1" applyFont="1" applyAlignment="1">
      <alignment horizontal="right"/>
    </xf>
    <xf numFmtId="164" fontId="6" fillId="0" borderId="0" xfId="5" applyNumberFormat="1" applyFont="1" applyBorder="1" applyAlignment="1">
      <alignment horizontal="right"/>
    </xf>
    <xf numFmtId="164" fontId="6" fillId="0" borderId="1" xfId="0" applyNumberFormat="1" applyFont="1" applyBorder="1" applyAlignment="1">
      <alignment horizontal="right"/>
    </xf>
    <xf numFmtId="164" fontId="12" fillId="0" borderId="0" xfId="0" applyNumberFormat="1" applyFont="1" applyAlignment="1">
      <alignment horizontal="right"/>
    </xf>
    <xf numFmtId="10" fontId="6" fillId="0" borderId="0" xfId="3" applyNumberFormat="1" applyFont="1" applyBorder="1" applyAlignment="1"/>
    <xf numFmtId="43" fontId="6" fillId="0" borderId="0" xfId="1" applyFont="1" applyBorder="1" applyAlignment="1">
      <alignment vertical="center"/>
    </xf>
    <xf numFmtId="44" fontId="20" fillId="0" borderId="0" xfId="2" applyFont="1" applyBorder="1" applyAlignment="1">
      <alignment horizontal="center"/>
    </xf>
    <xf numFmtId="44" fontId="6" fillId="0" borderId="0" xfId="0" applyNumberFormat="1" applyFont="1"/>
    <xf numFmtId="44" fontId="6" fillId="0" borderId="0" xfId="1" applyNumberFormat="1" applyFont="1" applyBorder="1"/>
    <xf numFmtId="43" fontId="6" fillId="0" borderId="7" xfId="1" applyFont="1" applyBorder="1" applyAlignment="1"/>
    <xf numFmtId="43" fontId="6" fillId="0" borderId="8" xfId="1" applyFont="1" applyBorder="1" applyAlignment="1"/>
    <xf numFmtId="43" fontId="12" fillId="0" borderId="8" xfId="1" applyFont="1" applyBorder="1" applyAlignment="1">
      <alignment horizontal="center"/>
    </xf>
    <xf numFmtId="44" fontId="6" fillId="0" borderId="8" xfId="2" applyFont="1" applyBorder="1" applyAlignment="1"/>
    <xf numFmtId="44" fontId="20" fillId="0" borderId="7" xfId="2" applyFont="1" applyBorder="1" applyAlignment="1">
      <alignment horizontal="center"/>
    </xf>
    <xf numFmtId="44" fontId="6" fillId="0" borderId="1" xfId="1" applyNumberFormat="1" applyFont="1" applyBorder="1" applyAlignment="1"/>
    <xf numFmtId="43" fontId="6" fillId="0" borderId="1" xfId="1" applyFont="1" applyBorder="1" applyAlignment="1"/>
    <xf numFmtId="43" fontId="6" fillId="0" borderId="6" xfId="1" applyFont="1" applyBorder="1" applyAlignment="1"/>
    <xf numFmtId="44" fontId="6" fillId="0" borderId="0" xfId="2" applyFont="1" applyBorder="1" applyAlignment="1">
      <alignment horizontal="center"/>
    </xf>
    <xf numFmtId="10" fontId="6" fillId="0" borderId="0" xfId="3" applyNumberFormat="1" applyFont="1" applyBorder="1" applyAlignment="1">
      <alignment horizontal="center"/>
    </xf>
    <xf numFmtId="44" fontId="6" fillId="0" borderId="1" xfId="2" applyFont="1" applyBorder="1" applyAlignment="1">
      <alignment horizontal="center"/>
    </xf>
    <xf numFmtId="10" fontId="6" fillId="0" borderId="1" xfId="3" applyNumberFormat="1" applyFont="1" applyBorder="1" applyAlignment="1">
      <alignment horizontal="center"/>
    </xf>
    <xf numFmtId="164" fontId="6" fillId="0" borderId="0" xfId="2" applyNumberFormat="1" applyFont="1"/>
    <xf numFmtId="10" fontId="6" fillId="0" borderId="0" xfId="1" applyNumberFormat="1" applyFont="1"/>
    <xf numFmtId="10" fontId="6" fillId="0" borderId="0" xfId="1" applyNumberFormat="1" applyFont="1" applyBorder="1"/>
    <xf numFmtId="44" fontId="12" fillId="0" borderId="0" xfId="0" applyNumberFormat="1" applyFont="1"/>
    <xf numFmtId="44" fontId="6" fillId="0" borderId="0" xfId="1" applyNumberFormat="1" applyFont="1" applyBorder="1" applyAlignment="1"/>
    <xf numFmtId="44" fontId="6" fillId="0" borderId="0" xfId="2" applyFont="1" applyBorder="1" applyAlignment="1">
      <alignment horizontal="center" vertical="center"/>
    </xf>
    <xf numFmtId="44" fontId="6" fillId="0" borderId="0" xfId="2" applyFont="1"/>
    <xf numFmtId="167" fontId="6" fillId="0" borderId="0" xfId="0" applyNumberFormat="1" applyFont="1" applyAlignment="1">
      <alignment horizontal="right"/>
    </xf>
    <xf numFmtId="44" fontId="6" fillId="0" borderId="0" xfId="2" applyFont="1" applyFill="1" applyBorder="1" applyAlignment="1">
      <alignment horizontal="right"/>
    </xf>
    <xf numFmtId="44" fontId="26" fillId="0" borderId="0" xfId="2" applyFont="1" applyFill="1" applyBorder="1" applyAlignment="1">
      <alignment horizontal="right"/>
    </xf>
    <xf numFmtId="44" fontId="25" fillId="0" borderId="0" xfId="2" applyFont="1" applyFill="1" applyBorder="1" applyAlignment="1">
      <alignment horizontal="right"/>
    </xf>
    <xf numFmtId="44" fontId="6" fillId="0" borderId="1" xfId="2" applyFont="1" applyFill="1" applyBorder="1" applyAlignment="1">
      <alignment horizontal="right"/>
    </xf>
    <xf numFmtId="0" fontId="6" fillId="0" borderId="0" xfId="1" applyNumberFormat="1" applyFont="1" applyFill="1" applyBorder="1"/>
    <xf numFmtId="44" fontId="6" fillId="0" borderId="1" xfId="0" applyNumberFormat="1" applyFont="1" applyBorder="1" applyAlignment="1">
      <alignment horizontal="right"/>
    </xf>
    <xf numFmtId="164" fontId="12" fillId="0" borderId="0" xfId="2" applyNumberFormat="1" applyFont="1" applyFill="1" applyBorder="1" applyAlignment="1"/>
    <xf numFmtId="10" fontId="6" fillId="0" borderId="0" xfId="3" applyNumberFormat="1" applyFont="1" applyBorder="1" applyAlignment="1">
      <alignment vertical="top"/>
    </xf>
    <xf numFmtId="37" fontId="10" fillId="0" borderId="0" xfId="0" applyNumberFormat="1" applyFont="1" applyAlignment="1">
      <alignment horizontal="right"/>
    </xf>
    <xf numFmtId="0" fontId="10" fillId="0" borderId="0" xfId="0" applyFont="1" applyAlignment="1">
      <alignment horizontal="right"/>
    </xf>
    <xf numFmtId="165" fontId="6" fillId="0" borderId="0" xfId="0" applyNumberFormat="1" applyFont="1" applyAlignment="1">
      <alignment vertical="top"/>
    </xf>
    <xf numFmtId="165" fontId="12" fillId="0" borderId="0" xfId="1" applyNumberFormat="1" applyFont="1" applyFill="1" applyBorder="1" applyAlignment="1"/>
    <xf numFmtId="165" fontId="6" fillId="0" borderId="0" xfId="1" applyNumberFormat="1" applyFont="1" applyFill="1" applyBorder="1" applyAlignment="1">
      <alignment horizontal="right"/>
    </xf>
    <xf numFmtId="9" fontId="3" fillId="0" borderId="0" xfId="3" applyFont="1" applyFill="1" applyBorder="1" applyAlignment="1">
      <alignment horizontal="right"/>
    </xf>
    <xf numFmtId="0" fontId="10" fillId="0" borderId="0" xfId="0" applyFont="1"/>
    <xf numFmtId="0" fontId="10" fillId="0" borderId="0" xfId="1" applyNumberFormat="1" applyFont="1" applyFill="1" applyBorder="1"/>
    <xf numFmtId="44" fontId="10" fillId="0" borderId="0" xfId="2" applyFont="1" applyFill="1" applyBorder="1" applyAlignment="1">
      <alignment horizontal="right"/>
    </xf>
    <xf numFmtId="43" fontId="6" fillId="0" borderId="0" xfId="1" applyFont="1" applyFill="1"/>
    <xf numFmtId="43" fontId="6" fillId="0" borderId="0" xfId="1" applyFont="1" applyFill="1" applyBorder="1"/>
    <xf numFmtId="44" fontId="6" fillId="0" borderId="0" xfId="0" applyNumberFormat="1" applyFont="1" applyAlignment="1">
      <alignment horizontal="center"/>
    </xf>
    <xf numFmtId="0" fontId="30" fillId="0" borderId="0" xfId="0" applyFont="1" applyAlignment="1">
      <alignment horizontal="center"/>
    </xf>
    <xf numFmtId="43" fontId="6" fillId="0" borderId="2" xfId="1" applyFont="1" applyBorder="1"/>
    <xf numFmtId="43" fontId="15" fillId="0" borderId="0" xfId="1" applyFont="1" applyBorder="1" applyAlignment="1">
      <alignment horizontal="center" vertical="center"/>
    </xf>
    <xf numFmtId="43" fontId="6" fillId="2" borderId="7" xfId="1" applyFont="1" applyFill="1" applyBorder="1"/>
    <xf numFmtId="43" fontId="6" fillId="0" borderId="10" xfId="1" applyFont="1" applyBorder="1"/>
    <xf numFmtId="43" fontId="6" fillId="0" borderId="3" xfId="1" applyFont="1" applyBorder="1" applyAlignment="1">
      <alignment horizontal="right"/>
    </xf>
    <xf numFmtId="43" fontId="6" fillId="0" borderId="2" xfId="1" applyFont="1" applyBorder="1" applyAlignment="1"/>
    <xf numFmtId="43" fontId="6" fillId="0" borderId="2" xfId="1" applyFont="1" applyBorder="1" applyAlignment="1">
      <alignment horizontal="center"/>
    </xf>
    <xf numFmtId="10" fontId="6" fillId="0" borderId="2" xfId="3" applyNumberFormat="1" applyFont="1" applyBorder="1" applyAlignment="1">
      <alignment horizontal="center"/>
    </xf>
    <xf numFmtId="43" fontId="6" fillId="0" borderId="4" xfId="1" applyFont="1" applyBorder="1" applyAlignment="1"/>
    <xf numFmtId="1" fontId="6" fillId="0" borderId="0" xfId="1" applyNumberFormat="1" applyFont="1" applyAlignment="1">
      <alignment horizontal="center" vertical="center"/>
    </xf>
    <xf numFmtId="165" fontId="6" fillId="0" borderId="0" xfId="1" applyNumberFormat="1" applyFont="1" applyFill="1" applyBorder="1" applyAlignment="1">
      <alignment vertical="center"/>
    </xf>
    <xf numFmtId="165" fontId="6" fillId="3" borderId="0" xfId="1" applyNumberFormat="1" applyFont="1" applyFill="1" applyAlignment="1">
      <alignment vertical="center"/>
    </xf>
    <xf numFmtId="165" fontId="12" fillId="3" borderId="0" xfId="1" applyNumberFormat="1" applyFont="1" applyFill="1" applyBorder="1" applyAlignment="1">
      <alignment vertical="center"/>
    </xf>
    <xf numFmtId="165" fontId="6" fillId="3" borderId="0" xfId="1" applyNumberFormat="1" applyFont="1" applyFill="1" applyBorder="1" applyAlignment="1">
      <alignment vertical="center"/>
    </xf>
    <xf numFmtId="165" fontId="10" fillId="3" borderId="0" xfId="1" applyNumberFormat="1" applyFont="1" applyFill="1" applyAlignment="1">
      <alignment vertical="center"/>
    </xf>
    <xf numFmtId="165" fontId="12" fillId="3" borderId="0" xfId="1" applyNumberFormat="1" applyFont="1" applyFill="1" applyAlignment="1">
      <alignment vertical="center"/>
    </xf>
    <xf numFmtId="165" fontId="6" fillId="3" borderId="0" xfId="1" applyNumberFormat="1" applyFont="1" applyFill="1" applyAlignment="1"/>
    <xf numFmtId="165" fontId="9" fillId="3" borderId="0" xfId="1" applyNumberFormat="1" applyFont="1" applyFill="1"/>
    <xf numFmtId="165" fontId="6" fillId="3" borderId="0" xfId="1" applyNumberFormat="1" applyFont="1" applyFill="1" applyAlignment="1">
      <alignment horizontal="center"/>
    </xf>
    <xf numFmtId="0" fontId="0" fillId="0" borderId="0" xfId="0" applyAlignment="1">
      <alignment horizontal="center" vertical="top"/>
    </xf>
    <xf numFmtId="165" fontId="0" fillId="0" borderId="0" xfId="1" applyNumberFormat="1" applyFont="1" applyAlignment="1">
      <alignment vertical="top"/>
    </xf>
    <xf numFmtId="165" fontId="6" fillId="0" borderId="0" xfId="1" applyNumberFormat="1" applyFont="1" applyAlignment="1">
      <alignment vertical="top"/>
    </xf>
    <xf numFmtId="0" fontId="34" fillId="0" borderId="0" xfId="0" applyFont="1" applyAlignment="1">
      <alignment horizontal="right" vertical="top"/>
    </xf>
    <xf numFmtId="1" fontId="0" fillId="0" borderId="0" xfId="0" applyNumberFormat="1" applyAlignment="1">
      <alignment vertical="top"/>
    </xf>
    <xf numFmtId="1" fontId="0" fillId="0" borderId="1" xfId="0" applyNumberFormat="1" applyBorder="1" applyAlignment="1">
      <alignment vertical="top"/>
    </xf>
    <xf numFmtId="0" fontId="0" fillId="0" borderId="1" xfId="0" applyBorder="1" applyAlignment="1">
      <alignment vertical="top"/>
    </xf>
    <xf numFmtId="43" fontId="0" fillId="0" borderId="0" xfId="1" applyFont="1" applyAlignment="1">
      <alignment vertical="top"/>
    </xf>
    <xf numFmtId="0" fontId="0" fillId="0" borderId="0" xfId="0" applyAlignment="1">
      <alignment horizontal="right" vertical="top"/>
    </xf>
    <xf numFmtId="0" fontId="0" fillId="4" borderId="1" xfId="0" applyFill="1" applyBorder="1" applyAlignment="1">
      <alignment vertical="top"/>
    </xf>
    <xf numFmtId="165" fontId="0" fillId="0" borderId="0" xfId="0" applyNumberFormat="1" applyAlignment="1">
      <alignment vertical="top"/>
    </xf>
    <xf numFmtId="44" fontId="6" fillId="0" borderId="1" xfId="2" applyFont="1" applyBorder="1" applyAlignment="1"/>
    <xf numFmtId="165" fontId="6" fillId="0" borderId="1" xfId="5" applyNumberFormat="1" applyFont="1" applyBorder="1"/>
    <xf numFmtId="165" fontId="6" fillId="0" borderId="1" xfId="0" applyNumberFormat="1" applyFont="1" applyBorder="1" applyAlignment="1">
      <alignment horizontal="right"/>
    </xf>
    <xf numFmtId="165" fontId="6" fillId="0" borderId="0" xfId="1" applyNumberFormat="1" applyFont="1" applyFill="1"/>
    <xf numFmtId="165" fontId="6" fillId="0" borderId="0" xfId="1" applyNumberFormat="1" applyFont="1" applyFill="1" applyAlignment="1">
      <alignment vertical="center"/>
    </xf>
    <xf numFmtId="165" fontId="6" fillId="0" borderId="0" xfId="1" applyNumberFormat="1" applyFont="1" applyFill="1" applyAlignment="1">
      <alignment horizontal="center" vertical="center"/>
    </xf>
    <xf numFmtId="0" fontId="6" fillId="0" borderId="0" xfId="1" applyNumberFormat="1" applyFont="1" applyAlignment="1">
      <alignment horizontal="center"/>
    </xf>
    <xf numFmtId="165" fontId="12" fillId="0" borderId="0" xfId="1" applyNumberFormat="1" applyFont="1" applyFill="1" applyBorder="1" applyAlignment="1">
      <alignment vertical="center"/>
    </xf>
    <xf numFmtId="165" fontId="30" fillId="0" borderId="0" xfId="0" applyNumberFormat="1" applyFont="1"/>
    <xf numFmtId="167" fontId="6" fillId="0" borderId="1" xfId="3" applyNumberFormat="1" applyFont="1" applyFill="1" applyBorder="1" applyAlignment="1">
      <alignment horizontal="right"/>
    </xf>
    <xf numFmtId="167" fontId="6" fillId="0" borderId="1" xfId="0" applyNumberFormat="1" applyFont="1" applyBorder="1" applyAlignment="1">
      <alignment horizontal="right"/>
    </xf>
    <xf numFmtId="0" fontId="11" fillId="0" borderId="0" xfId="0" applyFont="1"/>
    <xf numFmtId="165" fontId="6" fillId="0" borderId="1" xfId="1" applyNumberFormat="1" applyFont="1" applyFill="1" applyBorder="1" applyAlignment="1">
      <alignment horizontal="right"/>
    </xf>
    <xf numFmtId="44" fontId="6" fillId="0" borderId="0" xfId="2" applyFont="1" applyFill="1" applyBorder="1" applyAlignment="1">
      <alignment horizontal="center"/>
    </xf>
    <xf numFmtId="167" fontId="6" fillId="0" borderId="0" xfId="3" applyNumberFormat="1" applyFont="1" applyFill="1" applyBorder="1" applyAlignment="1">
      <alignment horizontal="center"/>
    </xf>
    <xf numFmtId="9" fontId="6" fillId="0" borderId="0" xfId="0" applyNumberFormat="1" applyFont="1" applyAlignment="1">
      <alignment horizontal="center"/>
    </xf>
    <xf numFmtId="44" fontId="2" fillId="0" borderId="0" xfId="2" applyFont="1" applyFill="1" applyBorder="1" applyAlignment="1">
      <alignment horizontal="center"/>
    </xf>
    <xf numFmtId="44" fontId="6" fillId="0" borderId="1" xfId="2" applyFont="1" applyFill="1" applyBorder="1" applyAlignment="1">
      <alignment horizontal="center"/>
    </xf>
    <xf numFmtId="167" fontId="6" fillId="0" borderId="1" xfId="3" applyNumberFormat="1" applyFont="1" applyFill="1" applyBorder="1" applyAlignment="1">
      <alignment horizontal="center"/>
    </xf>
    <xf numFmtId="9" fontId="6" fillId="0" borderId="1" xfId="0" applyNumberFormat="1" applyFont="1" applyBorder="1" applyAlignment="1">
      <alignment horizontal="center"/>
    </xf>
    <xf numFmtId="44" fontId="6" fillId="0" borderId="1" xfId="0" applyNumberFormat="1" applyFont="1" applyBorder="1" applyAlignment="1">
      <alignment horizontal="center"/>
    </xf>
    <xf numFmtId="44" fontId="1" fillId="0" borderId="0" xfId="2" applyFont="1" applyFill="1" applyBorder="1" applyAlignment="1">
      <alignment horizontal="center"/>
    </xf>
    <xf numFmtId="169" fontId="6" fillId="4" borderId="0" xfId="0" applyNumberFormat="1" applyFont="1" applyFill="1" applyAlignment="1">
      <alignment horizontal="center"/>
    </xf>
    <xf numFmtId="170" fontId="10" fillId="0" borderId="0" xfId="0" applyNumberFormat="1" applyFont="1" applyAlignment="1">
      <alignment horizontal="right"/>
    </xf>
    <xf numFmtId="170" fontId="6" fillId="0" borderId="0" xfId="0" applyNumberFormat="1" applyFont="1"/>
    <xf numFmtId="170" fontId="10" fillId="0" borderId="0" xfId="0" applyNumberFormat="1" applyFont="1"/>
    <xf numFmtId="165" fontId="6" fillId="0" borderId="0" xfId="1" applyNumberFormat="1" applyFont="1" applyFill="1" applyAlignment="1">
      <alignment horizontal="center"/>
    </xf>
    <xf numFmtId="165" fontId="6" fillId="0" borderId="0" xfId="1" applyNumberFormat="1" applyFont="1" applyFill="1" applyBorder="1" applyAlignment="1">
      <alignment horizontal="center" vertical="center"/>
    </xf>
    <xf numFmtId="165" fontId="30" fillId="0" borderId="7" xfId="1" applyNumberFormat="1" applyFont="1" applyBorder="1"/>
    <xf numFmtId="165" fontId="30" fillId="0" borderId="3" xfId="5" applyNumberFormat="1" applyFont="1" applyBorder="1"/>
    <xf numFmtId="165" fontId="30" fillId="0" borderId="2" xfId="5" applyNumberFormat="1" applyFont="1" applyBorder="1"/>
    <xf numFmtId="165" fontId="35" fillId="0" borderId="7" xfId="5" applyNumberFormat="1" applyFont="1" applyBorder="1" applyAlignment="1">
      <alignment horizontal="centerContinuous"/>
    </xf>
    <xf numFmtId="165" fontId="36" fillId="0" borderId="0" xfId="5" applyNumberFormat="1" applyFont="1" applyAlignment="1">
      <alignment horizontal="centerContinuous"/>
    </xf>
    <xf numFmtId="165" fontId="37" fillId="0" borderId="7" xfId="5" applyNumberFormat="1" applyFont="1" applyBorder="1" applyAlignment="1">
      <alignment horizontal="centerContinuous"/>
    </xf>
    <xf numFmtId="165" fontId="38" fillId="0" borderId="0" xfId="5" applyNumberFormat="1" applyFont="1" applyAlignment="1">
      <alignment horizontal="centerContinuous"/>
    </xf>
    <xf numFmtId="3" fontId="39" fillId="0" borderId="7" xfId="0" applyNumberFormat="1" applyFont="1" applyBorder="1" applyAlignment="1">
      <alignment horizontal="centerContinuous" vertical="center"/>
    </xf>
    <xf numFmtId="165" fontId="4" fillId="0" borderId="7" xfId="5" applyNumberFormat="1" applyFont="1" applyBorder="1" applyAlignment="1">
      <alignment horizontal="centerContinuous"/>
    </xf>
    <xf numFmtId="165" fontId="30" fillId="0" borderId="0" xfId="5" applyNumberFormat="1" applyFont="1" applyAlignment="1">
      <alignment horizontal="centerContinuous"/>
    </xf>
    <xf numFmtId="165" fontId="30" fillId="0" borderId="7" xfId="5" applyNumberFormat="1" applyFont="1" applyBorder="1" applyAlignment="1">
      <alignment horizontal="centerContinuous"/>
    </xf>
    <xf numFmtId="165" fontId="30" fillId="0" borderId="9" xfId="5" applyNumberFormat="1" applyFont="1" applyBorder="1" applyAlignment="1">
      <alignment horizontal="left"/>
    </xf>
    <xf numFmtId="165" fontId="30" fillId="0" borderId="3" xfId="5" applyNumberFormat="1" applyFont="1" applyBorder="1" applyAlignment="1">
      <alignment horizontal="left"/>
    </xf>
    <xf numFmtId="165" fontId="30" fillId="0" borderId="2" xfId="5" applyNumberFormat="1" applyFont="1" applyBorder="1" applyAlignment="1">
      <alignment horizontal="left"/>
    </xf>
    <xf numFmtId="165" fontId="30" fillId="0" borderId="4" xfId="5" applyNumberFormat="1" applyFont="1" applyBorder="1" applyAlignment="1">
      <alignment horizontal="left"/>
    </xf>
    <xf numFmtId="165" fontId="30" fillId="0" borderId="10" xfId="5" applyNumberFormat="1" applyFont="1" applyBorder="1"/>
    <xf numFmtId="165" fontId="40" fillId="0" borderId="8" xfId="5" applyNumberFormat="1" applyFont="1" applyBorder="1" applyAlignment="1">
      <alignment horizontal="center" vertical="center"/>
    </xf>
    <xf numFmtId="165" fontId="30" fillId="0" borderId="0" xfId="5" applyNumberFormat="1" applyFont="1"/>
    <xf numFmtId="165" fontId="40" fillId="0" borderId="0" xfId="5" applyNumberFormat="1" applyFont="1" applyAlignment="1">
      <alignment horizontal="center" vertical="center"/>
    </xf>
    <xf numFmtId="165" fontId="36" fillId="0" borderId="8" xfId="5" applyNumberFormat="1" applyFont="1" applyBorder="1" applyAlignment="1">
      <alignment horizontal="center" vertical="center"/>
    </xf>
    <xf numFmtId="165" fontId="36" fillId="0" borderId="0" xfId="5" applyNumberFormat="1" applyFont="1" applyAlignment="1">
      <alignment horizontal="center" vertical="center"/>
    </xf>
    <xf numFmtId="165" fontId="40" fillId="0" borderId="0" xfId="5" applyNumberFormat="1" applyFont="1" applyBorder="1" applyAlignment="1">
      <alignment horizontal="center" vertical="center"/>
    </xf>
    <xf numFmtId="0" fontId="4" fillId="0" borderId="7" xfId="0" applyFont="1" applyBorder="1"/>
    <xf numFmtId="165" fontId="30" fillId="0" borderId="7" xfId="5" applyNumberFormat="1" applyFont="1" applyBorder="1" applyAlignment="1">
      <alignment horizontal="center" vertical="center"/>
    </xf>
    <xf numFmtId="165" fontId="30" fillId="0" borderId="8" xfId="5" applyNumberFormat="1" applyFont="1" applyBorder="1" applyAlignment="1">
      <alignment horizontal="center" vertical="center"/>
    </xf>
    <xf numFmtId="165" fontId="30" fillId="0" borderId="0" xfId="5" applyNumberFormat="1" applyFont="1" applyAlignment="1">
      <alignment horizontal="center" vertical="center"/>
    </xf>
    <xf numFmtId="165" fontId="30" fillId="0" borderId="0" xfId="5" quotePrefix="1" applyNumberFormat="1" applyFont="1" applyBorder="1" applyAlignment="1">
      <alignment horizontal="center"/>
    </xf>
    <xf numFmtId="165" fontId="30" fillId="0" borderId="0" xfId="5" applyNumberFormat="1" applyFont="1" applyBorder="1" applyAlignment="1">
      <alignment horizontal="center" vertical="center"/>
    </xf>
    <xf numFmtId="165" fontId="30" fillId="0" borderId="7" xfId="5" applyNumberFormat="1" applyFont="1" applyBorder="1" applyAlignment="1">
      <alignment horizontal="center"/>
    </xf>
    <xf numFmtId="165" fontId="30" fillId="0" borderId="8" xfId="5" applyNumberFormat="1" applyFont="1" applyBorder="1" applyAlignment="1">
      <alignment horizontal="center"/>
    </xf>
    <xf numFmtId="165" fontId="30" fillId="0" borderId="10" xfId="5" applyNumberFormat="1" applyFont="1" applyBorder="1" applyAlignment="1">
      <alignment horizontal="left"/>
    </xf>
    <xf numFmtId="165" fontId="30" fillId="0" borderId="0" xfId="5" applyNumberFormat="1" applyFont="1" applyAlignment="1">
      <alignment horizontal="center"/>
    </xf>
    <xf numFmtId="165" fontId="30" fillId="0" borderId="7" xfId="5" quotePrefix="1" applyNumberFormat="1" applyFont="1" applyBorder="1" applyAlignment="1">
      <alignment horizontal="left"/>
    </xf>
    <xf numFmtId="165" fontId="30" fillId="0" borderId="0" xfId="5" quotePrefix="1" applyNumberFormat="1" applyFont="1" applyAlignment="1">
      <alignment horizontal="left"/>
    </xf>
    <xf numFmtId="165" fontId="30" fillId="0" borderId="8" xfId="5" quotePrefix="1" applyNumberFormat="1" applyFont="1" applyBorder="1" applyAlignment="1">
      <alignment horizontal="left"/>
    </xf>
    <xf numFmtId="165" fontId="36" fillId="0" borderId="7" xfId="5" applyNumberFormat="1" applyFont="1" applyBorder="1" applyAlignment="1">
      <alignment horizontal="center"/>
    </xf>
    <xf numFmtId="165" fontId="36" fillId="0" borderId="7" xfId="5" quotePrefix="1" applyNumberFormat="1" applyFont="1" applyBorder="1" applyAlignment="1">
      <alignment horizontal="left"/>
    </xf>
    <xf numFmtId="165" fontId="36" fillId="0" borderId="11" xfId="5" applyNumberFormat="1" applyFont="1" applyBorder="1" applyAlignment="1">
      <alignment horizontal="right"/>
    </xf>
    <xf numFmtId="165" fontId="36" fillId="0" borderId="5" xfId="5" applyNumberFormat="1" applyFont="1" applyBorder="1" applyAlignment="1">
      <alignment horizontal="right"/>
    </xf>
    <xf numFmtId="165" fontId="36" fillId="0" borderId="1" xfId="5" applyNumberFormat="1" applyFont="1" applyBorder="1" applyAlignment="1">
      <alignment horizontal="right"/>
    </xf>
    <xf numFmtId="165" fontId="36" fillId="0" borderId="6" xfId="5" applyNumberFormat="1" applyFont="1" applyBorder="1" applyAlignment="1">
      <alignment horizontal="right"/>
    </xf>
    <xf numFmtId="165" fontId="36" fillId="0" borderId="8" xfId="5" applyNumberFormat="1" applyFont="1" applyBorder="1" applyAlignment="1">
      <alignment horizontal="right"/>
    </xf>
    <xf numFmtId="165" fontId="36" fillId="0" borderId="7" xfId="5" applyNumberFormat="1" applyFont="1" applyBorder="1" applyAlignment="1">
      <alignment horizontal="right"/>
    </xf>
    <xf numFmtId="165" fontId="36" fillId="0" borderId="0" xfId="5" applyNumberFormat="1" applyFont="1" applyAlignment="1">
      <alignment horizontal="right"/>
    </xf>
    <xf numFmtId="165" fontId="36" fillId="0" borderId="2" xfId="5" applyNumberFormat="1" applyFont="1" applyBorder="1" applyAlignment="1">
      <alignment horizontal="right"/>
    </xf>
    <xf numFmtId="165" fontId="36" fillId="0" borderId="7" xfId="5" applyNumberFormat="1" applyFont="1" applyBorder="1"/>
    <xf numFmtId="164" fontId="36" fillId="0" borderId="0" xfId="6" applyNumberFormat="1" applyFont="1"/>
    <xf numFmtId="165" fontId="36" fillId="0" borderId="0" xfId="5" applyNumberFormat="1" applyFont="1"/>
    <xf numFmtId="165" fontId="36" fillId="0" borderId="0" xfId="5" applyNumberFormat="1" applyFont="1" applyBorder="1"/>
    <xf numFmtId="164" fontId="36" fillId="0" borderId="0" xfId="6" applyNumberFormat="1" applyFont="1" applyBorder="1"/>
    <xf numFmtId="165" fontId="30" fillId="0" borderId="7" xfId="5" applyNumberFormat="1" applyFont="1" applyBorder="1"/>
    <xf numFmtId="165" fontId="30" fillId="0" borderId="0" xfId="5" applyNumberFormat="1" applyFont="1" applyBorder="1"/>
    <xf numFmtId="164" fontId="30" fillId="0" borderId="0" xfId="6" applyNumberFormat="1" applyFont="1"/>
    <xf numFmtId="165" fontId="30" fillId="0" borderId="5" xfId="5" applyNumberFormat="1" applyFont="1" applyBorder="1" applyAlignment="1">
      <alignment horizontal="center"/>
    </xf>
    <xf numFmtId="165" fontId="30" fillId="0" borderId="1" xfId="5" applyNumberFormat="1" applyFont="1" applyBorder="1" applyAlignment="1">
      <alignment horizontal="center"/>
    </xf>
    <xf numFmtId="0" fontId="0" fillId="0" borderId="0" xfId="0" applyAlignment="1">
      <alignment horizontal="center" vertical="center"/>
    </xf>
    <xf numFmtId="0" fontId="4" fillId="0" borderId="0" xfId="0" applyFont="1" applyAlignment="1">
      <alignment horizontal="center" wrapText="1"/>
    </xf>
    <xf numFmtId="0" fontId="4" fillId="0" borderId="0" xfId="0" applyFont="1" applyAlignment="1">
      <alignment horizontal="center" vertical="center"/>
    </xf>
    <xf numFmtId="0" fontId="4" fillId="0" borderId="0" xfId="0" applyFont="1" applyAlignment="1">
      <alignment wrapText="1"/>
    </xf>
    <xf numFmtId="0" fontId="4" fillId="0" borderId="0" xfId="0" applyFont="1"/>
    <xf numFmtId="44" fontId="10" fillId="0" borderId="0" xfId="0" applyNumberFormat="1" applyFont="1" applyAlignment="1">
      <alignment horizontal="right"/>
    </xf>
    <xf numFmtId="43" fontId="6" fillId="0" borderId="1" xfId="1" applyFont="1" applyFill="1" applyBorder="1"/>
    <xf numFmtId="0" fontId="10" fillId="5" borderId="0" xfId="0" applyFont="1" applyFill="1"/>
    <xf numFmtId="0" fontId="6" fillId="5" borderId="0" xfId="0" applyFont="1" applyFill="1"/>
    <xf numFmtId="0" fontId="6" fillId="5" borderId="1" xfId="0" applyFont="1" applyFill="1" applyBorder="1" applyAlignment="1">
      <alignment horizontal="center"/>
    </xf>
    <xf numFmtId="2" fontId="6" fillId="5" borderId="0" xfId="0" applyNumberFormat="1" applyFont="1" applyFill="1"/>
    <xf numFmtId="2" fontId="6" fillId="5" borderId="0" xfId="0" quotePrefix="1" applyNumberFormat="1" applyFont="1" applyFill="1"/>
    <xf numFmtId="2" fontId="6" fillId="5" borderId="1" xfId="0" applyNumberFormat="1" applyFont="1" applyFill="1" applyBorder="1"/>
    <xf numFmtId="44" fontId="32" fillId="0" borderId="1" xfId="2" applyFont="1" applyFill="1" applyBorder="1"/>
    <xf numFmtId="43" fontId="6" fillId="0" borderId="0" xfId="0" applyNumberFormat="1" applyFont="1"/>
    <xf numFmtId="165" fontId="4" fillId="0" borderId="0" xfId="5" applyNumberFormat="1" applyFont="1" applyAlignment="1">
      <alignment horizontal="center"/>
    </xf>
    <xf numFmtId="0" fontId="4" fillId="0" borderId="0" xfId="0" applyFont="1" applyAlignment="1">
      <alignment horizontal="center"/>
    </xf>
    <xf numFmtId="165" fontId="4" fillId="0" borderId="1" xfId="5" applyNumberFormat="1" applyFont="1" applyBorder="1" applyAlignment="1">
      <alignment horizontal="center"/>
    </xf>
    <xf numFmtId="165" fontId="4" fillId="0" borderId="1" xfId="5" applyNumberFormat="1" applyFont="1" applyFill="1" applyBorder="1" applyAlignment="1">
      <alignment horizontal="center"/>
    </xf>
    <xf numFmtId="165" fontId="30" fillId="0" borderId="7" xfId="5" applyNumberFormat="1" applyFont="1" applyBorder="1" applyAlignment="1">
      <alignment horizontal="left"/>
    </xf>
    <xf numFmtId="165" fontId="30" fillId="0" borderId="0" xfId="5" quotePrefix="1" applyNumberFormat="1" applyFont="1" applyBorder="1" applyAlignment="1">
      <alignment horizontal="left"/>
    </xf>
    <xf numFmtId="165" fontId="12" fillId="0" borderId="0" xfId="1" applyNumberFormat="1" applyFont="1" applyFill="1"/>
    <xf numFmtId="10" fontId="6" fillId="0" borderId="0" xfId="3" applyNumberFormat="1" applyFont="1" applyFill="1" applyAlignment="1">
      <alignment vertical="center"/>
    </xf>
    <xf numFmtId="0" fontId="6" fillId="0" borderId="1" xfId="0" applyFont="1" applyBorder="1" applyAlignment="1">
      <alignment horizontal="center"/>
    </xf>
    <xf numFmtId="0" fontId="6" fillId="4" borderId="0" xfId="0" applyFont="1" applyFill="1"/>
    <xf numFmtId="165" fontId="10" fillId="0" borderId="0" xfId="5" applyNumberFormat="1" applyFont="1" applyAlignment="1">
      <alignment vertical="center"/>
    </xf>
    <xf numFmtId="165" fontId="6" fillId="0" borderId="0" xfId="5" applyNumberFormat="1" applyFont="1" applyAlignment="1">
      <alignment vertical="center"/>
    </xf>
    <xf numFmtId="3" fontId="6" fillId="0" borderId="0" xfId="0" applyNumberFormat="1" applyFont="1" applyAlignment="1">
      <alignment vertical="center"/>
    </xf>
    <xf numFmtId="43" fontId="6" fillId="0" borderId="0" xfId="1" applyFont="1" applyAlignment="1">
      <alignment vertical="center"/>
    </xf>
    <xf numFmtId="165" fontId="0" fillId="0" borderId="0" xfId="0" applyNumberFormat="1"/>
    <xf numFmtId="165" fontId="12" fillId="0" borderId="0" xfId="1" applyNumberFormat="1" applyFont="1"/>
    <xf numFmtId="43" fontId="6" fillId="5" borderId="0" xfId="1" applyFont="1" applyFill="1"/>
    <xf numFmtId="43" fontId="6" fillId="5" borderId="1" xfId="1" applyFont="1" applyFill="1" applyBorder="1"/>
    <xf numFmtId="0" fontId="41" fillId="0" borderId="0" xfId="0" applyFont="1"/>
    <xf numFmtId="0" fontId="0" fillId="0" borderId="0" xfId="0" applyAlignment="1">
      <alignment horizontal="center"/>
    </xf>
    <xf numFmtId="43" fontId="6" fillId="0" borderId="0" xfId="1" applyFont="1" applyAlignment="1">
      <alignment horizontal="center"/>
    </xf>
    <xf numFmtId="9" fontId="6" fillId="0" borderId="0" xfId="3" applyFont="1"/>
    <xf numFmtId="44" fontId="6" fillId="0" borderId="0" xfId="2" applyFont="1" applyAlignment="1">
      <alignment horizontal="center"/>
    </xf>
    <xf numFmtId="43" fontId="6" fillId="0" borderId="0" xfId="0" applyNumberFormat="1" applyFont="1" applyAlignment="1">
      <alignment horizontal="center"/>
    </xf>
    <xf numFmtId="0" fontId="6" fillId="0" borderId="1" xfId="0" applyFont="1" applyBorder="1"/>
    <xf numFmtId="43" fontId="6" fillId="0" borderId="1" xfId="1" applyFont="1" applyBorder="1" applyAlignment="1">
      <alignment horizontal="center"/>
    </xf>
    <xf numFmtId="9" fontId="6" fillId="0" borderId="0" xfId="3" applyFont="1" applyAlignment="1">
      <alignment horizontal="right"/>
    </xf>
    <xf numFmtId="0" fontId="0" fillId="0" borderId="0" xfId="0" applyAlignment="1">
      <alignment wrapText="1"/>
    </xf>
    <xf numFmtId="165" fontId="24" fillId="0" borderId="0" xfId="1" applyNumberFormat="1" applyFont="1" applyFill="1" applyAlignment="1">
      <alignment vertical="center"/>
    </xf>
    <xf numFmtId="0" fontId="9" fillId="0" borderId="0" xfId="0" applyFont="1" applyAlignment="1">
      <alignment horizontal="center"/>
    </xf>
    <xf numFmtId="0" fontId="6" fillId="5" borderId="9" xfId="0" applyFont="1" applyFill="1" applyBorder="1" applyAlignment="1">
      <alignment horizontal="center"/>
    </xf>
    <xf numFmtId="0" fontId="6" fillId="5" borderId="10" xfId="0" applyFont="1" applyFill="1" applyBorder="1" applyAlignment="1">
      <alignment horizontal="center"/>
    </xf>
    <xf numFmtId="44" fontId="6" fillId="5" borderId="10" xfId="2" applyFont="1" applyFill="1" applyBorder="1"/>
    <xf numFmtId="0" fontId="6" fillId="5" borderId="11" xfId="0" applyFont="1" applyFill="1" applyBorder="1" applyAlignment="1">
      <alignment horizontal="right"/>
    </xf>
    <xf numFmtId="44" fontId="6" fillId="5" borderId="11" xfId="2" applyFont="1" applyFill="1" applyBorder="1"/>
    <xf numFmtId="164" fontId="6" fillId="0" borderId="0" xfId="2" applyNumberFormat="1" applyFont="1" applyFill="1" applyBorder="1"/>
    <xf numFmtId="44" fontId="6" fillId="0" borderId="0" xfId="2" applyFont="1" applyFill="1" applyAlignment="1">
      <alignment vertical="top"/>
    </xf>
    <xf numFmtId="10" fontId="6" fillId="0" borderId="0" xfId="3" applyNumberFormat="1" applyFont="1" applyFill="1" applyAlignment="1">
      <alignment vertical="top"/>
    </xf>
    <xf numFmtId="44" fontId="30" fillId="0" borderId="0" xfId="0" applyNumberFormat="1" applyFont="1"/>
    <xf numFmtId="43" fontId="30" fillId="0" borderId="0" xfId="0" applyNumberFormat="1" applyFont="1"/>
    <xf numFmtId="168" fontId="6" fillId="0" borderId="0" xfId="5" applyNumberFormat="1" applyFont="1" applyFill="1" applyBorder="1" applyAlignment="1"/>
    <xf numFmtId="167" fontId="6" fillId="0" borderId="0" xfId="3" applyNumberFormat="1" applyFont="1" applyBorder="1" applyAlignment="1">
      <alignment horizontal="center"/>
    </xf>
    <xf numFmtId="167" fontId="6" fillId="0" borderId="0" xfId="3" applyNumberFormat="1" applyFont="1" applyBorder="1" applyAlignment="1">
      <alignment horizontal="center" vertical="center"/>
    </xf>
    <xf numFmtId="8" fontId="6" fillId="0" borderId="0" xfId="1" applyNumberFormat="1" applyFont="1" applyBorder="1" applyAlignment="1"/>
    <xf numFmtId="165" fontId="6" fillId="0" borderId="0" xfId="1" applyNumberFormat="1" applyFont="1" applyBorder="1" applyAlignment="1">
      <alignment vertical="center"/>
    </xf>
    <xf numFmtId="43" fontId="6" fillId="0" borderId="2" xfId="1" applyFont="1" applyBorder="1" applyAlignment="1">
      <alignment vertical="center"/>
    </xf>
    <xf numFmtId="43" fontId="6" fillId="0" borderId="5" xfId="1" applyFont="1" applyBorder="1" applyAlignment="1"/>
    <xf numFmtId="43" fontId="10" fillId="0" borderId="3" xfId="1" applyFont="1" applyBorder="1" applyAlignment="1">
      <alignment vertical="center"/>
    </xf>
    <xf numFmtId="43" fontId="6" fillId="0" borderId="3" xfId="1" applyFont="1" applyBorder="1" applyAlignment="1"/>
    <xf numFmtId="43" fontId="6" fillId="0" borderId="4" xfId="1" applyFont="1" applyBorder="1" applyAlignment="1">
      <alignment horizontal="center"/>
    </xf>
    <xf numFmtId="43" fontId="6" fillId="0" borderId="5" xfId="1" applyFont="1" applyBorder="1" applyAlignment="1">
      <alignment horizontal="center"/>
    </xf>
    <xf numFmtId="43" fontId="6" fillId="0" borderId="6" xfId="1" applyFont="1" applyBorder="1" applyAlignment="1">
      <alignment horizontal="center"/>
    </xf>
    <xf numFmtId="167" fontId="6" fillId="0" borderId="8" xfId="1" applyNumberFormat="1" applyFont="1" applyBorder="1" applyAlignment="1"/>
    <xf numFmtId="165" fontId="6" fillId="0" borderId="1" xfId="1" applyNumberFormat="1" applyFont="1" applyBorder="1" applyAlignment="1"/>
    <xf numFmtId="8" fontId="6" fillId="0" borderId="1" xfId="1" applyNumberFormat="1" applyFont="1" applyBorder="1" applyAlignment="1"/>
    <xf numFmtId="167" fontId="6" fillId="0" borderId="6" xfId="1" applyNumberFormat="1" applyFont="1" applyBorder="1" applyAlignment="1"/>
    <xf numFmtId="165" fontId="7" fillId="0" borderId="0" xfId="5" applyNumberFormat="1" applyFont="1" applyAlignment="1">
      <alignment horizontal="center" vertical="center"/>
    </xf>
    <xf numFmtId="165" fontId="7" fillId="0" borderId="0" xfId="1" applyNumberFormat="1" applyFont="1" applyAlignment="1">
      <alignment horizontal="center" vertical="center"/>
    </xf>
    <xf numFmtId="165" fontId="7" fillId="4" borderId="0" xfId="5" applyNumberFormat="1" applyFont="1" applyFill="1" applyAlignment="1">
      <alignment horizontal="center" vertical="center"/>
    </xf>
    <xf numFmtId="165" fontId="40" fillId="0" borderId="7" xfId="5" applyNumberFormat="1" applyFont="1" applyBorder="1" applyAlignment="1">
      <alignment horizontal="center" vertical="center"/>
    </xf>
    <xf numFmtId="165" fontId="40" fillId="0" borderId="8" xfId="5" applyNumberFormat="1" applyFont="1" applyBorder="1" applyAlignment="1">
      <alignment horizontal="center" vertical="center"/>
    </xf>
    <xf numFmtId="3" fontId="7" fillId="0" borderId="0" xfId="0" applyNumberFormat="1" applyFont="1" applyAlignment="1">
      <alignment horizontal="center"/>
    </xf>
    <xf numFmtId="3" fontId="8" fillId="0" borderId="0" xfId="0" applyNumberFormat="1" applyFont="1" applyAlignment="1">
      <alignment horizontal="center"/>
    </xf>
    <xf numFmtId="3" fontId="15" fillId="0" borderId="0" xfId="0" applyNumberFormat="1" applyFont="1" applyAlignment="1">
      <alignment horizontal="center" vertical="center"/>
    </xf>
    <xf numFmtId="168" fontId="11" fillId="0" borderId="0" xfId="5" applyNumberFormat="1" applyFont="1" applyBorder="1" applyAlignment="1">
      <alignment horizontal="center"/>
    </xf>
    <xf numFmtId="43" fontId="9" fillId="0" borderId="7" xfId="1" applyFont="1" applyBorder="1" applyAlignment="1">
      <alignment horizontal="right"/>
    </xf>
    <xf numFmtId="43" fontId="9" fillId="0" borderId="0" xfId="1" applyFont="1" applyBorder="1" applyAlignment="1">
      <alignment horizontal="right"/>
    </xf>
    <xf numFmtId="43" fontId="9" fillId="0" borderId="5" xfId="1" applyFont="1" applyBorder="1" applyAlignment="1">
      <alignment horizontal="right"/>
    </xf>
    <xf numFmtId="43" fontId="9" fillId="0" borderId="1" xfId="1" applyFont="1" applyBorder="1" applyAlignment="1">
      <alignment horizontal="right"/>
    </xf>
    <xf numFmtId="43" fontId="7" fillId="0" borderId="3" xfId="1" applyFont="1" applyBorder="1" applyAlignment="1">
      <alignment horizontal="center"/>
    </xf>
    <xf numFmtId="43" fontId="7" fillId="0" borderId="2" xfId="1" applyFont="1" applyBorder="1" applyAlignment="1">
      <alignment horizontal="center"/>
    </xf>
    <xf numFmtId="43" fontId="7" fillId="0" borderId="4" xfId="1" applyFont="1" applyBorder="1" applyAlignment="1">
      <alignment horizontal="center"/>
    </xf>
    <xf numFmtId="43" fontId="9" fillId="0" borderId="7" xfId="1" applyFont="1" applyBorder="1" applyAlignment="1">
      <alignment horizontal="right" wrapText="1"/>
    </xf>
    <xf numFmtId="43" fontId="9" fillId="0" borderId="0" xfId="1" applyFont="1" applyBorder="1" applyAlignment="1">
      <alignment horizontal="right" wrapText="1"/>
    </xf>
    <xf numFmtId="3" fontId="28" fillId="0" borderId="7" xfId="0" applyNumberFormat="1" applyFont="1" applyBorder="1" applyAlignment="1">
      <alignment horizontal="center"/>
    </xf>
    <xf numFmtId="3" fontId="28" fillId="0" borderId="0" xfId="0" applyNumberFormat="1" applyFont="1" applyAlignment="1">
      <alignment horizontal="center"/>
    </xf>
    <xf numFmtId="3" fontId="28" fillId="0" borderId="8" xfId="0" applyNumberFormat="1" applyFont="1" applyBorder="1" applyAlignment="1">
      <alignment horizontal="center"/>
    </xf>
    <xf numFmtId="3" fontId="7" fillId="0" borderId="7"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8" xfId="0" applyNumberFormat="1" applyFont="1" applyBorder="1" applyAlignment="1">
      <alignment horizontal="center" vertical="center"/>
    </xf>
    <xf numFmtId="43" fontId="12" fillId="0" borderId="0" xfId="1" applyFont="1" applyBorder="1" applyAlignment="1">
      <alignment horizontal="center"/>
    </xf>
    <xf numFmtId="44" fontId="31" fillId="0" borderId="3" xfId="2" applyFont="1" applyBorder="1" applyAlignment="1">
      <alignment horizontal="center"/>
    </xf>
    <xf numFmtId="44" fontId="31" fillId="0" borderId="2" xfId="2" applyFont="1" applyBorder="1" applyAlignment="1">
      <alignment horizontal="center"/>
    </xf>
    <xf numFmtId="44" fontId="31" fillId="0" borderId="4" xfId="2" applyFont="1" applyBorder="1" applyAlignment="1">
      <alignment horizontal="center"/>
    </xf>
    <xf numFmtId="44" fontId="31" fillId="0" borderId="7" xfId="2" applyFont="1" applyBorder="1" applyAlignment="1">
      <alignment horizontal="center"/>
    </xf>
    <xf numFmtId="44" fontId="31" fillId="0" borderId="0" xfId="2" applyFont="1" applyBorder="1" applyAlignment="1">
      <alignment horizontal="center"/>
    </xf>
    <xf numFmtId="44" fontId="31" fillId="0" borderId="8" xfId="2" applyFont="1" applyBorder="1" applyAlignment="1">
      <alignment horizontal="center"/>
    </xf>
    <xf numFmtId="0" fontId="31" fillId="0" borderId="7" xfId="0" applyFont="1" applyBorder="1" applyAlignment="1">
      <alignment horizontal="center"/>
    </xf>
    <xf numFmtId="0" fontId="31" fillId="0" borderId="0" xfId="0" applyFont="1" applyAlignment="1">
      <alignment horizontal="center"/>
    </xf>
    <xf numFmtId="0" fontId="31" fillId="0" borderId="8" xfId="0" applyFont="1" applyBorder="1" applyAlignment="1">
      <alignment horizontal="center"/>
    </xf>
    <xf numFmtId="43" fontId="27" fillId="0" borderId="7" xfId="1" applyFont="1" applyBorder="1" applyAlignment="1">
      <alignment horizontal="center"/>
    </xf>
    <xf numFmtId="43" fontId="27" fillId="0" borderId="0" xfId="1" applyFont="1" applyBorder="1" applyAlignment="1">
      <alignment horizontal="center"/>
    </xf>
    <xf numFmtId="43" fontId="27" fillId="0" borderId="8" xfId="1" applyFont="1" applyBorder="1" applyAlignment="1">
      <alignment horizontal="center"/>
    </xf>
    <xf numFmtId="165" fontId="7" fillId="0" borderId="7" xfId="1" applyNumberFormat="1" applyFont="1" applyBorder="1" applyAlignment="1">
      <alignment horizontal="center"/>
    </xf>
    <xf numFmtId="165" fontId="7" fillId="0" borderId="0" xfId="1" applyNumberFormat="1" applyFont="1" applyBorder="1" applyAlignment="1">
      <alignment horizontal="center"/>
    </xf>
    <xf numFmtId="165" fontId="7" fillId="0" borderId="8" xfId="1" applyNumberFormat="1" applyFont="1" applyBorder="1" applyAlignment="1">
      <alignment horizontal="center"/>
    </xf>
    <xf numFmtId="0" fontId="8" fillId="0" borderId="7" xfId="0" applyFont="1" applyBorder="1" applyAlignment="1">
      <alignment horizontal="center"/>
    </xf>
    <xf numFmtId="0" fontId="8" fillId="0" borderId="0" xfId="0" applyFont="1" applyAlignment="1">
      <alignment horizontal="center"/>
    </xf>
    <xf numFmtId="0" fontId="8" fillId="0" borderId="8" xfId="0" applyFont="1" applyBorder="1" applyAlignment="1">
      <alignment horizontal="center"/>
    </xf>
    <xf numFmtId="3" fontId="15" fillId="0" borderId="7" xfId="0" applyNumberFormat="1" applyFont="1" applyBorder="1" applyAlignment="1">
      <alignment horizontal="center" vertical="center"/>
    </xf>
    <xf numFmtId="3" fontId="15" fillId="0" borderId="8" xfId="0" applyNumberFormat="1" applyFont="1" applyBorder="1" applyAlignment="1">
      <alignment horizontal="center" vertical="center"/>
    </xf>
    <xf numFmtId="0" fontId="0" fillId="0" borderId="0" xfId="0" applyAlignment="1">
      <alignment horizontal="center"/>
    </xf>
    <xf numFmtId="0" fontId="0" fillId="0" borderId="8" xfId="0" applyBorder="1" applyAlignment="1">
      <alignment horizontal="center"/>
    </xf>
    <xf numFmtId="0" fontId="27" fillId="0" borderId="0" xfId="0" applyFont="1" applyAlignment="1">
      <alignment horizontal="center"/>
    </xf>
    <xf numFmtId="165" fontId="15" fillId="0" borderId="0" xfId="5" applyNumberFormat="1" applyFont="1" applyBorder="1" applyAlignment="1">
      <alignment horizontal="center" vertical="center"/>
    </xf>
    <xf numFmtId="43" fontId="6" fillId="0" borderId="0" xfId="1" applyFont="1" applyBorder="1" applyAlignment="1">
      <alignment horizontal="center"/>
    </xf>
    <xf numFmtId="43" fontId="11" fillId="0" borderId="0" xfId="1" applyFont="1" applyBorder="1" applyAlignment="1">
      <alignment horizontal="center"/>
    </xf>
    <xf numFmtId="0" fontId="14" fillId="0" borderId="0" xfId="0" applyFont="1" applyAlignment="1">
      <alignment horizontal="center"/>
    </xf>
    <xf numFmtId="43" fontId="10" fillId="0" borderId="0" xfId="1" applyFont="1" applyBorder="1" applyAlignment="1">
      <alignment horizontal="center"/>
    </xf>
    <xf numFmtId="3" fontId="14" fillId="0" borderId="0" xfId="0" applyNumberFormat="1" applyFont="1" applyAlignment="1">
      <alignment horizontal="center"/>
    </xf>
    <xf numFmtId="0" fontId="19" fillId="0" borderId="0" xfId="0" applyFont="1" applyAlignment="1">
      <alignment horizontal="center"/>
    </xf>
    <xf numFmtId="0" fontId="29" fillId="0" borderId="0" xfId="0" applyFont="1" applyAlignment="1">
      <alignment horizontal="center"/>
    </xf>
    <xf numFmtId="165" fontId="6" fillId="4" borderId="0" xfId="1" applyNumberFormat="1" applyFont="1" applyFill="1" applyAlignment="1">
      <alignment horizontal="center"/>
    </xf>
  </cellXfs>
  <cellStyles count="11">
    <cellStyle name="Comma" xfId="1" builtinId="3"/>
    <cellStyle name="Comma 2" xfId="5" xr:uid="{00000000-0005-0000-0000-000001000000}"/>
    <cellStyle name="Comma 3" xfId="9" xr:uid="{00000000-0005-0000-0000-000002000000}"/>
    <cellStyle name="Currency" xfId="2" builtinId="4"/>
    <cellStyle name="Currency 2" xfId="6" xr:uid="{00000000-0005-0000-0000-000004000000}"/>
    <cellStyle name="Currency 3" xfId="10" xr:uid="{00000000-0005-0000-0000-000005000000}"/>
    <cellStyle name="Normal" xfId="0" builtinId="0"/>
    <cellStyle name="Normal 2" xfId="4" xr:uid="{00000000-0005-0000-0000-000007000000}"/>
    <cellStyle name="Normal 3" xfId="8" xr:uid="{00000000-0005-0000-0000-000008000000}"/>
    <cellStyle name="Percent" xfId="3" builtinId="5"/>
    <cellStyle name="Percent 2" xfId="7" xr:uid="{00000000-0005-0000-0000-00000A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L85"/>
  <sheetViews>
    <sheetView showGridLines="0" topLeftCell="A35" zoomScaleNormal="100" workbookViewId="0">
      <selection activeCell="A59" sqref="A59:G59"/>
    </sheetView>
  </sheetViews>
  <sheetFormatPr defaultColWidth="8.765625" defaultRowHeight="14.5" x14ac:dyDescent="0.35"/>
  <cols>
    <col min="1" max="1" width="3.69140625" style="7" customWidth="1"/>
    <col min="2" max="2" width="2.69140625" style="7" customWidth="1"/>
    <col min="3" max="3" width="29.4609375" style="7" customWidth="1"/>
    <col min="4" max="4" width="11.3046875" style="7" customWidth="1"/>
    <col min="5" max="5" width="11.53515625" style="7" customWidth="1"/>
    <col min="6" max="6" width="5.3046875" style="7" customWidth="1"/>
    <col min="7" max="7" width="11.53515625" style="7" customWidth="1"/>
    <col min="8" max="8" width="3.53515625" style="7" customWidth="1"/>
    <col min="9" max="9" width="54.4609375" style="7" bestFit="1" customWidth="1"/>
    <col min="10" max="11" width="11.3046875" style="7" customWidth="1"/>
    <col min="12" max="12" width="10.84375" style="7" customWidth="1"/>
    <col min="13" max="16384" width="8.765625" style="7"/>
  </cols>
  <sheetData>
    <row r="1" spans="1:12" ht="18.5" x14ac:dyDescent="0.35">
      <c r="A1" s="400" t="s">
        <v>28</v>
      </c>
      <c r="B1" s="400"/>
      <c r="C1" s="400"/>
      <c r="D1" s="400"/>
      <c r="E1" s="400"/>
      <c r="F1" s="400"/>
      <c r="G1" s="400"/>
      <c r="H1" s="71"/>
      <c r="I1" s="71"/>
      <c r="J1" s="71"/>
      <c r="K1" s="71"/>
    </row>
    <row r="2" spans="1:12" ht="15.5" x14ac:dyDescent="0.35">
      <c r="A2" s="72" t="s">
        <v>214</v>
      </c>
      <c r="B2" s="70"/>
      <c r="C2" s="70"/>
      <c r="D2" s="70"/>
      <c r="E2" s="70"/>
      <c r="F2" s="70"/>
      <c r="G2" s="70"/>
      <c r="H2" s="71"/>
      <c r="I2" s="71"/>
      <c r="J2" s="71"/>
      <c r="K2" s="71"/>
      <c r="L2" s="71"/>
    </row>
    <row r="3" spans="1:12" x14ac:dyDescent="0.35">
      <c r="A3" s="57"/>
      <c r="B3" s="70"/>
      <c r="C3" s="70"/>
      <c r="D3" s="224">
        <v>2024</v>
      </c>
      <c r="E3" s="70"/>
      <c r="F3" s="70"/>
      <c r="G3" s="70"/>
      <c r="H3" s="71"/>
      <c r="I3" s="71"/>
      <c r="J3" s="71"/>
      <c r="K3" s="71"/>
    </row>
    <row r="4" spans="1:12" ht="16" x14ac:dyDescent="0.35">
      <c r="A4" s="71"/>
      <c r="B4" s="71"/>
      <c r="C4" s="71"/>
      <c r="D4" s="73" t="s">
        <v>29</v>
      </c>
      <c r="E4" s="73" t="s">
        <v>30</v>
      </c>
      <c r="F4" s="73" t="s">
        <v>31</v>
      </c>
      <c r="G4" s="73" t="s">
        <v>32</v>
      </c>
      <c r="H4" s="71"/>
      <c r="I4" s="86" t="s">
        <v>37</v>
      </c>
      <c r="J4" s="71"/>
      <c r="K4" s="71"/>
    </row>
    <row r="5" spans="1:12" x14ac:dyDescent="0.35">
      <c r="A5" s="74" t="s">
        <v>14</v>
      </c>
      <c r="B5" s="71"/>
      <c r="C5" s="71"/>
      <c r="D5" s="226"/>
      <c r="E5" s="248"/>
      <c r="F5" s="249"/>
      <c r="G5" s="249"/>
      <c r="H5" s="71"/>
      <c r="J5" s="71"/>
      <c r="K5" s="71"/>
    </row>
    <row r="6" spans="1:12" x14ac:dyDescent="0.35">
      <c r="A6" s="71"/>
      <c r="B6" s="71" t="s">
        <v>281</v>
      </c>
      <c r="C6" s="71"/>
      <c r="D6" s="226">
        <v>1680323</v>
      </c>
      <c r="E6" s="249">
        <f>ExBA!F12</f>
        <v>3572.9679999998771</v>
      </c>
      <c r="F6" s="250" t="s">
        <v>250</v>
      </c>
      <c r="G6" s="249">
        <f>D6+E6</f>
        <v>1683895.9679999999</v>
      </c>
      <c r="H6" s="76"/>
      <c r="I6" s="71" t="s">
        <v>298</v>
      </c>
      <c r="J6" s="71"/>
      <c r="K6" s="71"/>
    </row>
    <row r="7" spans="1:12" x14ac:dyDescent="0.35">
      <c r="A7" s="71"/>
      <c r="B7" s="71" t="s">
        <v>280</v>
      </c>
      <c r="C7" s="71"/>
      <c r="D7" s="226">
        <v>143290</v>
      </c>
      <c r="E7" s="249"/>
      <c r="F7" s="250"/>
      <c r="G7" s="249">
        <f>D7+E7</f>
        <v>143290</v>
      </c>
      <c r="H7" s="77"/>
      <c r="I7" s="69"/>
      <c r="J7" s="71"/>
      <c r="K7" s="71"/>
    </row>
    <row r="8" spans="1:12" x14ac:dyDescent="0.35">
      <c r="A8" s="71"/>
      <c r="B8" s="71" t="s">
        <v>15</v>
      </c>
      <c r="C8" s="71"/>
      <c r="D8" s="226">
        <v>0</v>
      </c>
      <c r="E8" s="249"/>
      <c r="F8" s="250"/>
      <c r="G8" s="249">
        <f>D8+E8</f>
        <v>0</v>
      </c>
      <c r="H8" s="76"/>
      <c r="I8" s="71"/>
      <c r="J8" s="71"/>
    </row>
    <row r="9" spans="1:12" x14ac:dyDescent="0.35">
      <c r="A9" s="71"/>
      <c r="B9" s="71" t="s">
        <v>16</v>
      </c>
      <c r="C9" s="71"/>
      <c r="D9" s="226"/>
      <c r="E9" s="249"/>
      <c r="F9" s="250"/>
      <c r="G9" s="249"/>
      <c r="H9" s="78"/>
      <c r="I9" s="71"/>
      <c r="J9" s="71"/>
      <c r="K9" s="71"/>
    </row>
    <row r="10" spans="1:12" x14ac:dyDescent="0.35">
      <c r="A10" s="71"/>
      <c r="B10" s="71"/>
      <c r="C10" s="71" t="s">
        <v>38</v>
      </c>
      <c r="D10" s="226">
        <v>0</v>
      </c>
      <c r="E10" s="249"/>
      <c r="F10" s="250"/>
      <c r="G10" s="249">
        <f>D10+E10</f>
        <v>0</v>
      </c>
      <c r="H10" s="76"/>
      <c r="I10" s="71"/>
      <c r="J10" s="71"/>
      <c r="K10" s="71"/>
    </row>
    <row r="11" spans="1:12" x14ac:dyDescent="0.35">
      <c r="A11" s="71"/>
      <c r="C11" s="71" t="s">
        <v>17</v>
      </c>
      <c r="D11" s="226">
        <v>0</v>
      </c>
      <c r="E11" s="249"/>
      <c r="F11" s="250"/>
      <c r="G11" s="249">
        <f>D11+E11</f>
        <v>0</v>
      </c>
      <c r="H11" s="76"/>
      <c r="J11" s="71"/>
      <c r="K11" s="71"/>
    </row>
    <row r="12" spans="1:12" ht="16" x14ac:dyDescent="0.35">
      <c r="A12" s="71"/>
      <c r="C12" s="71" t="s">
        <v>67</v>
      </c>
      <c r="D12" s="227">
        <v>58646</v>
      </c>
      <c r="E12" s="249">
        <f>65000-42500</f>
        <v>22500</v>
      </c>
      <c r="F12" s="250" t="s">
        <v>251</v>
      </c>
      <c r="G12" s="252">
        <f>D12+E12</f>
        <v>81146</v>
      </c>
      <c r="H12" s="77"/>
      <c r="I12" s="71" t="s">
        <v>258</v>
      </c>
      <c r="J12" s="71"/>
      <c r="K12" s="71"/>
    </row>
    <row r="13" spans="1:12" x14ac:dyDescent="0.35">
      <c r="A13" s="79" t="s">
        <v>18</v>
      </c>
      <c r="B13" s="71"/>
      <c r="C13" s="71"/>
      <c r="D13" s="71">
        <f>SUM(D6:D12)</f>
        <v>1882259</v>
      </c>
      <c r="E13" s="71"/>
      <c r="F13" s="75"/>
      <c r="G13" s="71">
        <f>SUM(G6:G12)</f>
        <v>1908331.9679999999</v>
      </c>
      <c r="H13" s="78"/>
      <c r="J13" s="71"/>
      <c r="K13" s="71"/>
    </row>
    <row r="14" spans="1:12" x14ac:dyDescent="0.35">
      <c r="A14" s="71"/>
      <c r="B14" s="71"/>
      <c r="C14" s="71"/>
      <c r="D14" s="71"/>
      <c r="E14" s="71"/>
      <c r="F14" s="75"/>
      <c r="G14" s="71"/>
      <c r="H14" s="78"/>
      <c r="I14" s="71"/>
      <c r="J14" s="71"/>
      <c r="K14" s="71"/>
    </row>
    <row r="15" spans="1:12" x14ac:dyDescent="0.35">
      <c r="A15" s="74" t="s">
        <v>19</v>
      </c>
      <c r="B15" s="71"/>
      <c r="C15" s="71"/>
      <c r="D15" s="71"/>
      <c r="E15" s="71"/>
      <c r="F15" s="75"/>
      <c r="G15" s="71"/>
      <c r="H15" s="78"/>
      <c r="I15" s="71"/>
      <c r="J15" s="71"/>
      <c r="K15" s="71"/>
    </row>
    <row r="16" spans="1:12" x14ac:dyDescent="0.35">
      <c r="A16" s="71"/>
      <c r="B16" s="71" t="s">
        <v>33</v>
      </c>
      <c r="C16" s="71"/>
      <c r="D16" s="71"/>
      <c r="E16" s="71"/>
      <c r="F16" s="75"/>
      <c r="G16" s="71"/>
      <c r="H16" s="78"/>
      <c r="I16" s="71"/>
      <c r="J16" s="71"/>
      <c r="K16" s="71"/>
    </row>
    <row r="17" spans="1:11" x14ac:dyDescent="0.35">
      <c r="A17" s="226"/>
      <c r="B17" s="226"/>
      <c r="C17" s="226" t="s">
        <v>2</v>
      </c>
      <c r="D17" s="226">
        <v>476579</v>
      </c>
      <c r="E17" s="249">
        <f>Wages!H20</f>
        <v>6756.5735000000568</v>
      </c>
      <c r="F17" s="271" t="s">
        <v>252</v>
      </c>
      <c r="G17" s="249"/>
      <c r="H17" s="76"/>
      <c r="I17" s="249" t="s">
        <v>255</v>
      </c>
      <c r="J17" s="71"/>
      <c r="K17" s="71"/>
    </row>
    <row r="18" spans="1:11" x14ac:dyDescent="0.35">
      <c r="A18" s="226"/>
      <c r="B18" s="226"/>
      <c r="C18" s="226"/>
      <c r="D18" s="226"/>
      <c r="E18" s="249">
        <f>-Capital!C5</f>
        <v>-6175.5</v>
      </c>
      <c r="F18" s="271" t="s">
        <v>174</v>
      </c>
      <c r="G18" s="249">
        <f>D17+E17+E18</f>
        <v>477160.07350000006</v>
      </c>
      <c r="H18" s="76"/>
      <c r="I18" s="71" t="s">
        <v>256</v>
      </c>
      <c r="J18" s="71"/>
      <c r="K18" s="71"/>
    </row>
    <row r="19" spans="1:11" x14ac:dyDescent="0.35">
      <c r="A19" s="226"/>
      <c r="B19" s="226"/>
      <c r="C19" s="226" t="s">
        <v>3</v>
      </c>
      <c r="D19" s="226">
        <v>30000</v>
      </c>
      <c r="E19" s="249"/>
      <c r="F19" s="250"/>
      <c r="G19" s="249">
        <f t="shared" ref="G19:G35" si="0">D19+E19</f>
        <v>30000</v>
      </c>
      <c r="H19" s="76"/>
    </row>
    <row r="20" spans="1:11" x14ac:dyDescent="0.35">
      <c r="A20" s="226"/>
      <c r="B20" s="226"/>
      <c r="C20" s="226" t="s">
        <v>4</v>
      </c>
      <c r="D20" s="226">
        <v>68034</v>
      </c>
      <c r="E20" s="249">
        <f>Wages!H30</f>
        <v>6958.6333500000037</v>
      </c>
      <c r="F20" s="271" t="s">
        <v>175</v>
      </c>
      <c r="G20" s="249"/>
      <c r="H20" s="76"/>
      <c r="I20" s="71" t="s">
        <v>259</v>
      </c>
      <c r="J20" s="71"/>
      <c r="K20" s="71"/>
    </row>
    <row r="21" spans="1:11" x14ac:dyDescent="0.35">
      <c r="A21" s="226"/>
      <c r="B21" s="226"/>
      <c r="C21" s="226"/>
      <c r="D21" s="226"/>
      <c r="E21" s="249">
        <f>Medical!J46</f>
        <v>729.04999999999563</v>
      </c>
      <c r="F21" s="271" t="s">
        <v>181</v>
      </c>
      <c r="G21" s="249"/>
      <c r="H21" s="76"/>
      <c r="I21" s="249" t="s">
        <v>353</v>
      </c>
      <c r="J21" s="71"/>
      <c r="K21" s="71"/>
    </row>
    <row r="22" spans="1:11" x14ac:dyDescent="0.35">
      <c r="A22" s="226"/>
      <c r="B22" s="226"/>
      <c r="C22" s="226"/>
      <c r="D22" s="226"/>
      <c r="E22" s="249"/>
      <c r="F22" s="271"/>
      <c r="G22" s="249">
        <f>D20+E20+E21+E22</f>
        <v>75721.683350000007</v>
      </c>
      <c r="H22" s="76"/>
      <c r="I22" s="249"/>
      <c r="J22" s="71"/>
      <c r="K22" s="71"/>
    </row>
    <row r="23" spans="1:11" x14ac:dyDescent="0.35">
      <c r="A23" s="226"/>
      <c r="B23" s="226"/>
      <c r="C23" s="226" t="s">
        <v>5</v>
      </c>
      <c r="D23" s="226">
        <v>630042</v>
      </c>
      <c r="E23" s="249">
        <f>-'Water Loss'!D31</f>
        <v>-17736.770782824093</v>
      </c>
      <c r="F23" s="271" t="s">
        <v>254</v>
      </c>
      <c r="G23" s="249">
        <f t="shared" si="0"/>
        <v>612305.22921717586</v>
      </c>
      <c r="H23" s="81"/>
      <c r="I23" s="7" t="s">
        <v>327</v>
      </c>
    </row>
    <row r="24" spans="1:11" x14ac:dyDescent="0.35">
      <c r="A24" s="226"/>
      <c r="B24" s="226"/>
      <c r="C24" s="226" t="s">
        <v>6</v>
      </c>
      <c r="D24" s="226">
        <v>0</v>
      </c>
      <c r="E24" s="249">
        <v>11382</v>
      </c>
      <c r="F24" s="271" t="s">
        <v>182</v>
      </c>
      <c r="G24" s="249"/>
      <c r="H24" s="82"/>
      <c r="I24" s="7" t="s">
        <v>342</v>
      </c>
      <c r="J24" s="71" t="s">
        <v>341</v>
      </c>
      <c r="K24" s="71"/>
    </row>
    <row r="25" spans="1:11" x14ac:dyDescent="0.35">
      <c r="A25" s="226"/>
      <c r="B25" s="226"/>
      <c r="C25" s="226"/>
      <c r="D25" s="226"/>
      <c r="E25" s="249">
        <f>-'Water Loss'!D32</f>
        <v>-320.42296394542558</v>
      </c>
      <c r="F25" s="271" t="s">
        <v>254</v>
      </c>
      <c r="G25" s="249">
        <f>D24+E24+E25</f>
        <v>11061.577036054574</v>
      </c>
      <c r="H25" s="82"/>
      <c r="I25" s="7" t="s">
        <v>344</v>
      </c>
      <c r="J25" s="71"/>
      <c r="K25" s="71"/>
    </row>
    <row r="26" spans="1:11" x14ac:dyDescent="0.35">
      <c r="A26" s="226"/>
      <c r="B26" s="226"/>
      <c r="C26" s="226" t="s">
        <v>85</v>
      </c>
      <c r="D26" s="226">
        <v>0</v>
      </c>
      <c r="E26" s="249"/>
      <c r="F26" s="271"/>
      <c r="G26" s="249">
        <f t="shared" si="0"/>
        <v>0</v>
      </c>
      <c r="H26" s="82"/>
      <c r="J26" s="71"/>
      <c r="K26" s="71"/>
    </row>
    <row r="27" spans="1:11" x14ac:dyDescent="0.35">
      <c r="A27" s="226"/>
      <c r="B27" s="226"/>
      <c r="C27" s="226" t="s">
        <v>7</v>
      </c>
      <c r="D27" s="226">
        <v>112944</v>
      </c>
      <c r="E27" s="249">
        <f>-Capital!C6</f>
        <v>-14409.499999999998</v>
      </c>
      <c r="F27" s="271" t="s">
        <v>174</v>
      </c>
      <c r="G27" s="249">
        <f t="shared" si="0"/>
        <v>98534.5</v>
      </c>
      <c r="H27" s="76"/>
      <c r="I27" s="71" t="s">
        <v>257</v>
      </c>
      <c r="J27" s="71"/>
      <c r="K27" s="71"/>
    </row>
    <row r="28" spans="1:11" x14ac:dyDescent="0.35">
      <c r="A28" s="226"/>
      <c r="B28" s="226"/>
      <c r="C28" s="226" t="s">
        <v>282</v>
      </c>
      <c r="D28" s="226">
        <v>4140</v>
      </c>
      <c r="E28" s="249"/>
      <c r="F28" s="271"/>
      <c r="G28" s="249">
        <f t="shared" si="0"/>
        <v>4140</v>
      </c>
      <c r="H28" s="76"/>
      <c r="I28" s="71"/>
      <c r="J28" s="71"/>
      <c r="K28" s="71"/>
    </row>
    <row r="29" spans="1:11" x14ac:dyDescent="0.35">
      <c r="A29" s="226"/>
      <c r="B29" s="226"/>
      <c r="C29" s="226" t="s">
        <v>283</v>
      </c>
      <c r="D29" s="226">
        <v>10525</v>
      </c>
      <c r="E29" s="249"/>
      <c r="F29" s="271"/>
      <c r="G29" s="249">
        <f t="shared" si="0"/>
        <v>10525</v>
      </c>
      <c r="H29" s="76"/>
      <c r="I29" s="71"/>
      <c r="J29" s="71"/>
      <c r="K29" s="71"/>
    </row>
    <row r="30" spans="1:11" x14ac:dyDescent="0.35">
      <c r="A30" s="226"/>
      <c r="B30" s="226"/>
      <c r="C30" s="226" t="s">
        <v>284</v>
      </c>
      <c r="D30" s="226">
        <v>4192</v>
      </c>
      <c r="E30" s="249"/>
      <c r="F30" s="271"/>
      <c r="G30" s="249">
        <f t="shared" si="0"/>
        <v>4192</v>
      </c>
      <c r="H30" s="78"/>
      <c r="I30" s="71"/>
      <c r="J30" s="71"/>
      <c r="K30" s="71"/>
    </row>
    <row r="31" spans="1:11" x14ac:dyDescent="0.35">
      <c r="A31" s="226"/>
      <c r="B31" s="226"/>
      <c r="C31" s="226" t="s">
        <v>285</v>
      </c>
      <c r="D31" s="226">
        <v>20526</v>
      </c>
      <c r="E31" s="249"/>
      <c r="F31" s="271"/>
      <c r="G31" s="249">
        <f t="shared" si="0"/>
        <v>20526</v>
      </c>
      <c r="H31" s="78"/>
      <c r="I31" s="71"/>
      <c r="J31" s="71"/>
      <c r="K31" s="71"/>
    </row>
    <row r="32" spans="1:11" x14ac:dyDescent="0.35">
      <c r="A32" s="226"/>
      <c r="B32" s="226"/>
      <c r="C32" s="226" t="s">
        <v>286</v>
      </c>
      <c r="D32" s="226">
        <v>7495</v>
      </c>
      <c r="E32" s="249"/>
      <c r="F32" s="271"/>
      <c r="G32" s="249">
        <f t="shared" si="0"/>
        <v>7495</v>
      </c>
      <c r="H32" s="78"/>
      <c r="I32" s="71"/>
      <c r="J32" s="71"/>
      <c r="K32" s="71"/>
    </row>
    <row r="33" spans="1:11" x14ac:dyDescent="0.35">
      <c r="A33" s="226"/>
      <c r="B33" s="226"/>
      <c r="C33" s="226" t="s">
        <v>287</v>
      </c>
      <c r="D33" s="226">
        <v>26697</v>
      </c>
      <c r="E33" s="249"/>
      <c r="F33" s="250"/>
      <c r="G33" s="249">
        <f t="shared" si="0"/>
        <v>26697</v>
      </c>
      <c r="H33" s="78"/>
      <c r="I33" s="71"/>
      <c r="J33" s="71"/>
      <c r="K33" s="71"/>
    </row>
    <row r="34" spans="1:11" x14ac:dyDescent="0.35">
      <c r="A34" s="226"/>
      <c r="B34" s="226"/>
      <c r="C34" s="226" t="s">
        <v>68</v>
      </c>
      <c r="D34" s="226">
        <v>6548</v>
      </c>
      <c r="E34" s="249"/>
      <c r="F34" s="250"/>
      <c r="G34" s="249">
        <f t="shared" si="0"/>
        <v>6548</v>
      </c>
      <c r="H34" s="78"/>
      <c r="I34" s="71"/>
      <c r="J34" s="71"/>
      <c r="K34" s="71"/>
    </row>
    <row r="35" spans="1:11" x14ac:dyDescent="0.35">
      <c r="A35" s="226"/>
      <c r="B35" s="226"/>
      <c r="C35" s="226" t="s">
        <v>8</v>
      </c>
      <c r="D35" s="228">
        <v>59003</v>
      </c>
      <c r="E35" s="225">
        <v>-11382</v>
      </c>
      <c r="F35" s="271" t="s">
        <v>182</v>
      </c>
      <c r="G35" s="225">
        <f t="shared" si="0"/>
        <v>47621</v>
      </c>
      <c r="H35" s="78"/>
      <c r="I35" s="7" t="s">
        <v>343</v>
      </c>
      <c r="J35" s="71"/>
      <c r="K35" s="71"/>
    </row>
    <row r="36" spans="1:11" x14ac:dyDescent="0.35">
      <c r="A36" s="226"/>
      <c r="B36" s="226"/>
      <c r="C36" s="226" t="s">
        <v>273</v>
      </c>
      <c r="D36" s="228"/>
      <c r="E36" s="225">
        <f>13480/3</f>
        <v>4493.333333333333</v>
      </c>
      <c r="F36" s="271" t="s">
        <v>253</v>
      </c>
      <c r="G36" s="225">
        <f>D36+E36</f>
        <v>4493.333333333333</v>
      </c>
      <c r="H36" s="78"/>
      <c r="I36" s="71" t="s">
        <v>274</v>
      </c>
      <c r="J36" s="71"/>
      <c r="K36" s="71"/>
    </row>
    <row r="37" spans="1:11" x14ac:dyDescent="0.35">
      <c r="A37" s="226"/>
      <c r="B37" s="226" t="s">
        <v>34</v>
      </c>
      <c r="C37" s="226"/>
      <c r="D37" s="226">
        <f>SUM(D17:D35)</f>
        <v>1456725</v>
      </c>
      <c r="E37" s="249"/>
      <c r="F37" s="250"/>
      <c r="G37" s="249">
        <f>SUM(G17:G36)</f>
        <v>1437020.3964365637</v>
      </c>
      <c r="H37" s="78"/>
      <c r="I37" s="71"/>
      <c r="J37" s="71"/>
      <c r="K37" s="71"/>
    </row>
    <row r="38" spans="1:11" ht="4" customHeight="1" x14ac:dyDescent="0.35">
      <c r="A38" s="226"/>
      <c r="B38" s="226"/>
      <c r="C38" s="226"/>
      <c r="D38" s="226"/>
      <c r="E38" s="249"/>
      <c r="F38" s="250"/>
      <c r="G38" s="249"/>
      <c r="H38" s="78"/>
      <c r="I38" s="71"/>
      <c r="J38" s="71"/>
      <c r="K38" s="71"/>
    </row>
    <row r="39" spans="1:11" x14ac:dyDescent="0.35">
      <c r="A39" s="226"/>
      <c r="B39" s="226" t="s">
        <v>20</v>
      </c>
      <c r="C39" s="226"/>
      <c r="D39" s="226">
        <v>330203</v>
      </c>
      <c r="E39" s="249">
        <f>Depreciation!F52</f>
        <v>-99534.965205396817</v>
      </c>
      <c r="F39" s="250" t="s">
        <v>262</v>
      </c>
      <c r="G39" s="249">
        <f>D39+E39</f>
        <v>230668.03479460318</v>
      </c>
      <c r="H39" s="78"/>
      <c r="I39" s="71" t="s">
        <v>260</v>
      </c>
      <c r="J39" s="71"/>
    </row>
    <row r="40" spans="1:11" ht="16" x14ac:dyDescent="0.35">
      <c r="A40" s="226"/>
      <c r="B40" s="226" t="s">
        <v>1</v>
      </c>
      <c r="C40" s="226"/>
      <c r="D40" s="227">
        <v>38799</v>
      </c>
      <c r="E40" s="225">
        <f>Wages!H26</f>
        <v>471.17137275000277</v>
      </c>
      <c r="F40" s="272" t="s">
        <v>263</v>
      </c>
      <c r="G40" s="252">
        <f t="shared" ref="G40" si="1">D40+E40</f>
        <v>39270.171372750003</v>
      </c>
      <c r="H40" s="371"/>
      <c r="I40" s="249" t="s">
        <v>261</v>
      </c>
      <c r="J40" s="71"/>
    </row>
    <row r="41" spans="1:11" ht="16" x14ac:dyDescent="0.35">
      <c r="A41" s="229" t="s">
        <v>0</v>
      </c>
      <c r="B41" s="226"/>
      <c r="C41" s="226"/>
      <c r="D41" s="227">
        <f>SUM(D37:D40)</f>
        <v>1825727</v>
      </c>
      <c r="E41" s="225"/>
      <c r="F41" s="272"/>
      <c r="G41" s="252">
        <f>SUM(G37:G40)</f>
        <v>1706958.602603917</v>
      </c>
      <c r="H41" s="78"/>
      <c r="I41" s="71"/>
      <c r="J41" s="71"/>
      <c r="K41" s="71"/>
    </row>
    <row r="42" spans="1:11" ht="4" customHeight="1" x14ac:dyDescent="0.35">
      <c r="A42" s="229"/>
      <c r="B42" s="226"/>
      <c r="C42" s="226"/>
      <c r="D42" s="230"/>
      <c r="E42" s="249"/>
      <c r="F42" s="250"/>
      <c r="G42" s="249"/>
      <c r="H42" s="71"/>
      <c r="I42" s="71"/>
      <c r="J42" s="71"/>
      <c r="K42" s="71"/>
    </row>
    <row r="43" spans="1:11" x14ac:dyDescent="0.35">
      <c r="A43" s="229" t="s">
        <v>35</v>
      </c>
      <c r="B43" s="226"/>
      <c r="C43" s="226"/>
      <c r="D43" s="226">
        <f>D13-D41</f>
        <v>56532</v>
      </c>
      <c r="E43" s="249"/>
      <c r="F43" s="250"/>
      <c r="G43" s="249">
        <f>G13-G41</f>
        <v>201373.36539608287</v>
      </c>
      <c r="H43" s="71"/>
      <c r="I43" s="71"/>
      <c r="K43" s="71"/>
    </row>
    <row r="44" spans="1:11" x14ac:dyDescent="0.35">
      <c r="A44" s="226"/>
      <c r="B44" s="226"/>
      <c r="C44" s="226"/>
      <c r="D44" s="226"/>
      <c r="E44" s="249"/>
      <c r="F44" s="250"/>
      <c r="G44" s="249"/>
      <c r="H44" s="71"/>
      <c r="I44" s="71"/>
      <c r="J44" s="71"/>
      <c r="K44" s="71"/>
    </row>
    <row r="45" spans="1:11" ht="18.5" x14ac:dyDescent="0.35">
      <c r="A45" s="399" t="s">
        <v>365</v>
      </c>
      <c r="B45" s="399"/>
      <c r="C45" s="399"/>
      <c r="D45" s="399"/>
      <c r="E45" s="399"/>
      <c r="F45" s="399"/>
      <c r="G45" s="399"/>
      <c r="H45" s="71"/>
      <c r="I45" s="83"/>
      <c r="J45" s="84"/>
      <c r="K45" s="71"/>
    </row>
    <row r="46" spans="1:11" x14ac:dyDescent="0.35">
      <c r="A46" s="229" t="s">
        <v>36</v>
      </c>
      <c r="B46" s="226"/>
      <c r="C46" s="226"/>
      <c r="D46" s="231"/>
      <c r="E46" s="226"/>
      <c r="F46" s="271"/>
      <c r="G46" s="248">
        <f>G41</f>
        <v>1706958.602603917</v>
      </c>
      <c r="H46" s="71"/>
      <c r="J46" s="71"/>
      <c r="K46" s="71"/>
    </row>
    <row r="47" spans="1:11" x14ac:dyDescent="0.35">
      <c r="A47" s="226" t="s">
        <v>21</v>
      </c>
      <c r="B47" s="226"/>
      <c r="C47" s="226" t="s">
        <v>108</v>
      </c>
      <c r="D47" s="231"/>
      <c r="E47" s="226"/>
      <c r="F47" s="271" t="s">
        <v>264</v>
      </c>
      <c r="G47" s="248">
        <f>'Debt Service'!M20</f>
        <v>310264.80599999998</v>
      </c>
      <c r="H47" s="71"/>
      <c r="I47" s="7" t="s">
        <v>265</v>
      </c>
      <c r="J47" s="361" t="s">
        <v>366</v>
      </c>
      <c r="K47" s="71"/>
    </row>
    <row r="48" spans="1:11" ht="16" x14ac:dyDescent="0.5">
      <c r="A48" s="226"/>
      <c r="B48" s="226"/>
      <c r="C48" s="226" t="s">
        <v>109</v>
      </c>
      <c r="D48" s="231"/>
      <c r="E48" s="226"/>
      <c r="F48" s="271" t="s">
        <v>380</v>
      </c>
      <c r="G48" s="349">
        <f>'Debt Service'!M22</f>
        <v>62052.961199999998</v>
      </c>
      <c r="H48" s="71"/>
      <c r="I48" s="7" t="s">
        <v>266</v>
      </c>
      <c r="J48" s="361" t="s">
        <v>367</v>
      </c>
      <c r="K48" s="71"/>
    </row>
    <row r="49" spans="1:11" x14ac:dyDescent="0.35">
      <c r="A49" s="229" t="s">
        <v>71</v>
      </c>
      <c r="B49" s="226"/>
      <c r="C49" s="226"/>
      <c r="D49" s="231"/>
      <c r="E49" s="226"/>
      <c r="F49" s="271"/>
      <c r="G49" s="248">
        <f>G46+G47+G48</f>
        <v>2079276.3698039169</v>
      </c>
      <c r="H49" s="71"/>
      <c r="J49" s="71"/>
      <c r="K49" s="71"/>
    </row>
    <row r="50" spans="1:11" x14ac:dyDescent="0.35">
      <c r="A50" s="226" t="s">
        <v>22</v>
      </c>
      <c r="B50" s="226"/>
      <c r="C50" s="226" t="s">
        <v>23</v>
      </c>
      <c r="D50" s="231"/>
      <c r="E50" s="226"/>
      <c r="F50" s="271"/>
      <c r="G50" s="248">
        <f>SUM(G10:G12)</f>
        <v>81146</v>
      </c>
      <c r="H50" s="71"/>
      <c r="J50" s="71"/>
      <c r="K50" s="71"/>
    </row>
    <row r="51" spans="1:11" x14ac:dyDescent="0.35">
      <c r="A51" s="226"/>
      <c r="B51" s="226"/>
      <c r="C51" s="226" t="s">
        <v>66</v>
      </c>
      <c r="D51" s="231"/>
      <c r="E51" s="226"/>
      <c r="F51" s="271"/>
      <c r="G51" s="248"/>
      <c r="H51" s="71"/>
      <c r="J51" s="71"/>
      <c r="K51" s="71"/>
    </row>
    <row r="52" spans="1:11" x14ac:dyDescent="0.35">
      <c r="A52" s="226"/>
      <c r="B52" s="226"/>
      <c r="C52" s="226" t="s">
        <v>11</v>
      </c>
      <c r="D52" s="231"/>
      <c r="E52" s="226"/>
      <c r="F52" s="233"/>
      <c r="G52" s="232">
        <v>7921</v>
      </c>
      <c r="H52" s="71"/>
      <c r="I52" s="41"/>
      <c r="J52" s="71" t="s">
        <v>288</v>
      </c>
      <c r="K52" s="71"/>
    </row>
    <row r="53" spans="1:11" x14ac:dyDescent="0.35">
      <c r="A53" s="229" t="s">
        <v>69</v>
      </c>
      <c r="B53" s="226"/>
      <c r="C53" s="226"/>
      <c r="D53" s="231"/>
      <c r="E53" s="226"/>
      <c r="F53" s="271"/>
      <c r="G53" s="248">
        <f>G49-G50-G51-G52</f>
        <v>1990209.3698039169</v>
      </c>
      <c r="H53" s="71"/>
      <c r="J53" s="71"/>
      <c r="K53" s="71"/>
    </row>
    <row r="54" spans="1:11" ht="16" x14ac:dyDescent="0.5">
      <c r="A54" s="226" t="s">
        <v>22</v>
      </c>
      <c r="B54" s="226"/>
      <c r="C54" s="226" t="s">
        <v>70</v>
      </c>
      <c r="D54" s="231"/>
      <c r="E54" s="226"/>
      <c r="F54" s="271"/>
      <c r="G54" s="349">
        <f>G6+G7+G8</f>
        <v>1827185.9679999999</v>
      </c>
      <c r="H54" s="71"/>
      <c r="I54" s="41"/>
      <c r="J54" s="71"/>
      <c r="K54" s="71"/>
    </row>
    <row r="55" spans="1:11" x14ac:dyDescent="0.35">
      <c r="A55" s="229" t="s">
        <v>72</v>
      </c>
      <c r="B55" s="226"/>
      <c r="C55" s="226"/>
      <c r="D55" s="231"/>
      <c r="E55" s="226"/>
      <c r="F55" s="271"/>
      <c r="G55" s="249">
        <f>G53-G54</f>
        <v>163023.40180391702</v>
      </c>
      <c r="H55" s="71"/>
      <c r="I55" s="71"/>
      <c r="J55" s="71"/>
      <c r="K55" s="71"/>
    </row>
    <row r="56" spans="1:11" ht="4" customHeight="1" x14ac:dyDescent="0.35">
      <c r="A56" s="226"/>
      <c r="B56" s="226"/>
      <c r="C56" s="226"/>
      <c r="D56" s="231"/>
      <c r="E56" s="226"/>
      <c r="F56" s="271"/>
      <c r="G56" s="249"/>
      <c r="H56" s="71"/>
      <c r="I56" s="71"/>
      <c r="J56" s="71"/>
      <c r="K56" s="71"/>
    </row>
    <row r="57" spans="1:11" x14ac:dyDescent="0.35">
      <c r="A57" s="229" t="s">
        <v>73</v>
      </c>
      <c r="B57" s="226"/>
      <c r="C57" s="226"/>
      <c r="D57" s="231"/>
      <c r="E57" s="226"/>
      <c r="F57" s="271"/>
      <c r="G57" s="350">
        <f>G55/G54</f>
        <v>8.9221023288811194E-2</v>
      </c>
      <c r="H57" s="71"/>
      <c r="I57" s="71"/>
      <c r="J57" s="71"/>
      <c r="K57" s="71"/>
    </row>
    <row r="59" spans="1:11" x14ac:dyDescent="0.35">
      <c r="A59" s="455" t="s">
        <v>383</v>
      </c>
      <c r="B59" s="455"/>
      <c r="C59" s="455"/>
      <c r="D59" s="455"/>
      <c r="E59" s="455"/>
      <c r="F59" s="455"/>
      <c r="G59" s="455"/>
    </row>
    <row r="60" spans="1:11" ht="18.5" x14ac:dyDescent="0.35">
      <c r="A60" s="401" t="s">
        <v>360</v>
      </c>
      <c r="B60" s="401"/>
      <c r="C60" s="401"/>
      <c r="D60" s="401"/>
      <c r="E60" s="401"/>
      <c r="F60" s="401"/>
      <c r="G60" s="401"/>
    </row>
    <row r="61" spans="1:11" x14ac:dyDescent="0.35">
      <c r="A61" s="353" t="s">
        <v>36</v>
      </c>
      <c r="B61" s="354"/>
      <c r="C61" s="354"/>
      <c r="D61" s="85"/>
      <c r="E61" s="71"/>
      <c r="F61" s="80"/>
      <c r="G61" s="71">
        <f>G46</f>
        <v>1706958.602603917</v>
      </c>
    </row>
    <row r="62" spans="1:11" x14ac:dyDescent="0.35">
      <c r="A62" s="354"/>
      <c r="B62" s="354"/>
      <c r="C62" s="355" t="s">
        <v>357</v>
      </c>
      <c r="D62" s="85"/>
      <c r="E62" s="71"/>
      <c r="F62" s="80"/>
      <c r="G62" s="356">
        <v>0.88</v>
      </c>
    </row>
    <row r="63" spans="1:11" x14ac:dyDescent="0.35">
      <c r="A63" s="354"/>
      <c r="B63" s="354"/>
      <c r="C63" s="354" t="s">
        <v>358</v>
      </c>
      <c r="G63" s="7">
        <f>G61/G62</f>
        <v>1939725.6847771783</v>
      </c>
    </row>
    <row r="64" spans="1:11" x14ac:dyDescent="0.35">
      <c r="A64" s="354"/>
      <c r="B64" s="354"/>
      <c r="C64" s="354" t="s">
        <v>359</v>
      </c>
      <c r="G64" s="5">
        <f>'Debt Service'!M26</f>
        <v>135036.22200000001</v>
      </c>
      <c r="I64" s="7" t="s">
        <v>362</v>
      </c>
    </row>
    <row r="65" spans="1:9" x14ac:dyDescent="0.35">
      <c r="A65" s="353" t="s">
        <v>71</v>
      </c>
      <c r="B65" s="354"/>
      <c r="C65" s="354"/>
      <c r="G65" s="7">
        <f>G63+G64</f>
        <v>2074761.9067771784</v>
      </c>
    </row>
    <row r="66" spans="1:9" x14ac:dyDescent="0.35">
      <c r="A66" s="354" t="s">
        <v>22</v>
      </c>
      <c r="B66" s="354"/>
      <c r="C66" s="354" t="s">
        <v>23</v>
      </c>
      <c r="G66" s="7">
        <f>G50</f>
        <v>81146</v>
      </c>
    </row>
    <row r="67" spans="1:9" ht="16" x14ac:dyDescent="0.5">
      <c r="A67" s="354"/>
      <c r="B67" s="354"/>
      <c r="C67" s="354" t="s">
        <v>11</v>
      </c>
      <c r="G67" s="358">
        <f>G52</f>
        <v>7921</v>
      </c>
    </row>
    <row r="68" spans="1:9" x14ac:dyDescent="0.35">
      <c r="A68" s="353" t="s">
        <v>69</v>
      </c>
      <c r="B68" s="354"/>
      <c r="C68" s="354"/>
      <c r="G68" s="7">
        <f>G65-G66-G67</f>
        <v>1985694.9067771784</v>
      </c>
    </row>
    <row r="69" spans="1:9" x14ac:dyDescent="0.35">
      <c r="A69" s="354" t="s">
        <v>22</v>
      </c>
      <c r="B69" s="354"/>
      <c r="C69" s="354" t="s">
        <v>70</v>
      </c>
      <c r="G69" s="5">
        <f>G54</f>
        <v>1827185.9679999999</v>
      </c>
    </row>
    <row r="70" spans="1:9" x14ac:dyDescent="0.35">
      <c r="A70" s="353" t="s">
        <v>72</v>
      </c>
      <c r="B70" s="354"/>
      <c r="C70" s="354"/>
      <c r="G70" s="7">
        <f>G68-G69</f>
        <v>158508.93877717853</v>
      </c>
    </row>
    <row r="71" spans="1:9" x14ac:dyDescent="0.35">
      <c r="A71" s="354"/>
      <c r="B71" s="354"/>
      <c r="C71" s="354"/>
    </row>
    <row r="72" spans="1:9" x14ac:dyDescent="0.35">
      <c r="A72" s="353" t="s">
        <v>73</v>
      </c>
      <c r="B72" s="354"/>
      <c r="C72" s="354"/>
      <c r="G72" s="350">
        <f>G70/G69</f>
        <v>8.6750304322158925E-2</v>
      </c>
    </row>
    <row r="74" spans="1:9" ht="18.5" x14ac:dyDescent="0.35">
      <c r="A74" s="399"/>
      <c r="B74" s="399"/>
      <c r="C74" s="399"/>
      <c r="D74" s="399"/>
      <c r="E74" s="399"/>
      <c r="F74" s="399"/>
      <c r="G74" s="399"/>
    </row>
    <row r="76" spans="1:9" x14ac:dyDescent="0.35">
      <c r="A76" s="353"/>
      <c r="B76" s="354"/>
      <c r="C76" s="354"/>
    </row>
    <row r="77" spans="1:9" x14ac:dyDescent="0.35">
      <c r="A77" s="354"/>
      <c r="B77" s="354"/>
      <c r="C77" s="354"/>
      <c r="I77" s="361"/>
    </row>
    <row r="78" spans="1:9" ht="16" x14ac:dyDescent="0.5">
      <c r="A78" s="354"/>
      <c r="B78" s="354"/>
      <c r="C78" s="354"/>
      <c r="G78" s="358"/>
      <c r="I78" s="361"/>
    </row>
    <row r="79" spans="1:9" x14ac:dyDescent="0.35">
      <c r="A79" s="353"/>
      <c r="B79" s="354"/>
      <c r="C79" s="354"/>
    </row>
    <row r="80" spans="1:9" x14ac:dyDescent="0.35">
      <c r="A80" s="354"/>
      <c r="B80" s="354"/>
      <c r="C80" s="354"/>
    </row>
    <row r="81" spans="1:3" x14ac:dyDescent="0.35">
      <c r="A81" s="354"/>
      <c r="B81" s="354"/>
      <c r="C81" s="354"/>
    </row>
    <row r="82" spans="1:3" x14ac:dyDescent="0.35">
      <c r="A82" s="353"/>
      <c r="B82" s="354"/>
      <c r="C82" s="354"/>
    </row>
    <row r="83" spans="1:3" x14ac:dyDescent="0.35">
      <c r="A83" s="354"/>
      <c r="B83" s="354"/>
      <c r="C83" s="354"/>
    </row>
    <row r="84" spans="1:3" x14ac:dyDescent="0.35">
      <c r="A84" s="353"/>
      <c r="B84" s="354"/>
      <c r="C84" s="354"/>
    </row>
    <row r="85" spans="1:3" x14ac:dyDescent="0.35">
      <c r="A85" s="353"/>
      <c r="B85" s="354"/>
      <c r="C85" s="354"/>
    </row>
  </sheetData>
  <mergeCells count="5">
    <mergeCell ref="A45:G45"/>
    <mergeCell ref="A1:G1"/>
    <mergeCell ref="A60:G60"/>
    <mergeCell ref="A74:G74"/>
    <mergeCell ref="A59:G59"/>
  </mergeCells>
  <printOptions horizontalCentered="1"/>
  <pageMargins left="0.45" right="0.25" top="0.5" bottom="0.5" header="0.3" footer="0.3"/>
  <pageSetup scale="96" orientation="portrait" horizontalDpi="4294967293" r:id="rId1"/>
  <rowBreaks count="2" manualBreakCount="2">
    <brk id="43" max="16383" man="1"/>
    <brk id="4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O27"/>
  <sheetViews>
    <sheetView showGridLines="0" workbookViewId="0">
      <selection activeCell="M29" sqref="M29"/>
    </sheetView>
  </sheetViews>
  <sheetFormatPr defaultColWidth="8.84375" defaultRowHeight="14.5" x14ac:dyDescent="0.35"/>
  <cols>
    <col min="1" max="1" width="3.07421875" style="7" customWidth="1"/>
    <col min="2" max="2" width="1.765625" style="7" customWidth="1"/>
    <col min="3" max="8" width="9.765625" style="7" customWidth="1"/>
    <col min="9" max="9" width="1.765625" style="7" customWidth="1"/>
    <col min="10" max="10" width="2.84375" style="7" customWidth="1"/>
    <col min="11" max="16384" width="8.84375" style="7"/>
  </cols>
  <sheetData>
    <row r="1" spans="2:11" x14ac:dyDescent="0.35">
      <c r="B1" s="8"/>
      <c r="C1" s="9"/>
      <c r="D1" s="9"/>
      <c r="E1" s="9"/>
      <c r="F1" s="9"/>
      <c r="G1" s="9"/>
      <c r="H1" s="9"/>
      <c r="I1" s="10"/>
    </row>
    <row r="2" spans="2:11" ht="18.5" x14ac:dyDescent="0.45">
      <c r="B2" s="436" t="s">
        <v>203</v>
      </c>
      <c r="C2" s="437"/>
      <c r="D2" s="437"/>
      <c r="E2" s="437"/>
      <c r="F2" s="437"/>
      <c r="G2" s="437"/>
      <c r="H2" s="437"/>
      <c r="I2" s="438"/>
    </row>
    <row r="3" spans="2:11" ht="18.5" x14ac:dyDescent="0.45">
      <c r="B3" s="439" t="s">
        <v>209</v>
      </c>
      <c r="C3" s="440"/>
      <c r="D3" s="440"/>
      <c r="E3" s="440"/>
      <c r="F3" s="440"/>
      <c r="G3" s="440"/>
      <c r="H3" s="440"/>
      <c r="I3" s="441"/>
    </row>
    <row r="4" spans="2:11" ht="15.5" x14ac:dyDescent="0.35">
      <c r="B4" s="442" t="s">
        <v>219</v>
      </c>
      <c r="C4" s="406"/>
      <c r="D4" s="406"/>
      <c r="E4" s="406"/>
      <c r="F4" s="406"/>
      <c r="G4" s="406"/>
      <c r="H4" s="406"/>
      <c r="I4" s="443"/>
    </row>
    <row r="5" spans="2:11" x14ac:dyDescent="0.35">
      <c r="B5" s="13"/>
      <c r="C5" s="5"/>
      <c r="D5" s="5"/>
      <c r="E5" s="5"/>
      <c r="F5" s="5"/>
      <c r="G5" s="5"/>
      <c r="H5" s="5"/>
      <c r="I5" s="14"/>
    </row>
    <row r="6" spans="2:11" ht="6" customHeight="1" x14ac:dyDescent="0.35">
      <c r="B6" s="11"/>
      <c r="C6" s="6"/>
      <c r="D6" s="12"/>
      <c r="E6" s="45"/>
      <c r="F6" s="46"/>
      <c r="G6" s="46"/>
      <c r="H6" s="46"/>
      <c r="I6" s="47"/>
      <c r="J6" s="44"/>
      <c r="K6" s="44"/>
    </row>
    <row r="7" spans="2:11" ht="16" x14ac:dyDescent="0.5">
      <c r="B7" s="11"/>
      <c r="C7" s="16" t="s">
        <v>13</v>
      </c>
      <c r="D7" s="42" t="s">
        <v>75</v>
      </c>
      <c r="E7" s="48" t="s">
        <v>24</v>
      </c>
      <c r="F7" s="16" t="s">
        <v>9</v>
      </c>
      <c r="G7" s="16"/>
      <c r="H7" s="16"/>
      <c r="I7" s="42"/>
    </row>
    <row r="8" spans="2:11" ht="16" x14ac:dyDescent="0.5">
      <c r="B8" s="11"/>
      <c r="C8" s="16" t="s">
        <v>83</v>
      </c>
      <c r="D8" s="42" t="s">
        <v>79</v>
      </c>
      <c r="E8" s="48" t="s">
        <v>77</v>
      </c>
      <c r="F8" s="16" t="s">
        <v>77</v>
      </c>
      <c r="G8" s="16" t="s">
        <v>25</v>
      </c>
      <c r="H8" s="16" t="s">
        <v>78</v>
      </c>
      <c r="I8" s="42"/>
    </row>
    <row r="9" spans="2:11" x14ac:dyDescent="0.35">
      <c r="B9" s="11"/>
      <c r="C9" s="17">
        <v>0</v>
      </c>
      <c r="D9" s="49" t="s">
        <v>80</v>
      </c>
      <c r="E9" s="29">
        <f>Rates!D$11</f>
        <v>30.37</v>
      </c>
      <c r="F9" s="17">
        <f>Rates!E$11</f>
        <v>33.08</v>
      </c>
      <c r="G9" s="59">
        <f>F9-E9</f>
        <v>2.7099999999999973</v>
      </c>
      <c r="H9" s="90">
        <f>G9/E9</f>
        <v>8.9232795521896516E-2</v>
      </c>
      <c r="I9" s="52"/>
    </row>
    <row r="10" spans="2:11" x14ac:dyDescent="0.35">
      <c r="B10" s="11"/>
      <c r="C10" s="6">
        <v>2000</v>
      </c>
      <c r="D10" s="49" t="s">
        <v>80</v>
      </c>
      <c r="E10" s="29">
        <f>Rates!D$11</f>
        <v>30.37</v>
      </c>
      <c r="F10" s="29">
        <f>Rates!E$11</f>
        <v>33.08</v>
      </c>
      <c r="G10" s="17">
        <f t="shared" ref="G10:G17" si="0">F10-E10</f>
        <v>2.7099999999999973</v>
      </c>
      <c r="H10" s="90">
        <f t="shared" ref="H10:H24" si="1">G10/E10</f>
        <v>8.9232795521896516E-2</v>
      </c>
      <c r="I10" s="52"/>
    </row>
    <row r="11" spans="2:11" x14ac:dyDescent="0.35">
      <c r="B11" s="11"/>
      <c r="C11" s="53">
        <v>4000</v>
      </c>
      <c r="D11" s="54" t="s">
        <v>80</v>
      </c>
      <c r="E11" s="217">
        <f>Rates!D$11+((C11-2000)/1000)*Rates!D$12</f>
        <v>54.13</v>
      </c>
      <c r="F11" s="217">
        <f>Rates!E$11+((C11-2000)/1000)*Rates!E$12</f>
        <v>58.959999999999994</v>
      </c>
      <c r="G11" s="55">
        <f t="shared" si="0"/>
        <v>4.8299999999999912</v>
      </c>
      <c r="H11" s="91">
        <f t="shared" si="1"/>
        <v>8.9229632366524869E-2</v>
      </c>
      <c r="I11" s="56"/>
    </row>
    <row r="12" spans="2:11" x14ac:dyDescent="0.35">
      <c r="B12" s="11"/>
      <c r="C12" s="6">
        <v>6000</v>
      </c>
      <c r="D12" s="49" t="s">
        <v>80</v>
      </c>
      <c r="E12" s="29">
        <f>Rates!D$11+((C12-2000)/1000)*Rates!D$12</f>
        <v>77.89</v>
      </c>
      <c r="F12" s="29">
        <f>Rates!E$11+((C12-2000)/1000)*Rates!E$12</f>
        <v>84.84</v>
      </c>
      <c r="G12" s="17">
        <f t="shared" si="0"/>
        <v>6.9500000000000028</v>
      </c>
      <c r="H12" s="90">
        <f t="shared" si="1"/>
        <v>8.922839902426502E-2</v>
      </c>
      <c r="I12" s="52"/>
    </row>
    <row r="13" spans="2:11" x14ac:dyDescent="0.35">
      <c r="B13" s="11"/>
      <c r="C13" s="6">
        <v>8000</v>
      </c>
      <c r="D13" s="49" t="s">
        <v>80</v>
      </c>
      <c r="E13" s="29">
        <f>Rates!D$11+((C13-2000)/1000)*Rates!D$12</f>
        <v>101.65</v>
      </c>
      <c r="F13" s="29">
        <f>Rates!E$11+((C13-2000)/1000)*Rates!E$12</f>
        <v>110.72</v>
      </c>
      <c r="G13" s="17">
        <f t="shared" si="0"/>
        <v>9.0699999999999932</v>
      </c>
      <c r="H13" s="90">
        <f t="shared" si="1"/>
        <v>8.9227742252828257E-2</v>
      </c>
      <c r="I13" s="52"/>
    </row>
    <row r="14" spans="2:11" x14ac:dyDescent="0.35">
      <c r="B14" s="11"/>
      <c r="C14" s="6">
        <v>10000</v>
      </c>
      <c r="D14" s="49" t="s">
        <v>80</v>
      </c>
      <c r="E14" s="29">
        <f>Rates!D$11+((C14-2000)/1000)*Rates!D$12</f>
        <v>125.41000000000001</v>
      </c>
      <c r="F14" s="29">
        <f>Rates!E$11+((C14-2000)/1000)*Rates!E$12</f>
        <v>136.6</v>
      </c>
      <c r="G14" s="17">
        <f t="shared" si="0"/>
        <v>11.189999999999984</v>
      </c>
      <c r="H14" s="90">
        <f t="shared" si="1"/>
        <v>8.9227334343353656E-2</v>
      </c>
      <c r="I14" s="52"/>
    </row>
    <row r="15" spans="2:11" x14ac:dyDescent="0.35">
      <c r="B15" s="11"/>
      <c r="C15" s="6">
        <v>15000</v>
      </c>
      <c r="D15" s="49" t="s">
        <v>80</v>
      </c>
      <c r="E15" s="29">
        <f>Rates!D$11+((C15-2000)/1000)*Rates!D$12</f>
        <v>184.81</v>
      </c>
      <c r="F15" s="29">
        <f>Rates!E$11+((C15-2000)/1000)*Rates!E$12</f>
        <v>201.3</v>
      </c>
      <c r="G15" s="17">
        <f t="shared" si="0"/>
        <v>16.490000000000009</v>
      </c>
      <c r="H15" s="90">
        <f t="shared" si="1"/>
        <v>8.9226773442995552E-2</v>
      </c>
      <c r="I15" s="52"/>
    </row>
    <row r="16" spans="2:11" x14ac:dyDescent="0.35">
      <c r="B16" s="11"/>
      <c r="C16" s="6">
        <v>20000</v>
      </c>
      <c r="D16" s="49" t="s">
        <v>80</v>
      </c>
      <c r="E16" s="29">
        <f>Rates!D$11+((C16-2000)/1000)*Rates!D$12</f>
        <v>244.21</v>
      </c>
      <c r="F16" s="29">
        <f>Rates!E$11+((C16-2000)/1000)*Rates!E$12</f>
        <v>266</v>
      </c>
      <c r="G16" s="17">
        <f t="shared" si="0"/>
        <v>21.789999999999992</v>
      </c>
      <c r="H16" s="90">
        <f t="shared" si="1"/>
        <v>8.9226485401908154E-2</v>
      </c>
      <c r="I16" s="52"/>
    </row>
    <row r="17" spans="2:15" x14ac:dyDescent="0.35">
      <c r="B17" s="11"/>
      <c r="C17" s="6">
        <v>25000</v>
      </c>
      <c r="D17" s="49" t="s">
        <v>80</v>
      </c>
      <c r="E17" s="29">
        <f>Rates!D$11+(Rates!D$12*18)+((C17-20000)/1000)*Rates!D$13</f>
        <v>292.41000000000003</v>
      </c>
      <c r="F17" s="29">
        <f>Rates!E$11+(Rates!E$12*18)+((C17-20000)/1000)*Rates!E$13</f>
        <v>318.5</v>
      </c>
      <c r="G17" s="17">
        <f t="shared" si="0"/>
        <v>26.089999999999975</v>
      </c>
      <c r="H17" s="90">
        <f t="shared" si="1"/>
        <v>8.9224034745733635E-2</v>
      </c>
      <c r="I17" s="52"/>
    </row>
    <row r="18" spans="2:15" x14ac:dyDescent="0.35">
      <c r="B18" s="11"/>
      <c r="C18" s="6">
        <v>30000</v>
      </c>
      <c r="D18" s="49" t="s">
        <v>80</v>
      </c>
      <c r="E18" s="29">
        <f>Rates!D$11+(Rates!D$12*18)+((C18-20000)/1000)*Rates!D$13</f>
        <v>340.61</v>
      </c>
      <c r="F18" s="29">
        <f>Rates!E$11+(Rates!E$12*18)+((C18-20000)/1000)*Rates!E$13</f>
        <v>371</v>
      </c>
      <c r="G18" s="17">
        <f t="shared" ref="G18:G24" si="2">F18-E18</f>
        <v>30.389999999999986</v>
      </c>
      <c r="H18" s="90">
        <f t="shared" si="1"/>
        <v>8.9222277678283043E-2</v>
      </c>
      <c r="I18" s="52"/>
      <c r="O18" s="6"/>
    </row>
    <row r="19" spans="2:15" x14ac:dyDescent="0.35">
      <c r="B19" s="11"/>
      <c r="C19" s="6">
        <v>40000</v>
      </c>
      <c r="D19" s="49" t="s">
        <v>80</v>
      </c>
      <c r="E19" s="29">
        <f>Rates!D$11+(Rates!D$12*18)+((C19-20000)/1000)*Rates!D$13</f>
        <v>437.01</v>
      </c>
      <c r="F19" s="29">
        <f>Rates!E$11+(Rates!E$12*18)+((C19-20000)/1000)*Rates!E$13</f>
        <v>476</v>
      </c>
      <c r="G19" s="17">
        <f t="shared" si="2"/>
        <v>38.990000000000009</v>
      </c>
      <c r="H19" s="90">
        <f t="shared" si="1"/>
        <v>8.9219926317475592E-2</v>
      </c>
      <c r="I19" s="52"/>
    </row>
    <row r="20" spans="2:15" x14ac:dyDescent="0.35">
      <c r="B20" s="11"/>
      <c r="C20" s="6">
        <v>50000</v>
      </c>
      <c r="D20" s="49" t="s">
        <v>80</v>
      </c>
      <c r="E20" s="29">
        <f>Rates!D$11+(Rates!D$12*18)+((C20-20000)/1000)*Rates!D$13</f>
        <v>533.41000000000008</v>
      </c>
      <c r="F20" s="29">
        <f>Rates!E$11+(Rates!E$12*18)+((C20-20000)/1000)*Rates!E$13</f>
        <v>581</v>
      </c>
      <c r="G20" s="17">
        <f t="shared" si="2"/>
        <v>47.589999999999918</v>
      </c>
      <c r="H20" s="90">
        <f t="shared" si="1"/>
        <v>8.9218424851427447E-2</v>
      </c>
      <c r="I20" s="52"/>
    </row>
    <row r="21" spans="2:15" x14ac:dyDescent="0.35">
      <c r="B21" s="11"/>
      <c r="C21" s="6">
        <v>75000</v>
      </c>
      <c r="D21" s="49" t="s">
        <v>80</v>
      </c>
      <c r="E21" s="29">
        <f>Rates!D$11+(Rates!D$12*18)+((C21-20000)/1000)*Rates!D$13</f>
        <v>774.41000000000008</v>
      </c>
      <c r="F21" s="29">
        <f>Rates!E$11+(Rates!E$12*18)+((C21-20000)/1000)*Rates!E$13</f>
        <v>843.5</v>
      </c>
      <c r="G21" s="17">
        <f t="shared" si="2"/>
        <v>69.089999999999918</v>
      </c>
      <c r="H21" s="90">
        <f t="shared" si="1"/>
        <v>8.9216306607610846E-2</v>
      </c>
      <c r="I21" s="52"/>
    </row>
    <row r="22" spans="2:15" x14ac:dyDescent="0.35">
      <c r="B22" s="11"/>
      <c r="C22" s="6">
        <v>100000</v>
      </c>
      <c r="D22" s="49" t="s">
        <v>80</v>
      </c>
      <c r="E22" s="29">
        <f>Rates!D$11+(Rates!D$12*18)+((C22-20000)/1000)*Rates!D$13</f>
        <v>1015.4100000000001</v>
      </c>
      <c r="F22" s="29">
        <f>Rates!E$11+(Rates!E$12*18)+((C22-20000)/1000)*Rates!E$13</f>
        <v>1106</v>
      </c>
      <c r="G22" s="17">
        <f t="shared" si="2"/>
        <v>90.589999999999918</v>
      </c>
      <c r="H22" s="90">
        <f t="shared" si="1"/>
        <v>8.9215193862577591E-2</v>
      </c>
      <c r="I22" s="52"/>
    </row>
    <row r="23" spans="2:15" x14ac:dyDescent="0.35">
      <c r="B23" s="11"/>
      <c r="C23" s="6">
        <v>200000</v>
      </c>
      <c r="D23" s="49" t="s">
        <v>80</v>
      </c>
      <c r="E23" s="29">
        <f>Rates!D$11+(Rates!D$12*18)+((C23-20000)/1000)*Rates!D$13</f>
        <v>1979.41</v>
      </c>
      <c r="F23" s="29">
        <f>Rates!E$11+(Rates!E$12*18)+((C23-20000)/1000)*Rates!E$13</f>
        <v>2156</v>
      </c>
      <c r="G23" s="17">
        <f t="shared" si="2"/>
        <v>176.58999999999992</v>
      </c>
      <c r="H23" s="90">
        <f t="shared" si="1"/>
        <v>8.9213452493419707E-2</v>
      </c>
      <c r="I23" s="52"/>
    </row>
    <row r="24" spans="2:15" x14ac:dyDescent="0.35">
      <c r="B24" s="11"/>
      <c r="C24" s="6">
        <v>500000</v>
      </c>
      <c r="D24" s="49" t="s">
        <v>80</v>
      </c>
      <c r="E24" s="29">
        <f>Rates!D$11+(Rates!D$12*18)+((C24-20000)/1000)*Rates!D$13</f>
        <v>4871.4100000000008</v>
      </c>
      <c r="F24" s="29">
        <f>Rates!E$11+(Rates!E$12*18)+((C24-20000)/1000)*Rates!E$13</f>
        <v>5306</v>
      </c>
      <c r="G24" s="17">
        <f t="shared" si="2"/>
        <v>434.58999999999924</v>
      </c>
      <c r="H24" s="90">
        <f t="shared" si="1"/>
        <v>8.9212363566195246E-2</v>
      </c>
      <c r="I24" s="52"/>
    </row>
    <row r="25" spans="2:15" ht="6" customHeight="1" x14ac:dyDescent="0.35">
      <c r="B25" s="13"/>
      <c r="C25" s="5"/>
      <c r="D25" s="4"/>
      <c r="E25" s="51"/>
      <c r="F25" s="50"/>
      <c r="G25" s="50"/>
      <c r="H25" s="5"/>
      <c r="I25" s="14"/>
    </row>
    <row r="27" spans="2:15" x14ac:dyDescent="0.35">
      <c r="D27" s="60" t="s">
        <v>84</v>
      </c>
    </row>
  </sheetData>
  <mergeCells count="3">
    <mergeCell ref="B2:I2"/>
    <mergeCell ref="B3:I3"/>
    <mergeCell ref="B4:I4"/>
  </mergeCells>
  <printOptions horizontalCentered="1"/>
  <pageMargins left="0.7" right="0.7" top="1.1000000000000001"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5C76-0BB3-4641-8635-4C8CCF8B407C}">
  <sheetPr>
    <tabColor rgb="FF92D050"/>
  </sheetPr>
  <dimension ref="B1:O28"/>
  <sheetViews>
    <sheetView showGridLines="0" topLeftCell="A14" workbookViewId="0">
      <selection activeCell="B1" sqref="B1:I28"/>
    </sheetView>
  </sheetViews>
  <sheetFormatPr defaultColWidth="8.84375" defaultRowHeight="14.5" x14ac:dyDescent="0.35"/>
  <cols>
    <col min="1" max="1" width="3" style="7" customWidth="1"/>
    <col min="2" max="2" width="1.765625" style="7" customWidth="1"/>
    <col min="3" max="5" width="9.765625" style="7" customWidth="1"/>
    <col min="6" max="6" width="9.765625" style="15" customWidth="1"/>
    <col min="7" max="8" width="9.765625" style="7" customWidth="1"/>
    <col min="9" max="9" width="1.765625" style="7" customWidth="1"/>
    <col min="10" max="10" width="3.07421875" style="7" customWidth="1"/>
    <col min="11" max="16384" width="8.84375" style="7"/>
  </cols>
  <sheetData>
    <row r="1" spans="2:11" x14ac:dyDescent="0.35">
      <c r="B1" s="8"/>
      <c r="C1" s="9"/>
      <c r="D1" s="9"/>
      <c r="E1" s="9"/>
      <c r="F1" s="215"/>
      <c r="G1" s="9"/>
      <c r="H1" s="9"/>
      <c r="I1" s="10"/>
    </row>
    <row r="2" spans="2:11" ht="18.5" x14ac:dyDescent="0.45">
      <c r="B2" s="436" t="s">
        <v>211</v>
      </c>
      <c r="C2" s="437"/>
      <c r="D2" s="437"/>
      <c r="E2" s="437"/>
      <c r="F2" s="437"/>
      <c r="G2" s="437"/>
      <c r="H2" s="437"/>
      <c r="I2" s="438"/>
    </row>
    <row r="3" spans="2:11" ht="18.5" x14ac:dyDescent="0.45">
      <c r="B3" s="439" t="s">
        <v>209</v>
      </c>
      <c r="C3" s="440"/>
      <c r="D3" s="440"/>
      <c r="E3" s="440"/>
      <c r="F3" s="440"/>
      <c r="G3" s="440"/>
      <c r="H3" s="440"/>
      <c r="I3" s="441"/>
    </row>
    <row r="4" spans="2:11" ht="18.5" x14ac:dyDescent="0.45">
      <c r="B4" s="439" t="s">
        <v>267</v>
      </c>
      <c r="C4" s="444"/>
      <c r="D4" s="444"/>
      <c r="E4" s="444"/>
      <c r="F4" s="444"/>
      <c r="G4" s="444"/>
      <c r="H4" s="444"/>
      <c r="I4" s="445"/>
    </row>
    <row r="5" spans="2:11" ht="15.5" x14ac:dyDescent="0.35">
      <c r="B5" s="442" t="s">
        <v>219</v>
      </c>
      <c r="C5" s="406"/>
      <c r="D5" s="406"/>
      <c r="E5" s="406"/>
      <c r="F5" s="406"/>
      <c r="G5" s="406"/>
      <c r="H5" s="406"/>
      <c r="I5" s="443"/>
    </row>
    <row r="6" spans="2:11" x14ac:dyDescent="0.35">
      <c r="B6" s="13"/>
      <c r="C6" s="5"/>
      <c r="D6" s="5"/>
      <c r="E6" s="5"/>
      <c r="F6" s="50"/>
      <c r="G6" s="5"/>
      <c r="H6" s="5"/>
      <c r="I6" s="14"/>
    </row>
    <row r="7" spans="2:11" ht="6" customHeight="1" x14ac:dyDescent="0.35">
      <c r="B7" s="11"/>
      <c r="C7" s="6"/>
      <c r="D7" s="12"/>
      <c r="E7" s="45"/>
      <c r="F7" s="216"/>
      <c r="G7" s="46"/>
      <c r="H7" s="46"/>
      <c r="I7" s="47"/>
      <c r="J7" s="44"/>
      <c r="K7" s="44"/>
    </row>
    <row r="8" spans="2:11" ht="16" x14ac:dyDescent="0.5">
      <c r="B8" s="11"/>
      <c r="C8" s="16" t="s">
        <v>13</v>
      </c>
      <c r="D8" s="42" t="s">
        <v>75</v>
      </c>
      <c r="E8" s="48" t="s">
        <v>24</v>
      </c>
      <c r="F8" s="30" t="s">
        <v>9</v>
      </c>
      <c r="G8" s="16"/>
      <c r="H8" s="16"/>
      <c r="I8" s="42"/>
    </row>
    <row r="9" spans="2:11" ht="16" x14ac:dyDescent="0.5">
      <c r="B9" s="11"/>
      <c r="C9" s="16" t="s">
        <v>83</v>
      </c>
      <c r="D9" s="42" t="s">
        <v>79</v>
      </c>
      <c r="E9" s="48" t="s">
        <v>77</v>
      </c>
      <c r="F9" s="30" t="s">
        <v>77</v>
      </c>
      <c r="G9" s="16" t="s">
        <v>25</v>
      </c>
      <c r="H9" s="16" t="s">
        <v>78</v>
      </c>
      <c r="I9" s="42"/>
    </row>
    <row r="10" spans="2:11" x14ac:dyDescent="0.35">
      <c r="B10" s="11"/>
      <c r="C10" s="17">
        <v>0</v>
      </c>
      <c r="D10" s="49" t="s">
        <v>80</v>
      </c>
      <c r="E10" s="218">
        <f>Rates!D$11+Rates!D23</f>
        <v>31.98</v>
      </c>
      <c r="F10" s="173">
        <f>Rates!E$11+Rates!$E$23</f>
        <v>34.69</v>
      </c>
      <c r="G10" s="59">
        <f>F10-E10</f>
        <v>2.7099999999999973</v>
      </c>
      <c r="H10" s="90">
        <f>G10/E10</f>
        <v>8.4740462789243187E-2</v>
      </c>
      <c r="I10" s="52"/>
    </row>
    <row r="11" spans="2:11" x14ac:dyDescent="0.35">
      <c r="B11" s="11"/>
      <c r="C11" s="6">
        <v>2000</v>
      </c>
      <c r="D11" s="49" t="s">
        <v>80</v>
      </c>
      <c r="E11" s="218">
        <f>Rates!D$11+Rates!D23</f>
        <v>31.98</v>
      </c>
      <c r="F11" s="17">
        <f>Rates!E$11+Rates!$E$23</f>
        <v>34.69</v>
      </c>
      <c r="G11" s="17">
        <f t="shared" ref="G11:G25" si="0">F11-E11</f>
        <v>2.7099999999999973</v>
      </c>
      <c r="H11" s="90">
        <f t="shared" ref="H11:H25" si="1">G11/E11</f>
        <v>8.4740462789243187E-2</v>
      </c>
      <c r="I11" s="52"/>
    </row>
    <row r="12" spans="2:11" x14ac:dyDescent="0.35">
      <c r="B12" s="11"/>
      <c r="C12" s="53">
        <v>4000</v>
      </c>
      <c r="D12" s="54" t="s">
        <v>80</v>
      </c>
      <c r="E12" s="217">
        <f>Rates!D$11+((C12-2000)/1000)*Rates!D$12+Rates!D23</f>
        <v>55.74</v>
      </c>
      <c r="F12" s="217">
        <f>Rates!E$11+((C12-2000)/1000)*Rates!E$12+Rates!$E$23</f>
        <v>60.569999999999993</v>
      </c>
      <c r="G12" s="55">
        <f t="shared" si="0"/>
        <v>4.8299999999999912</v>
      </c>
      <c r="H12" s="91">
        <f t="shared" si="1"/>
        <v>8.6652314316469164E-2</v>
      </c>
      <c r="I12" s="56"/>
    </row>
    <row r="13" spans="2:11" x14ac:dyDescent="0.35">
      <c r="B13" s="11"/>
      <c r="C13" s="6">
        <v>6000</v>
      </c>
      <c r="D13" s="49" t="s">
        <v>80</v>
      </c>
      <c r="E13" s="29">
        <f>Rates!D$11+((C13-2000)/1000)*Rates!D$12+Rates!D23</f>
        <v>79.5</v>
      </c>
      <c r="F13" s="29">
        <f>Rates!E$11+((C13-2000)/1000)*Rates!E$12+Rates!$E$23</f>
        <v>86.45</v>
      </c>
      <c r="G13" s="17">
        <f t="shared" si="0"/>
        <v>6.9500000000000028</v>
      </c>
      <c r="H13" s="90">
        <f t="shared" si="1"/>
        <v>8.7421383647798778E-2</v>
      </c>
      <c r="I13" s="52"/>
    </row>
    <row r="14" spans="2:11" x14ac:dyDescent="0.35">
      <c r="B14" s="11"/>
      <c r="C14" s="6">
        <v>8000</v>
      </c>
      <c r="D14" s="49" t="s">
        <v>80</v>
      </c>
      <c r="E14" s="29">
        <f>Rates!D$11+((C14-2000)/1000)*Rates!D$12+Rates!D23</f>
        <v>103.26</v>
      </c>
      <c r="F14" s="29">
        <f>Rates!E$11+((C14-2000)/1000)*Rates!E$12+Rates!$E$23</f>
        <v>112.33</v>
      </c>
      <c r="G14" s="17">
        <f t="shared" si="0"/>
        <v>9.0699999999999932</v>
      </c>
      <c r="H14" s="90">
        <f t="shared" si="1"/>
        <v>8.7836529149719081E-2</v>
      </c>
      <c r="I14" s="52"/>
    </row>
    <row r="15" spans="2:11" x14ac:dyDescent="0.35">
      <c r="B15" s="11"/>
      <c r="C15" s="6">
        <v>10000</v>
      </c>
      <c r="D15" s="49" t="s">
        <v>80</v>
      </c>
      <c r="E15" s="29">
        <f>Rates!D$11+((C15-2000)/1000)*Rates!D$12+Rates!D23</f>
        <v>127.02000000000001</v>
      </c>
      <c r="F15" s="29">
        <f>Rates!E$11+((C15-2000)/1000)*Rates!E$12+Rates!$E$23</f>
        <v>138.21</v>
      </c>
      <c r="G15" s="17">
        <f t="shared" si="0"/>
        <v>11.189999999999998</v>
      </c>
      <c r="H15" s="90">
        <f t="shared" si="1"/>
        <v>8.8096362777515327E-2</v>
      </c>
      <c r="I15" s="52"/>
    </row>
    <row r="16" spans="2:11" x14ac:dyDescent="0.35">
      <c r="B16" s="11"/>
      <c r="C16" s="6">
        <v>15000</v>
      </c>
      <c r="D16" s="49" t="s">
        <v>80</v>
      </c>
      <c r="E16" s="29">
        <f>Rates!D$11+((C16-2000)/1000)*Rates!D$12+Rates!D23</f>
        <v>186.42000000000002</v>
      </c>
      <c r="F16" s="29">
        <f>Rates!E$11+((C16-2000)/1000)*Rates!E$12+Rates!$E$23</f>
        <v>202.91000000000003</v>
      </c>
      <c r="G16" s="17">
        <f t="shared" si="0"/>
        <v>16.490000000000009</v>
      </c>
      <c r="H16" s="90">
        <f t="shared" si="1"/>
        <v>8.8456174230232845E-2</v>
      </c>
      <c r="I16" s="52"/>
    </row>
    <row r="17" spans="2:15" x14ac:dyDescent="0.35">
      <c r="B17" s="11"/>
      <c r="C17" s="6">
        <v>20000</v>
      </c>
      <c r="D17" s="49" t="s">
        <v>80</v>
      </c>
      <c r="E17" s="29">
        <f>Rates!D$11+((C17-2000)/1000)*Rates!D$12+Rates!D23</f>
        <v>245.82000000000002</v>
      </c>
      <c r="F17" s="29">
        <f>Rates!E$11+((C17-2000)/1000)*Rates!E$12+Rates!$E$23</f>
        <v>267.61</v>
      </c>
      <c r="G17" s="17">
        <f t="shared" si="0"/>
        <v>21.789999999999992</v>
      </c>
      <c r="H17" s="90">
        <f t="shared" si="1"/>
        <v>8.8642095842486335E-2</v>
      </c>
      <c r="I17" s="52"/>
    </row>
    <row r="18" spans="2:15" x14ac:dyDescent="0.35">
      <c r="B18" s="11"/>
      <c r="C18" s="6">
        <v>25000</v>
      </c>
      <c r="D18" s="49" t="s">
        <v>80</v>
      </c>
      <c r="E18" s="29">
        <f>Rates!D$11+(Rates!D$12*18)+((C18-20000)/1000)*Rates!D$13+Rates!D23</f>
        <v>294.02000000000004</v>
      </c>
      <c r="F18" s="29">
        <f>Rates!E$11+(Rates!E$12*18)+((C18-20000)/1000)*Rates!E$13+Rates!$E$23</f>
        <v>320.11</v>
      </c>
      <c r="G18" s="17">
        <f t="shared" si="0"/>
        <v>26.089999999999975</v>
      </c>
      <c r="H18" s="90">
        <f t="shared" si="1"/>
        <v>8.8735460172777267E-2</v>
      </c>
      <c r="I18" s="52"/>
    </row>
    <row r="19" spans="2:15" x14ac:dyDescent="0.35">
      <c r="B19" s="11"/>
      <c r="C19" s="6">
        <v>30000</v>
      </c>
      <c r="D19" s="49" t="s">
        <v>80</v>
      </c>
      <c r="E19" s="29">
        <f>Rates!D$11+(Rates!D$12*18)+((C19-20000)/1000)*Rates!D$13+Rates!D23</f>
        <v>342.22</v>
      </c>
      <c r="F19" s="29">
        <f>Rates!E$11+(Rates!E$12*18)+((C19-20000)/1000)*Rates!E$13+Rates!$E$23</f>
        <v>372.61</v>
      </c>
      <c r="G19" s="17">
        <f t="shared" si="0"/>
        <v>30.389999999999986</v>
      </c>
      <c r="H19" s="90">
        <f t="shared" si="1"/>
        <v>8.8802524691718732E-2</v>
      </c>
      <c r="I19" s="52"/>
      <c r="O19" s="6"/>
    </row>
    <row r="20" spans="2:15" x14ac:dyDescent="0.35">
      <c r="B20" s="11"/>
      <c r="C20" s="6">
        <v>40000</v>
      </c>
      <c r="D20" s="49" t="s">
        <v>80</v>
      </c>
      <c r="E20" s="29">
        <f>Rates!D$11+(Rates!D$12*18)+((C20-20000)/1000)*Rates!D$13+Rates!D23</f>
        <v>438.62</v>
      </c>
      <c r="F20" s="29">
        <f>Rates!E$11+(Rates!E$12*18)+((C20-20000)/1000)*Rates!E$13+Rates!$E$23</f>
        <v>477.61</v>
      </c>
      <c r="G20" s="17">
        <f t="shared" si="0"/>
        <v>38.990000000000009</v>
      </c>
      <c r="H20" s="90">
        <f t="shared" si="1"/>
        <v>8.8892435365464428E-2</v>
      </c>
      <c r="I20" s="52"/>
    </row>
    <row r="21" spans="2:15" x14ac:dyDescent="0.35">
      <c r="B21" s="11"/>
      <c r="C21" s="6">
        <v>50000</v>
      </c>
      <c r="D21" s="49" t="s">
        <v>80</v>
      </c>
      <c r="E21" s="29">
        <f>Rates!D$11+(Rates!D$12*18)+((C21-20000)/1000)*Rates!D$13+Rates!D23</f>
        <v>535.0200000000001</v>
      </c>
      <c r="F21" s="29">
        <f>Rates!E$11+(Rates!E$12*18)+((C21-20000)/1000)*Rates!E$13+Rates!$E$23</f>
        <v>582.61</v>
      </c>
      <c r="G21" s="17">
        <f t="shared" si="0"/>
        <v>47.589999999999918</v>
      </c>
      <c r="H21" s="90">
        <f t="shared" si="1"/>
        <v>8.8949945796418656E-2</v>
      </c>
      <c r="I21" s="52"/>
    </row>
    <row r="22" spans="2:15" x14ac:dyDescent="0.35">
      <c r="B22" s="11"/>
      <c r="C22" s="6">
        <v>75000</v>
      </c>
      <c r="D22" s="49" t="s">
        <v>80</v>
      </c>
      <c r="E22" s="29">
        <f>Rates!D$11+(Rates!D$12*18)+((C22-20000)/1000)*Rates!D$13+Rates!D23</f>
        <v>776.0200000000001</v>
      </c>
      <c r="F22" s="29">
        <f>Rates!E$11+(Rates!E$12*18)+((C22-20000)/1000)*Rates!E$13+Rates!$E$23</f>
        <v>845.11</v>
      </c>
      <c r="G22" s="17">
        <f t="shared" si="0"/>
        <v>69.089999999999918</v>
      </c>
      <c r="H22" s="90">
        <f t="shared" si="1"/>
        <v>8.9031210535810812E-2</v>
      </c>
      <c r="I22" s="52"/>
    </row>
    <row r="23" spans="2:15" x14ac:dyDescent="0.35">
      <c r="B23" s="11"/>
      <c r="C23" s="6">
        <v>100000</v>
      </c>
      <c r="D23" s="49" t="s">
        <v>80</v>
      </c>
      <c r="E23" s="29">
        <f>Rates!D$11+(Rates!D$12*18)+((C23-20000)/1000)*Rates!D$13+Rates!D23</f>
        <v>1017.0200000000001</v>
      </c>
      <c r="F23" s="29">
        <f>Rates!E$11+(Rates!E$12*18)+((C23-20000)/1000)*Rates!E$13+Rates!$E$23</f>
        <v>1107.6099999999999</v>
      </c>
      <c r="G23" s="17">
        <f t="shared" si="0"/>
        <v>90.589999999999804</v>
      </c>
      <c r="H23" s="90">
        <f t="shared" si="1"/>
        <v>8.9073961180704209E-2</v>
      </c>
      <c r="I23" s="52"/>
    </row>
    <row r="24" spans="2:15" x14ac:dyDescent="0.35">
      <c r="B24" s="11"/>
      <c r="C24" s="6">
        <v>200000</v>
      </c>
      <c r="D24" s="49" t="s">
        <v>80</v>
      </c>
      <c r="E24" s="29">
        <f>Rates!D$11+(Rates!D$12*18)+((C24-20000)/1000)*Rates!D$13+Rates!D23</f>
        <v>1981.02</v>
      </c>
      <c r="F24" s="29">
        <f>Rates!E$11+(Rates!E$12*18)+((C24-20000)/1000)*Rates!E$13+Rates!$E$23</f>
        <v>2157.61</v>
      </c>
      <c r="G24" s="17">
        <f t="shared" si="0"/>
        <v>176.59000000000015</v>
      </c>
      <c r="H24" s="90">
        <f t="shared" si="1"/>
        <v>8.9140947592654368E-2</v>
      </c>
      <c r="I24" s="52"/>
    </row>
    <row r="25" spans="2:15" x14ac:dyDescent="0.35">
      <c r="B25" s="11"/>
      <c r="C25" s="6">
        <v>500000</v>
      </c>
      <c r="D25" s="49" t="s">
        <v>80</v>
      </c>
      <c r="E25" s="29">
        <f>Rates!D$11+(Rates!D$12*18)+((C25-20000)/1000)*Rates!D$13+Rates!D23</f>
        <v>4873.0200000000004</v>
      </c>
      <c r="F25" s="29">
        <f>Rates!E$11+(Rates!E$12*18)+((C25-20000)/1000)*Rates!E$13+Rates!$E$23</f>
        <v>5307.61</v>
      </c>
      <c r="G25" s="17">
        <f t="shared" si="0"/>
        <v>434.58999999999924</v>
      </c>
      <c r="H25" s="90">
        <f t="shared" si="1"/>
        <v>8.9182888639898705E-2</v>
      </c>
      <c r="I25" s="52"/>
    </row>
    <row r="26" spans="2:15" ht="6" customHeight="1" x14ac:dyDescent="0.35">
      <c r="B26" s="13"/>
      <c r="C26" s="5"/>
      <c r="D26" s="4"/>
      <c r="E26" s="51"/>
      <c r="F26" s="50"/>
      <c r="G26" s="50"/>
      <c r="H26" s="5"/>
      <c r="I26" s="14"/>
    </row>
    <row r="28" spans="2:15" x14ac:dyDescent="0.35">
      <c r="D28" s="60" t="s">
        <v>84</v>
      </c>
    </row>
  </sheetData>
  <mergeCells count="4">
    <mergeCell ref="B2:I2"/>
    <mergeCell ref="B3:I3"/>
    <mergeCell ref="B5:I5"/>
    <mergeCell ref="B4:I4"/>
  </mergeCells>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EF004-73BD-4C2A-85DA-B682B48EA656}">
  <sheetPr>
    <tabColor rgb="FF92D050"/>
    <pageSetUpPr fitToPage="1"/>
  </sheetPr>
  <dimension ref="A1:P94"/>
  <sheetViews>
    <sheetView showGridLines="0" workbookViewId="0">
      <selection activeCell="F9" sqref="F9"/>
    </sheetView>
  </sheetViews>
  <sheetFormatPr defaultColWidth="8.84375" defaultRowHeight="15.5" x14ac:dyDescent="0.35"/>
  <cols>
    <col min="1" max="1" width="7.765625" style="115" customWidth="1"/>
    <col min="2" max="2" width="8.23046875" style="115" customWidth="1"/>
    <col min="3" max="3" width="25.84375" style="115" customWidth="1"/>
    <col min="4" max="4" width="11.15234375" style="115" bestFit="1" customWidth="1"/>
    <col min="5" max="5" width="12.23046875" style="115" customWidth="1"/>
    <col min="6" max="6" width="12.4609375" style="115" customWidth="1"/>
    <col min="7" max="7" width="10.4609375" style="115" customWidth="1"/>
    <col min="8" max="9" width="11.15234375" style="115" bestFit="1" customWidth="1"/>
    <col min="10" max="10" width="10.4609375" style="115" customWidth="1"/>
    <col min="11" max="11" width="12.69140625" style="115" bestFit="1" customWidth="1"/>
    <col min="12" max="12" width="10.4609375" style="115" customWidth="1"/>
    <col min="13" max="13" width="13.07421875" style="115" customWidth="1"/>
    <col min="14" max="15" width="8.84375" style="115"/>
    <col min="16" max="16" width="14.765625" style="235" bestFit="1" customWidth="1"/>
    <col min="17" max="16384" width="8.84375" style="115"/>
  </cols>
  <sheetData>
    <row r="1" spans="1:13" ht="21" x14ac:dyDescent="0.5">
      <c r="A1" s="446" t="s">
        <v>302</v>
      </c>
      <c r="B1" s="446"/>
      <c r="C1" s="446"/>
      <c r="D1" s="446"/>
      <c r="E1" s="446"/>
      <c r="F1" s="446"/>
      <c r="G1" s="446"/>
    </row>
    <row r="2" spans="1:13" ht="18.5" x14ac:dyDescent="0.35">
      <c r="A2" s="421" t="s">
        <v>231</v>
      </c>
      <c r="B2" s="421"/>
      <c r="C2" s="421"/>
      <c r="D2" s="421"/>
      <c r="E2" s="421"/>
      <c r="F2" s="421"/>
      <c r="G2" s="421"/>
    </row>
    <row r="3" spans="1:13" x14ac:dyDescent="0.35">
      <c r="A3" s="24"/>
      <c r="B3" s="25"/>
      <c r="C3" s="25"/>
      <c r="D3" s="25"/>
      <c r="E3" s="25"/>
      <c r="F3" s="25"/>
      <c r="G3" s="25"/>
    </row>
    <row r="4" spans="1:13" x14ac:dyDescent="0.35">
      <c r="A4" s="1"/>
      <c r="C4" s="447" t="s">
        <v>47</v>
      </c>
      <c r="D4" s="447"/>
      <c r="E4" s="447"/>
      <c r="F4" s="447"/>
      <c r="G4" s="1"/>
    </row>
    <row r="5" spans="1:13" x14ac:dyDescent="0.35">
      <c r="A5" s="1"/>
      <c r="B5" s="1"/>
      <c r="C5" s="137" t="s">
        <v>176</v>
      </c>
      <c r="D5" s="202" t="s">
        <v>51</v>
      </c>
      <c r="E5" s="202" t="s">
        <v>52</v>
      </c>
      <c r="F5" s="203" t="s">
        <v>55</v>
      </c>
      <c r="G5" s="21"/>
      <c r="H5" s="120"/>
    </row>
    <row r="6" spans="1:13" x14ac:dyDescent="0.35">
      <c r="A6" s="1"/>
      <c r="B6" s="1"/>
      <c r="C6" s="1" t="s">
        <v>145</v>
      </c>
      <c r="D6" s="2">
        <f>C20</f>
        <v>27584</v>
      </c>
      <c r="E6" s="127">
        <f>H20</f>
        <v>108871892</v>
      </c>
      <c r="F6" s="128">
        <f>F27</f>
        <v>1599362.7479999999</v>
      </c>
      <c r="G6" s="129"/>
      <c r="H6" s="130"/>
      <c r="I6" s="131"/>
      <c r="J6" s="115">
        <f>E6/D6</f>
        <v>3946.9218387470996</v>
      </c>
      <c r="K6" s="116"/>
      <c r="L6" s="116"/>
      <c r="M6" s="116"/>
    </row>
    <row r="7" spans="1:13" ht="16" x14ac:dyDescent="0.5">
      <c r="A7" s="1"/>
      <c r="B7" s="1"/>
      <c r="C7" s="125" t="s">
        <v>146</v>
      </c>
      <c r="D7" s="145">
        <f>C32</f>
        <v>12</v>
      </c>
      <c r="E7" s="205">
        <f>D32</f>
        <v>56135000</v>
      </c>
      <c r="F7" s="146">
        <f>F32</f>
        <v>267202.59999999998</v>
      </c>
      <c r="G7" s="1"/>
      <c r="J7" s="115">
        <f>E7/D7</f>
        <v>4677916.666666667</v>
      </c>
      <c r="K7" s="116"/>
      <c r="L7" s="116"/>
      <c r="M7" s="117"/>
    </row>
    <row r="8" spans="1:13" ht="15.75" customHeight="1" x14ac:dyDescent="0.35">
      <c r="A8" s="1"/>
      <c r="B8" s="1"/>
      <c r="C8" s="125" t="s">
        <v>177</v>
      </c>
      <c r="D8" s="127">
        <f>SUM(D6:D7)</f>
        <v>27596</v>
      </c>
      <c r="E8" s="127">
        <f>SUM(E6:E7)</f>
        <v>165006892</v>
      </c>
      <c r="F8" s="132">
        <f>SUM(F6:F7)</f>
        <v>1866565.3479999998</v>
      </c>
      <c r="G8" s="1"/>
      <c r="K8" s="116"/>
      <c r="L8" s="116"/>
      <c r="M8" s="116"/>
    </row>
    <row r="9" spans="1:13" ht="15" customHeight="1" x14ac:dyDescent="0.5">
      <c r="A9" s="1"/>
      <c r="B9" s="1"/>
      <c r="C9" s="125" t="s">
        <v>178</v>
      </c>
      <c r="D9" s="127"/>
      <c r="E9" s="127"/>
      <c r="F9" s="200">
        <f>-2953.13-7449.28-28976.97</f>
        <v>-39379.380000000005</v>
      </c>
      <c r="G9" s="1"/>
      <c r="K9" s="116" t="s">
        <v>292</v>
      </c>
      <c r="L9" s="116"/>
      <c r="M9" s="116"/>
    </row>
    <row r="10" spans="1:13" x14ac:dyDescent="0.35">
      <c r="A10" s="1"/>
      <c r="B10" s="1"/>
      <c r="C10" s="133" t="s">
        <v>239</v>
      </c>
      <c r="D10" s="127"/>
      <c r="E10" s="127"/>
      <c r="F10" s="132">
        <f>F8+F9</f>
        <v>1827185.9679999999</v>
      </c>
      <c r="G10" s="1"/>
    </row>
    <row r="11" spans="1:13" ht="16" x14ac:dyDescent="0.5">
      <c r="A11" s="1"/>
      <c r="B11" s="1"/>
      <c r="C11" s="133" t="s">
        <v>179</v>
      </c>
      <c r="D11" s="127"/>
      <c r="E11" s="127"/>
      <c r="F11" s="147">
        <f>SAO!D6+SAO!D7</f>
        <v>1823613</v>
      </c>
      <c r="G11" s="1"/>
    </row>
    <row r="12" spans="1:13" x14ac:dyDescent="0.35">
      <c r="A12" s="1"/>
      <c r="B12" s="1"/>
      <c r="C12" s="133" t="s">
        <v>180</v>
      </c>
      <c r="D12" s="127"/>
      <c r="E12" s="127"/>
      <c r="F12" s="132">
        <f>F10-F11</f>
        <v>3572.9679999998771</v>
      </c>
      <c r="G12" s="1" t="s">
        <v>293</v>
      </c>
      <c r="J12" s="201"/>
      <c r="M12" s="244"/>
    </row>
    <row r="13" spans="1:13" x14ac:dyDescent="0.35">
      <c r="A13" s="1"/>
      <c r="B13" s="1"/>
      <c r="C13" s="19"/>
      <c r="D13" s="128"/>
      <c r="E13" s="1"/>
      <c r="F13" s="1"/>
      <c r="G13" s="1"/>
    </row>
    <row r="14" spans="1:13" x14ac:dyDescent="0.35">
      <c r="A14" s="118" t="s">
        <v>147</v>
      </c>
      <c r="B14" s="1"/>
      <c r="C14" s="1"/>
      <c r="D14" s="1"/>
      <c r="E14" s="1"/>
      <c r="F14" s="1"/>
      <c r="G14" s="1"/>
    </row>
    <row r="15" spans="1:13" x14ac:dyDescent="0.35">
      <c r="A15" s="1"/>
      <c r="B15" s="1"/>
      <c r="C15" s="1"/>
      <c r="D15" s="21" t="s">
        <v>148</v>
      </c>
      <c r="E15" s="21" t="s">
        <v>48</v>
      </c>
      <c r="F15" s="21" t="s">
        <v>149</v>
      </c>
      <c r="G15" s="21" t="s">
        <v>49</v>
      </c>
      <c r="H15" s="1"/>
    </row>
    <row r="16" spans="1:13" x14ac:dyDescent="0.35">
      <c r="A16" s="1"/>
      <c r="B16" s="21" t="s">
        <v>50</v>
      </c>
      <c r="C16" s="126" t="s">
        <v>51</v>
      </c>
      <c r="D16" s="134" t="s">
        <v>52</v>
      </c>
      <c r="E16" s="126">
        <f>B17</f>
        <v>2000</v>
      </c>
      <c r="F16" s="126">
        <f>B18</f>
        <v>18000</v>
      </c>
      <c r="G16" s="126">
        <f>B19</f>
        <v>20000</v>
      </c>
      <c r="H16" s="21" t="s">
        <v>53</v>
      </c>
    </row>
    <row r="17" spans="1:16" x14ac:dyDescent="0.35">
      <c r="A17" s="22" t="s">
        <v>48</v>
      </c>
      <c r="B17" s="135">
        <v>2000</v>
      </c>
      <c r="C17" s="23">
        <f>K65+K66+K67</f>
        <v>11942</v>
      </c>
      <c r="D17" s="23">
        <f>K37+K38</f>
        <v>9878392</v>
      </c>
      <c r="E17" s="23">
        <f>D17</f>
        <v>9878392</v>
      </c>
      <c r="F17" s="23">
        <v>0</v>
      </c>
      <c r="G17" s="23">
        <v>0</v>
      </c>
      <c r="H17" s="23">
        <f>SUM(E17:G17)</f>
        <v>9878392</v>
      </c>
    </row>
    <row r="18" spans="1:16" x14ac:dyDescent="0.35">
      <c r="A18" s="22" t="s">
        <v>149</v>
      </c>
      <c r="B18" s="136">
        <v>18000</v>
      </c>
      <c r="C18" s="23">
        <f>K68+K69+K70+K71+K72+K73+K74+K75+K76+K77+K78+K79+K80+K81+K82+K83+K84</f>
        <v>15151</v>
      </c>
      <c r="D18" s="23">
        <f>K39+K40+K41+K42+K43+K44+K45+K46+K47+K48+K49+K50+K51+K52+K53+K54+K55</f>
        <v>70087700</v>
      </c>
      <c r="E18" s="23">
        <f>C18*2000</f>
        <v>30302000</v>
      </c>
      <c r="F18" s="23">
        <f>D18-E18</f>
        <v>39785700</v>
      </c>
      <c r="G18" s="23">
        <v>0</v>
      </c>
      <c r="H18" s="23">
        <f>SUM(E18:G18)</f>
        <v>70087700</v>
      </c>
    </row>
    <row r="19" spans="1:16" x14ac:dyDescent="0.35">
      <c r="A19" s="22" t="s">
        <v>49</v>
      </c>
      <c r="B19" s="136">
        <v>20000</v>
      </c>
      <c r="C19" s="246">
        <f>K85+K86+K87+K88+K89+K90</f>
        <v>491</v>
      </c>
      <c r="D19" s="246">
        <f>K56+K57+K58+K59+K60+K61</f>
        <v>28905800</v>
      </c>
      <c r="E19" s="246">
        <f>C19*2000</f>
        <v>982000</v>
      </c>
      <c r="F19" s="246">
        <f>C19*18000</f>
        <v>8838000</v>
      </c>
      <c r="G19" s="246">
        <f>D19-E19-F19</f>
        <v>19085800</v>
      </c>
      <c r="H19" s="246">
        <f>SUM(E19:G19)</f>
        <v>28905800</v>
      </c>
    </row>
    <row r="20" spans="1:16" x14ac:dyDescent="0.35">
      <c r="A20" s="22"/>
      <c r="B20" s="136"/>
      <c r="C20" s="23">
        <f t="shared" ref="C20:H20" si="0">SUM(C17:C19)</f>
        <v>27584</v>
      </c>
      <c r="D20" s="23">
        <f t="shared" si="0"/>
        <v>108871892</v>
      </c>
      <c r="E20" s="23">
        <f t="shared" si="0"/>
        <v>41162392</v>
      </c>
      <c r="F20" s="23">
        <f t="shared" si="0"/>
        <v>48623700</v>
      </c>
      <c r="G20" s="23">
        <f t="shared" si="0"/>
        <v>19085800</v>
      </c>
      <c r="H20" s="23">
        <f t="shared" si="0"/>
        <v>108871892</v>
      </c>
    </row>
    <row r="21" spans="1:16" x14ac:dyDescent="0.35">
      <c r="A21" s="22"/>
      <c r="B21" s="136"/>
      <c r="C21" s="1"/>
      <c r="D21" s="136"/>
      <c r="E21" s="136"/>
      <c r="F21" s="136"/>
      <c r="G21" s="136"/>
    </row>
    <row r="22" spans="1:16" x14ac:dyDescent="0.35">
      <c r="A22" s="137" t="s">
        <v>150</v>
      </c>
      <c r="B22" s="137"/>
      <c r="C22" s="1"/>
      <c r="D22" s="136"/>
      <c r="E22" s="136"/>
      <c r="F22" s="136"/>
      <c r="G22" s="136"/>
    </row>
    <row r="23" spans="1:16" ht="29" x14ac:dyDescent="0.35">
      <c r="A23" s="22"/>
      <c r="B23" s="1"/>
      <c r="C23" s="126" t="s">
        <v>51</v>
      </c>
      <c r="D23" s="138" t="s">
        <v>151</v>
      </c>
      <c r="E23" s="138" t="s">
        <v>304</v>
      </c>
      <c r="F23" s="138" t="s">
        <v>55</v>
      </c>
      <c r="G23" s="1"/>
    </row>
    <row r="24" spans="1:16" x14ac:dyDescent="0.35">
      <c r="A24" s="22" t="s">
        <v>48</v>
      </c>
      <c r="B24" s="136">
        <v>2000</v>
      </c>
      <c r="C24" s="140">
        <f>C20</f>
        <v>27584</v>
      </c>
      <c r="D24" s="23">
        <f>E20</f>
        <v>41162392</v>
      </c>
      <c r="E24" s="37">
        <v>30.37</v>
      </c>
      <c r="F24" s="37">
        <f>C24*E24</f>
        <v>837726.08000000007</v>
      </c>
      <c r="G24" s="1"/>
    </row>
    <row r="25" spans="1:16" x14ac:dyDescent="0.35">
      <c r="A25" s="22" t="s">
        <v>149</v>
      </c>
      <c r="B25" s="136">
        <v>18000</v>
      </c>
      <c r="C25" s="140"/>
      <c r="D25" s="23">
        <f>F20</f>
        <v>48623700</v>
      </c>
      <c r="E25" s="37">
        <v>11.88</v>
      </c>
      <c r="F25" s="37">
        <f>(D25/1000)*E25</f>
        <v>577649.55599999998</v>
      </c>
      <c r="G25" s="1"/>
    </row>
    <row r="26" spans="1:16" x14ac:dyDescent="0.35">
      <c r="A26" s="22" t="s">
        <v>49</v>
      </c>
      <c r="B26" s="136">
        <v>20000</v>
      </c>
      <c r="C26" s="247"/>
      <c r="D26" s="40">
        <f>G20</f>
        <v>19085800</v>
      </c>
      <c r="E26" s="245">
        <v>9.64</v>
      </c>
      <c r="F26" s="245">
        <f>(D26/1000)*E26</f>
        <v>183987.11199999999</v>
      </c>
      <c r="G26" s="1"/>
    </row>
    <row r="27" spans="1:16" x14ac:dyDescent="0.35">
      <c r="A27" s="22"/>
      <c r="B27" s="139" t="s">
        <v>53</v>
      </c>
      <c r="C27" s="23">
        <f>SUM(C24:C26)</f>
        <v>27584</v>
      </c>
      <c r="D27" s="23">
        <f>SUM(D24:D26)</f>
        <v>108871892</v>
      </c>
      <c r="E27" s="23"/>
      <c r="F27" s="142">
        <f>SUM(F24:F26)</f>
        <v>1599362.7479999999</v>
      </c>
      <c r="G27" s="1"/>
    </row>
    <row r="28" spans="1:16" x14ac:dyDescent="0.35">
      <c r="A28" s="1"/>
      <c r="B28" s="1"/>
      <c r="C28" s="1"/>
      <c r="D28" s="1"/>
      <c r="E28" s="1"/>
      <c r="F28" s="1"/>
      <c r="G28" s="1"/>
    </row>
    <row r="29" spans="1:16" x14ac:dyDescent="0.35">
      <c r="A29" s="118" t="s">
        <v>82</v>
      </c>
      <c r="B29" s="1"/>
      <c r="C29" s="1"/>
      <c r="D29" s="1"/>
      <c r="E29" s="1"/>
      <c r="F29" s="1"/>
      <c r="G29" s="1"/>
    </row>
    <row r="30" spans="1:16" x14ac:dyDescent="0.35">
      <c r="A30" s="1"/>
      <c r="B30" s="1"/>
      <c r="C30" s="1"/>
      <c r="D30" s="1"/>
      <c r="E30" s="1"/>
      <c r="F30" s="1"/>
      <c r="G30" s="1"/>
    </row>
    <row r="31" spans="1:16" ht="29" x14ac:dyDescent="0.35">
      <c r="A31" s="1"/>
      <c r="B31" s="1"/>
      <c r="C31" s="21" t="s">
        <v>51</v>
      </c>
      <c r="D31" s="138" t="s">
        <v>151</v>
      </c>
      <c r="E31" s="138" t="s">
        <v>304</v>
      </c>
      <c r="F31" s="126" t="s">
        <v>55</v>
      </c>
      <c r="G31" s="1"/>
      <c r="H31" s="1"/>
    </row>
    <row r="32" spans="1:16" s="119" customFormat="1" ht="14.5" x14ac:dyDescent="0.35">
      <c r="A32" s="119" t="s">
        <v>152</v>
      </c>
      <c r="C32" s="143">
        <v>12</v>
      </c>
      <c r="D32" s="204">
        <v>56135000</v>
      </c>
      <c r="E32" s="144">
        <v>4.76</v>
      </c>
      <c r="F32" s="144">
        <f>(D32/1000)*E32</f>
        <v>267202.59999999998</v>
      </c>
      <c r="P32" s="236"/>
    </row>
    <row r="35" spans="3:16" x14ac:dyDescent="0.35">
      <c r="C35" s="115" t="s">
        <v>289</v>
      </c>
    </row>
    <row r="36" spans="3:16" x14ac:dyDescent="0.35">
      <c r="C36" s="237" t="s">
        <v>290</v>
      </c>
      <c r="D36" s="234">
        <v>1</v>
      </c>
      <c r="E36" s="234">
        <v>2</v>
      </c>
      <c r="F36" s="234">
        <v>3</v>
      </c>
      <c r="G36" s="234">
        <v>4</v>
      </c>
      <c r="H36" s="234">
        <v>5</v>
      </c>
      <c r="I36" s="234">
        <v>6</v>
      </c>
      <c r="J36" s="234">
        <v>7</v>
      </c>
      <c r="K36" s="234" t="s">
        <v>12</v>
      </c>
      <c r="L36" s="234"/>
      <c r="M36" s="234"/>
      <c r="N36" s="234"/>
      <c r="O36" s="234"/>
    </row>
    <row r="37" spans="3:16" x14ac:dyDescent="0.35">
      <c r="C37" s="115">
        <v>1000</v>
      </c>
      <c r="D37" s="238">
        <v>445100</v>
      </c>
      <c r="E37" s="115">
        <v>268200</v>
      </c>
      <c r="F37" s="115">
        <v>350300</v>
      </c>
      <c r="G37" s="115">
        <v>360900</v>
      </c>
      <c r="H37" s="115">
        <v>475292</v>
      </c>
      <c r="I37" s="115">
        <v>233600</v>
      </c>
      <c r="J37" s="115">
        <v>312200</v>
      </c>
      <c r="K37" s="238">
        <f>SUM(D37:J37)</f>
        <v>2445592</v>
      </c>
    </row>
    <row r="38" spans="3:16" x14ac:dyDescent="0.35">
      <c r="C38" s="115">
        <v>2000</v>
      </c>
      <c r="D38" s="238">
        <v>1546000</v>
      </c>
      <c r="E38" s="115">
        <v>1234900</v>
      </c>
      <c r="F38" s="115">
        <v>692900</v>
      </c>
      <c r="G38" s="115">
        <v>962400</v>
      </c>
      <c r="H38" s="115">
        <v>1574700</v>
      </c>
      <c r="I38" s="115">
        <v>618200</v>
      </c>
      <c r="J38" s="115">
        <v>803700</v>
      </c>
      <c r="K38" s="238">
        <f t="shared" ref="K38:K62" si="1">SUM(D38:J38)</f>
        <v>7432800</v>
      </c>
    </row>
    <row r="39" spans="3:16" x14ac:dyDescent="0.35">
      <c r="C39" s="115">
        <v>3000</v>
      </c>
      <c r="D39" s="238">
        <v>3099500</v>
      </c>
      <c r="E39" s="115">
        <v>2380600</v>
      </c>
      <c r="F39" s="115">
        <v>899100</v>
      </c>
      <c r="G39" s="115">
        <v>1307300</v>
      </c>
      <c r="H39" s="115">
        <v>2786400</v>
      </c>
      <c r="I39" s="115">
        <v>846900</v>
      </c>
      <c r="J39" s="115">
        <v>1151100</v>
      </c>
      <c r="K39" s="238">
        <f t="shared" si="1"/>
        <v>12470900</v>
      </c>
    </row>
    <row r="40" spans="3:16" x14ac:dyDescent="0.35">
      <c r="C40" s="115">
        <v>4000</v>
      </c>
      <c r="D40" s="238">
        <v>2931900</v>
      </c>
      <c r="E40" s="115">
        <v>2429600</v>
      </c>
      <c r="F40" s="115">
        <v>887500</v>
      </c>
      <c r="G40" s="115">
        <v>1287200</v>
      </c>
      <c r="H40" s="115">
        <v>2965900</v>
      </c>
      <c r="I40" s="115">
        <v>803600</v>
      </c>
      <c r="J40" s="115">
        <v>1109400</v>
      </c>
      <c r="K40" s="238">
        <f t="shared" si="1"/>
        <v>12415100</v>
      </c>
    </row>
    <row r="41" spans="3:16" x14ac:dyDescent="0.35">
      <c r="C41" s="115">
        <v>5000</v>
      </c>
      <c r="D41" s="238">
        <v>2707300</v>
      </c>
      <c r="E41" s="115">
        <v>2344700</v>
      </c>
      <c r="F41" s="115">
        <v>754000</v>
      </c>
      <c r="G41" s="115">
        <v>874100</v>
      </c>
      <c r="H41" s="115">
        <v>2503000</v>
      </c>
      <c r="I41" s="115">
        <v>716500</v>
      </c>
      <c r="J41" s="115">
        <v>757800</v>
      </c>
      <c r="K41" s="238">
        <f t="shared" si="1"/>
        <v>10657400</v>
      </c>
      <c r="P41" s="235">
        <f t="shared" ref="P41:P61" si="2">SUM(D41:O41)</f>
        <v>21314800</v>
      </c>
    </row>
    <row r="42" spans="3:16" x14ac:dyDescent="0.35">
      <c r="C42" s="115">
        <v>6000</v>
      </c>
      <c r="D42" s="238">
        <v>1794900</v>
      </c>
      <c r="E42" s="115">
        <v>1679700</v>
      </c>
      <c r="F42" s="115">
        <v>516200</v>
      </c>
      <c r="G42" s="115">
        <v>563000</v>
      </c>
      <c r="H42" s="115">
        <v>1984400</v>
      </c>
      <c r="I42" s="115">
        <v>558100</v>
      </c>
      <c r="J42" s="115">
        <v>587700</v>
      </c>
      <c r="K42" s="238">
        <f t="shared" si="1"/>
        <v>7684000</v>
      </c>
      <c r="P42" s="235">
        <f t="shared" si="2"/>
        <v>15368000</v>
      </c>
    </row>
    <row r="43" spans="3:16" x14ac:dyDescent="0.35">
      <c r="C43" s="115">
        <v>7000</v>
      </c>
      <c r="D43" s="238">
        <v>1452100</v>
      </c>
      <c r="E43" s="115">
        <v>1303000</v>
      </c>
      <c r="F43" s="115">
        <v>457100</v>
      </c>
      <c r="G43" s="115">
        <v>388200</v>
      </c>
      <c r="H43" s="115">
        <v>1504600</v>
      </c>
      <c r="I43" s="115">
        <v>379400</v>
      </c>
      <c r="J43" s="115">
        <v>443100</v>
      </c>
      <c r="K43" s="238">
        <f t="shared" si="1"/>
        <v>5927500</v>
      </c>
      <c r="P43" s="235">
        <f t="shared" si="2"/>
        <v>11855000</v>
      </c>
    </row>
    <row r="44" spans="3:16" x14ac:dyDescent="0.35">
      <c r="C44" s="115">
        <v>8000</v>
      </c>
      <c r="D44" s="238">
        <v>1012000</v>
      </c>
      <c r="E44" s="115">
        <v>918400</v>
      </c>
      <c r="F44" s="115">
        <v>216200</v>
      </c>
      <c r="G44" s="115">
        <v>269900</v>
      </c>
      <c r="H44" s="115">
        <v>1023300</v>
      </c>
      <c r="I44" s="115">
        <v>253700</v>
      </c>
      <c r="J44" s="115">
        <v>324700</v>
      </c>
      <c r="K44" s="238">
        <f t="shared" si="1"/>
        <v>4018200</v>
      </c>
      <c r="P44" s="235">
        <f t="shared" si="2"/>
        <v>8036400</v>
      </c>
    </row>
    <row r="45" spans="3:16" x14ac:dyDescent="0.35">
      <c r="C45" s="115">
        <v>9000</v>
      </c>
      <c r="D45" s="238">
        <v>999300</v>
      </c>
      <c r="E45" s="115">
        <v>694600</v>
      </c>
      <c r="F45" s="115">
        <v>177300</v>
      </c>
      <c r="G45" s="115">
        <v>263000</v>
      </c>
      <c r="H45" s="115">
        <v>874900</v>
      </c>
      <c r="I45" s="115">
        <v>281900</v>
      </c>
      <c r="J45" s="115">
        <v>240400</v>
      </c>
      <c r="K45" s="238">
        <f t="shared" si="1"/>
        <v>3531400</v>
      </c>
      <c r="P45" s="235">
        <f t="shared" si="2"/>
        <v>7062800</v>
      </c>
    </row>
    <row r="46" spans="3:16" x14ac:dyDescent="0.35">
      <c r="C46" s="115">
        <v>10000</v>
      </c>
      <c r="D46" s="238">
        <v>562900</v>
      </c>
      <c r="E46" s="115">
        <v>455400</v>
      </c>
      <c r="F46" s="115">
        <v>96100</v>
      </c>
      <c r="G46" s="115">
        <v>201500</v>
      </c>
      <c r="H46" s="115">
        <v>561700</v>
      </c>
      <c r="I46" s="115">
        <v>178800</v>
      </c>
      <c r="J46" s="115">
        <v>181000</v>
      </c>
      <c r="K46" s="238">
        <f t="shared" si="1"/>
        <v>2237400</v>
      </c>
      <c r="P46" s="235">
        <f t="shared" si="2"/>
        <v>4474800</v>
      </c>
    </row>
    <row r="47" spans="3:16" x14ac:dyDescent="0.35">
      <c r="C47" s="115">
        <v>11000</v>
      </c>
      <c r="D47" s="238">
        <v>441300</v>
      </c>
      <c r="E47" s="115">
        <v>381900</v>
      </c>
      <c r="F47" s="115">
        <v>146800</v>
      </c>
      <c r="G47" s="115">
        <v>175900</v>
      </c>
      <c r="H47" s="115">
        <v>546000</v>
      </c>
      <c r="I47" s="115">
        <v>147700</v>
      </c>
      <c r="J47" s="115">
        <v>168400</v>
      </c>
      <c r="K47" s="238">
        <f t="shared" si="1"/>
        <v>2008000</v>
      </c>
      <c r="P47" s="235">
        <f t="shared" si="2"/>
        <v>4016000</v>
      </c>
    </row>
    <row r="48" spans="3:16" x14ac:dyDescent="0.35">
      <c r="C48" s="115">
        <v>12000</v>
      </c>
      <c r="D48" s="238">
        <v>380900</v>
      </c>
      <c r="E48" s="115">
        <v>265900</v>
      </c>
      <c r="F48" s="115">
        <v>126200</v>
      </c>
      <c r="G48" s="115">
        <v>184200</v>
      </c>
      <c r="H48" s="115">
        <v>425200</v>
      </c>
      <c r="I48" s="115">
        <v>149300</v>
      </c>
      <c r="J48" s="115">
        <v>104200</v>
      </c>
      <c r="K48" s="238">
        <f t="shared" si="1"/>
        <v>1635900</v>
      </c>
      <c r="P48" s="235">
        <f t="shared" si="2"/>
        <v>3271800</v>
      </c>
    </row>
    <row r="49" spans="3:16" x14ac:dyDescent="0.35">
      <c r="C49" s="115">
        <v>13000</v>
      </c>
      <c r="D49" s="238">
        <v>551900</v>
      </c>
      <c r="E49" s="115">
        <v>378100</v>
      </c>
      <c r="F49" s="115">
        <v>88300</v>
      </c>
      <c r="G49" s="115">
        <v>125900</v>
      </c>
      <c r="H49" s="115">
        <v>474500</v>
      </c>
      <c r="I49" s="115">
        <v>62000</v>
      </c>
      <c r="J49" s="115">
        <v>61500</v>
      </c>
      <c r="K49" s="238">
        <f t="shared" si="1"/>
        <v>1742200</v>
      </c>
      <c r="P49" s="235">
        <f t="shared" si="2"/>
        <v>3484400</v>
      </c>
    </row>
    <row r="50" spans="3:16" x14ac:dyDescent="0.35">
      <c r="C50" s="115">
        <v>14000</v>
      </c>
      <c r="D50" s="238">
        <v>352200</v>
      </c>
      <c r="E50" s="115">
        <v>271300</v>
      </c>
      <c r="F50" s="115">
        <v>67700</v>
      </c>
      <c r="G50" s="115">
        <v>83100</v>
      </c>
      <c r="H50" s="115">
        <v>337900</v>
      </c>
      <c r="I50" s="115">
        <v>95900</v>
      </c>
      <c r="J50" s="115">
        <v>26800</v>
      </c>
      <c r="K50" s="238">
        <f t="shared" si="1"/>
        <v>1234900</v>
      </c>
      <c r="P50" s="235">
        <f t="shared" si="2"/>
        <v>2469800</v>
      </c>
    </row>
    <row r="51" spans="3:16" x14ac:dyDescent="0.35">
      <c r="C51" s="115">
        <v>15000</v>
      </c>
      <c r="D51" s="238">
        <v>290100</v>
      </c>
      <c r="E51" s="115">
        <v>160200</v>
      </c>
      <c r="F51" s="115">
        <v>59600</v>
      </c>
      <c r="G51" s="115">
        <v>14800</v>
      </c>
      <c r="H51" s="115">
        <v>292200</v>
      </c>
      <c r="I51" s="115">
        <v>28800</v>
      </c>
      <c r="J51" s="115">
        <v>101800</v>
      </c>
      <c r="K51" s="238">
        <f t="shared" si="1"/>
        <v>947500</v>
      </c>
      <c r="P51" s="235">
        <f t="shared" si="2"/>
        <v>1895000</v>
      </c>
    </row>
    <row r="52" spans="3:16" x14ac:dyDescent="0.35">
      <c r="C52" s="115">
        <v>16000</v>
      </c>
      <c r="D52" s="238">
        <v>464000</v>
      </c>
      <c r="E52" s="115">
        <v>279100</v>
      </c>
      <c r="F52" s="115">
        <v>46500</v>
      </c>
      <c r="G52" s="115">
        <v>61400</v>
      </c>
      <c r="H52" s="115">
        <v>277200</v>
      </c>
      <c r="J52" s="115">
        <v>109600</v>
      </c>
      <c r="K52" s="238">
        <f t="shared" si="1"/>
        <v>1237800</v>
      </c>
      <c r="P52" s="235">
        <f t="shared" si="2"/>
        <v>2475600</v>
      </c>
    </row>
    <row r="53" spans="3:16" x14ac:dyDescent="0.35">
      <c r="C53" s="115">
        <v>17000</v>
      </c>
      <c r="D53" s="238">
        <v>314800</v>
      </c>
      <c r="E53" s="115">
        <v>147800</v>
      </c>
      <c r="F53" s="115">
        <v>32400</v>
      </c>
      <c r="G53" s="115">
        <v>99100</v>
      </c>
      <c r="H53" s="115">
        <v>313100</v>
      </c>
      <c r="I53" s="115">
        <v>16200</v>
      </c>
      <c r="J53" s="115">
        <v>99200</v>
      </c>
      <c r="K53" s="238">
        <f t="shared" si="1"/>
        <v>1022600</v>
      </c>
      <c r="P53" s="235">
        <f t="shared" si="2"/>
        <v>2045200</v>
      </c>
    </row>
    <row r="54" spans="3:16" x14ac:dyDescent="0.35">
      <c r="C54" s="115">
        <v>18000</v>
      </c>
      <c r="D54" s="238">
        <v>210500</v>
      </c>
      <c r="E54" s="115">
        <v>263900</v>
      </c>
      <c r="F54" s="115">
        <v>17700</v>
      </c>
      <c r="G54" s="115">
        <v>36000</v>
      </c>
      <c r="H54" s="115">
        <v>104700</v>
      </c>
      <c r="J54" s="115">
        <v>35200</v>
      </c>
      <c r="K54" s="238">
        <f t="shared" si="1"/>
        <v>668000</v>
      </c>
      <c r="P54" s="235">
        <f t="shared" si="2"/>
        <v>1336000</v>
      </c>
    </row>
    <row r="55" spans="3:16" x14ac:dyDescent="0.35">
      <c r="C55" s="115">
        <v>19000</v>
      </c>
      <c r="D55" s="238">
        <v>167800</v>
      </c>
      <c r="E55" s="115">
        <v>73700</v>
      </c>
      <c r="G55" s="115">
        <v>111900</v>
      </c>
      <c r="H55" s="115">
        <v>258600</v>
      </c>
      <c r="I55" s="115">
        <v>18400</v>
      </c>
      <c r="J55" s="115">
        <v>18500</v>
      </c>
      <c r="K55" s="238">
        <f t="shared" si="1"/>
        <v>648900</v>
      </c>
      <c r="P55" s="235">
        <f t="shared" si="2"/>
        <v>1297800</v>
      </c>
    </row>
    <row r="56" spans="3:16" x14ac:dyDescent="0.35">
      <c r="C56" s="115">
        <v>20000</v>
      </c>
      <c r="D56" s="238">
        <v>116900</v>
      </c>
      <c r="E56" s="115">
        <v>117200</v>
      </c>
      <c r="F56" s="115">
        <v>77300</v>
      </c>
      <c r="G56" s="115">
        <v>97600</v>
      </c>
      <c r="H56" s="115">
        <v>253200</v>
      </c>
      <c r="I56" s="115">
        <v>19600</v>
      </c>
      <c r="J56" s="115">
        <v>38400</v>
      </c>
      <c r="K56" s="238">
        <f t="shared" si="1"/>
        <v>720200</v>
      </c>
      <c r="P56" s="235">
        <f t="shared" si="2"/>
        <v>1440400</v>
      </c>
    </row>
    <row r="57" spans="3:16" x14ac:dyDescent="0.35">
      <c r="C57" s="115">
        <v>30000</v>
      </c>
      <c r="D57" s="238">
        <v>1807100</v>
      </c>
      <c r="E57" s="115">
        <v>716800</v>
      </c>
      <c r="F57" s="115">
        <v>426700</v>
      </c>
      <c r="G57" s="115">
        <v>650600</v>
      </c>
      <c r="H57" s="115">
        <v>1433200</v>
      </c>
      <c r="I57" s="115">
        <v>216800</v>
      </c>
      <c r="J57" s="115">
        <v>285500</v>
      </c>
      <c r="K57" s="238">
        <f t="shared" si="1"/>
        <v>5536700</v>
      </c>
      <c r="P57" s="235">
        <f t="shared" si="2"/>
        <v>11073400</v>
      </c>
    </row>
    <row r="58" spans="3:16" x14ac:dyDescent="0.35">
      <c r="C58" s="115">
        <v>40000</v>
      </c>
      <c r="D58" s="238">
        <v>1033300</v>
      </c>
      <c r="E58" s="115">
        <v>520500</v>
      </c>
      <c r="F58" s="115">
        <v>220500</v>
      </c>
      <c r="G58" s="115">
        <v>255000</v>
      </c>
      <c r="H58" s="115">
        <v>527500</v>
      </c>
      <c r="I58" s="115">
        <v>65500</v>
      </c>
      <c r="J58" s="115">
        <v>196500</v>
      </c>
      <c r="K58" s="238">
        <f t="shared" si="1"/>
        <v>2818800</v>
      </c>
      <c r="P58" s="235">
        <f t="shared" si="2"/>
        <v>5637600</v>
      </c>
    </row>
    <row r="59" spans="3:16" x14ac:dyDescent="0.35">
      <c r="C59" s="115">
        <v>50000</v>
      </c>
      <c r="D59" s="238">
        <v>902600</v>
      </c>
      <c r="E59" s="115">
        <v>440000</v>
      </c>
      <c r="F59" s="115">
        <v>46700</v>
      </c>
      <c r="G59" s="115">
        <v>131400</v>
      </c>
      <c r="H59" s="115">
        <v>453500</v>
      </c>
      <c r="I59" s="115">
        <v>56800</v>
      </c>
      <c r="J59" s="115">
        <v>82100</v>
      </c>
      <c r="K59" s="238">
        <f t="shared" si="1"/>
        <v>2113100</v>
      </c>
      <c r="P59" s="235">
        <f t="shared" si="2"/>
        <v>4226200</v>
      </c>
    </row>
    <row r="60" spans="3:16" x14ac:dyDescent="0.35">
      <c r="C60" s="115">
        <v>100000</v>
      </c>
      <c r="D60" s="238">
        <v>2963500</v>
      </c>
      <c r="E60" s="115">
        <v>687900</v>
      </c>
      <c r="F60" s="115">
        <v>365400</v>
      </c>
      <c r="G60" s="115">
        <v>127100</v>
      </c>
      <c r="H60" s="115">
        <v>460300</v>
      </c>
      <c r="I60" s="115">
        <v>129100</v>
      </c>
      <c r="J60" s="115">
        <v>59900</v>
      </c>
      <c r="K60" s="238">
        <f t="shared" si="1"/>
        <v>4793200</v>
      </c>
      <c r="P60" s="235">
        <f t="shared" si="2"/>
        <v>9586400</v>
      </c>
    </row>
    <row r="61" spans="3:16" x14ac:dyDescent="0.35">
      <c r="C61" s="115">
        <v>1000000000</v>
      </c>
      <c r="D61" s="239">
        <v>1987800</v>
      </c>
      <c r="E61" s="240">
        <v>502900</v>
      </c>
      <c r="F61" s="240">
        <v>110000</v>
      </c>
      <c r="G61" s="240"/>
      <c r="H61" s="240">
        <v>9949200</v>
      </c>
      <c r="I61" s="240"/>
      <c r="J61" s="240">
        <v>373900</v>
      </c>
      <c r="K61" s="238">
        <f t="shared" si="1"/>
        <v>12923800</v>
      </c>
      <c r="P61" s="235">
        <f t="shared" si="2"/>
        <v>25847600</v>
      </c>
    </row>
    <row r="62" spans="3:16" x14ac:dyDescent="0.35">
      <c r="D62" s="235">
        <f>SUM(D37:D61)</f>
        <v>28535700</v>
      </c>
      <c r="E62" s="235">
        <f t="shared" ref="E62:J62" si="3">SUM(E37:E61)</f>
        <v>18916300</v>
      </c>
      <c r="F62" s="235">
        <f t="shared" si="3"/>
        <v>6878500</v>
      </c>
      <c r="G62" s="235">
        <f t="shared" si="3"/>
        <v>8631500</v>
      </c>
      <c r="H62" s="235">
        <f t="shared" si="3"/>
        <v>32360492</v>
      </c>
      <c r="I62" s="235">
        <f t="shared" si="3"/>
        <v>5876800</v>
      </c>
      <c r="J62" s="235">
        <f t="shared" si="3"/>
        <v>7672600</v>
      </c>
      <c r="K62" s="235">
        <f t="shared" si="1"/>
        <v>108871892</v>
      </c>
    </row>
    <row r="63" spans="3:16" x14ac:dyDescent="0.35">
      <c r="C63" s="115" t="s">
        <v>291</v>
      </c>
    </row>
    <row r="64" spans="3:16" x14ac:dyDescent="0.35">
      <c r="C64" s="237" t="s">
        <v>290</v>
      </c>
      <c r="D64" s="234">
        <v>1</v>
      </c>
      <c r="E64" s="234">
        <v>2</v>
      </c>
      <c r="F64" s="234">
        <v>3</v>
      </c>
      <c r="G64" s="234">
        <v>4</v>
      </c>
      <c r="H64" s="234">
        <v>5</v>
      </c>
      <c r="I64" s="234">
        <v>6</v>
      </c>
      <c r="J64" s="234">
        <v>7</v>
      </c>
      <c r="K64" s="234" t="s">
        <v>12</v>
      </c>
    </row>
    <row r="65" spans="3:11" x14ac:dyDescent="0.35">
      <c r="C65" s="237"/>
      <c r="D65" s="242">
        <v>297</v>
      </c>
      <c r="E65" s="242">
        <v>211</v>
      </c>
      <c r="F65" s="242">
        <v>381</v>
      </c>
      <c r="G65" s="242">
        <v>285</v>
      </c>
      <c r="H65" s="242">
        <v>477</v>
      </c>
      <c r="I65" s="242">
        <v>197</v>
      </c>
      <c r="J65" s="242">
        <v>462</v>
      </c>
      <c r="K65" s="238">
        <f>SUM(D65:J65)</f>
        <v>2310</v>
      </c>
    </row>
    <row r="66" spans="3:11" x14ac:dyDescent="0.35">
      <c r="C66" s="115">
        <v>1000</v>
      </c>
      <c r="D66" s="238">
        <v>812</v>
      </c>
      <c r="E66" s="115">
        <v>466</v>
      </c>
      <c r="F66" s="115">
        <v>749</v>
      </c>
      <c r="G66" s="115">
        <v>789</v>
      </c>
      <c r="H66" s="115">
        <v>901</v>
      </c>
      <c r="I66" s="115">
        <v>471</v>
      </c>
      <c r="J66" s="115">
        <v>715</v>
      </c>
      <c r="K66" s="238">
        <f>SUM(D66:J66)</f>
        <v>4903</v>
      </c>
    </row>
    <row r="67" spans="3:11" x14ac:dyDescent="0.35">
      <c r="C67" s="115">
        <v>2000</v>
      </c>
      <c r="D67" s="238">
        <v>972</v>
      </c>
      <c r="E67" s="115">
        <v>773</v>
      </c>
      <c r="F67" s="115">
        <v>450</v>
      </c>
      <c r="G67" s="115">
        <v>618</v>
      </c>
      <c r="H67" s="115">
        <v>1005</v>
      </c>
      <c r="I67" s="115">
        <v>395</v>
      </c>
      <c r="J67" s="115">
        <v>516</v>
      </c>
      <c r="K67" s="238">
        <f t="shared" ref="K67:K91" si="4">SUM(D67:J67)</f>
        <v>4729</v>
      </c>
    </row>
    <row r="68" spans="3:11" x14ac:dyDescent="0.35">
      <c r="C68" s="115">
        <v>3000</v>
      </c>
      <c r="D68" s="238">
        <v>1227</v>
      </c>
      <c r="E68" s="115">
        <v>939</v>
      </c>
      <c r="F68" s="115">
        <v>360</v>
      </c>
      <c r="G68" s="115">
        <v>518</v>
      </c>
      <c r="H68" s="115">
        <v>1094</v>
      </c>
      <c r="I68" s="115">
        <v>337</v>
      </c>
      <c r="J68" s="115">
        <v>452</v>
      </c>
      <c r="K68" s="238">
        <f t="shared" si="4"/>
        <v>4927</v>
      </c>
    </row>
    <row r="69" spans="3:11" x14ac:dyDescent="0.35">
      <c r="C69" s="115">
        <v>4000</v>
      </c>
      <c r="D69" s="238">
        <v>834</v>
      </c>
      <c r="E69" s="115">
        <v>687</v>
      </c>
      <c r="F69" s="115">
        <v>251</v>
      </c>
      <c r="G69" s="115">
        <v>365</v>
      </c>
      <c r="H69" s="115">
        <v>843</v>
      </c>
      <c r="I69" s="115">
        <v>229</v>
      </c>
      <c r="J69" s="115">
        <v>318</v>
      </c>
      <c r="K69" s="238">
        <f t="shared" si="4"/>
        <v>3527</v>
      </c>
    </row>
    <row r="70" spans="3:11" x14ac:dyDescent="0.35">
      <c r="C70" s="115">
        <v>5000</v>
      </c>
      <c r="D70" s="238">
        <v>598</v>
      </c>
      <c r="E70" s="115">
        <v>522</v>
      </c>
      <c r="F70" s="115">
        <v>167</v>
      </c>
      <c r="G70" s="115">
        <v>194</v>
      </c>
      <c r="H70" s="115">
        <v>555</v>
      </c>
      <c r="I70" s="115">
        <v>159</v>
      </c>
      <c r="J70" s="115">
        <v>167</v>
      </c>
      <c r="K70" s="238">
        <f t="shared" si="4"/>
        <v>2362</v>
      </c>
    </row>
    <row r="71" spans="3:11" x14ac:dyDescent="0.35">
      <c r="C71" s="115">
        <v>6000</v>
      </c>
      <c r="D71" s="238">
        <v>326</v>
      </c>
      <c r="E71" s="115">
        <v>305</v>
      </c>
      <c r="F71" s="115">
        <v>93</v>
      </c>
      <c r="G71" s="115">
        <v>102</v>
      </c>
      <c r="H71" s="115">
        <v>360</v>
      </c>
      <c r="I71" s="115">
        <v>101</v>
      </c>
      <c r="J71" s="115">
        <v>107</v>
      </c>
      <c r="K71" s="238">
        <f t="shared" si="4"/>
        <v>1394</v>
      </c>
    </row>
    <row r="72" spans="3:11" x14ac:dyDescent="0.35">
      <c r="C72" s="115">
        <v>7000</v>
      </c>
      <c r="D72" s="238">
        <v>224</v>
      </c>
      <c r="E72" s="115">
        <v>199</v>
      </c>
      <c r="F72" s="115">
        <v>70</v>
      </c>
      <c r="G72" s="115">
        <v>60</v>
      </c>
      <c r="H72" s="115">
        <v>231</v>
      </c>
      <c r="I72" s="115">
        <v>58</v>
      </c>
      <c r="J72" s="115">
        <v>68</v>
      </c>
      <c r="K72" s="238">
        <f t="shared" si="4"/>
        <v>910</v>
      </c>
    </row>
    <row r="73" spans="3:11" x14ac:dyDescent="0.35">
      <c r="C73" s="115">
        <v>8000</v>
      </c>
      <c r="D73" s="238">
        <v>134</v>
      </c>
      <c r="E73" s="115">
        <v>123</v>
      </c>
      <c r="F73" s="115">
        <v>29</v>
      </c>
      <c r="G73" s="115">
        <v>36</v>
      </c>
      <c r="H73" s="115">
        <v>136</v>
      </c>
      <c r="I73" s="115">
        <v>34</v>
      </c>
      <c r="J73" s="115">
        <v>43</v>
      </c>
      <c r="K73" s="238">
        <f t="shared" si="4"/>
        <v>535</v>
      </c>
    </row>
    <row r="74" spans="3:11" x14ac:dyDescent="0.35">
      <c r="C74" s="115">
        <v>9000</v>
      </c>
      <c r="D74" s="238">
        <v>117</v>
      </c>
      <c r="E74" s="115">
        <v>82</v>
      </c>
      <c r="F74" s="115">
        <v>21</v>
      </c>
      <c r="G74" s="115">
        <v>31</v>
      </c>
      <c r="H74" s="115">
        <v>102</v>
      </c>
      <c r="I74" s="115">
        <v>33</v>
      </c>
      <c r="J74" s="115">
        <v>28</v>
      </c>
      <c r="K74" s="238">
        <f t="shared" si="4"/>
        <v>414</v>
      </c>
    </row>
    <row r="75" spans="3:11" x14ac:dyDescent="0.35">
      <c r="C75" s="115">
        <v>10000</v>
      </c>
      <c r="D75" s="238">
        <v>59</v>
      </c>
      <c r="E75" s="115">
        <v>48</v>
      </c>
      <c r="F75" s="115">
        <v>10</v>
      </c>
      <c r="G75" s="115">
        <v>21</v>
      </c>
      <c r="H75" s="115">
        <v>59</v>
      </c>
      <c r="I75" s="115">
        <v>19</v>
      </c>
      <c r="J75" s="115">
        <v>19</v>
      </c>
      <c r="K75" s="238">
        <f t="shared" si="4"/>
        <v>235</v>
      </c>
    </row>
    <row r="76" spans="3:11" x14ac:dyDescent="0.35">
      <c r="C76" s="115">
        <v>11000</v>
      </c>
      <c r="D76" s="238">
        <v>42</v>
      </c>
      <c r="E76" s="115">
        <v>36</v>
      </c>
      <c r="F76" s="115">
        <v>14</v>
      </c>
      <c r="G76" s="115">
        <v>17</v>
      </c>
      <c r="H76" s="115">
        <v>52</v>
      </c>
      <c r="I76" s="115">
        <v>14</v>
      </c>
      <c r="J76" s="115">
        <v>16</v>
      </c>
      <c r="K76" s="238">
        <f t="shared" si="4"/>
        <v>191</v>
      </c>
    </row>
    <row r="77" spans="3:11" x14ac:dyDescent="0.35">
      <c r="C77" s="115">
        <v>12000</v>
      </c>
      <c r="D77" s="238">
        <v>33</v>
      </c>
      <c r="E77" s="115">
        <v>23</v>
      </c>
      <c r="F77" s="115">
        <v>11</v>
      </c>
      <c r="G77" s="115">
        <v>16</v>
      </c>
      <c r="H77" s="115">
        <v>37</v>
      </c>
      <c r="I77" s="115">
        <v>13</v>
      </c>
      <c r="J77" s="115">
        <v>9</v>
      </c>
      <c r="K77" s="238">
        <f t="shared" si="4"/>
        <v>142</v>
      </c>
    </row>
    <row r="78" spans="3:11" x14ac:dyDescent="0.35">
      <c r="C78" s="115">
        <v>13000</v>
      </c>
      <c r="D78" s="238">
        <v>44</v>
      </c>
      <c r="E78" s="115">
        <v>30</v>
      </c>
      <c r="F78" s="115">
        <v>7</v>
      </c>
      <c r="G78" s="115">
        <v>10</v>
      </c>
      <c r="H78" s="115">
        <v>38</v>
      </c>
      <c r="I78" s="115">
        <v>5</v>
      </c>
      <c r="J78" s="115">
        <v>5</v>
      </c>
      <c r="K78" s="238">
        <f t="shared" si="4"/>
        <v>139</v>
      </c>
    </row>
    <row r="79" spans="3:11" x14ac:dyDescent="0.35">
      <c r="C79" s="115">
        <v>14000</v>
      </c>
      <c r="D79" s="238">
        <v>26</v>
      </c>
      <c r="E79" s="115">
        <v>20</v>
      </c>
      <c r="F79" s="115">
        <v>5</v>
      </c>
      <c r="G79" s="115">
        <v>6</v>
      </c>
      <c r="H79" s="115">
        <v>25</v>
      </c>
      <c r="I79" s="115">
        <v>7</v>
      </c>
      <c r="J79" s="115">
        <v>2</v>
      </c>
      <c r="K79" s="238">
        <f t="shared" si="4"/>
        <v>91</v>
      </c>
    </row>
    <row r="80" spans="3:11" x14ac:dyDescent="0.35">
      <c r="C80" s="115">
        <v>15000</v>
      </c>
      <c r="D80" s="238">
        <v>20</v>
      </c>
      <c r="E80" s="115">
        <v>11</v>
      </c>
      <c r="F80" s="115">
        <v>4</v>
      </c>
      <c r="G80" s="115">
        <v>1</v>
      </c>
      <c r="H80" s="115">
        <v>20</v>
      </c>
      <c r="I80" s="115">
        <v>2</v>
      </c>
      <c r="J80" s="115">
        <v>7</v>
      </c>
      <c r="K80" s="238">
        <f t="shared" si="4"/>
        <v>65</v>
      </c>
    </row>
    <row r="81" spans="3:11" x14ac:dyDescent="0.35">
      <c r="C81" s="115">
        <v>16000</v>
      </c>
      <c r="D81" s="238">
        <v>30</v>
      </c>
      <c r="E81" s="115">
        <v>18</v>
      </c>
      <c r="F81" s="115">
        <v>3</v>
      </c>
      <c r="G81" s="115">
        <v>4</v>
      </c>
      <c r="H81" s="115">
        <v>18</v>
      </c>
      <c r="J81" s="115">
        <v>7</v>
      </c>
      <c r="K81" s="238">
        <f t="shared" si="4"/>
        <v>80</v>
      </c>
    </row>
    <row r="82" spans="3:11" x14ac:dyDescent="0.35">
      <c r="C82" s="115">
        <v>17000</v>
      </c>
      <c r="D82" s="238">
        <v>19</v>
      </c>
      <c r="E82" s="115">
        <v>9</v>
      </c>
      <c r="F82" s="115">
        <v>2</v>
      </c>
      <c r="G82" s="115">
        <v>6</v>
      </c>
      <c r="H82" s="115">
        <v>19</v>
      </c>
      <c r="I82" s="115">
        <v>1</v>
      </c>
      <c r="J82" s="115">
        <v>6</v>
      </c>
      <c r="K82" s="238">
        <f t="shared" si="4"/>
        <v>62</v>
      </c>
    </row>
    <row r="83" spans="3:11" x14ac:dyDescent="0.35">
      <c r="C83" s="115">
        <v>18000</v>
      </c>
      <c r="D83" s="238">
        <v>12</v>
      </c>
      <c r="E83" s="115">
        <v>15</v>
      </c>
      <c r="F83" s="115">
        <v>1</v>
      </c>
      <c r="G83" s="115">
        <v>2</v>
      </c>
      <c r="H83" s="115">
        <v>6</v>
      </c>
      <c r="J83" s="115">
        <v>2</v>
      </c>
      <c r="K83" s="238">
        <f t="shared" si="4"/>
        <v>38</v>
      </c>
    </row>
    <row r="84" spans="3:11" x14ac:dyDescent="0.35">
      <c r="C84" s="115">
        <v>19000</v>
      </c>
      <c r="D84" s="238">
        <v>9</v>
      </c>
      <c r="E84" s="115">
        <v>4</v>
      </c>
      <c r="F84" s="115">
        <v>4</v>
      </c>
      <c r="G84" s="115">
        <v>6</v>
      </c>
      <c r="H84" s="115">
        <v>14</v>
      </c>
      <c r="I84" s="115">
        <v>1</v>
      </c>
      <c r="J84" s="115">
        <v>1</v>
      </c>
      <c r="K84" s="238">
        <f t="shared" si="4"/>
        <v>39</v>
      </c>
    </row>
    <row r="85" spans="3:11" x14ac:dyDescent="0.35">
      <c r="C85" s="115">
        <v>20000</v>
      </c>
      <c r="D85" s="238">
        <v>6</v>
      </c>
      <c r="E85" s="115">
        <v>6</v>
      </c>
      <c r="F85" s="115">
        <v>17</v>
      </c>
      <c r="G85" s="115">
        <v>5</v>
      </c>
      <c r="H85" s="115">
        <v>13</v>
      </c>
      <c r="I85" s="115">
        <v>1</v>
      </c>
      <c r="J85" s="115">
        <v>2</v>
      </c>
      <c r="K85" s="238">
        <f t="shared" si="4"/>
        <v>50</v>
      </c>
    </row>
    <row r="86" spans="3:11" x14ac:dyDescent="0.35">
      <c r="C86" s="115">
        <v>30000</v>
      </c>
      <c r="D86" s="238">
        <v>74</v>
      </c>
      <c r="E86" s="115">
        <v>30</v>
      </c>
      <c r="F86" s="115">
        <v>6</v>
      </c>
      <c r="G86" s="115">
        <v>27</v>
      </c>
      <c r="H86" s="115">
        <v>59</v>
      </c>
      <c r="I86" s="115">
        <v>9</v>
      </c>
      <c r="J86" s="115">
        <v>12</v>
      </c>
      <c r="K86" s="238">
        <f t="shared" si="4"/>
        <v>217</v>
      </c>
    </row>
    <row r="87" spans="3:11" x14ac:dyDescent="0.35">
      <c r="C87" s="115">
        <v>40000</v>
      </c>
      <c r="D87" s="238">
        <v>30</v>
      </c>
      <c r="E87" s="115">
        <v>15</v>
      </c>
      <c r="F87" s="115">
        <v>1</v>
      </c>
      <c r="G87" s="115">
        <v>7</v>
      </c>
      <c r="H87" s="115">
        <v>15</v>
      </c>
      <c r="I87" s="115">
        <v>2</v>
      </c>
      <c r="J87" s="115">
        <v>6</v>
      </c>
      <c r="K87" s="238">
        <f t="shared" si="4"/>
        <v>76</v>
      </c>
    </row>
    <row r="88" spans="3:11" x14ac:dyDescent="0.35">
      <c r="C88" s="115">
        <v>50000</v>
      </c>
      <c r="D88" s="238">
        <v>20</v>
      </c>
      <c r="E88" s="115">
        <v>10</v>
      </c>
      <c r="F88" s="115">
        <v>6</v>
      </c>
      <c r="G88" s="115">
        <v>3</v>
      </c>
      <c r="H88" s="115">
        <v>10</v>
      </c>
      <c r="J88" s="115">
        <v>2</v>
      </c>
      <c r="K88" s="238">
        <f t="shared" si="4"/>
        <v>51</v>
      </c>
    </row>
    <row r="89" spans="3:11" x14ac:dyDescent="0.35">
      <c r="C89" s="115">
        <v>100000</v>
      </c>
      <c r="D89" s="238">
        <v>45</v>
      </c>
      <c r="E89" s="115">
        <v>10</v>
      </c>
      <c r="F89" s="115">
        <v>1</v>
      </c>
      <c r="G89" s="115">
        <v>2</v>
      </c>
      <c r="H89" s="115">
        <v>7</v>
      </c>
      <c r="I89" s="115">
        <v>1</v>
      </c>
      <c r="J89" s="115">
        <v>1</v>
      </c>
      <c r="K89" s="238">
        <f t="shared" si="4"/>
        <v>67</v>
      </c>
    </row>
    <row r="90" spans="3:11" x14ac:dyDescent="0.35">
      <c r="C90" s="115">
        <v>1000000000</v>
      </c>
      <c r="D90" s="239">
        <v>11</v>
      </c>
      <c r="E90" s="240">
        <v>3</v>
      </c>
      <c r="F90" s="240"/>
      <c r="G90" s="240"/>
      <c r="H90" s="240">
        <v>13</v>
      </c>
      <c r="I90" s="243">
        <v>1</v>
      </c>
      <c r="J90" s="240">
        <v>2</v>
      </c>
      <c r="K90" s="239">
        <f t="shared" si="4"/>
        <v>30</v>
      </c>
    </row>
    <row r="91" spans="3:11" x14ac:dyDescent="0.35">
      <c r="D91" s="235">
        <f>SUM(D65:D90)</f>
        <v>6021</v>
      </c>
      <c r="E91" s="235">
        <f t="shared" ref="E91:J91" si="5">SUM(E65:E90)</f>
        <v>4595</v>
      </c>
      <c r="F91" s="235">
        <f t="shared" si="5"/>
        <v>2663</v>
      </c>
      <c r="G91" s="235">
        <f t="shared" si="5"/>
        <v>3131</v>
      </c>
      <c r="H91" s="235">
        <f t="shared" si="5"/>
        <v>6109</v>
      </c>
      <c r="I91" s="235">
        <f t="shared" si="5"/>
        <v>2090</v>
      </c>
      <c r="J91" s="235">
        <f t="shared" si="5"/>
        <v>2975</v>
      </c>
      <c r="K91" s="235">
        <f t="shared" si="4"/>
        <v>27584</v>
      </c>
    </row>
    <row r="93" spans="3:11" x14ac:dyDescent="0.35">
      <c r="D93" s="234">
        <v>1</v>
      </c>
      <c r="E93" s="234">
        <v>2</v>
      </c>
      <c r="F93" s="234">
        <v>3</v>
      </c>
      <c r="G93" s="234">
        <v>4</v>
      </c>
      <c r="H93" s="234">
        <v>5</v>
      </c>
      <c r="I93" s="234">
        <v>6</v>
      </c>
      <c r="J93" s="234">
        <v>7</v>
      </c>
      <c r="K93" s="234" t="s">
        <v>12</v>
      </c>
    </row>
    <row r="94" spans="3:11" x14ac:dyDescent="0.35">
      <c r="D94" s="115">
        <v>393178.14</v>
      </c>
      <c r="E94" s="115">
        <v>268316.24</v>
      </c>
      <c r="F94" s="115">
        <v>123236.5</v>
      </c>
      <c r="G94" s="115">
        <v>146860.13</v>
      </c>
      <c r="H94" s="115">
        <v>433022.32</v>
      </c>
      <c r="I94" s="115">
        <f>98302.36+267202.6</f>
        <v>365504.95999999996</v>
      </c>
      <c r="J94" s="115">
        <v>136579.10999999999</v>
      </c>
      <c r="K94" s="241">
        <f>SUM(D94:J94)</f>
        <v>1866697.4</v>
      </c>
    </row>
  </sheetData>
  <mergeCells count="3">
    <mergeCell ref="A1:G1"/>
    <mergeCell ref="A2:G2"/>
    <mergeCell ref="C4:F4"/>
  </mergeCells>
  <phoneticPr fontId="33" type="noConversion"/>
  <pageMargins left="0.7" right="0.7" top="0.75" bottom="0.75" header="0.3" footer="0.3"/>
  <pageSetup scale="88" orientation="landscape" horizontalDpi="4294967293" verticalDpi="0" r:id="rId1"/>
  <ignoredErrors>
    <ignoredError sqref="P58:P61 P45:P57 P41:P44 K37:K62 D62 E62:J62 D91 E91:J91 K66:K90"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B1388-AB01-4CAE-A21B-D2708C228A39}">
  <sheetPr>
    <tabColor rgb="FF92D050"/>
    <pageSetUpPr fitToPage="1"/>
  </sheetPr>
  <dimension ref="A1:L32"/>
  <sheetViews>
    <sheetView showGridLines="0" workbookViewId="0">
      <selection activeCell="A6" sqref="A6"/>
    </sheetView>
  </sheetViews>
  <sheetFormatPr defaultColWidth="8.84375" defaultRowHeight="15.5" x14ac:dyDescent="0.35"/>
  <cols>
    <col min="1" max="1" width="7.765625" style="115" customWidth="1"/>
    <col min="2" max="2" width="8.23046875" style="115" customWidth="1"/>
    <col min="3" max="3" width="31.61328125" style="115" customWidth="1"/>
    <col min="4" max="5" width="10.4609375" style="115" customWidth="1"/>
    <col min="6" max="6" width="11.4609375" style="115" bestFit="1" customWidth="1"/>
    <col min="7" max="11" width="10.4609375" style="115" customWidth="1"/>
    <col min="12" max="12" width="13.07421875" style="115" customWidth="1"/>
    <col min="13" max="16384" width="8.84375" style="115"/>
  </cols>
  <sheetData>
    <row r="1" spans="1:12" ht="21" x14ac:dyDescent="0.5">
      <c r="A1" s="446" t="s">
        <v>303</v>
      </c>
      <c r="B1" s="446"/>
      <c r="C1" s="446"/>
      <c r="D1" s="446"/>
      <c r="E1" s="446"/>
      <c r="F1" s="446"/>
      <c r="G1" s="446"/>
    </row>
    <row r="2" spans="1:12" ht="18.5" x14ac:dyDescent="0.35">
      <c r="A2" s="421" t="s">
        <v>232</v>
      </c>
      <c r="B2" s="421"/>
      <c r="C2" s="421"/>
      <c r="D2" s="421"/>
      <c r="E2" s="421"/>
      <c r="F2" s="421"/>
      <c r="G2" s="421"/>
    </row>
    <row r="3" spans="1:12" x14ac:dyDescent="0.35">
      <c r="A3" s="24"/>
      <c r="B3" s="25"/>
      <c r="C3" s="25"/>
      <c r="D3" s="25"/>
      <c r="E3" s="25"/>
      <c r="F3" s="25"/>
      <c r="G3" s="25"/>
    </row>
    <row r="4" spans="1:12" x14ac:dyDescent="0.35">
      <c r="A4" s="1"/>
      <c r="C4" s="447" t="s">
        <v>47</v>
      </c>
      <c r="D4" s="447"/>
      <c r="E4" s="447"/>
      <c r="F4" s="447"/>
      <c r="G4" s="1"/>
    </row>
    <row r="5" spans="1:12" x14ac:dyDescent="0.35">
      <c r="A5" s="1"/>
      <c r="B5" s="1"/>
      <c r="C5" s="125" t="s">
        <v>176</v>
      </c>
      <c r="D5" s="126" t="s">
        <v>51</v>
      </c>
      <c r="E5" s="126" t="s">
        <v>52</v>
      </c>
      <c r="F5" s="21" t="s">
        <v>55</v>
      </c>
      <c r="G5" s="21"/>
      <c r="H5" s="120"/>
    </row>
    <row r="6" spans="1:12" x14ac:dyDescent="0.35">
      <c r="A6" s="1"/>
      <c r="B6" s="1"/>
      <c r="C6" s="1" t="s">
        <v>145</v>
      </c>
      <c r="D6" s="2">
        <f>C20</f>
        <v>27584</v>
      </c>
      <c r="E6" s="127">
        <f>H20</f>
        <v>108871892</v>
      </c>
      <c r="F6" s="128">
        <f>F27</f>
        <v>1742070.298</v>
      </c>
      <c r="G6" s="129"/>
      <c r="H6" s="130"/>
      <c r="I6" s="131"/>
      <c r="J6" s="116"/>
      <c r="K6" s="116"/>
      <c r="L6" s="116"/>
    </row>
    <row r="7" spans="1:12" ht="16" x14ac:dyDescent="0.5">
      <c r="A7" s="1"/>
      <c r="B7" s="1"/>
      <c r="C7" s="125" t="s">
        <v>146</v>
      </c>
      <c r="D7" s="145">
        <f>C32</f>
        <v>12</v>
      </c>
      <c r="E7" s="145">
        <f>D32</f>
        <v>56135000</v>
      </c>
      <c r="F7" s="146">
        <f>F32</f>
        <v>290779.3</v>
      </c>
      <c r="G7" s="1"/>
      <c r="J7" s="116"/>
      <c r="K7" s="116"/>
      <c r="L7" s="117"/>
    </row>
    <row r="8" spans="1:12" ht="15.75" customHeight="1" x14ac:dyDescent="0.35">
      <c r="A8" s="1"/>
      <c r="B8" s="1"/>
      <c r="C8" s="125" t="s">
        <v>177</v>
      </c>
      <c r="D8" s="127">
        <f>SUM(D6:D7)</f>
        <v>27596</v>
      </c>
      <c r="E8" s="127">
        <f>SUM(E6:E7)</f>
        <v>165006892</v>
      </c>
      <c r="F8" s="132">
        <f>SUM(F6:F7)</f>
        <v>2032849.598</v>
      </c>
      <c r="G8" s="1"/>
      <c r="J8" s="116"/>
      <c r="K8" s="116"/>
      <c r="L8" s="116"/>
    </row>
    <row r="9" spans="1:12" ht="15.75" customHeight="1" x14ac:dyDescent="0.5">
      <c r="A9" s="1"/>
      <c r="B9" s="1"/>
      <c r="C9" s="125" t="s">
        <v>233</v>
      </c>
      <c r="D9" s="127"/>
      <c r="E9" s="127"/>
      <c r="F9" s="147">
        <f>ExBA!F9</f>
        <v>-39379.380000000005</v>
      </c>
      <c r="H9" s="21"/>
      <c r="J9" s="116"/>
      <c r="K9" s="116"/>
      <c r="L9" s="116"/>
    </row>
    <row r="10" spans="1:12" ht="15.75" customHeight="1" x14ac:dyDescent="0.5">
      <c r="A10" s="1"/>
      <c r="B10" s="1"/>
      <c r="C10" s="125" t="s">
        <v>234</v>
      </c>
      <c r="E10" s="127"/>
      <c r="F10" s="145">
        <f>F8+F9</f>
        <v>1993470.2179999999</v>
      </c>
      <c r="G10" s="378"/>
      <c r="H10" s="119"/>
      <c r="I10" s="119"/>
      <c r="J10" s="379"/>
      <c r="K10" s="380"/>
      <c r="L10" s="116"/>
    </row>
    <row r="11" spans="1:12" ht="15.75" customHeight="1" x14ac:dyDescent="0.35">
      <c r="A11" s="1"/>
      <c r="B11" s="1"/>
      <c r="C11" s="125"/>
      <c r="D11" s="127"/>
      <c r="E11" s="127"/>
      <c r="F11" s="132"/>
      <c r="G11" s="1"/>
      <c r="J11" s="116"/>
      <c r="K11" s="116"/>
      <c r="L11" s="116"/>
    </row>
    <row r="12" spans="1:12" x14ac:dyDescent="0.35">
      <c r="A12" s="1"/>
      <c r="B12" s="1"/>
      <c r="C12" s="133"/>
      <c r="D12" s="127"/>
      <c r="E12" s="127"/>
      <c r="F12" s="132"/>
      <c r="G12" s="1"/>
    </row>
    <row r="13" spans="1:12" x14ac:dyDescent="0.35">
      <c r="A13" s="1"/>
      <c r="B13" s="1"/>
      <c r="C13" s="19"/>
      <c r="D13" s="128"/>
      <c r="E13" s="1"/>
      <c r="F13" s="1"/>
      <c r="G13" s="1"/>
    </row>
    <row r="14" spans="1:12" x14ac:dyDescent="0.35">
      <c r="A14" s="118" t="s">
        <v>147</v>
      </c>
      <c r="B14" s="1"/>
      <c r="C14" s="1"/>
      <c r="D14" s="1"/>
      <c r="E14" s="1"/>
      <c r="F14" s="1"/>
      <c r="G14" s="1"/>
    </row>
    <row r="15" spans="1:12" x14ac:dyDescent="0.35">
      <c r="A15" s="1"/>
      <c r="B15" s="1"/>
      <c r="C15" s="1"/>
      <c r="D15" s="21" t="s">
        <v>148</v>
      </c>
      <c r="E15" s="21" t="s">
        <v>48</v>
      </c>
      <c r="F15" s="21" t="s">
        <v>149</v>
      </c>
      <c r="G15" s="21" t="s">
        <v>49</v>
      </c>
      <c r="H15" s="1"/>
    </row>
    <row r="16" spans="1:12" x14ac:dyDescent="0.35">
      <c r="A16" s="1"/>
      <c r="B16" s="21" t="s">
        <v>50</v>
      </c>
      <c r="C16" s="126" t="s">
        <v>51</v>
      </c>
      <c r="D16" s="134" t="s">
        <v>52</v>
      </c>
      <c r="E16" s="126">
        <f>B17</f>
        <v>2000</v>
      </c>
      <c r="F16" s="126">
        <f>B18</f>
        <v>18000</v>
      </c>
      <c r="G16" s="126">
        <f>B19</f>
        <v>20000</v>
      </c>
      <c r="H16" s="21" t="s">
        <v>53</v>
      </c>
    </row>
    <row r="17" spans="1:8" x14ac:dyDescent="0.35">
      <c r="A17" s="22" t="s">
        <v>48</v>
      </c>
      <c r="B17" s="135">
        <v>2000</v>
      </c>
      <c r="C17" s="23">
        <f>ExBA!C17</f>
        <v>11942</v>
      </c>
      <c r="D17" s="23">
        <f>ExBA!D17</f>
        <v>9878392</v>
      </c>
      <c r="E17" s="23">
        <f>D17</f>
        <v>9878392</v>
      </c>
      <c r="F17" s="23">
        <v>0</v>
      </c>
      <c r="G17" s="23">
        <v>0</v>
      </c>
      <c r="H17" s="23">
        <f>SUM(E17:G17)</f>
        <v>9878392</v>
      </c>
    </row>
    <row r="18" spans="1:8" x14ac:dyDescent="0.35">
      <c r="A18" s="22" t="s">
        <v>149</v>
      </c>
      <c r="B18" s="136">
        <v>18000</v>
      </c>
      <c r="C18" s="23">
        <f>ExBA!C18</f>
        <v>15151</v>
      </c>
      <c r="D18" s="23">
        <f>ExBA!D18</f>
        <v>70087700</v>
      </c>
      <c r="E18" s="23">
        <f>C18*2000</f>
        <v>30302000</v>
      </c>
      <c r="F18" s="23">
        <f>D18-E18</f>
        <v>39785700</v>
      </c>
      <c r="G18" s="23">
        <v>0</v>
      </c>
      <c r="H18" s="23">
        <f>SUM(E18:G18)</f>
        <v>70087700</v>
      </c>
    </row>
    <row r="19" spans="1:8" x14ac:dyDescent="0.35">
      <c r="A19" s="22" t="s">
        <v>49</v>
      </c>
      <c r="B19" s="136">
        <v>20000</v>
      </c>
      <c r="C19" s="23">
        <f>ExBA!C19</f>
        <v>491</v>
      </c>
      <c r="D19" s="23">
        <f>ExBA!D19</f>
        <v>28905800</v>
      </c>
      <c r="E19" s="23">
        <f>C19*2000</f>
        <v>982000</v>
      </c>
      <c r="F19" s="23">
        <f>C19*18000</f>
        <v>8838000</v>
      </c>
      <c r="G19" s="23">
        <f>D19-E19-F19</f>
        <v>19085800</v>
      </c>
      <c r="H19" s="23">
        <f>SUM(E19:G19)</f>
        <v>28905800</v>
      </c>
    </row>
    <row r="20" spans="1:8" x14ac:dyDescent="0.35">
      <c r="A20" s="22"/>
      <c r="B20" s="136"/>
      <c r="C20" s="23">
        <f t="shared" ref="C20:H20" si="0">SUM(C17:C19)</f>
        <v>27584</v>
      </c>
      <c r="D20" s="23">
        <f t="shared" si="0"/>
        <v>108871892</v>
      </c>
      <c r="E20" s="23">
        <f t="shared" si="0"/>
        <v>41162392</v>
      </c>
      <c r="F20" s="23">
        <f t="shared" si="0"/>
        <v>48623700</v>
      </c>
      <c r="G20" s="23">
        <f t="shared" si="0"/>
        <v>19085800</v>
      </c>
      <c r="H20" s="23">
        <f t="shared" si="0"/>
        <v>108871892</v>
      </c>
    </row>
    <row r="21" spans="1:8" x14ac:dyDescent="0.35">
      <c r="A21" s="22"/>
      <c r="B21" s="136"/>
      <c r="C21" s="1"/>
      <c r="D21" s="136"/>
      <c r="E21" s="136"/>
      <c r="F21" s="136"/>
      <c r="G21" s="136"/>
    </row>
    <row r="22" spans="1:8" x14ac:dyDescent="0.35">
      <c r="A22" s="137" t="s">
        <v>150</v>
      </c>
      <c r="B22" s="137"/>
      <c r="C22" s="1"/>
      <c r="D22" s="136"/>
      <c r="E22" s="136"/>
      <c r="F22" s="136"/>
      <c r="G22" s="136"/>
    </row>
    <row r="23" spans="1:8" ht="29" x14ac:dyDescent="0.35">
      <c r="A23" s="22"/>
      <c r="B23" s="1"/>
      <c r="C23" s="126" t="s">
        <v>51</v>
      </c>
      <c r="D23" s="138" t="s">
        <v>151</v>
      </c>
      <c r="E23" s="138" t="s">
        <v>54</v>
      </c>
      <c r="F23" s="138" t="s">
        <v>55</v>
      </c>
      <c r="G23" s="1"/>
    </row>
    <row r="24" spans="1:8" x14ac:dyDescent="0.35">
      <c r="A24" s="22" t="s">
        <v>48</v>
      </c>
      <c r="B24" s="136">
        <v>2000</v>
      </c>
      <c r="C24" s="140">
        <f>C20</f>
        <v>27584</v>
      </c>
      <c r="D24" s="23">
        <f>E20</f>
        <v>41162392</v>
      </c>
      <c r="E24" s="37">
        <f>Rates!E11</f>
        <v>33.08</v>
      </c>
      <c r="F24" s="37">
        <f>C24*E24</f>
        <v>912478.71999999997</v>
      </c>
      <c r="G24" s="1"/>
    </row>
    <row r="25" spans="1:8" x14ac:dyDescent="0.35">
      <c r="A25" s="22" t="s">
        <v>149</v>
      </c>
      <c r="B25" s="136">
        <v>18000</v>
      </c>
      <c r="C25" s="140"/>
      <c r="D25" s="23">
        <f>F20</f>
        <v>48623700</v>
      </c>
      <c r="E25" s="37">
        <f>Rates!E12</f>
        <v>12.94</v>
      </c>
      <c r="F25" s="37">
        <f>(D25/1000)*E25</f>
        <v>629190.67799999996</v>
      </c>
      <c r="G25" s="1"/>
    </row>
    <row r="26" spans="1:8" x14ac:dyDescent="0.35">
      <c r="A26" s="22" t="s">
        <v>49</v>
      </c>
      <c r="B26" s="136">
        <v>20000</v>
      </c>
      <c r="C26" s="247"/>
      <c r="D26" s="40">
        <f>G20</f>
        <v>19085800</v>
      </c>
      <c r="E26" s="245">
        <f>Rates!E13</f>
        <v>10.5</v>
      </c>
      <c r="F26" s="245">
        <f>(D26/1000)*E26</f>
        <v>200400.9</v>
      </c>
      <c r="G26" s="1"/>
    </row>
    <row r="27" spans="1:8" x14ac:dyDescent="0.35">
      <c r="A27" s="22"/>
      <c r="B27" s="139" t="s">
        <v>53</v>
      </c>
      <c r="C27" s="23">
        <f>SUM(C24:C26)</f>
        <v>27584</v>
      </c>
      <c r="D27" s="23">
        <f>SUM(D24:D26)</f>
        <v>108871892</v>
      </c>
      <c r="E27" s="23"/>
      <c r="F27" s="142">
        <f>SUM(F24:F26)</f>
        <v>1742070.298</v>
      </c>
      <c r="G27" s="1"/>
    </row>
    <row r="28" spans="1:8" x14ac:dyDescent="0.35">
      <c r="A28" s="1"/>
      <c r="B28" s="1"/>
      <c r="C28" s="1"/>
      <c r="D28" s="1"/>
      <c r="E28" s="1"/>
      <c r="F28" s="1"/>
      <c r="G28" s="1"/>
    </row>
    <row r="29" spans="1:8" x14ac:dyDescent="0.35">
      <c r="A29" s="118" t="s">
        <v>82</v>
      </c>
      <c r="B29" s="1"/>
      <c r="C29" s="1"/>
      <c r="D29" s="1"/>
      <c r="E29" s="1"/>
      <c r="F29" s="1"/>
      <c r="G29" s="1"/>
    </row>
    <row r="30" spans="1:8" x14ac:dyDescent="0.35">
      <c r="A30" s="1"/>
      <c r="B30" s="1"/>
      <c r="C30" s="1"/>
      <c r="D30" s="1"/>
      <c r="E30" s="1"/>
      <c r="F30" s="1"/>
      <c r="G30" s="1"/>
    </row>
    <row r="31" spans="1:8" ht="29" x14ac:dyDescent="0.35">
      <c r="A31" s="1"/>
      <c r="B31" s="1"/>
      <c r="C31" s="21" t="s">
        <v>51</v>
      </c>
      <c r="D31" s="138" t="s">
        <v>151</v>
      </c>
      <c r="E31" s="126" t="s">
        <v>54</v>
      </c>
      <c r="F31" s="126" t="s">
        <v>55</v>
      </c>
      <c r="G31" s="1"/>
      <c r="H31" s="1"/>
    </row>
    <row r="32" spans="1:8" s="119" customFormat="1" ht="14.5" x14ac:dyDescent="0.35">
      <c r="A32" s="119" t="s">
        <v>152</v>
      </c>
      <c r="C32" s="143">
        <f>ExBA!C32</f>
        <v>12</v>
      </c>
      <c r="D32" s="143">
        <f>ExBA!D32</f>
        <v>56135000</v>
      </c>
      <c r="E32" s="144">
        <f>Rates!E18</f>
        <v>5.18</v>
      </c>
      <c r="F32" s="144">
        <f>(D32/1000)*E32</f>
        <v>290779.3</v>
      </c>
    </row>
  </sheetData>
  <mergeCells count="3">
    <mergeCell ref="A1:G1"/>
    <mergeCell ref="A2:G2"/>
    <mergeCell ref="C4:F4"/>
  </mergeCells>
  <pageMargins left="0.7" right="0.7" top="0.75" bottom="0.75" header="0.3" footer="0.3"/>
  <pageSetup scale="81" orientation="landscape"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4:I48"/>
  <sheetViews>
    <sheetView topLeftCell="A6" workbookViewId="0">
      <selection activeCell="J29" sqref="J29"/>
    </sheetView>
  </sheetViews>
  <sheetFormatPr defaultColWidth="8.84375" defaultRowHeight="14.5" x14ac:dyDescent="0.35"/>
  <cols>
    <col min="1" max="1" width="8.84375" style="1"/>
    <col min="2" max="2" width="5.84375" style="1" customWidth="1"/>
    <col min="3" max="3" width="13.69140625" style="1" customWidth="1"/>
    <col min="4" max="4" width="8.4609375" style="1" customWidth="1"/>
    <col min="5" max="5" width="9.69140625" style="1" customWidth="1"/>
    <col min="6" max="6" width="0" style="1" hidden="1" customWidth="1"/>
    <col min="7" max="7" width="9.69140625" style="1" customWidth="1"/>
    <col min="8" max="8" width="10.4609375" style="1" customWidth="1"/>
    <col min="9" max="9" width="2.765625" style="1" customWidth="1"/>
    <col min="10" max="16384" width="8.84375" style="1"/>
  </cols>
  <sheetData>
    <row r="4" spans="2:9" ht="15" customHeight="1" x14ac:dyDescent="0.35">
      <c r="B4" s="450" t="s">
        <v>59</v>
      </c>
      <c r="C4" s="450"/>
      <c r="D4" s="450"/>
      <c r="E4" s="450"/>
      <c r="F4" s="450"/>
      <c r="G4" s="450"/>
      <c r="H4" s="450"/>
      <c r="I4" s="27"/>
    </row>
    <row r="5" spans="2:9" ht="15" customHeight="1" x14ac:dyDescent="0.35">
      <c r="B5" s="451" t="str">
        <f>SAO!A2</f>
        <v>Lake Village Water Association</v>
      </c>
      <c r="C5" s="451"/>
      <c r="D5" s="451"/>
      <c r="E5" s="451"/>
      <c r="F5" s="451"/>
      <c r="G5" s="451"/>
      <c r="H5" s="451"/>
      <c r="I5" s="27"/>
    </row>
    <row r="6" spans="2:9" ht="15" customHeight="1" x14ac:dyDescent="0.35">
      <c r="B6" s="449" t="s">
        <v>87</v>
      </c>
      <c r="C6" s="449"/>
      <c r="D6" s="449"/>
      <c r="E6" s="449"/>
      <c r="F6" s="449"/>
      <c r="G6" s="449"/>
      <c r="H6" s="449"/>
      <c r="I6" s="61"/>
    </row>
    <row r="7" spans="2:9" ht="15" customHeight="1" x14ac:dyDescent="0.35">
      <c r="B7" s="27"/>
      <c r="C7" s="27"/>
      <c r="D7" s="27"/>
      <c r="E7" s="27"/>
      <c r="F7" s="27"/>
      <c r="G7" s="62" t="s">
        <v>60</v>
      </c>
      <c r="H7" s="62" t="s">
        <v>10</v>
      </c>
      <c r="I7" s="27"/>
    </row>
    <row r="8" spans="2:9" ht="15" customHeight="1" x14ac:dyDescent="0.5">
      <c r="B8" s="43" t="s">
        <v>26</v>
      </c>
      <c r="D8" s="30" t="s">
        <v>58</v>
      </c>
      <c r="E8" s="30" t="s">
        <v>9</v>
      </c>
      <c r="F8" s="30"/>
      <c r="G8" s="30" t="s">
        <v>56</v>
      </c>
      <c r="H8" s="30" t="s">
        <v>56</v>
      </c>
      <c r="I8" s="30"/>
    </row>
    <row r="9" spans="2:9" ht="15" customHeight="1" x14ac:dyDescent="0.35">
      <c r="B9" s="448" t="str">
        <f>Rates!C11</f>
        <v>First 2,000 Gallons</v>
      </c>
      <c r="C9" s="448"/>
      <c r="D9" s="64">
        <f>Rates!D11</f>
        <v>30.37</v>
      </c>
      <c r="E9" s="64">
        <f>Rates!E11</f>
        <v>33.08</v>
      </c>
      <c r="F9" s="64" t="e">
        <f>#REF!*(1+#REF!)</f>
        <v>#REF!</v>
      </c>
      <c r="G9" s="64">
        <f>Rates!H11</f>
        <v>2.7099999999999973</v>
      </c>
      <c r="H9" s="63">
        <f>G9/D9</f>
        <v>8.9232795521896516E-2</v>
      </c>
      <c r="I9" s="37"/>
    </row>
    <row r="10" spans="2:9" ht="15" customHeight="1" x14ac:dyDescent="0.35">
      <c r="B10" s="448" t="str">
        <f>Rates!C12</f>
        <v>Next 18,000 Gallons</v>
      </c>
      <c r="C10" s="448"/>
      <c r="D10" s="64">
        <f>Rates!D12</f>
        <v>11.88</v>
      </c>
      <c r="E10" s="64">
        <f>Rates!E12</f>
        <v>12.94</v>
      </c>
      <c r="F10" s="66" t="e">
        <f>#REF!*(1+#REF!)</f>
        <v>#REF!</v>
      </c>
      <c r="G10" s="64">
        <f>Rates!H12</f>
        <v>1.0599999999999987</v>
      </c>
      <c r="H10" s="63">
        <f t="shared" ref="H10:H11" si="0">G10/D10</f>
        <v>8.9225589225589111E-2</v>
      </c>
      <c r="I10" s="27"/>
    </row>
    <row r="11" spans="2:9" ht="15" customHeight="1" x14ac:dyDescent="0.5">
      <c r="B11" s="448" t="str">
        <f>Rates!C13</f>
        <v>Over 20,000 Gallons</v>
      </c>
      <c r="C11" s="448"/>
      <c r="D11" s="64">
        <f>Rates!D13</f>
        <v>9.64</v>
      </c>
      <c r="E11" s="64">
        <f>Rates!E13</f>
        <v>10.5</v>
      </c>
      <c r="F11" s="30"/>
      <c r="G11" s="64">
        <f>Rates!H13</f>
        <v>0.85999999999999943</v>
      </c>
      <c r="H11" s="63">
        <f t="shared" si="0"/>
        <v>8.9211618257261344E-2</v>
      </c>
      <c r="I11" s="30"/>
    </row>
    <row r="12" spans="2:9" ht="15" customHeight="1" x14ac:dyDescent="0.35">
      <c r="B12" s="17"/>
      <c r="C12" s="28"/>
      <c r="D12" s="64"/>
      <c r="E12" s="64"/>
      <c r="F12" s="64"/>
      <c r="G12" s="64"/>
      <c r="H12" s="63"/>
      <c r="I12" s="37"/>
    </row>
    <row r="13" spans="2:9" ht="15" customHeight="1" x14ac:dyDescent="0.35">
      <c r="B13" s="17"/>
      <c r="C13" s="28"/>
      <c r="D13" s="65"/>
      <c r="E13" s="66"/>
      <c r="F13" s="66"/>
      <c r="G13" s="66"/>
      <c r="H13" s="63"/>
      <c r="I13" s="27"/>
    </row>
    <row r="14" spans="2:9" ht="15" customHeight="1" x14ac:dyDescent="0.35">
      <c r="B14" s="17"/>
      <c r="C14" s="28"/>
      <c r="D14" s="65"/>
      <c r="E14" s="66"/>
      <c r="F14" s="66"/>
      <c r="G14" s="66"/>
      <c r="H14" s="63"/>
      <c r="I14" s="27"/>
    </row>
    <row r="15" spans="2:9" ht="15" customHeight="1" x14ac:dyDescent="0.35">
      <c r="B15" s="17"/>
      <c r="C15" s="28"/>
      <c r="D15" s="65"/>
      <c r="E15" s="66"/>
      <c r="F15" s="66"/>
      <c r="G15" s="66"/>
      <c r="H15" s="63"/>
      <c r="I15" s="27"/>
    </row>
    <row r="16" spans="2:9" ht="15" customHeight="1" x14ac:dyDescent="0.35">
      <c r="B16" s="17"/>
      <c r="C16" s="28"/>
      <c r="D16" s="65"/>
      <c r="E16" s="66"/>
      <c r="F16" s="66"/>
      <c r="G16" s="66"/>
      <c r="H16" s="63"/>
      <c r="I16" s="27"/>
    </row>
    <row r="17" spans="2:9" ht="15" customHeight="1" x14ac:dyDescent="0.35">
      <c r="B17" s="17"/>
      <c r="C17" s="28"/>
      <c r="D17" s="65"/>
      <c r="E17" s="66"/>
      <c r="F17" s="66"/>
      <c r="G17" s="66"/>
      <c r="H17" s="63"/>
      <c r="I17" s="27"/>
    </row>
    <row r="18" spans="2:9" ht="15" customHeight="1" x14ac:dyDescent="0.35">
      <c r="B18" s="17"/>
      <c r="C18" s="28"/>
      <c r="D18" s="65"/>
      <c r="E18" s="66"/>
      <c r="F18" s="66"/>
      <c r="G18" s="66"/>
      <c r="H18" s="63"/>
      <c r="I18" s="27"/>
    </row>
    <row r="19" spans="2:9" ht="15" customHeight="1" x14ac:dyDescent="0.35">
      <c r="B19" s="17"/>
      <c r="C19" s="28"/>
      <c r="D19" s="65"/>
      <c r="E19" s="66"/>
      <c r="F19" s="66"/>
      <c r="G19" s="66"/>
      <c r="H19" s="63"/>
      <c r="I19" s="27"/>
    </row>
    <row r="20" spans="2:9" ht="15" customHeight="1" x14ac:dyDescent="0.35"/>
    <row r="21" spans="2:9" ht="15" customHeight="1" x14ac:dyDescent="0.35"/>
    <row r="22" spans="2:9" ht="15" customHeight="1" x14ac:dyDescent="0.35"/>
    <row r="23" spans="2:9" ht="15" customHeight="1" x14ac:dyDescent="0.35"/>
    <row r="24" spans="2:9" ht="15" customHeight="1" x14ac:dyDescent="0.35"/>
    <row r="25" spans="2:9" ht="15" customHeight="1" x14ac:dyDescent="0.35"/>
    <row r="26" spans="2:9" ht="15" customHeight="1" x14ac:dyDescent="0.35"/>
    <row r="27" spans="2:9" ht="15" customHeight="1" x14ac:dyDescent="0.35"/>
    <row r="28" spans="2:9" ht="15" customHeight="1" x14ac:dyDescent="0.35"/>
    <row r="29" spans="2:9" ht="15" customHeight="1" x14ac:dyDescent="0.35"/>
    <row r="30" spans="2:9" ht="15" customHeight="1" x14ac:dyDescent="0.35"/>
    <row r="31" spans="2:9" ht="15" customHeight="1" x14ac:dyDescent="0.35"/>
    <row r="32" spans="2:9"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sheetData>
  <mergeCells count="6">
    <mergeCell ref="B11:C11"/>
    <mergeCell ref="B6:H6"/>
    <mergeCell ref="B4:H4"/>
    <mergeCell ref="B9:C9"/>
    <mergeCell ref="B10:C10"/>
    <mergeCell ref="B5:H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3:F15"/>
  <sheetViews>
    <sheetView workbookViewId="0">
      <selection activeCell="J15" sqref="J15"/>
    </sheetView>
  </sheetViews>
  <sheetFormatPr defaultRowHeight="15.5" x14ac:dyDescent="0.35"/>
  <cols>
    <col min="2" max="2" width="17.69140625" customWidth="1"/>
    <col min="3" max="6" width="7.765625" customWidth="1"/>
  </cols>
  <sheetData>
    <row r="3" spans="2:6" x14ac:dyDescent="0.35">
      <c r="B3" s="450" t="s">
        <v>59</v>
      </c>
      <c r="C3" s="450"/>
      <c r="D3" s="450"/>
      <c r="E3" s="450"/>
      <c r="F3" s="450"/>
    </row>
    <row r="4" spans="2:6" x14ac:dyDescent="0.35">
      <c r="B4" s="454" t="str">
        <f>SAO!A2</f>
        <v>Lake Village Water Association</v>
      </c>
      <c r="C4" s="454"/>
      <c r="D4" s="454"/>
      <c r="E4" s="454"/>
      <c r="F4" s="454"/>
    </row>
    <row r="5" spans="2:6" ht="5.15" customHeight="1" x14ac:dyDescent="0.35">
      <c r="B5" s="20"/>
      <c r="C5" s="20"/>
      <c r="D5" s="20"/>
      <c r="E5" s="20"/>
      <c r="F5" s="20"/>
    </row>
    <row r="6" spans="2:6" x14ac:dyDescent="0.35">
      <c r="B6" s="452" t="s">
        <v>64</v>
      </c>
      <c r="C6" s="452"/>
      <c r="D6" s="452"/>
      <c r="E6" s="452"/>
      <c r="F6" s="452"/>
    </row>
    <row r="7" spans="2:6" x14ac:dyDescent="0.35">
      <c r="B7" s="20"/>
      <c r="C7" s="453" t="s">
        <v>61</v>
      </c>
      <c r="D7" s="453"/>
      <c r="E7" s="32" t="s">
        <v>60</v>
      </c>
      <c r="F7" s="32" t="s">
        <v>10</v>
      </c>
    </row>
    <row r="8" spans="2:6" ht="17" x14ac:dyDescent="0.5">
      <c r="B8" s="35" t="s">
        <v>62</v>
      </c>
      <c r="C8" s="32" t="s">
        <v>58</v>
      </c>
      <c r="D8" s="30" t="s">
        <v>9</v>
      </c>
      <c r="E8" s="32" t="s">
        <v>56</v>
      </c>
      <c r="F8" s="32" t="s">
        <v>56</v>
      </c>
    </row>
    <row r="9" spans="2:6" x14ac:dyDescent="0.35">
      <c r="B9" s="20" t="s">
        <v>63</v>
      </c>
      <c r="C9" s="33">
        <f>Rates!D18</f>
        <v>4.76</v>
      </c>
      <c r="D9" s="33">
        <f>Rates!E18</f>
        <v>5.18</v>
      </c>
      <c r="E9" s="39">
        <f>D9-C9</f>
        <v>0.41999999999999993</v>
      </c>
      <c r="F9" s="34">
        <f>ROUND(E9/C9,4)</f>
        <v>8.8200000000000001E-2</v>
      </c>
    </row>
    <row r="10" spans="2:6" ht="5.15" customHeight="1" x14ac:dyDescent="0.35">
      <c r="B10" s="31"/>
      <c r="C10" s="31"/>
      <c r="D10" s="31"/>
      <c r="E10" s="31"/>
      <c r="F10" s="31"/>
    </row>
    <row r="15" spans="2:6" x14ac:dyDescent="0.35">
      <c r="C15" s="67"/>
      <c r="D15" s="67"/>
      <c r="E15" s="39"/>
      <c r="F15" s="34"/>
    </row>
  </sheetData>
  <mergeCells count="4">
    <mergeCell ref="B3:F3"/>
    <mergeCell ref="B6:F6"/>
    <mergeCell ref="C7:D7"/>
    <mergeCell ref="B4:F4"/>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CB8CF-0105-4034-A554-23DF28B99491}">
  <sheetPr>
    <tabColor rgb="FF92D050"/>
  </sheetPr>
  <dimension ref="B2:D27"/>
  <sheetViews>
    <sheetView workbookViewId="0">
      <selection activeCell="E17" sqref="E17"/>
    </sheetView>
  </sheetViews>
  <sheetFormatPr defaultRowHeight="15.5" x14ac:dyDescent="0.35"/>
  <cols>
    <col min="2" max="2" width="2.3046875" bestFit="1" customWidth="1"/>
    <col min="3" max="3" width="78.15234375" customWidth="1"/>
    <col min="4" max="4" width="2" bestFit="1" customWidth="1"/>
  </cols>
  <sheetData>
    <row r="2" spans="2:4" x14ac:dyDescent="0.35">
      <c r="B2" s="328"/>
      <c r="C2" s="329" t="s">
        <v>322</v>
      </c>
    </row>
    <row r="3" spans="2:4" x14ac:dyDescent="0.35">
      <c r="B3" s="330" t="s">
        <v>250</v>
      </c>
      <c r="C3" s="331" t="s">
        <v>385</v>
      </c>
      <c r="D3" s="332"/>
    </row>
    <row r="4" spans="2:4" x14ac:dyDescent="0.35">
      <c r="B4" s="330"/>
      <c r="C4" s="331"/>
      <c r="D4" s="332"/>
    </row>
    <row r="5" spans="2:4" ht="31" x14ac:dyDescent="0.35">
      <c r="B5" s="330" t="s">
        <v>251</v>
      </c>
      <c r="C5" s="331" t="s">
        <v>354</v>
      </c>
    </row>
    <row r="6" spans="2:4" x14ac:dyDescent="0.35">
      <c r="B6" s="330"/>
      <c r="C6" s="331"/>
    </row>
    <row r="7" spans="2:4" x14ac:dyDescent="0.35">
      <c r="B7" s="330" t="s">
        <v>252</v>
      </c>
      <c r="C7" s="331" t="s">
        <v>386</v>
      </c>
    </row>
    <row r="8" spans="2:4" x14ac:dyDescent="0.35">
      <c r="B8" s="330"/>
      <c r="C8" s="331"/>
    </row>
    <row r="9" spans="2:4" ht="62" x14ac:dyDescent="0.35">
      <c r="B9" s="330" t="s">
        <v>174</v>
      </c>
      <c r="C9" s="331" t="s">
        <v>356</v>
      </c>
    </row>
    <row r="10" spans="2:4" x14ac:dyDescent="0.35">
      <c r="B10" s="328"/>
      <c r="C10" s="370"/>
    </row>
    <row r="11" spans="2:4" x14ac:dyDescent="0.35">
      <c r="B11" s="330" t="s">
        <v>175</v>
      </c>
      <c r="C11" s="331" t="s">
        <v>323</v>
      </c>
    </row>
    <row r="12" spans="2:4" x14ac:dyDescent="0.35">
      <c r="B12" s="330"/>
      <c r="C12" s="331"/>
    </row>
    <row r="13" spans="2:4" x14ac:dyDescent="0.35">
      <c r="B13" s="330" t="s">
        <v>181</v>
      </c>
      <c r="C13" s="331" t="s">
        <v>375</v>
      </c>
    </row>
    <row r="14" spans="2:4" x14ac:dyDescent="0.35">
      <c r="B14" s="328"/>
      <c r="C14" s="370"/>
    </row>
    <row r="15" spans="2:4" ht="77.5" x14ac:dyDescent="0.35">
      <c r="B15" s="330" t="s">
        <v>254</v>
      </c>
      <c r="C15" s="331" t="s">
        <v>355</v>
      </c>
    </row>
    <row r="16" spans="2:4" x14ac:dyDescent="0.35">
      <c r="B16" s="328"/>
      <c r="C16" s="370"/>
    </row>
    <row r="17" spans="2:3" ht="31" x14ac:dyDescent="0.35">
      <c r="B17" s="330" t="s">
        <v>182</v>
      </c>
      <c r="C17" s="370" t="s">
        <v>376</v>
      </c>
    </row>
    <row r="18" spans="2:3" x14ac:dyDescent="0.35">
      <c r="B18" s="330"/>
      <c r="C18" s="370"/>
    </row>
    <row r="19" spans="2:3" x14ac:dyDescent="0.35">
      <c r="B19" s="330" t="s">
        <v>253</v>
      </c>
      <c r="C19" s="370" t="s">
        <v>377</v>
      </c>
    </row>
    <row r="20" spans="2:3" x14ac:dyDescent="0.35">
      <c r="B20" s="328"/>
      <c r="C20" s="370"/>
    </row>
    <row r="21" spans="2:3" ht="62" x14ac:dyDescent="0.35">
      <c r="B21" s="330" t="s">
        <v>262</v>
      </c>
      <c r="C21" s="331" t="s">
        <v>378</v>
      </c>
    </row>
    <row r="22" spans="2:3" x14ac:dyDescent="0.35">
      <c r="B22" s="328"/>
      <c r="C22" s="370"/>
    </row>
    <row r="23" spans="2:3" x14ac:dyDescent="0.35">
      <c r="B23" s="330" t="s">
        <v>263</v>
      </c>
      <c r="C23" s="331" t="s">
        <v>387</v>
      </c>
    </row>
    <row r="24" spans="2:3" x14ac:dyDescent="0.35">
      <c r="B24" s="328"/>
      <c r="C24" s="370"/>
    </row>
    <row r="25" spans="2:3" ht="46.5" x14ac:dyDescent="0.35">
      <c r="B25" s="330" t="s">
        <v>264</v>
      </c>
      <c r="C25" s="331" t="s">
        <v>381</v>
      </c>
    </row>
    <row r="26" spans="2:3" x14ac:dyDescent="0.35">
      <c r="B26" s="328"/>
      <c r="C26" s="370"/>
    </row>
    <row r="27" spans="2:3" ht="46.5" x14ac:dyDescent="0.35">
      <c r="B27" s="330" t="s">
        <v>380</v>
      </c>
      <c r="C27" s="331" t="s">
        <v>382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A01C-7852-4E95-BD91-257134D74ABD}">
  <sheetPr>
    <tabColor rgb="FF92D050"/>
  </sheetPr>
  <dimension ref="B1:P30"/>
  <sheetViews>
    <sheetView workbookViewId="0">
      <selection activeCell="L12" sqref="L12:N12"/>
    </sheetView>
  </sheetViews>
  <sheetFormatPr defaultColWidth="8.84375" defaultRowHeight="14.5" x14ac:dyDescent="0.35"/>
  <cols>
    <col min="1" max="1" width="20.61328125" style="1" customWidth="1"/>
    <col min="2" max="2" width="22.3828125" style="1" customWidth="1"/>
    <col min="3" max="4" width="12.61328125" style="15" customWidth="1"/>
    <col min="5" max="5" width="13.3046875" style="15" customWidth="1"/>
    <col min="6" max="6" width="13.61328125" style="15" customWidth="1"/>
    <col min="7" max="7" width="13.15234375" style="15" customWidth="1"/>
    <col min="8" max="10" width="12.61328125" style="15" customWidth="1"/>
    <col min="11" max="11" width="8.84375" style="22"/>
    <col min="12" max="15" width="8.84375" style="1"/>
    <col min="16" max="16" width="12.61328125" style="1" customWidth="1"/>
    <col min="17" max="16384" width="8.84375" style="1"/>
  </cols>
  <sheetData>
    <row r="1" spans="2:16" x14ac:dyDescent="0.35">
      <c r="B1" s="1" t="s">
        <v>88</v>
      </c>
      <c r="P1" s="373" t="s">
        <v>332</v>
      </c>
    </row>
    <row r="2" spans="2:16" x14ac:dyDescent="0.35">
      <c r="C2" s="363"/>
      <c r="D2" s="363"/>
      <c r="E2" s="251">
        <v>2025</v>
      </c>
      <c r="F2" s="363"/>
      <c r="G2" s="363"/>
      <c r="H2" s="363" t="s">
        <v>12</v>
      </c>
      <c r="I2" s="363" t="s">
        <v>371</v>
      </c>
      <c r="J2" s="363" t="s">
        <v>371</v>
      </c>
      <c r="K2" s="21"/>
      <c r="L2" s="21"/>
      <c r="M2" s="21"/>
      <c r="N2" s="21"/>
      <c r="P2" s="374" t="s">
        <v>331</v>
      </c>
    </row>
    <row r="3" spans="2:16" x14ac:dyDescent="0.35">
      <c r="C3" s="363" t="s">
        <v>89</v>
      </c>
      <c r="D3" s="363" t="s">
        <v>89</v>
      </c>
      <c r="E3" s="363" t="s">
        <v>90</v>
      </c>
      <c r="F3" s="363" t="s">
        <v>89</v>
      </c>
      <c r="G3" s="363" t="s">
        <v>89</v>
      </c>
      <c r="H3" s="363" t="s">
        <v>89</v>
      </c>
      <c r="I3" s="363" t="s">
        <v>372</v>
      </c>
      <c r="J3" s="363" t="s">
        <v>89</v>
      </c>
      <c r="K3" s="21" t="s">
        <v>201</v>
      </c>
      <c r="L3" s="21" t="s">
        <v>201</v>
      </c>
      <c r="M3" s="21"/>
      <c r="N3" s="21" t="s">
        <v>201</v>
      </c>
      <c r="P3" s="375">
        <f>Medical!Q17</f>
        <v>3187.58</v>
      </c>
    </row>
    <row r="4" spans="2:16" x14ac:dyDescent="0.35">
      <c r="B4" s="367" t="s">
        <v>91</v>
      </c>
      <c r="C4" s="368" t="s">
        <v>92</v>
      </c>
      <c r="D4" s="368" t="s">
        <v>93</v>
      </c>
      <c r="E4" s="368" t="s">
        <v>94</v>
      </c>
      <c r="F4" s="368" t="s">
        <v>95</v>
      </c>
      <c r="G4" s="368" t="s">
        <v>96</v>
      </c>
      <c r="H4" s="368" t="s">
        <v>97</v>
      </c>
      <c r="I4" s="368"/>
      <c r="J4" s="368" t="s">
        <v>97</v>
      </c>
      <c r="K4" s="351" t="s">
        <v>202</v>
      </c>
      <c r="L4" s="351" t="s">
        <v>369</v>
      </c>
      <c r="M4" s="351" t="s">
        <v>363</v>
      </c>
      <c r="N4" s="351" t="s">
        <v>370</v>
      </c>
      <c r="P4" s="376" t="s">
        <v>333</v>
      </c>
    </row>
    <row r="5" spans="2:16" x14ac:dyDescent="0.35">
      <c r="B5" s="1" t="s">
        <v>222</v>
      </c>
      <c r="C5" s="363">
        <v>2080</v>
      </c>
      <c r="D5" s="363"/>
      <c r="E5" s="365">
        <v>48.07</v>
      </c>
      <c r="F5" s="363">
        <f>C5*E5</f>
        <v>99985.600000000006</v>
      </c>
      <c r="G5" s="363">
        <f>D5*E5*1.5</f>
        <v>0</v>
      </c>
      <c r="H5" s="363">
        <f>F5+G5</f>
        <v>99985.600000000006</v>
      </c>
      <c r="I5" s="363">
        <v>172</v>
      </c>
      <c r="J5" s="363">
        <f>I5*E5</f>
        <v>8268.0400000000009</v>
      </c>
      <c r="K5" s="22" t="s">
        <v>364</v>
      </c>
      <c r="L5" s="369">
        <v>0.1</v>
      </c>
      <c r="M5" s="22">
        <v>750</v>
      </c>
      <c r="N5" s="366">
        <f>H5*L5</f>
        <v>9998.5600000000013</v>
      </c>
      <c r="P5" s="377">
        <f>P3*12</f>
        <v>38250.959999999999</v>
      </c>
    </row>
    <row r="6" spans="2:16" x14ac:dyDescent="0.35">
      <c r="B6" s="1" t="s">
        <v>223</v>
      </c>
      <c r="C6" s="15">
        <v>1820</v>
      </c>
      <c r="E6" s="192">
        <v>47.99</v>
      </c>
      <c r="F6" s="15">
        <f t="shared" ref="F6:F11" si="0">C6*E6</f>
        <v>87341.8</v>
      </c>
      <c r="G6" s="15">
        <f t="shared" ref="G6:G11" si="1">D6*E6*1.5</f>
        <v>0</v>
      </c>
      <c r="H6" s="15">
        <f t="shared" ref="H6:H11" si="2">F6+G6</f>
        <v>87341.8</v>
      </c>
      <c r="I6" s="15">
        <v>160</v>
      </c>
      <c r="J6" s="15">
        <f>E6*I6</f>
        <v>7678.4000000000005</v>
      </c>
      <c r="K6" s="22" t="s">
        <v>364</v>
      </c>
      <c r="L6" s="364">
        <v>0.1</v>
      </c>
      <c r="M6" s="1">
        <v>750</v>
      </c>
      <c r="N6" s="342">
        <f t="shared" ref="N6:N11" si="3">H6*L6</f>
        <v>8734.18</v>
      </c>
    </row>
    <row r="7" spans="2:16" x14ac:dyDescent="0.35">
      <c r="B7" s="1" t="s">
        <v>224</v>
      </c>
      <c r="C7" s="211">
        <v>1631</v>
      </c>
      <c r="D7" s="211">
        <v>57</v>
      </c>
      <c r="E7" s="192">
        <v>37.92</v>
      </c>
      <c r="F7" s="15">
        <f t="shared" si="0"/>
        <v>61847.520000000004</v>
      </c>
      <c r="G7" s="15">
        <f t="shared" si="1"/>
        <v>3242.16</v>
      </c>
      <c r="H7" s="15">
        <f t="shared" si="2"/>
        <v>65089.680000000008</v>
      </c>
      <c r="K7" s="22" t="s">
        <v>364</v>
      </c>
      <c r="L7" s="364">
        <v>0.1</v>
      </c>
      <c r="M7" s="1">
        <v>750</v>
      </c>
      <c r="N7" s="342">
        <f t="shared" si="3"/>
        <v>6508.9680000000008</v>
      </c>
    </row>
    <row r="8" spans="2:16" x14ac:dyDescent="0.35">
      <c r="B8" s="1" t="s">
        <v>225</v>
      </c>
      <c r="C8" s="211">
        <v>2395</v>
      </c>
      <c r="D8" s="211">
        <v>2.9</v>
      </c>
      <c r="E8" s="192">
        <v>31.41</v>
      </c>
      <c r="F8" s="15">
        <f t="shared" si="0"/>
        <v>75226.95</v>
      </c>
      <c r="G8" s="15">
        <f t="shared" si="1"/>
        <v>136.6335</v>
      </c>
      <c r="H8" s="15">
        <f t="shared" si="2"/>
        <v>75363.583499999993</v>
      </c>
      <c r="I8" s="15">
        <v>320</v>
      </c>
      <c r="J8" s="15">
        <f>I8*E8</f>
        <v>10051.200000000001</v>
      </c>
      <c r="K8" s="22" t="s">
        <v>364</v>
      </c>
      <c r="L8" s="364">
        <v>0.1</v>
      </c>
      <c r="M8" s="1">
        <v>750</v>
      </c>
      <c r="N8" s="342">
        <f t="shared" si="3"/>
        <v>7536.3583499999995</v>
      </c>
    </row>
    <row r="9" spans="2:16" x14ac:dyDescent="0.35">
      <c r="B9" s="1" t="s">
        <v>226</v>
      </c>
      <c r="C9" s="211">
        <v>1978</v>
      </c>
      <c r="D9" s="211">
        <v>178</v>
      </c>
      <c r="E9" s="192">
        <v>19.61</v>
      </c>
      <c r="F9" s="15">
        <f t="shared" si="0"/>
        <v>38788.58</v>
      </c>
      <c r="G9" s="15">
        <f t="shared" si="1"/>
        <v>5235.87</v>
      </c>
      <c r="H9" s="15">
        <f t="shared" si="2"/>
        <v>44024.450000000004</v>
      </c>
      <c r="K9" s="22" t="s">
        <v>364</v>
      </c>
      <c r="L9" s="364">
        <v>0.1</v>
      </c>
      <c r="M9" s="1">
        <v>750</v>
      </c>
      <c r="N9" s="342">
        <f t="shared" si="3"/>
        <v>4402.4450000000006</v>
      </c>
    </row>
    <row r="10" spans="2:16" x14ac:dyDescent="0.35">
      <c r="B10" s="1" t="s">
        <v>227</v>
      </c>
      <c r="C10" s="211">
        <v>2052</v>
      </c>
      <c r="D10" s="211">
        <v>68</v>
      </c>
      <c r="E10" s="192">
        <v>20.079999999999998</v>
      </c>
      <c r="F10" s="15">
        <f t="shared" si="0"/>
        <v>41204.159999999996</v>
      </c>
      <c r="G10" s="15">
        <f t="shared" si="1"/>
        <v>2048.16</v>
      </c>
      <c r="H10" s="15">
        <f t="shared" si="2"/>
        <v>43252.319999999992</v>
      </c>
      <c r="K10" s="22" t="s">
        <v>364</v>
      </c>
      <c r="L10" s="364">
        <v>0.1</v>
      </c>
      <c r="M10" s="1">
        <v>750</v>
      </c>
      <c r="N10" s="342">
        <f t="shared" si="3"/>
        <v>4325.2319999999991</v>
      </c>
    </row>
    <row r="11" spans="2:16" x14ac:dyDescent="0.35">
      <c r="B11" s="1" t="s">
        <v>227</v>
      </c>
      <c r="C11" s="211">
        <v>1899</v>
      </c>
      <c r="D11" s="212"/>
      <c r="E11" s="192">
        <v>19.5</v>
      </c>
      <c r="F11" s="17">
        <f t="shared" si="0"/>
        <v>37030.5</v>
      </c>
      <c r="G11" s="17">
        <f t="shared" si="1"/>
        <v>0</v>
      </c>
      <c r="H11" s="17">
        <f t="shared" si="2"/>
        <v>37030.5</v>
      </c>
      <c r="I11" s="17"/>
      <c r="J11" s="17"/>
      <c r="K11" s="22" t="s">
        <v>364</v>
      </c>
      <c r="L11" s="364">
        <v>0.1</v>
      </c>
      <c r="M11" s="1">
        <v>750</v>
      </c>
      <c r="N11" s="342">
        <f t="shared" si="3"/>
        <v>3703.05</v>
      </c>
    </row>
    <row r="12" spans="2:16" x14ac:dyDescent="0.35">
      <c r="E12" s="192"/>
      <c r="H12" s="50"/>
      <c r="L12" s="364"/>
      <c r="N12" s="342"/>
    </row>
    <row r="13" spans="2:16" x14ac:dyDescent="0.35">
      <c r="B13" s="1" t="s">
        <v>173</v>
      </c>
      <c r="E13" s="192"/>
      <c r="H13" s="15">
        <f>SUM(H5:H12)</f>
        <v>452087.93350000004</v>
      </c>
      <c r="J13" s="15">
        <f>SUM(J5:J12)</f>
        <v>25997.640000000003</v>
      </c>
      <c r="M13" s="15">
        <f>SUM(M5:M11)</f>
        <v>5250</v>
      </c>
      <c r="N13" s="342">
        <f>SUM(N5:N12)</f>
        <v>45208.79335</v>
      </c>
    </row>
    <row r="15" spans="2:16" x14ac:dyDescent="0.35">
      <c r="H15" s="211"/>
      <c r="I15" s="211"/>
      <c r="J15" s="211"/>
    </row>
    <row r="17" spans="2:13" x14ac:dyDescent="0.35">
      <c r="H17" s="123" t="s">
        <v>30</v>
      </c>
      <c r="I17" s="123"/>
      <c r="J17" s="123"/>
    </row>
    <row r="18" spans="2:13" x14ac:dyDescent="0.35">
      <c r="B18" s="1" t="s">
        <v>328</v>
      </c>
      <c r="C18" s="15">
        <v>30000</v>
      </c>
      <c r="E18" s="15" t="s">
        <v>98</v>
      </c>
      <c r="H18" s="15">
        <f>H13+J13+M13</f>
        <v>483335.57350000006</v>
      </c>
    </row>
    <row r="19" spans="2:13" x14ac:dyDescent="0.35">
      <c r="E19" s="15" t="s">
        <v>334</v>
      </c>
      <c r="H19" s="50">
        <f>-SAO!D17</f>
        <v>-476579</v>
      </c>
      <c r="I19" s="17"/>
      <c r="J19" s="17"/>
      <c r="K19" s="372" t="s">
        <v>379</v>
      </c>
      <c r="L19" s="1" t="s">
        <v>373</v>
      </c>
    </row>
    <row r="20" spans="2:13" x14ac:dyDescent="0.35">
      <c r="E20" s="15" t="s">
        <v>99</v>
      </c>
      <c r="H20" s="15">
        <f>H18+H19</f>
        <v>6756.5735000000568</v>
      </c>
      <c r="K20" s="21" t="s">
        <v>252</v>
      </c>
    </row>
    <row r="21" spans="2:13" x14ac:dyDescent="0.35">
      <c r="H21" s="15" t="s">
        <v>100</v>
      </c>
      <c r="K21" s="21"/>
    </row>
    <row r="22" spans="2:13" x14ac:dyDescent="0.35">
      <c r="E22" s="15" t="s">
        <v>329</v>
      </c>
      <c r="H22" s="15">
        <f>H18+C18</f>
        <v>513335.57350000006</v>
      </c>
      <c r="K22" s="21"/>
    </row>
    <row r="23" spans="2:13" x14ac:dyDescent="0.35">
      <c r="E23" s="15" t="s">
        <v>101</v>
      </c>
      <c r="H23" s="124">
        <v>7.6499999999999999E-2</v>
      </c>
      <c r="I23" s="90"/>
      <c r="J23" s="90"/>
      <c r="K23" s="21"/>
    </row>
    <row r="24" spans="2:13" x14ac:dyDescent="0.35">
      <c r="E24" s="15" t="s">
        <v>102</v>
      </c>
      <c r="H24" s="15">
        <f>H22*H23</f>
        <v>39270.171372750003</v>
      </c>
      <c r="K24" s="21"/>
    </row>
    <row r="25" spans="2:13" x14ac:dyDescent="0.35">
      <c r="E25" s="15" t="s">
        <v>103</v>
      </c>
      <c r="H25" s="334">
        <f>-SAO!D40</f>
        <v>-38799</v>
      </c>
      <c r="I25" s="212"/>
      <c r="J25" s="212"/>
      <c r="K25" s="21"/>
      <c r="L25" s="1" t="s">
        <v>374</v>
      </c>
    </row>
    <row r="26" spans="2:13" x14ac:dyDescent="0.35">
      <c r="E26" s="15" t="s">
        <v>104</v>
      </c>
      <c r="H26" s="211">
        <f>H24+H25</f>
        <v>471.17137275000277</v>
      </c>
      <c r="K26" s="21" t="s">
        <v>263</v>
      </c>
    </row>
    <row r="27" spans="2:13" x14ac:dyDescent="0.35">
      <c r="K27" s="21"/>
    </row>
    <row r="28" spans="2:13" x14ac:dyDescent="0.35">
      <c r="E28" s="15" t="s">
        <v>105</v>
      </c>
      <c r="H28" s="211">
        <f>H13*0.1</f>
        <v>45208.793350000007</v>
      </c>
      <c r="I28" s="211"/>
      <c r="J28" s="211"/>
      <c r="K28" s="21"/>
      <c r="M28" s="1" t="s">
        <v>345</v>
      </c>
    </row>
    <row r="29" spans="2:13" x14ac:dyDescent="0.35">
      <c r="E29" s="15" t="s">
        <v>106</v>
      </c>
      <c r="H29" s="334">
        <f>-Medical!Q18</f>
        <v>-38250.160000000003</v>
      </c>
      <c r="I29" s="212"/>
      <c r="J29" s="212"/>
      <c r="K29" s="21"/>
      <c r="M29" s="208" t="s">
        <v>338</v>
      </c>
    </row>
    <row r="30" spans="2:13" x14ac:dyDescent="0.35">
      <c r="E30" s="15" t="s">
        <v>107</v>
      </c>
      <c r="H30" s="15">
        <f>H28+H29</f>
        <v>6958.6333500000037</v>
      </c>
      <c r="K30" s="21" t="s">
        <v>175</v>
      </c>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T66"/>
  <sheetViews>
    <sheetView topLeftCell="A7" workbookViewId="0">
      <selection activeCell="C41" sqref="C41"/>
    </sheetView>
  </sheetViews>
  <sheetFormatPr defaultColWidth="8.84375" defaultRowHeight="14.5" x14ac:dyDescent="0.35"/>
  <cols>
    <col min="1" max="1" width="15.4609375" style="1" customWidth="1"/>
    <col min="2" max="2" width="11.53515625" style="194" bestFit="1" customWidth="1"/>
    <col min="3" max="4" width="11.53515625" style="194" customWidth="1"/>
    <col min="5" max="5" width="9.84375" style="194" customWidth="1"/>
    <col min="6" max="6" width="9.765625" style="153" customWidth="1"/>
    <col min="7" max="7" width="9.765625" style="152" customWidth="1"/>
    <col min="8" max="9" width="11.4609375" style="151" customWidth="1"/>
    <col min="10" max="10" width="10.69140625" style="194" customWidth="1"/>
    <col min="11" max="11" width="16" style="151" bestFit="1" customWidth="1"/>
    <col min="12" max="12" width="10.53515625" style="194" customWidth="1"/>
    <col min="13" max="13" width="10.4609375" style="22" customWidth="1"/>
    <col min="14" max="14" width="8.84375" style="1"/>
    <col min="15" max="15" width="10.07421875" style="1" customWidth="1"/>
    <col min="16" max="16" width="9.07421875" style="1" bestFit="1" customWidth="1"/>
    <col min="17" max="17" width="9.84375" style="1" bestFit="1" customWidth="1"/>
    <col min="18" max="19" width="8.921875" style="1" bestFit="1" customWidth="1"/>
    <col min="20" max="20" width="9.07421875" style="1" bestFit="1" customWidth="1"/>
    <col min="21" max="16384" width="8.84375" style="1"/>
  </cols>
  <sheetData>
    <row r="1" spans="1:20" x14ac:dyDescent="0.35">
      <c r="A1" s="208" t="s">
        <v>187</v>
      </c>
      <c r="O1" s="335" t="s">
        <v>338</v>
      </c>
      <c r="P1" s="335"/>
      <c r="Q1" s="335"/>
      <c r="R1" s="336"/>
      <c r="S1" s="336"/>
      <c r="T1" s="336"/>
    </row>
    <row r="2" spans="1:20" x14ac:dyDescent="0.35">
      <c r="B2" s="196"/>
      <c r="C2" s="196"/>
      <c r="D2" s="196"/>
      <c r="O2" s="337" t="s">
        <v>335</v>
      </c>
      <c r="P2" s="337" t="s">
        <v>336</v>
      </c>
      <c r="Q2" s="337" t="s">
        <v>332</v>
      </c>
      <c r="R2" s="337" t="s">
        <v>337</v>
      </c>
      <c r="S2" s="337" t="s">
        <v>339</v>
      </c>
      <c r="T2" s="336"/>
    </row>
    <row r="3" spans="1:20" x14ac:dyDescent="0.35">
      <c r="B3" s="258" t="s">
        <v>188</v>
      </c>
      <c r="C3" s="258"/>
      <c r="D3" s="258" t="s">
        <v>53</v>
      </c>
      <c r="E3" s="258" t="s">
        <v>188</v>
      </c>
      <c r="F3" s="259"/>
      <c r="G3" s="260"/>
      <c r="H3" s="213"/>
      <c r="I3" s="213" t="s">
        <v>12</v>
      </c>
      <c r="J3" s="258" t="s">
        <v>238</v>
      </c>
      <c r="O3" s="338">
        <v>82.6</v>
      </c>
      <c r="P3" s="338">
        <v>125.65</v>
      </c>
      <c r="Q3" s="338">
        <v>3187.5</v>
      </c>
      <c r="R3" s="338">
        <v>3737.84</v>
      </c>
      <c r="S3" s="338"/>
      <c r="T3" s="336"/>
    </row>
    <row r="4" spans="1:20" x14ac:dyDescent="0.35">
      <c r="B4" s="266" t="s">
        <v>248</v>
      </c>
      <c r="C4" s="261"/>
      <c r="D4" s="261" t="s">
        <v>188</v>
      </c>
      <c r="E4" s="258" t="s">
        <v>189</v>
      </c>
      <c r="F4" s="259" t="s">
        <v>189</v>
      </c>
      <c r="G4" s="260" t="s">
        <v>235</v>
      </c>
      <c r="H4" s="213" t="s">
        <v>228</v>
      </c>
      <c r="I4" s="213" t="s">
        <v>237</v>
      </c>
      <c r="J4" s="258" t="s">
        <v>237</v>
      </c>
      <c r="O4" s="338">
        <v>66.08</v>
      </c>
      <c r="P4" s="338">
        <v>125.65</v>
      </c>
      <c r="Q4" s="338">
        <v>3187.5</v>
      </c>
      <c r="R4" s="338">
        <v>3737.84</v>
      </c>
      <c r="S4" s="338"/>
      <c r="T4" s="336"/>
    </row>
    <row r="5" spans="1:20" x14ac:dyDescent="0.35">
      <c r="A5" s="208" t="s">
        <v>242</v>
      </c>
      <c r="B5" s="262" t="s">
        <v>190</v>
      </c>
      <c r="C5" s="262"/>
      <c r="D5" s="262" t="s">
        <v>190</v>
      </c>
      <c r="E5" s="262" t="s">
        <v>191</v>
      </c>
      <c r="F5" s="263" t="s">
        <v>192</v>
      </c>
      <c r="G5" s="264" t="s">
        <v>192</v>
      </c>
      <c r="H5" s="265" t="s">
        <v>229</v>
      </c>
      <c r="I5" s="265" t="s">
        <v>193</v>
      </c>
      <c r="J5" s="262" t="s">
        <v>193</v>
      </c>
      <c r="O5" s="338">
        <v>66.08</v>
      </c>
      <c r="P5" s="338">
        <v>125.65</v>
      </c>
      <c r="Q5" s="338">
        <v>3187.5</v>
      </c>
      <c r="R5" s="338">
        <v>3737.84</v>
      </c>
      <c r="S5" s="338"/>
      <c r="T5" s="336"/>
    </row>
    <row r="6" spans="1:20" x14ac:dyDescent="0.35">
      <c r="A6" s="1" t="s">
        <v>246</v>
      </c>
      <c r="B6" s="194">
        <v>652.54</v>
      </c>
      <c r="D6" s="194">
        <f>B6+C6</f>
        <v>652.54</v>
      </c>
      <c r="F6" s="153">
        <f t="shared" ref="F6:F9" si="0">E6/D6</f>
        <v>0</v>
      </c>
      <c r="G6" s="193">
        <f t="shared" ref="G6:G9" si="1">1-F6</f>
        <v>1</v>
      </c>
      <c r="H6" s="206">
        <v>1</v>
      </c>
      <c r="I6" s="151">
        <f>D6*H6*12</f>
        <v>7830.48</v>
      </c>
      <c r="J6" s="194">
        <f>D6*G6*H6*12</f>
        <v>7830.48</v>
      </c>
      <c r="K6" s="152"/>
      <c r="M6" s="151"/>
      <c r="O6" s="338">
        <v>82.6</v>
      </c>
      <c r="P6" s="338">
        <v>251.3</v>
      </c>
      <c r="Q6" s="338">
        <v>3187.5</v>
      </c>
      <c r="R6" s="338">
        <v>3737.84</v>
      </c>
      <c r="S6" s="338"/>
      <c r="T6" s="336"/>
    </row>
    <row r="7" spans="1:20" x14ac:dyDescent="0.35">
      <c r="A7" s="1" t="s">
        <v>247</v>
      </c>
      <c r="B7" s="194">
        <v>652.54</v>
      </c>
      <c r="D7" s="194">
        <f t="shared" ref="D7" si="2">B7+C7</f>
        <v>652.54</v>
      </c>
      <c r="F7" s="153">
        <f t="shared" ref="F7" si="3">E7/D7</f>
        <v>0</v>
      </c>
      <c r="G7" s="193">
        <f t="shared" ref="G7" si="4">1-F7</f>
        <v>1</v>
      </c>
      <c r="H7" s="206">
        <v>1</v>
      </c>
      <c r="I7" s="151">
        <f t="shared" ref="I7" si="5">D7*H7*12</f>
        <v>7830.48</v>
      </c>
      <c r="J7" s="194">
        <f t="shared" ref="J7" si="6">D7*G7*H7*12</f>
        <v>7830.48</v>
      </c>
      <c r="K7" s="152"/>
      <c r="M7" s="151"/>
      <c r="O7" s="338">
        <v>82.6</v>
      </c>
      <c r="P7" s="338">
        <v>125.65</v>
      </c>
      <c r="Q7" s="338">
        <v>3187.5</v>
      </c>
      <c r="R7" s="338">
        <v>3737.84</v>
      </c>
      <c r="S7" s="338"/>
      <c r="T7" s="336"/>
    </row>
    <row r="8" spans="1:20" x14ac:dyDescent="0.35">
      <c r="A8" s="1" t="s">
        <v>247</v>
      </c>
      <c r="B8" s="194">
        <v>652.54</v>
      </c>
      <c r="D8" s="194">
        <f t="shared" ref="D8:D9" si="7">B8+C8</f>
        <v>652.54</v>
      </c>
      <c r="F8" s="153">
        <f t="shared" si="0"/>
        <v>0</v>
      </c>
      <c r="G8" s="193">
        <f t="shared" si="1"/>
        <v>1</v>
      </c>
      <c r="H8" s="206">
        <v>1</v>
      </c>
      <c r="I8" s="151">
        <f t="shared" ref="I8:I9" si="8">D8*H8*12</f>
        <v>7830.48</v>
      </c>
      <c r="J8" s="194">
        <f t="shared" ref="J8:J9" si="9">D8*G8*H8*12</f>
        <v>7830.48</v>
      </c>
      <c r="K8" s="152"/>
      <c r="M8" s="151"/>
      <c r="O8" s="338">
        <v>82.6</v>
      </c>
      <c r="P8" s="338"/>
      <c r="Q8" s="338">
        <v>3187.5</v>
      </c>
      <c r="R8" s="338">
        <v>4028.66</v>
      </c>
      <c r="S8" s="338"/>
      <c r="T8" s="336"/>
    </row>
    <row r="9" spans="1:20" x14ac:dyDescent="0.35">
      <c r="A9" s="1" t="s">
        <v>249</v>
      </c>
      <c r="B9" s="194">
        <v>652.54</v>
      </c>
      <c r="D9" s="194">
        <f t="shared" si="7"/>
        <v>652.54</v>
      </c>
      <c r="F9" s="153">
        <f t="shared" si="0"/>
        <v>0</v>
      </c>
      <c r="G9" s="193">
        <f t="shared" si="1"/>
        <v>1</v>
      </c>
      <c r="H9" s="206">
        <v>1</v>
      </c>
      <c r="I9" s="151">
        <f t="shared" si="8"/>
        <v>7830.48</v>
      </c>
      <c r="J9" s="194">
        <f t="shared" si="9"/>
        <v>7830.48</v>
      </c>
      <c r="K9" s="152"/>
      <c r="M9" s="151"/>
      <c r="O9" s="338">
        <v>66.08</v>
      </c>
      <c r="P9" s="338"/>
      <c r="Q9" s="338"/>
      <c r="R9" s="338"/>
      <c r="S9" s="338">
        <v>962</v>
      </c>
      <c r="T9" s="336"/>
    </row>
    <row r="10" spans="1:20" x14ac:dyDescent="0.35">
      <c r="A10" s="1" t="s">
        <v>245</v>
      </c>
      <c r="B10" s="197">
        <v>1174.57</v>
      </c>
      <c r="C10" s="197"/>
      <c r="D10" s="197">
        <f t="shared" ref="D10" si="10">B10+C10</f>
        <v>1174.57</v>
      </c>
      <c r="F10" s="153">
        <f>E10/D10</f>
        <v>0</v>
      </c>
      <c r="G10" s="193">
        <f>1-F10</f>
        <v>1</v>
      </c>
      <c r="H10" s="206">
        <v>1</v>
      </c>
      <c r="I10" s="199">
        <f t="shared" ref="I10" si="11">D10*H10*12</f>
        <v>14094.84</v>
      </c>
      <c r="J10" s="197">
        <f t="shared" ref="J10" si="12">D10*G10*H10*12</f>
        <v>14094.84</v>
      </c>
      <c r="K10" s="152"/>
      <c r="M10" s="151"/>
      <c r="O10" s="338"/>
      <c r="P10" s="338"/>
      <c r="Q10" s="338"/>
      <c r="R10" s="338"/>
      <c r="S10" s="338">
        <v>453</v>
      </c>
      <c r="T10" s="336"/>
    </row>
    <row r="11" spans="1:20" x14ac:dyDescent="0.35">
      <c r="A11" s="1" t="s">
        <v>53</v>
      </c>
      <c r="B11" s="194">
        <f>SUM(B6:B10)</f>
        <v>3784.7299999999996</v>
      </c>
      <c r="C11" s="194">
        <f>SUM(C6:C10)</f>
        <v>0</v>
      </c>
      <c r="D11" s="194">
        <f>SUM(D6:D10)</f>
        <v>3784.7299999999996</v>
      </c>
      <c r="E11" s="194">
        <f>SUM(E6:E10)</f>
        <v>0</v>
      </c>
      <c r="G11" s="154"/>
      <c r="I11" s="194">
        <f>SUM(I6:I10)</f>
        <v>45416.759999999995</v>
      </c>
      <c r="J11" s="194">
        <f>SUM(J6:J10)</f>
        <v>45416.759999999995</v>
      </c>
      <c r="M11" s="194"/>
      <c r="N11" s="2"/>
      <c r="O11" s="339">
        <v>66.08</v>
      </c>
      <c r="P11" s="338">
        <v>125.65</v>
      </c>
      <c r="Q11" s="338">
        <v>3187.5</v>
      </c>
      <c r="R11" s="338">
        <v>5439.76</v>
      </c>
      <c r="S11" s="338"/>
      <c r="T11" s="336"/>
    </row>
    <row r="12" spans="1:20" x14ac:dyDescent="0.35">
      <c r="G12" s="154"/>
      <c r="O12" s="338"/>
      <c r="P12" s="338">
        <v>125.65</v>
      </c>
      <c r="Q12" s="338">
        <v>3187.5</v>
      </c>
      <c r="R12" s="338">
        <v>2617.56</v>
      </c>
      <c r="S12" s="338"/>
      <c r="T12" s="336"/>
    </row>
    <row r="13" spans="1:20" x14ac:dyDescent="0.35">
      <c r="A13" s="209" t="s">
        <v>243</v>
      </c>
      <c r="J13" s="195"/>
      <c r="K13" s="155"/>
      <c r="L13" s="195"/>
      <c r="O13" s="338">
        <v>82.6</v>
      </c>
      <c r="P13" s="338">
        <v>119.37</v>
      </c>
      <c r="Q13" s="338">
        <v>3187.5</v>
      </c>
      <c r="R13" s="338">
        <v>4028.66</v>
      </c>
      <c r="S13" s="338"/>
      <c r="T13" s="336"/>
    </row>
    <row r="14" spans="1:20" x14ac:dyDescent="0.35">
      <c r="A14" s="198" t="s">
        <v>306</v>
      </c>
      <c r="B14" s="194">
        <v>47.54</v>
      </c>
      <c r="D14" s="194">
        <f>B14</f>
        <v>47.54</v>
      </c>
      <c r="E14" s="194">
        <v>0</v>
      </c>
      <c r="F14" s="153">
        <f t="shared" ref="F14:F17" si="13">E14/D14</f>
        <v>0</v>
      </c>
      <c r="G14" s="193">
        <f t="shared" ref="G14:G18" si="14">1-F14</f>
        <v>1</v>
      </c>
      <c r="H14" s="206">
        <v>1</v>
      </c>
      <c r="I14" s="151">
        <f>D14*H14*12</f>
        <v>570.48</v>
      </c>
      <c r="J14" s="194">
        <f>D14*G14*H14*12</f>
        <v>570.48</v>
      </c>
      <c r="K14" s="207"/>
      <c r="M14" s="151"/>
      <c r="O14" s="338">
        <v>66.08</v>
      </c>
      <c r="P14" s="338">
        <v>119.37</v>
      </c>
      <c r="Q14" s="338">
        <v>3187.5</v>
      </c>
      <c r="R14" s="338">
        <v>4182.8100000000004</v>
      </c>
      <c r="S14" s="338"/>
      <c r="T14" s="336"/>
    </row>
    <row r="15" spans="1:20" x14ac:dyDescent="0.35">
      <c r="A15" s="198" t="s">
        <v>306</v>
      </c>
      <c r="B15" s="194">
        <v>47.54</v>
      </c>
      <c r="D15" s="194">
        <f t="shared" ref="D15" si="15">B15</f>
        <v>47.54</v>
      </c>
      <c r="E15" s="194">
        <v>0</v>
      </c>
      <c r="F15" s="153">
        <f t="shared" si="13"/>
        <v>0</v>
      </c>
      <c r="G15" s="193">
        <f t="shared" si="14"/>
        <v>1</v>
      </c>
      <c r="H15" s="206">
        <v>1</v>
      </c>
      <c r="I15" s="151">
        <f>D15*H15*12</f>
        <v>570.48</v>
      </c>
      <c r="J15" s="194">
        <f>D15*G15*H15*12</f>
        <v>570.48</v>
      </c>
      <c r="K15" s="207"/>
      <c r="M15" s="151"/>
      <c r="O15" s="338">
        <v>66.08</v>
      </c>
      <c r="P15" s="338">
        <v>119.37</v>
      </c>
      <c r="Q15" s="338">
        <v>3187.58</v>
      </c>
      <c r="R15" s="338">
        <v>4059.49</v>
      </c>
      <c r="S15" s="338"/>
      <c r="T15" s="336"/>
    </row>
    <row r="16" spans="1:20" x14ac:dyDescent="0.35">
      <c r="A16" s="198" t="s">
        <v>306</v>
      </c>
      <c r="B16" s="194">
        <v>47.54</v>
      </c>
      <c r="D16" s="194">
        <f t="shared" ref="D16:D18" si="16">B16</f>
        <v>47.54</v>
      </c>
      <c r="E16" s="194">
        <v>0</v>
      </c>
      <c r="F16" s="153">
        <f t="shared" ref="F16" si="17">E16/D16</f>
        <v>0</v>
      </c>
      <c r="G16" s="193">
        <f t="shared" ref="G16" si="18">1-F16</f>
        <v>1</v>
      </c>
      <c r="H16" s="206">
        <v>1</v>
      </c>
      <c r="I16" s="151">
        <f>D16*H16*12</f>
        <v>570.48</v>
      </c>
      <c r="J16" s="194">
        <f>D16*G16*H16*12</f>
        <v>570.48</v>
      </c>
      <c r="K16" s="207"/>
      <c r="M16" s="151"/>
      <c r="O16" s="338"/>
      <c r="P16" s="338"/>
      <c r="Q16" s="338"/>
      <c r="R16" s="338"/>
      <c r="S16" s="338">
        <v>573.5</v>
      </c>
      <c r="T16" s="336"/>
    </row>
    <row r="17" spans="1:20" x14ac:dyDescent="0.35">
      <c r="A17" s="198" t="s">
        <v>307</v>
      </c>
      <c r="B17" s="194">
        <v>83.4</v>
      </c>
      <c r="D17" s="194">
        <f t="shared" si="16"/>
        <v>83.4</v>
      </c>
      <c r="E17" s="194">
        <v>0</v>
      </c>
      <c r="F17" s="153">
        <f t="shared" si="13"/>
        <v>0</v>
      </c>
      <c r="G17" s="193">
        <f t="shared" si="14"/>
        <v>1</v>
      </c>
      <c r="H17" s="206">
        <v>1</v>
      </c>
      <c r="I17" s="151">
        <f>D17*H17*12</f>
        <v>1000.8000000000001</v>
      </c>
      <c r="J17" s="194">
        <f>D17*G17*H17*12</f>
        <v>1000.8000000000001</v>
      </c>
      <c r="K17" s="207"/>
      <c r="M17" s="151"/>
      <c r="O17" s="340">
        <v>82.6</v>
      </c>
      <c r="P17" s="340">
        <v>119.37</v>
      </c>
      <c r="Q17" s="340">
        <v>3187.58</v>
      </c>
      <c r="R17" s="340">
        <v>4059.49</v>
      </c>
      <c r="S17" s="340"/>
      <c r="T17" s="336"/>
    </row>
    <row r="18" spans="1:20" x14ac:dyDescent="0.35">
      <c r="A18" s="1" t="s">
        <v>308</v>
      </c>
      <c r="B18" s="197">
        <v>23.31</v>
      </c>
      <c r="C18" s="197"/>
      <c r="D18" s="197">
        <f t="shared" si="16"/>
        <v>23.31</v>
      </c>
      <c r="E18" s="197">
        <v>0</v>
      </c>
      <c r="F18" s="254">
        <f>E18/D18</f>
        <v>0</v>
      </c>
      <c r="G18" s="255">
        <f t="shared" si="14"/>
        <v>1</v>
      </c>
      <c r="H18" s="206">
        <v>1</v>
      </c>
      <c r="I18" s="199">
        <f>D18*H18*12</f>
        <v>279.71999999999997</v>
      </c>
      <c r="J18" s="197">
        <f>D18*G18*H18*12</f>
        <v>279.71999999999997</v>
      </c>
      <c r="K18" s="154"/>
      <c r="M18" s="151"/>
      <c r="O18" s="359">
        <f>SUM(O3:O17)</f>
        <v>892.08000000000027</v>
      </c>
      <c r="P18" s="359">
        <f t="shared" ref="P18:S18" si="19">SUM(P3:P17)</f>
        <v>1482.6799999999998</v>
      </c>
      <c r="Q18" s="359">
        <f t="shared" si="19"/>
        <v>38250.160000000003</v>
      </c>
      <c r="R18" s="359">
        <f t="shared" si="19"/>
        <v>47105.63</v>
      </c>
      <c r="S18" s="359">
        <f t="shared" si="19"/>
        <v>1988.5</v>
      </c>
      <c r="T18" s="359">
        <f>SUM(O18:S18)</f>
        <v>89719.05</v>
      </c>
    </row>
    <row r="19" spans="1:20" x14ac:dyDescent="0.35">
      <c r="A19" s="1" t="s">
        <v>236</v>
      </c>
      <c r="B19" s="194">
        <f>SUM(B14:B18)</f>
        <v>249.33</v>
      </c>
      <c r="D19" s="194">
        <f>SUM(D14:D18)</f>
        <v>249.33</v>
      </c>
      <c r="I19" s="194">
        <f>SUM(I14:I18)</f>
        <v>2991.96</v>
      </c>
      <c r="J19" s="194">
        <f>SUM(J14:J18)</f>
        <v>2991.96</v>
      </c>
      <c r="M19" s="194"/>
      <c r="O19" s="359"/>
      <c r="P19" s="359"/>
      <c r="Q19" s="359"/>
      <c r="R19" s="359"/>
      <c r="S19" s="359"/>
      <c r="T19" s="360">
        <v>-21684.68</v>
      </c>
    </row>
    <row r="20" spans="1:20" x14ac:dyDescent="0.35">
      <c r="I20" s="194"/>
      <c r="M20" s="194"/>
      <c r="O20" s="359"/>
      <c r="P20" s="359"/>
      <c r="Q20" s="359"/>
      <c r="R20" s="359"/>
      <c r="S20" s="359"/>
      <c r="T20" s="359">
        <f>T18+T19</f>
        <v>68034.37</v>
      </c>
    </row>
    <row r="21" spans="1:20" x14ac:dyDescent="0.35">
      <c r="A21" s="209" t="s">
        <v>309</v>
      </c>
      <c r="J21" s="195"/>
      <c r="K21" s="155"/>
      <c r="L21" s="195"/>
    </row>
    <row r="22" spans="1:20" x14ac:dyDescent="0.35">
      <c r="A22" s="198" t="s">
        <v>306</v>
      </c>
      <c r="B22" s="194">
        <v>15.3</v>
      </c>
      <c r="D22" s="194">
        <f>B22</f>
        <v>15.3</v>
      </c>
      <c r="E22" s="194">
        <v>0</v>
      </c>
      <c r="F22" s="153">
        <f t="shared" ref="F22:F25" si="20">E22/D22</f>
        <v>0</v>
      </c>
      <c r="G22" s="193">
        <f t="shared" ref="G22:G26" si="21">1-F22</f>
        <v>1</v>
      </c>
      <c r="H22" s="206">
        <v>1</v>
      </c>
      <c r="I22" s="151">
        <f>D22*H22*12</f>
        <v>183.60000000000002</v>
      </c>
      <c r="J22" s="194">
        <f>D22*G22*H22*12</f>
        <v>183.60000000000002</v>
      </c>
      <c r="K22" s="207"/>
      <c r="M22" s="151"/>
    </row>
    <row r="23" spans="1:20" x14ac:dyDescent="0.35">
      <c r="A23" s="198" t="s">
        <v>306</v>
      </c>
      <c r="B23" s="194">
        <v>15.3</v>
      </c>
      <c r="D23" s="194">
        <f t="shared" ref="D23:D26" si="22">B23</f>
        <v>15.3</v>
      </c>
      <c r="E23" s="194">
        <v>0</v>
      </c>
      <c r="F23" s="153">
        <f t="shared" si="20"/>
        <v>0</v>
      </c>
      <c r="G23" s="193">
        <f t="shared" si="21"/>
        <v>1</v>
      </c>
      <c r="H23" s="206">
        <v>1</v>
      </c>
      <c r="I23" s="151">
        <f>D23*H23*12</f>
        <v>183.60000000000002</v>
      </c>
      <c r="J23" s="194">
        <f>D23*G23*H23*12</f>
        <v>183.60000000000002</v>
      </c>
      <c r="K23" s="207"/>
      <c r="M23" s="151"/>
    </row>
    <row r="24" spans="1:20" x14ac:dyDescent="0.35">
      <c r="A24" s="198" t="s">
        <v>306</v>
      </c>
      <c r="B24" s="194">
        <v>15.3</v>
      </c>
      <c r="D24" s="194">
        <f t="shared" si="22"/>
        <v>15.3</v>
      </c>
      <c r="E24" s="194">
        <v>0</v>
      </c>
      <c r="F24" s="153">
        <f t="shared" si="20"/>
        <v>0</v>
      </c>
      <c r="G24" s="193">
        <f t="shared" si="21"/>
        <v>1</v>
      </c>
      <c r="H24" s="206">
        <v>1</v>
      </c>
      <c r="I24" s="151">
        <f>D24*H24*12</f>
        <v>183.60000000000002</v>
      </c>
      <c r="J24" s="194">
        <f>D24*G24*H24*12</f>
        <v>183.60000000000002</v>
      </c>
      <c r="K24" s="207"/>
      <c r="M24" s="151"/>
    </row>
    <row r="25" spans="1:20" x14ac:dyDescent="0.35">
      <c r="A25" s="198" t="s">
        <v>307</v>
      </c>
      <c r="B25" s="194">
        <v>22.17</v>
      </c>
      <c r="D25" s="194">
        <f t="shared" si="22"/>
        <v>22.17</v>
      </c>
      <c r="E25" s="194">
        <v>0</v>
      </c>
      <c r="F25" s="153">
        <f t="shared" si="20"/>
        <v>0</v>
      </c>
      <c r="G25" s="193">
        <f t="shared" si="21"/>
        <v>1</v>
      </c>
      <c r="H25" s="206">
        <v>1</v>
      </c>
      <c r="I25" s="151">
        <f>D25*H25*12</f>
        <v>266.04000000000002</v>
      </c>
      <c r="J25" s="194">
        <f>D25*G25*H25*12</f>
        <v>266.04000000000002</v>
      </c>
      <c r="K25" s="207"/>
      <c r="M25" s="151"/>
    </row>
    <row r="26" spans="1:20" x14ac:dyDescent="0.35">
      <c r="A26" s="1" t="s">
        <v>308</v>
      </c>
      <c r="B26" s="197">
        <v>7.65</v>
      </c>
      <c r="C26" s="197"/>
      <c r="D26" s="197">
        <f t="shared" si="22"/>
        <v>7.65</v>
      </c>
      <c r="E26" s="197">
        <v>0</v>
      </c>
      <c r="F26" s="153">
        <f>E26/D26</f>
        <v>0</v>
      </c>
      <c r="G26" s="193">
        <f t="shared" si="21"/>
        <v>1</v>
      </c>
      <c r="H26" s="206">
        <v>1</v>
      </c>
      <c r="I26" s="199">
        <f>D26*H26*12</f>
        <v>91.800000000000011</v>
      </c>
      <c r="J26" s="197">
        <f>D26*G26*H26*12</f>
        <v>91.800000000000011</v>
      </c>
      <c r="K26" s="154"/>
      <c r="M26" s="151"/>
    </row>
    <row r="27" spans="1:20" x14ac:dyDescent="0.35">
      <c r="A27" s="1" t="s">
        <v>236</v>
      </c>
      <c r="B27" s="194">
        <f>SUM(B22:B26)</f>
        <v>75.720000000000013</v>
      </c>
      <c r="D27" s="194">
        <f>SUM(D22:D26)</f>
        <v>75.720000000000013</v>
      </c>
      <c r="I27" s="194">
        <f>SUM(I22:I26)</f>
        <v>908.6400000000001</v>
      </c>
      <c r="J27" s="194">
        <f>SUM(J22:J26)</f>
        <v>908.6400000000001</v>
      </c>
      <c r="M27" s="194"/>
    </row>
    <row r="28" spans="1:20" x14ac:dyDescent="0.35">
      <c r="I28" s="194"/>
      <c r="M28" s="194"/>
    </row>
    <row r="29" spans="1:20" x14ac:dyDescent="0.35">
      <c r="A29" s="256" t="s">
        <v>310</v>
      </c>
      <c r="I29" s="194"/>
      <c r="M29" s="194"/>
    </row>
    <row r="30" spans="1:20" x14ac:dyDescent="0.35">
      <c r="A30" s="21">
        <v>1</v>
      </c>
      <c r="B30" s="194">
        <v>17.95</v>
      </c>
      <c r="D30" s="194">
        <f t="shared" ref="D30:D36" si="23">B30</f>
        <v>17.95</v>
      </c>
      <c r="E30" s="194">
        <v>0</v>
      </c>
      <c r="F30" s="153">
        <f t="shared" ref="F30:F36" si="24">E30/D30</f>
        <v>0</v>
      </c>
      <c r="G30" s="193">
        <f t="shared" ref="G30:G36" si="25">1-F30</f>
        <v>1</v>
      </c>
      <c r="H30" s="206">
        <v>1</v>
      </c>
      <c r="I30" s="151">
        <f t="shared" ref="I30:I36" si="26">D30*H30*12</f>
        <v>215.39999999999998</v>
      </c>
      <c r="J30" s="194">
        <f t="shared" ref="J30:J36" si="27">D30*G30*H30*12</f>
        <v>215.39999999999998</v>
      </c>
      <c r="K30" s="1"/>
      <c r="M30" s="151"/>
    </row>
    <row r="31" spans="1:20" x14ac:dyDescent="0.35">
      <c r="A31" s="21">
        <v>2</v>
      </c>
      <c r="B31" s="194">
        <v>11.67</v>
      </c>
      <c r="D31" s="194">
        <f t="shared" si="23"/>
        <v>11.67</v>
      </c>
      <c r="E31" s="194">
        <v>0</v>
      </c>
      <c r="F31" s="153">
        <f t="shared" si="24"/>
        <v>0</v>
      </c>
      <c r="G31" s="193">
        <f t="shared" si="25"/>
        <v>1</v>
      </c>
      <c r="H31" s="206">
        <v>1</v>
      </c>
      <c r="I31" s="151">
        <f t="shared" si="26"/>
        <v>140.04</v>
      </c>
      <c r="J31" s="194">
        <f t="shared" si="27"/>
        <v>140.04</v>
      </c>
      <c r="K31" s="1"/>
      <c r="M31" s="151"/>
    </row>
    <row r="32" spans="1:20" x14ac:dyDescent="0.35">
      <c r="A32" s="21">
        <v>3</v>
      </c>
      <c r="B32" s="194">
        <v>17.95</v>
      </c>
      <c r="D32" s="194">
        <f t="shared" si="23"/>
        <v>17.95</v>
      </c>
      <c r="E32" s="194">
        <v>0</v>
      </c>
      <c r="F32" s="153">
        <f t="shared" si="24"/>
        <v>0</v>
      </c>
      <c r="G32" s="193">
        <f t="shared" si="25"/>
        <v>1</v>
      </c>
      <c r="H32" s="206">
        <v>1</v>
      </c>
      <c r="I32" s="151">
        <f t="shared" si="26"/>
        <v>215.39999999999998</v>
      </c>
      <c r="J32" s="194">
        <f t="shared" si="27"/>
        <v>215.39999999999998</v>
      </c>
      <c r="K32" s="1"/>
      <c r="M32" s="151"/>
    </row>
    <row r="33" spans="1:13" x14ac:dyDescent="0.35">
      <c r="A33" s="21">
        <v>4</v>
      </c>
      <c r="B33" s="194">
        <v>17.95</v>
      </c>
      <c r="D33" s="194">
        <f t="shared" si="23"/>
        <v>17.95</v>
      </c>
      <c r="E33" s="194">
        <v>0</v>
      </c>
      <c r="F33" s="153">
        <f t="shared" si="24"/>
        <v>0</v>
      </c>
      <c r="G33" s="193">
        <f t="shared" si="25"/>
        <v>1</v>
      </c>
      <c r="H33" s="206">
        <v>1</v>
      </c>
      <c r="I33" s="151">
        <f t="shared" si="26"/>
        <v>215.39999999999998</v>
      </c>
      <c r="J33" s="194">
        <f t="shared" si="27"/>
        <v>215.39999999999998</v>
      </c>
      <c r="K33" s="1"/>
      <c r="M33" s="151"/>
    </row>
    <row r="34" spans="1:13" x14ac:dyDescent="0.35">
      <c r="A34" s="21">
        <v>5</v>
      </c>
      <c r="B34" s="194">
        <v>17.95</v>
      </c>
      <c r="D34" s="194">
        <f t="shared" si="23"/>
        <v>17.95</v>
      </c>
      <c r="E34" s="194">
        <v>0</v>
      </c>
      <c r="F34" s="153">
        <f t="shared" si="24"/>
        <v>0</v>
      </c>
      <c r="G34" s="193">
        <f t="shared" si="25"/>
        <v>1</v>
      </c>
      <c r="H34" s="206">
        <v>1</v>
      </c>
      <c r="I34" s="151">
        <f t="shared" si="26"/>
        <v>215.39999999999998</v>
      </c>
      <c r="J34" s="194">
        <f t="shared" si="27"/>
        <v>215.39999999999998</v>
      </c>
      <c r="K34" s="1"/>
      <c r="M34" s="151"/>
    </row>
    <row r="35" spans="1:13" x14ac:dyDescent="0.35">
      <c r="A35" s="21">
        <v>6</v>
      </c>
      <c r="B35" s="194">
        <v>17.95</v>
      </c>
      <c r="D35" s="194">
        <f t="shared" si="23"/>
        <v>17.95</v>
      </c>
      <c r="E35" s="194">
        <v>0</v>
      </c>
      <c r="F35" s="153">
        <f t="shared" si="24"/>
        <v>0</v>
      </c>
      <c r="G35" s="193">
        <f t="shared" si="25"/>
        <v>1</v>
      </c>
      <c r="H35" s="206">
        <v>1</v>
      </c>
      <c r="I35" s="151">
        <f t="shared" si="26"/>
        <v>215.39999999999998</v>
      </c>
      <c r="J35" s="194">
        <f t="shared" si="27"/>
        <v>215.39999999999998</v>
      </c>
      <c r="K35" s="1"/>
      <c r="M35" s="151"/>
    </row>
    <row r="36" spans="1:13" x14ac:dyDescent="0.35">
      <c r="A36" s="21">
        <v>7</v>
      </c>
      <c r="B36" s="194">
        <v>17.95</v>
      </c>
      <c r="D36" s="194">
        <f t="shared" si="23"/>
        <v>17.95</v>
      </c>
      <c r="E36" s="194">
        <v>0</v>
      </c>
      <c r="F36" s="153">
        <f t="shared" si="24"/>
        <v>0</v>
      </c>
      <c r="G36" s="193">
        <f t="shared" si="25"/>
        <v>1</v>
      </c>
      <c r="H36" s="206">
        <v>1</v>
      </c>
      <c r="I36" s="151">
        <f t="shared" si="26"/>
        <v>215.39999999999998</v>
      </c>
      <c r="J36" s="197">
        <f t="shared" si="27"/>
        <v>215.39999999999998</v>
      </c>
      <c r="K36" s="1"/>
      <c r="M36" s="151"/>
    </row>
    <row r="37" spans="1:13" x14ac:dyDescent="0.35">
      <c r="B37" s="194">
        <f>SUM(B30:B36)</f>
        <v>119.37</v>
      </c>
      <c r="I37" s="194"/>
      <c r="J37" s="194">
        <f>SUM(J30:J36)</f>
        <v>1432.44</v>
      </c>
      <c r="M37" s="194"/>
    </row>
    <row r="38" spans="1:13" x14ac:dyDescent="0.35">
      <c r="I38" s="194"/>
      <c r="M38" s="194"/>
    </row>
    <row r="39" spans="1:13" x14ac:dyDescent="0.35">
      <c r="A39" s="1" t="s">
        <v>340</v>
      </c>
      <c r="I39" s="194"/>
      <c r="J39" s="194">
        <f>O18</f>
        <v>892.08000000000027</v>
      </c>
      <c r="M39" s="194"/>
    </row>
    <row r="40" spans="1:13" x14ac:dyDescent="0.35">
      <c r="I40" s="194"/>
      <c r="M40" s="194"/>
    </row>
    <row r="41" spans="1:13" x14ac:dyDescent="0.35">
      <c r="I41" s="194"/>
      <c r="M41" s="194"/>
    </row>
    <row r="42" spans="1:13" x14ac:dyDescent="0.35">
      <c r="I42" s="194"/>
      <c r="M42" s="194"/>
    </row>
    <row r="43" spans="1:13" x14ac:dyDescent="0.35">
      <c r="I43" s="194"/>
      <c r="M43" s="194"/>
    </row>
    <row r="44" spans="1:13" x14ac:dyDescent="0.35">
      <c r="A44" s="208" t="s">
        <v>324</v>
      </c>
      <c r="J44" s="210">
        <f>J11+J19+J27+J39</f>
        <v>50209.439999999995</v>
      </c>
    </row>
    <row r="45" spans="1:13" x14ac:dyDescent="0.35">
      <c r="A45" s="208" t="s">
        <v>325</v>
      </c>
      <c r="J45" s="341">
        <f>-O18-P18-R18</f>
        <v>-49480.39</v>
      </c>
    </row>
    <row r="46" spans="1:13" x14ac:dyDescent="0.35">
      <c r="A46" s="208" t="s">
        <v>326</v>
      </c>
      <c r="J46" s="210">
        <f>J44+J45</f>
        <v>729.04999999999563</v>
      </c>
      <c r="K46" s="213" t="s">
        <v>181</v>
      </c>
    </row>
    <row r="49" spans="1:14" x14ac:dyDescent="0.35">
      <c r="A49" s="208"/>
      <c r="M49" s="333"/>
      <c r="N49" s="21"/>
    </row>
    <row r="50" spans="1:14" x14ac:dyDescent="0.35">
      <c r="A50" s="1" t="s">
        <v>368</v>
      </c>
    </row>
    <row r="51" spans="1:14" x14ac:dyDescent="0.35">
      <c r="A51" s="1" t="s">
        <v>230</v>
      </c>
    </row>
    <row r="52" spans="1:14" x14ac:dyDescent="0.35">
      <c r="C52" s="258" t="s">
        <v>188</v>
      </c>
      <c r="D52" s="258" t="s">
        <v>53</v>
      </c>
      <c r="E52" s="258" t="s">
        <v>188</v>
      </c>
      <c r="F52" s="259"/>
      <c r="G52" s="260"/>
      <c r="H52" s="213"/>
      <c r="I52" s="213" t="s">
        <v>12</v>
      </c>
      <c r="J52" s="258" t="s">
        <v>238</v>
      </c>
    </row>
    <row r="53" spans="1:14" x14ac:dyDescent="0.35">
      <c r="B53" s="258" t="s">
        <v>316</v>
      </c>
      <c r="C53" s="261" t="s">
        <v>244</v>
      </c>
      <c r="D53" s="261" t="s">
        <v>188</v>
      </c>
      <c r="E53" s="258" t="s">
        <v>189</v>
      </c>
      <c r="F53" s="259" t="s">
        <v>189</v>
      </c>
      <c r="G53" s="260" t="s">
        <v>235</v>
      </c>
      <c r="H53" s="213" t="s">
        <v>228</v>
      </c>
      <c r="I53" s="213" t="s">
        <v>237</v>
      </c>
      <c r="J53" s="258" t="s">
        <v>237</v>
      </c>
    </row>
    <row r="54" spans="1:14" x14ac:dyDescent="0.35">
      <c r="A54" s="351" t="s">
        <v>91</v>
      </c>
      <c r="B54" s="262" t="s">
        <v>317</v>
      </c>
      <c r="C54" s="262" t="s">
        <v>190</v>
      </c>
      <c r="D54" s="262" t="s">
        <v>190</v>
      </c>
      <c r="E54" s="262" t="s">
        <v>191</v>
      </c>
      <c r="F54" s="263" t="s">
        <v>192</v>
      </c>
      <c r="G54" s="264" t="s">
        <v>192</v>
      </c>
      <c r="H54" s="265" t="s">
        <v>229</v>
      </c>
      <c r="I54" s="265" t="s">
        <v>193</v>
      </c>
      <c r="J54" s="262" t="s">
        <v>193</v>
      </c>
    </row>
    <row r="55" spans="1:14" x14ac:dyDescent="0.35">
      <c r="A55" s="21">
        <v>4</v>
      </c>
      <c r="B55" s="194" t="s">
        <v>313</v>
      </c>
      <c r="C55" s="194">
        <v>52.52</v>
      </c>
      <c r="D55" s="194">
        <f>C55</f>
        <v>52.52</v>
      </c>
      <c r="E55" s="194">
        <f>C55</f>
        <v>52.52</v>
      </c>
      <c r="F55" s="153">
        <f t="shared" ref="F55:F58" si="28">E55/D55</f>
        <v>1</v>
      </c>
      <c r="G55" s="193">
        <f t="shared" ref="G55:G58" si="29">1-F55</f>
        <v>0</v>
      </c>
      <c r="H55" s="206">
        <v>1</v>
      </c>
      <c r="I55" s="151">
        <f>D55*H55*12</f>
        <v>630.24</v>
      </c>
      <c r="J55" s="194">
        <f>D55*G55*H55*12</f>
        <v>0</v>
      </c>
      <c r="K55" s="352" t="s">
        <v>296</v>
      </c>
    </row>
    <row r="56" spans="1:14" x14ac:dyDescent="0.35">
      <c r="A56" s="21">
        <v>4</v>
      </c>
      <c r="B56" s="194" t="s">
        <v>314</v>
      </c>
      <c r="C56" s="194">
        <v>54.34</v>
      </c>
      <c r="D56" s="194">
        <f t="shared" ref="D56:D65" si="30">C56</f>
        <v>54.34</v>
      </c>
      <c r="E56" s="194">
        <f t="shared" ref="E56:E65" si="31">C56</f>
        <v>54.34</v>
      </c>
      <c r="F56" s="153">
        <f t="shared" si="28"/>
        <v>1</v>
      </c>
      <c r="G56" s="193">
        <f t="shared" si="29"/>
        <v>0</v>
      </c>
      <c r="H56" s="206">
        <v>1</v>
      </c>
      <c r="I56" s="151">
        <f t="shared" ref="I56:I59" si="32">D56*H56*12</f>
        <v>652.08000000000004</v>
      </c>
      <c r="J56" s="194">
        <f t="shared" ref="J56:J59" si="33">D56*G56*H56*12</f>
        <v>0</v>
      </c>
      <c r="K56" s="352" t="s">
        <v>296</v>
      </c>
    </row>
    <row r="57" spans="1:14" x14ac:dyDescent="0.35">
      <c r="A57" s="21">
        <v>4</v>
      </c>
      <c r="B57" s="194" t="s">
        <v>315</v>
      </c>
      <c r="C57" s="194">
        <v>71.69</v>
      </c>
      <c r="D57" s="194">
        <f t="shared" si="30"/>
        <v>71.69</v>
      </c>
      <c r="E57" s="194">
        <f t="shared" si="31"/>
        <v>71.69</v>
      </c>
      <c r="F57" s="153">
        <f t="shared" si="28"/>
        <v>1</v>
      </c>
      <c r="G57" s="193">
        <f t="shared" si="29"/>
        <v>0</v>
      </c>
      <c r="H57" s="206">
        <v>1</v>
      </c>
      <c r="I57" s="151">
        <f t="shared" si="32"/>
        <v>860.28</v>
      </c>
      <c r="J57" s="194">
        <f t="shared" si="33"/>
        <v>0</v>
      </c>
      <c r="K57" s="352" t="s">
        <v>296</v>
      </c>
    </row>
    <row r="58" spans="1:14" x14ac:dyDescent="0.35">
      <c r="A58" s="21">
        <v>4</v>
      </c>
      <c r="B58" s="194" t="s">
        <v>313</v>
      </c>
      <c r="C58" s="194">
        <v>26.72</v>
      </c>
      <c r="D58" s="194">
        <f t="shared" si="30"/>
        <v>26.72</v>
      </c>
      <c r="E58" s="194">
        <f t="shared" si="31"/>
        <v>26.72</v>
      </c>
      <c r="F58" s="153">
        <f t="shared" si="28"/>
        <v>1</v>
      </c>
      <c r="G58" s="193">
        <f t="shared" si="29"/>
        <v>0</v>
      </c>
      <c r="H58" s="206">
        <v>1</v>
      </c>
      <c r="I58" s="151">
        <f t="shared" si="32"/>
        <v>320.64</v>
      </c>
      <c r="J58" s="194">
        <f t="shared" si="33"/>
        <v>0</v>
      </c>
      <c r="K58" s="352" t="s">
        <v>297</v>
      </c>
    </row>
    <row r="59" spans="1:14" x14ac:dyDescent="0.35">
      <c r="A59" s="21">
        <v>2</v>
      </c>
      <c r="B59" s="194" t="s">
        <v>315</v>
      </c>
      <c r="C59" s="194">
        <v>66.95</v>
      </c>
      <c r="D59" s="194">
        <f t="shared" si="30"/>
        <v>66.95</v>
      </c>
      <c r="E59" s="194">
        <f t="shared" si="31"/>
        <v>66.95</v>
      </c>
      <c r="F59" s="153">
        <f>E59/D59</f>
        <v>1</v>
      </c>
      <c r="G59" s="193">
        <f>1-F59</f>
        <v>0</v>
      </c>
      <c r="H59" s="206">
        <v>1</v>
      </c>
      <c r="I59" s="151">
        <f t="shared" si="32"/>
        <v>803.40000000000009</v>
      </c>
      <c r="J59" s="194">
        <f t="shared" si="33"/>
        <v>0</v>
      </c>
      <c r="K59" s="352" t="s">
        <v>294</v>
      </c>
    </row>
    <row r="60" spans="1:14" x14ac:dyDescent="0.35">
      <c r="A60" s="21">
        <v>2</v>
      </c>
      <c r="B60" s="194" t="s">
        <v>314</v>
      </c>
      <c r="C60" s="194">
        <v>42.64</v>
      </c>
      <c r="D60" s="194">
        <f t="shared" si="30"/>
        <v>42.64</v>
      </c>
      <c r="E60" s="194">
        <f t="shared" si="31"/>
        <v>42.64</v>
      </c>
      <c r="F60" s="153">
        <f t="shared" ref="F60:F65" si="34">E60/D60</f>
        <v>1</v>
      </c>
      <c r="G60" s="193">
        <f t="shared" ref="G60:G65" si="35">1-F60</f>
        <v>0</v>
      </c>
      <c r="H60" s="206">
        <v>1</v>
      </c>
      <c r="I60" s="151">
        <f t="shared" ref="I60:I65" si="36">D60*H60*12</f>
        <v>511.68</v>
      </c>
      <c r="J60" s="194">
        <f t="shared" ref="J60:J65" si="37">D60*G60*H60*12</f>
        <v>0</v>
      </c>
      <c r="K60" s="352" t="s">
        <v>294</v>
      </c>
    </row>
    <row r="61" spans="1:14" x14ac:dyDescent="0.35">
      <c r="A61" s="21">
        <v>2</v>
      </c>
      <c r="B61" s="194" t="s">
        <v>313</v>
      </c>
      <c r="C61" s="194">
        <v>31.2</v>
      </c>
      <c r="D61" s="194">
        <f t="shared" si="30"/>
        <v>31.2</v>
      </c>
      <c r="E61" s="194">
        <f t="shared" si="31"/>
        <v>31.2</v>
      </c>
      <c r="F61" s="153">
        <f t="shared" si="34"/>
        <v>1</v>
      </c>
      <c r="G61" s="193">
        <f t="shared" si="35"/>
        <v>0</v>
      </c>
      <c r="H61" s="206">
        <v>1</v>
      </c>
      <c r="I61" s="151">
        <f t="shared" si="36"/>
        <v>374.4</v>
      </c>
      <c r="J61" s="194">
        <f t="shared" si="37"/>
        <v>0</v>
      </c>
      <c r="K61" s="352" t="s">
        <v>294</v>
      </c>
    </row>
    <row r="62" spans="1:14" x14ac:dyDescent="0.35">
      <c r="A62" s="21">
        <v>3</v>
      </c>
      <c r="B62" s="194" t="s">
        <v>313</v>
      </c>
      <c r="C62" s="194">
        <v>37.57</v>
      </c>
      <c r="D62" s="194">
        <f t="shared" si="30"/>
        <v>37.57</v>
      </c>
      <c r="E62" s="194">
        <f t="shared" si="31"/>
        <v>37.57</v>
      </c>
      <c r="F62" s="153">
        <f t="shared" si="34"/>
        <v>1</v>
      </c>
      <c r="G62" s="193">
        <f t="shared" si="35"/>
        <v>0</v>
      </c>
      <c r="H62" s="206">
        <v>1</v>
      </c>
      <c r="I62" s="151">
        <f t="shared" si="36"/>
        <v>450.84000000000003</v>
      </c>
      <c r="J62" s="194">
        <f t="shared" si="37"/>
        <v>0</v>
      </c>
      <c r="K62" s="352" t="s">
        <v>295</v>
      </c>
    </row>
    <row r="63" spans="1:14" x14ac:dyDescent="0.35">
      <c r="A63" s="21">
        <v>1</v>
      </c>
      <c r="B63" s="194" t="s">
        <v>314</v>
      </c>
      <c r="C63" s="194">
        <v>40.69</v>
      </c>
      <c r="D63" s="194">
        <f t="shared" si="30"/>
        <v>40.69</v>
      </c>
      <c r="E63" s="194">
        <f t="shared" si="31"/>
        <v>40.69</v>
      </c>
      <c r="F63" s="153">
        <f t="shared" si="34"/>
        <v>1</v>
      </c>
      <c r="G63" s="193">
        <f t="shared" si="35"/>
        <v>0</v>
      </c>
      <c r="H63" s="206">
        <v>1</v>
      </c>
      <c r="I63" s="151">
        <f t="shared" si="36"/>
        <v>488.28</v>
      </c>
      <c r="J63" s="194">
        <f t="shared" si="37"/>
        <v>0</v>
      </c>
      <c r="K63" s="352" t="s">
        <v>311</v>
      </c>
    </row>
    <row r="64" spans="1:14" x14ac:dyDescent="0.35">
      <c r="A64" s="21">
        <v>1</v>
      </c>
      <c r="B64" s="194" t="s">
        <v>313</v>
      </c>
      <c r="C64" s="194">
        <v>47.84</v>
      </c>
      <c r="D64" s="194">
        <f t="shared" si="30"/>
        <v>47.84</v>
      </c>
      <c r="E64" s="194">
        <f t="shared" si="31"/>
        <v>47.84</v>
      </c>
      <c r="F64" s="153">
        <f t="shared" si="34"/>
        <v>1</v>
      </c>
      <c r="G64" s="193">
        <f t="shared" si="35"/>
        <v>0</v>
      </c>
      <c r="H64" s="206">
        <v>1</v>
      </c>
      <c r="I64" s="151">
        <f t="shared" si="36"/>
        <v>574.08000000000004</v>
      </c>
      <c r="J64" s="194">
        <f t="shared" si="37"/>
        <v>0</v>
      </c>
      <c r="K64" s="352" t="s">
        <v>311</v>
      </c>
    </row>
    <row r="65" spans="1:11" x14ac:dyDescent="0.35">
      <c r="A65" s="21">
        <v>6</v>
      </c>
      <c r="B65" s="194" t="s">
        <v>313</v>
      </c>
      <c r="C65" s="197">
        <v>56.52</v>
      </c>
      <c r="D65" s="194">
        <f t="shared" si="30"/>
        <v>56.52</v>
      </c>
      <c r="E65" s="197">
        <f t="shared" si="31"/>
        <v>56.52</v>
      </c>
      <c r="F65" s="254">
        <f t="shared" si="34"/>
        <v>1</v>
      </c>
      <c r="G65" s="255">
        <f t="shared" si="35"/>
        <v>0</v>
      </c>
      <c r="H65" s="257">
        <v>1</v>
      </c>
      <c r="I65" s="199">
        <f t="shared" si="36"/>
        <v>678.24</v>
      </c>
      <c r="J65" s="197">
        <f t="shared" si="37"/>
        <v>0</v>
      </c>
      <c r="K65" s="352" t="s">
        <v>312</v>
      </c>
    </row>
    <row r="66" spans="1:11" x14ac:dyDescent="0.35">
      <c r="C66" s="194">
        <f>SUM(C55:C65)</f>
        <v>528.67999999999995</v>
      </c>
      <c r="E66" s="194">
        <f>SUM(E55:E65)</f>
        <v>528.67999999999995</v>
      </c>
      <c r="I66" s="151">
        <f>SUM(I55:I65)</f>
        <v>6344.16</v>
      </c>
      <c r="J66" s="194">
        <f>SUM(J55:J65)</f>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630B1-5320-458A-B984-AF0BD6A9981A}">
  <sheetPr>
    <tabColor rgb="FF92D050"/>
    <pageSetUpPr fitToPage="1"/>
  </sheetPr>
  <dimension ref="B1:S26"/>
  <sheetViews>
    <sheetView showGridLines="0" topLeftCell="A3" workbookViewId="0">
      <selection sqref="A1:O24"/>
    </sheetView>
  </sheetViews>
  <sheetFormatPr defaultRowHeight="15.5" x14ac:dyDescent="0.35"/>
  <cols>
    <col min="1" max="1" width="1.765625" customWidth="1"/>
    <col min="2" max="2" width="17.765625" customWidth="1"/>
    <col min="3" max="12" width="7.765625" customWidth="1"/>
    <col min="13" max="13" width="11.15234375" bestFit="1" customWidth="1"/>
    <col min="14" max="14" width="0.765625" customWidth="1"/>
    <col min="15" max="15" width="2.3046875" customWidth="1"/>
    <col min="16" max="16" width="9.69140625" customWidth="1"/>
    <col min="17" max="17" width="10.61328125" customWidth="1"/>
  </cols>
  <sheetData>
    <row r="1" spans="2:19" x14ac:dyDescent="0.35">
      <c r="B1" s="18"/>
      <c r="C1" s="18"/>
      <c r="D1" s="18"/>
      <c r="E1" s="18"/>
      <c r="F1" s="18"/>
      <c r="G1" s="18"/>
      <c r="H1" s="18"/>
      <c r="I1" s="18"/>
      <c r="J1" s="18"/>
      <c r="K1" s="18"/>
      <c r="L1" s="18"/>
      <c r="M1" s="18"/>
      <c r="N1" s="18"/>
      <c r="O1" s="18"/>
      <c r="P1" s="18"/>
    </row>
    <row r="2" spans="2:19" x14ac:dyDescent="0.35">
      <c r="B2" s="274"/>
      <c r="C2" s="275"/>
      <c r="D2" s="275"/>
      <c r="E2" s="275"/>
      <c r="F2" s="275"/>
      <c r="G2" s="275"/>
      <c r="H2" s="275"/>
      <c r="I2" s="275"/>
      <c r="J2" s="275"/>
      <c r="K2" s="275"/>
      <c r="L2" s="275"/>
      <c r="M2" s="275"/>
      <c r="N2" s="93"/>
      <c r="O2" s="18"/>
      <c r="P2" s="18"/>
    </row>
    <row r="3" spans="2:19" ht="18" x14ac:dyDescent="0.4">
      <c r="B3" s="276" t="s">
        <v>110</v>
      </c>
      <c r="C3" s="277"/>
      <c r="D3" s="277"/>
      <c r="E3" s="277"/>
      <c r="F3" s="277"/>
      <c r="G3" s="277"/>
      <c r="H3" s="277"/>
      <c r="I3" s="277"/>
      <c r="J3" s="277"/>
      <c r="K3" s="277"/>
      <c r="L3" s="277"/>
      <c r="M3" s="277"/>
      <c r="N3" s="92"/>
      <c r="O3" s="18"/>
      <c r="P3" s="18"/>
    </row>
    <row r="4" spans="2:19" ht="18" x14ac:dyDescent="0.4">
      <c r="B4" s="278" t="s">
        <v>111</v>
      </c>
      <c r="C4" s="279"/>
      <c r="D4" s="279"/>
      <c r="E4" s="279"/>
      <c r="F4" s="279"/>
      <c r="G4" s="279"/>
      <c r="H4" s="279"/>
      <c r="I4" s="279"/>
      <c r="J4" s="279"/>
      <c r="K4" s="279"/>
      <c r="L4" s="279"/>
      <c r="M4" s="279"/>
      <c r="N4" s="92"/>
      <c r="O4" s="18"/>
      <c r="P4" s="18"/>
    </row>
    <row r="5" spans="2:19" x14ac:dyDescent="0.35">
      <c r="B5" s="280" t="s">
        <v>214</v>
      </c>
      <c r="C5" s="277"/>
      <c r="D5" s="277"/>
      <c r="E5" s="277"/>
      <c r="F5" s="277"/>
      <c r="G5" s="277"/>
      <c r="H5" s="277"/>
      <c r="I5" s="277"/>
      <c r="J5" s="277"/>
      <c r="K5" s="277"/>
      <c r="L5" s="277"/>
      <c r="M5" s="277"/>
      <c r="N5" s="92"/>
      <c r="O5" s="18"/>
      <c r="P5" s="18"/>
    </row>
    <row r="6" spans="2:19" x14ac:dyDescent="0.35">
      <c r="B6" s="281" t="s">
        <v>272</v>
      </c>
      <c r="C6" s="282"/>
      <c r="D6" s="282"/>
      <c r="E6" s="282"/>
      <c r="F6" s="282"/>
      <c r="G6" s="282"/>
      <c r="H6" s="282"/>
      <c r="I6" s="282"/>
      <c r="J6" s="282"/>
      <c r="K6" s="282"/>
      <c r="L6" s="282"/>
      <c r="M6" s="282"/>
      <c r="N6" s="92"/>
      <c r="O6" s="18"/>
      <c r="P6" s="18"/>
    </row>
    <row r="7" spans="2:19" x14ac:dyDescent="0.35">
      <c r="B7" s="283"/>
      <c r="C7" s="282"/>
      <c r="D7" s="282"/>
      <c r="E7" s="282"/>
      <c r="F7" s="282"/>
      <c r="G7" s="282"/>
      <c r="H7" s="282"/>
      <c r="I7" s="282"/>
      <c r="J7" s="282"/>
      <c r="K7" s="282"/>
      <c r="L7" s="282"/>
      <c r="M7" s="282"/>
      <c r="N7" s="92"/>
      <c r="O7" s="18"/>
      <c r="P7" s="18"/>
    </row>
    <row r="8" spans="2:19" x14ac:dyDescent="0.35">
      <c r="B8" s="284"/>
      <c r="C8" s="285"/>
      <c r="D8" s="286"/>
      <c r="E8" s="285"/>
      <c r="F8" s="287"/>
      <c r="G8" s="285"/>
      <c r="H8" s="287"/>
      <c r="I8" s="285"/>
      <c r="J8" s="287"/>
      <c r="K8" s="285"/>
      <c r="L8" s="287"/>
      <c r="M8" s="286"/>
      <c r="N8" s="93"/>
      <c r="O8" s="18"/>
      <c r="P8" s="18"/>
    </row>
    <row r="9" spans="2:19" ht="17" x14ac:dyDescent="0.35">
      <c r="B9" s="288"/>
      <c r="C9" s="402" t="s">
        <v>112</v>
      </c>
      <c r="D9" s="403"/>
      <c r="E9" s="402" t="s">
        <v>268</v>
      </c>
      <c r="F9" s="403"/>
      <c r="G9" s="402" t="s">
        <v>269</v>
      </c>
      <c r="H9" s="403"/>
      <c r="I9" s="402" t="s">
        <v>270</v>
      </c>
      <c r="J9" s="403"/>
      <c r="K9" s="402" t="s">
        <v>271</v>
      </c>
      <c r="L9" s="403"/>
      <c r="M9" s="290"/>
      <c r="N9" s="92"/>
      <c r="O9" s="18"/>
      <c r="P9" s="18"/>
    </row>
    <row r="10" spans="2:19" ht="17" x14ac:dyDescent="0.35">
      <c r="B10" s="288"/>
      <c r="C10" s="291"/>
      <c r="D10" s="292" t="s">
        <v>113</v>
      </c>
      <c r="E10" s="293"/>
      <c r="F10" s="292" t="s">
        <v>113</v>
      </c>
      <c r="G10" s="293"/>
      <c r="H10" s="292" t="s">
        <v>113</v>
      </c>
      <c r="I10" s="293"/>
      <c r="J10" s="292" t="s">
        <v>113</v>
      </c>
      <c r="K10" s="293"/>
      <c r="L10" s="292" t="s">
        <v>113</v>
      </c>
      <c r="M10" s="290"/>
      <c r="N10" s="92"/>
      <c r="O10" s="18"/>
      <c r="P10" s="343"/>
      <c r="Q10" s="344" t="s">
        <v>347</v>
      </c>
    </row>
    <row r="11" spans="2:19" ht="17" x14ac:dyDescent="0.35">
      <c r="B11" s="288"/>
      <c r="C11" s="291" t="s">
        <v>114</v>
      </c>
      <c r="D11" s="289" t="s">
        <v>115</v>
      </c>
      <c r="E11" s="291" t="s">
        <v>114</v>
      </c>
      <c r="F11" s="289" t="s">
        <v>115</v>
      </c>
      <c r="G11" s="291" t="s">
        <v>114</v>
      </c>
      <c r="H11" s="289" t="s">
        <v>115</v>
      </c>
      <c r="I11" s="291" t="s">
        <v>114</v>
      </c>
      <c r="J11" s="289" t="s">
        <v>115</v>
      </c>
      <c r="K11" s="291" t="s">
        <v>114</v>
      </c>
      <c r="L11" s="289" t="s">
        <v>115</v>
      </c>
      <c r="M11" s="294" t="s">
        <v>81</v>
      </c>
      <c r="N11" s="92"/>
      <c r="O11" s="18"/>
      <c r="P11" s="345" t="s">
        <v>346</v>
      </c>
      <c r="Q11" s="346" t="s">
        <v>348</v>
      </c>
    </row>
    <row r="12" spans="2:19" ht="15.4" customHeight="1" x14ac:dyDescent="0.35">
      <c r="B12" s="295" t="s">
        <v>318</v>
      </c>
      <c r="C12" s="273">
        <v>12096</v>
      </c>
      <c r="D12" s="121">
        <v>15947.88</v>
      </c>
      <c r="E12" s="296">
        <v>12429</v>
      </c>
      <c r="F12" s="297">
        <v>15615.24</v>
      </c>
      <c r="G12" s="298">
        <v>12771</v>
      </c>
      <c r="H12" s="297">
        <v>15273.44</v>
      </c>
      <c r="I12" s="298">
        <v>13122</v>
      </c>
      <c r="J12" s="297">
        <v>14922.24</v>
      </c>
      <c r="K12" s="298">
        <v>13483</v>
      </c>
      <c r="L12" s="297">
        <v>14561.38</v>
      </c>
      <c r="M12" s="299">
        <f t="shared" ref="M12:M15" si="0">SUM(C12:L12)</f>
        <v>140221.18</v>
      </c>
      <c r="N12" s="92"/>
      <c r="O12" s="18"/>
      <c r="P12" s="18">
        <v>656000</v>
      </c>
      <c r="Q12" s="332" t="s">
        <v>350</v>
      </c>
    </row>
    <row r="13" spans="2:19" ht="15.4" customHeight="1" x14ac:dyDescent="0.35">
      <c r="B13" s="288" t="s">
        <v>319</v>
      </c>
      <c r="C13" s="298">
        <v>32833.4</v>
      </c>
      <c r="D13" s="300">
        <v>48053.69</v>
      </c>
      <c r="E13" s="301">
        <v>33621.730000000003</v>
      </c>
      <c r="F13" s="302">
        <v>47265.36</v>
      </c>
      <c r="G13" s="301">
        <v>34429</v>
      </c>
      <c r="H13" s="302">
        <v>46458.09</v>
      </c>
      <c r="I13" s="301">
        <v>35255.65</v>
      </c>
      <c r="J13" s="302">
        <v>45631.44</v>
      </c>
      <c r="K13" s="301">
        <v>36102.14</v>
      </c>
      <c r="L13" s="302">
        <v>44784.95</v>
      </c>
      <c r="M13" s="299">
        <f t="shared" si="0"/>
        <v>404435.45</v>
      </c>
      <c r="N13" s="92"/>
      <c r="O13" s="18"/>
      <c r="P13" s="18">
        <v>2033446.73</v>
      </c>
      <c r="Q13" s="332" t="s">
        <v>352</v>
      </c>
    </row>
    <row r="14" spans="2:19" ht="15.4" customHeight="1" x14ac:dyDescent="0.35">
      <c r="B14" s="303" t="s">
        <v>320</v>
      </c>
      <c r="C14" s="301">
        <v>70000</v>
      </c>
      <c r="D14" s="304">
        <f>11706.25+10358.75+450</f>
        <v>22515</v>
      </c>
      <c r="E14" s="301">
        <v>55000</v>
      </c>
      <c r="F14" s="302">
        <f>10358.75+9300+450</f>
        <v>20108.75</v>
      </c>
      <c r="G14" s="301">
        <v>55000</v>
      </c>
      <c r="H14" s="302">
        <f>9300+8241.25+450</f>
        <v>17991.25</v>
      </c>
      <c r="I14" s="301">
        <v>60000</v>
      </c>
      <c r="J14" s="301">
        <f>8241.25+7086.25+450</f>
        <v>15777.5</v>
      </c>
      <c r="K14" s="301">
        <v>60000</v>
      </c>
      <c r="L14" s="302">
        <f>7086.25+5931.25+450</f>
        <v>13467.5</v>
      </c>
      <c r="M14" s="299">
        <f t="shared" si="0"/>
        <v>389860</v>
      </c>
      <c r="N14" s="92"/>
      <c r="O14" s="18"/>
      <c r="P14" s="18">
        <v>1515000</v>
      </c>
      <c r="Q14" s="332" t="s">
        <v>349</v>
      </c>
      <c r="S14" s="332"/>
    </row>
    <row r="15" spans="2:19" x14ac:dyDescent="0.35">
      <c r="B15" s="303" t="s">
        <v>321</v>
      </c>
      <c r="C15" s="301">
        <v>65000</v>
      </c>
      <c r="D15" s="304">
        <f>29808.75*2</f>
        <v>59617.5</v>
      </c>
      <c r="E15" s="305">
        <v>65000</v>
      </c>
      <c r="F15" s="306">
        <f>28768.75*2</f>
        <v>57537.5</v>
      </c>
      <c r="G15" s="305">
        <v>70000</v>
      </c>
      <c r="H15" s="306">
        <f>27728.75*2</f>
        <v>55457.5</v>
      </c>
      <c r="I15" s="305">
        <v>70000</v>
      </c>
      <c r="J15" s="306">
        <f>26608.75*2</f>
        <v>53217.5</v>
      </c>
      <c r="K15" s="305">
        <v>70000</v>
      </c>
      <c r="L15" s="307">
        <f>25488.7*2</f>
        <v>50977.4</v>
      </c>
      <c r="M15" s="299">
        <f t="shared" si="0"/>
        <v>616807.4</v>
      </c>
      <c r="N15" s="92"/>
      <c r="O15" s="18"/>
      <c r="P15" s="18">
        <v>2250000</v>
      </c>
      <c r="Q15" s="332" t="s">
        <v>351</v>
      </c>
      <c r="S15" s="332"/>
    </row>
    <row r="16" spans="2:19" x14ac:dyDescent="0.35">
      <c r="B16" s="347"/>
      <c r="C16" s="301"/>
      <c r="D16" s="304"/>
      <c r="E16" s="305"/>
      <c r="F16" s="306"/>
      <c r="G16" s="305"/>
      <c r="H16" s="306"/>
      <c r="I16" s="305"/>
      <c r="J16" s="306"/>
      <c r="K16" s="305"/>
      <c r="L16" s="348"/>
      <c r="M16" s="299"/>
      <c r="N16" s="92"/>
      <c r="O16" s="18"/>
      <c r="P16" s="18"/>
      <c r="S16" s="332"/>
    </row>
    <row r="17" spans="2:17" x14ac:dyDescent="0.35">
      <c r="B17" s="308" t="s">
        <v>81</v>
      </c>
      <c r="C17" s="309">
        <f>SUM(C12:C16)</f>
        <v>179929.4</v>
      </c>
      <c r="D17" s="309">
        <f t="shared" ref="D17:M17" si="1">SUM(D12:D16)</f>
        <v>146134.07</v>
      </c>
      <c r="E17" s="309">
        <f t="shared" si="1"/>
        <v>166050.73000000001</v>
      </c>
      <c r="F17" s="309">
        <f t="shared" si="1"/>
        <v>140526.85</v>
      </c>
      <c r="G17" s="309">
        <f t="shared" si="1"/>
        <v>172200</v>
      </c>
      <c r="H17" s="309">
        <f t="shared" si="1"/>
        <v>135180.28</v>
      </c>
      <c r="I17" s="309">
        <f t="shared" si="1"/>
        <v>178377.65</v>
      </c>
      <c r="J17" s="309">
        <f t="shared" si="1"/>
        <v>129548.68</v>
      </c>
      <c r="K17" s="309">
        <f t="shared" si="1"/>
        <v>179585.14</v>
      </c>
      <c r="L17" s="309">
        <f t="shared" si="1"/>
        <v>123791.22999999998</v>
      </c>
      <c r="M17" s="309">
        <f t="shared" si="1"/>
        <v>1551324.03</v>
      </c>
      <c r="N17" s="92"/>
      <c r="O17" s="18"/>
      <c r="P17" s="18">
        <f>SUM(C17:L17)</f>
        <v>1551324.0299999998</v>
      </c>
    </row>
    <row r="18" spans="2:17" x14ac:dyDescent="0.35">
      <c r="B18" s="310"/>
      <c r="C18" s="311"/>
      <c r="D18" s="312"/>
      <c r="E18" s="311"/>
      <c r="F18" s="313"/>
      <c r="G18" s="311"/>
      <c r="H18" s="313"/>
      <c r="I18" s="311"/>
      <c r="J18" s="314"/>
      <c r="K18" s="311"/>
      <c r="L18" s="313"/>
      <c r="M18" s="312"/>
      <c r="N18" s="87"/>
      <c r="O18" s="18"/>
      <c r="P18" s="18"/>
    </row>
    <row r="19" spans="2:17" x14ac:dyDescent="0.35">
      <c r="B19" s="315"/>
      <c r="C19" s="316"/>
      <c r="D19" s="316"/>
      <c r="E19" s="316"/>
      <c r="F19" s="316"/>
      <c r="G19" s="316"/>
      <c r="H19" s="316"/>
      <c r="I19" s="316"/>
      <c r="J19" s="317"/>
      <c r="K19" s="317"/>
      <c r="L19" s="317"/>
      <c r="M19" s="316"/>
      <c r="N19" s="92"/>
      <c r="O19" s="18"/>
      <c r="P19" s="18"/>
      <c r="Q19" s="372" t="s">
        <v>379</v>
      </c>
    </row>
    <row r="20" spans="2:17" x14ac:dyDescent="0.35">
      <c r="B20" s="318"/>
      <c r="C20" s="319"/>
      <c r="D20" s="320"/>
      <c r="E20" s="319"/>
      <c r="F20" s="319"/>
      <c r="G20" s="319"/>
      <c r="H20" s="319"/>
      <c r="I20" s="320" t="s">
        <v>116</v>
      </c>
      <c r="J20" s="290"/>
      <c r="K20" s="321"/>
      <c r="L20" s="322"/>
      <c r="M20" s="319">
        <f>M17/5</f>
        <v>310264.80599999998</v>
      </c>
      <c r="N20" s="92"/>
      <c r="O20" s="18"/>
      <c r="P20" s="18"/>
      <c r="Q20" s="344" t="s">
        <v>264</v>
      </c>
    </row>
    <row r="21" spans="2:17" x14ac:dyDescent="0.35">
      <c r="B21" s="323"/>
      <c r="C21" s="320"/>
      <c r="D21" s="290"/>
      <c r="E21" s="320"/>
      <c r="F21" s="320"/>
      <c r="G21" s="320"/>
      <c r="H21" s="320"/>
      <c r="I21" s="320"/>
      <c r="J21" s="290"/>
      <c r="K21" s="324"/>
      <c r="L21" s="321"/>
      <c r="M21" s="325"/>
      <c r="N21" s="92"/>
      <c r="O21" s="18"/>
      <c r="P21" s="18"/>
      <c r="Q21" s="362"/>
    </row>
    <row r="22" spans="2:17" x14ac:dyDescent="0.35">
      <c r="B22" s="318"/>
      <c r="C22" s="320"/>
      <c r="D22" s="320"/>
      <c r="E22" s="320"/>
      <c r="F22" s="320"/>
      <c r="G22" s="320"/>
      <c r="H22" s="320"/>
      <c r="I22" s="320" t="s">
        <v>117</v>
      </c>
      <c r="J22" s="290"/>
      <c r="K22" s="321"/>
      <c r="L22" s="320"/>
      <c r="M22" s="319">
        <f>M20*0.2</f>
        <v>62052.961199999998</v>
      </c>
      <c r="N22" s="92"/>
      <c r="O22" s="18"/>
      <c r="P22" s="18">
        <f>M22+M20</f>
        <v>372317.7672</v>
      </c>
      <c r="Q22" s="344" t="s">
        <v>380</v>
      </c>
    </row>
    <row r="23" spans="2:17" x14ac:dyDescent="0.35">
      <c r="B23" s="326"/>
      <c r="C23" s="327"/>
      <c r="D23" s="327"/>
      <c r="E23" s="327"/>
      <c r="F23" s="327" t="s">
        <v>200</v>
      </c>
      <c r="G23" s="327"/>
      <c r="H23" s="327"/>
      <c r="I23" s="327"/>
      <c r="J23" s="327"/>
      <c r="K23" s="327"/>
      <c r="L23" s="327"/>
      <c r="M23" s="327"/>
      <c r="N23" s="87"/>
      <c r="O23" s="18"/>
      <c r="P23" s="18"/>
    </row>
    <row r="26" spans="2:17" x14ac:dyDescent="0.35">
      <c r="I26" t="s">
        <v>361</v>
      </c>
      <c r="M26" s="357">
        <f>ROUND(D17+F17+H17+J17+L17,2)/5</f>
        <v>135036.22200000001</v>
      </c>
    </row>
  </sheetData>
  <mergeCells count="5">
    <mergeCell ref="C9:D9"/>
    <mergeCell ref="E9:F9"/>
    <mergeCell ref="G9:H9"/>
    <mergeCell ref="I9:J9"/>
    <mergeCell ref="K9:L9"/>
  </mergeCells>
  <pageMargins left="0.7" right="0.7" top="0.75" bottom="0.75" header="0.3" footer="0.3"/>
  <pageSetup scale="92" fitToHeight="0"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590D3-A7C3-4727-A9D4-F5C014E94ADB}">
  <sheetPr>
    <tabColor rgb="FF92D050"/>
    <pageSetUpPr fitToPage="1"/>
  </sheetPr>
  <dimension ref="A1:R52"/>
  <sheetViews>
    <sheetView showGridLines="0" workbookViewId="0">
      <selection sqref="A1:M47"/>
    </sheetView>
  </sheetViews>
  <sheetFormatPr defaultRowHeight="15.5" x14ac:dyDescent="0.35"/>
  <cols>
    <col min="1" max="1" width="2" customWidth="1"/>
    <col min="2" max="2" width="1.84375" customWidth="1"/>
    <col min="3" max="3" width="1.765625" customWidth="1"/>
    <col min="4" max="4" width="27.4609375" style="1" customWidth="1"/>
    <col min="5" max="5" width="8.3046875" style="1" customWidth="1"/>
    <col min="6" max="6" width="12.4609375" style="161" bestFit="1" customWidth="1"/>
    <col min="7" max="7" width="6.07421875" style="1" customWidth="1"/>
    <col min="8" max="8" width="10.3046875" style="158" bestFit="1" customWidth="1"/>
    <col min="9" max="9" width="6.07421875" customWidth="1"/>
    <col min="10" max="10" width="10.3046875" style="158" bestFit="1" customWidth="1"/>
    <col min="11" max="11" width="10.69140625" customWidth="1"/>
    <col min="12" max="12" width="1.84375" customWidth="1"/>
    <col min="13" max="13" width="2.4609375" customWidth="1"/>
    <col min="15" max="18" width="8.84375" style="1"/>
  </cols>
  <sheetData>
    <row r="1" spans="1:13" x14ac:dyDescent="0.35">
      <c r="A1" s="1"/>
      <c r="B1" s="1"/>
      <c r="C1" s="3"/>
      <c r="D1" s="3"/>
      <c r="E1" s="3"/>
      <c r="G1" s="104"/>
      <c r="H1" s="19"/>
      <c r="I1" s="104"/>
      <c r="J1" s="19"/>
      <c r="K1" s="3"/>
      <c r="L1" s="3"/>
      <c r="M1" s="3"/>
    </row>
    <row r="2" spans="1:13" x14ac:dyDescent="0.35">
      <c r="A2" s="1"/>
      <c r="B2" s="94"/>
      <c r="C2" s="96"/>
      <c r="D2" s="96"/>
      <c r="E2" s="96"/>
      <c r="F2" s="162"/>
      <c r="G2" s="105"/>
      <c r="H2" s="156"/>
      <c r="I2" s="105"/>
      <c r="J2" s="156"/>
      <c r="K2" s="96"/>
      <c r="L2" s="110"/>
      <c r="M2" s="113"/>
    </row>
    <row r="3" spans="1:13" ht="18.5" x14ac:dyDescent="0.45">
      <c r="A3" s="1"/>
      <c r="B3" s="68"/>
      <c r="C3" s="404" t="s">
        <v>27</v>
      </c>
      <c r="D3" s="404"/>
      <c r="E3" s="404"/>
      <c r="F3" s="404"/>
      <c r="G3" s="404"/>
      <c r="H3" s="404"/>
      <c r="I3" s="404"/>
      <c r="J3" s="404"/>
      <c r="K3" s="404"/>
      <c r="L3" s="111"/>
      <c r="M3" s="113"/>
    </row>
    <row r="4" spans="1:13" ht="18.5" x14ac:dyDescent="0.45">
      <c r="A4" s="1"/>
      <c r="B4" s="68"/>
      <c r="C4" s="405" t="s">
        <v>39</v>
      </c>
      <c r="D4" s="405"/>
      <c r="E4" s="405"/>
      <c r="F4" s="405"/>
      <c r="G4" s="405"/>
      <c r="H4" s="405"/>
      <c r="I4" s="405"/>
      <c r="J4" s="405"/>
      <c r="K4" s="405"/>
      <c r="L4" s="111"/>
      <c r="M4" s="113"/>
    </row>
    <row r="5" spans="1:13" x14ac:dyDescent="0.35">
      <c r="A5" s="1"/>
      <c r="B5" s="68"/>
      <c r="C5" s="406" t="s">
        <v>214</v>
      </c>
      <c r="D5" s="406"/>
      <c r="E5" s="406"/>
      <c r="F5" s="406"/>
      <c r="G5" s="406"/>
      <c r="H5" s="406"/>
      <c r="I5" s="406"/>
      <c r="J5" s="406"/>
      <c r="K5" s="406"/>
      <c r="L5" s="111"/>
      <c r="M5" s="113"/>
    </row>
    <row r="6" spans="1:13" x14ac:dyDescent="0.35">
      <c r="A6" s="1"/>
      <c r="B6" s="68"/>
      <c r="C6" s="3"/>
      <c r="D6" s="3"/>
      <c r="E6" s="3"/>
      <c r="G6" s="106"/>
      <c r="H6" s="19"/>
      <c r="I6" s="106"/>
      <c r="J6" s="19"/>
      <c r="K6" s="98" t="s">
        <v>40</v>
      </c>
      <c r="L6" s="111"/>
      <c r="M6" s="113"/>
    </row>
    <row r="7" spans="1:13" x14ac:dyDescent="0.35">
      <c r="A7" s="1"/>
      <c r="B7" s="68"/>
      <c r="C7" s="97"/>
      <c r="D7" s="97"/>
      <c r="E7" s="97" t="s">
        <v>41</v>
      </c>
      <c r="F7" s="163" t="s">
        <v>42</v>
      </c>
      <c r="G7" s="407" t="s">
        <v>143</v>
      </c>
      <c r="H7" s="407"/>
      <c r="I7" s="407" t="s">
        <v>32</v>
      </c>
      <c r="J7" s="407"/>
      <c r="K7" s="98" t="s">
        <v>43</v>
      </c>
      <c r="L7" s="111"/>
      <c r="M7" s="113"/>
    </row>
    <row r="8" spans="1:13" ht="17" x14ac:dyDescent="0.5">
      <c r="A8" s="1"/>
      <c r="B8" s="68"/>
      <c r="C8" s="98"/>
      <c r="D8" s="102" t="s">
        <v>122</v>
      </c>
      <c r="E8" s="98" t="s">
        <v>44</v>
      </c>
      <c r="F8" s="164" t="s">
        <v>142</v>
      </c>
      <c r="G8" s="26" t="s">
        <v>45</v>
      </c>
      <c r="H8" s="98" t="s">
        <v>46</v>
      </c>
      <c r="I8" s="26" t="s">
        <v>45</v>
      </c>
      <c r="J8" s="98" t="s">
        <v>46</v>
      </c>
      <c r="K8" s="98" t="s">
        <v>37</v>
      </c>
      <c r="L8" s="111"/>
      <c r="M8" s="113"/>
    </row>
    <row r="9" spans="1:13" x14ac:dyDescent="0.35">
      <c r="A9" s="1"/>
      <c r="B9" s="68"/>
      <c r="C9" s="99" t="s">
        <v>118</v>
      </c>
      <c r="D9" s="3"/>
      <c r="E9" s="103"/>
      <c r="G9" s="106"/>
      <c r="H9" s="141"/>
      <c r="I9" s="106"/>
      <c r="J9" s="141"/>
      <c r="K9" s="2"/>
      <c r="L9" s="111"/>
      <c r="M9" s="113"/>
    </row>
    <row r="10" spans="1:13" x14ac:dyDescent="0.35">
      <c r="A10" s="1"/>
      <c r="B10" s="68"/>
      <c r="C10" s="99"/>
      <c r="D10" s="3" t="s">
        <v>123</v>
      </c>
      <c r="E10" s="103" t="s">
        <v>74</v>
      </c>
      <c r="F10" s="166">
        <v>122994.39</v>
      </c>
      <c r="G10" s="88">
        <v>20</v>
      </c>
      <c r="H10" s="140">
        <v>6149.72</v>
      </c>
      <c r="I10" s="106">
        <v>37.5</v>
      </c>
      <c r="J10" s="140">
        <f>F10/I10</f>
        <v>3279.8503999999998</v>
      </c>
      <c r="K10" s="23">
        <f>J10-H10</f>
        <v>-2869.8696000000004</v>
      </c>
      <c r="L10" s="111"/>
      <c r="M10" s="113"/>
    </row>
    <row r="11" spans="1:13" hidden="1" x14ac:dyDescent="0.35">
      <c r="A11" s="1"/>
      <c r="B11" s="68"/>
      <c r="C11" s="99"/>
      <c r="D11" s="3" t="s">
        <v>124</v>
      </c>
      <c r="E11" s="267"/>
      <c r="F11" s="166"/>
      <c r="G11" s="88"/>
      <c r="H11" s="140"/>
      <c r="I11" s="106">
        <v>10</v>
      </c>
      <c r="J11" s="140">
        <f>F11/I11</f>
        <v>0</v>
      </c>
      <c r="K11" s="23">
        <f>J11-H11</f>
        <v>0</v>
      </c>
      <c r="L11" s="111"/>
      <c r="M11" s="113"/>
    </row>
    <row r="12" spans="1:13" x14ac:dyDescent="0.35">
      <c r="A12" s="1"/>
      <c r="B12" s="68"/>
      <c r="C12" s="3"/>
      <c r="D12" s="3" t="s">
        <v>125</v>
      </c>
      <c r="E12" s="103" t="s">
        <v>74</v>
      </c>
      <c r="F12" s="166">
        <v>1769.96</v>
      </c>
      <c r="G12" s="88">
        <v>10</v>
      </c>
      <c r="H12" s="140">
        <v>177</v>
      </c>
      <c r="I12" s="106">
        <v>22.5</v>
      </c>
      <c r="J12" s="140">
        <f>F12/I12</f>
        <v>78.664888888888896</v>
      </c>
      <c r="K12" s="23">
        <f>J12-H12</f>
        <v>-98.335111111111104</v>
      </c>
      <c r="L12" s="111"/>
      <c r="M12" s="113"/>
    </row>
    <row r="13" spans="1:13" hidden="1" x14ac:dyDescent="0.35">
      <c r="A13" s="1"/>
      <c r="B13" s="68"/>
      <c r="C13" s="3"/>
      <c r="D13" s="3" t="s">
        <v>126</v>
      </c>
      <c r="E13" s="267" t="s">
        <v>74</v>
      </c>
      <c r="F13" s="166"/>
      <c r="G13" s="88" t="s">
        <v>144</v>
      </c>
      <c r="H13" s="140"/>
      <c r="I13" s="106">
        <v>12.5</v>
      </c>
      <c r="J13" s="140">
        <f t="shared" ref="J13:J15" si="0">F13/I13</f>
        <v>0</v>
      </c>
      <c r="K13" s="23">
        <f t="shared" ref="K13:K15" si="1">J13-H13</f>
        <v>0</v>
      </c>
      <c r="L13" s="111"/>
      <c r="M13" s="113"/>
    </row>
    <row r="14" spans="1:13" hidden="1" x14ac:dyDescent="0.35">
      <c r="A14" s="1"/>
      <c r="B14" s="68"/>
      <c r="C14" s="3"/>
      <c r="D14" s="3" t="s">
        <v>127</v>
      </c>
      <c r="E14" s="267"/>
      <c r="F14" s="166"/>
      <c r="G14" s="88"/>
      <c r="H14" s="140"/>
      <c r="I14" s="106">
        <v>17.5</v>
      </c>
      <c r="J14" s="140">
        <f t="shared" si="0"/>
        <v>0</v>
      </c>
      <c r="K14" s="23">
        <f t="shared" si="1"/>
        <v>0</v>
      </c>
      <c r="L14" s="111"/>
      <c r="M14" s="113"/>
    </row>
    <row r="15" spans="1:13" hidden="1" x14ac:dyDescent="0.35">
      <c r="A15" s="1"/>
      <c r="B15" s="68"/>
      <c r="C15" s="3"/>
      <c r="D15" s="3" t="s">
        <v>128</v>
      </c>
      <c r="E15" s="267"/>
      <c r="F15" s="166"/>
      <c r="G15" s="88"/>
      <c r="H15" s="140"/>
      <c r="I15" s="106">
        <v>15</v>
      </c>
      <c r="J15" s="140">
        <f t="shared" si="0"/>
        <v>0</v>
      </c>
      <c r="K15" s="23">
        <f t="shared" si="1"/>
        <v>0</v>
      </c>
      <c r="L15" s="111"/>
      <c r="M15" s="113"/>
    </row>
    <row r="16" spans="1:13" x14ac:dyDescent="0.35">
      <c r="A16" s="1"/>
      <c r="B16" s="68"/>
      <c r="C16" s="3"/>
      <c r="D16" s="3"/>
      <c r="E16" s="103"/>
      <c r="F16" s="166"/>
      <c r="G16" s="88"/>
      <c r="H16" s="140"/>
      <c r="I16" s="106"/>
      <c r="J16" s="140"/>
      <c r="K16" s="23"/>
      <c r="L16" s="111"/>
      <c r="M16" s="113"/>
    </row>
    <row r="17" spans="1:15" x14ac:dyDescent="0.35">
      <c r="A17" s="1"/>
      <c r="B17" s="68"/>
      <c r="C17" s="99" t="s">
        <v>194</v>
      </c>
      <c r="D17" s="3"/>
      <c r="E17" s="103"/>
      <c r="F17" s="166"/>
      <c r="G17" s="88"/>
      <c r="H17" s="140"/>
      <c r="I17" s="106"/>
      <c r="J17" s="140"/>
      <c r="K17" s="23"/>
      <c r="L17" s="111"/>
      <c r="M17" s="113"/>
    </row>
    <row r="18" spans="1:15" hidden="1" x14ac:dyDescent="0.35">
      <c r="A18" s="1"/>
      <c r="B18" s="68"/>
      <c r="C18" s="3"/>
      <c r="D18" s="3" t="s">
        <v>195</v>
      </c>
      <c r="E18" s="267"/>
      <c r="F18" s="166"/>
      <c r="G18" s="88"/>
      <c r="H18" s="140"/>
      <c r="I18" s="106">
        <v>62.5</v>
      </c>
      <c r="J18" s="140">
        <f t="shared" ref="J18:J19" si="2">F18/I18</f>
        <v>0</v>
      </c>
      <c r="K18" s="23">
        <f t="shared" ref="K18:K19" si="3">J18-H18</f>
        <v>0</v>
      </c>
      <c r="L18" s="111"/>
      <c r="M18" s="113"/>
    </row>
    <row r="19" spans="1:15" x14ac:dyDescent="0.35">
      <c r="A19" s="1"/>
      <c r="B19" s="68"/>
      <c r="C19" s="3"/>
      <c r="D19" s="3" t="s">
        <v>196</v>
      </c>
      <c r="E19" s="103" t="s">
        <v>74</v>
      </c>
      <c r="F19" s="166">
        <v>15500</v>
      </c>
      <c r="G19" s="88">
        <v>33</v>
      </c>
      <c r="H19" s="140">
        <v>469.7</v>
      </c>
      <c r="I19" s="106">
        <v>62.5</v>
      </c>
      <c r="J19" s="140">
        <f t="shared" si="2"/>
        <v>248</v>
      </c>
      <c r="K19" s="23">
        <f t="shared" si="3"/>
        <v>-221.7</v>
      </c>
      <c r="L19" s="111"/>
      <c r="M19" s="113"/>
    </row>
    <row r="20" spans="1:15" x14ac:dyDescent="0.35">
      <c r="A20" s="1"/>
      <c r="B20" s="68"/>
      <c r="C20" s="98"/>
      <c r="D20" s="98"/>
      <c r="E20" s="98"/>
      <c r="F20" s="165"/>
      <c r="G20" s="26"/>
      <c r="H20" s="157"/>
      <c r="I20" s="26"/>
      <c r="J20" s="157"/>
      <c r="K20" s="98"/>
      <c r="L20" s="111"/>
      <c r="M20" s="113"/>
    </row>
    <row r="21" spans="1:15" x14ac:dyDescent="0.35">
      <c r="A21" s="1"/>
      <c r="B21" s="68"/>
      <c r="C21" s="99" t="s">
        <v>119</v>
      </c>
      <c r="D21" s="3"/>
      <c r="E21" s="103"/>
      <c r="G21" s="107"/>
      <c r="H21" s="141"/>
      <c r="I21" s="107"/>
      <c r="J21" s="141"/>
      <c r="K21" s="2"/>
      <c r="L21" s="111"/>
      <c r="M21" s="113"/>
    </row>
    <row r="22" spans="1:15" x14ac:dyDescent="0.35">
      <c r="A22" s="1"/>
      <c r="B22" s="68"/>
      <c r="C22" s="99"/>
      <c r="D22" s="3" t="s">
        <v>123</v>
      </c>
      <c r="E22" s="103" t="s">
        <v>74</v>
      </c>
      <c r="F22" s="166">
        <v>200430.56</v>
      </c>
      <c r="G22" s="88">
        <v>33</v>
      </c>
      <c r="H22" s="140">
        <v>6073.65</v>
      </c>
      <c r="I22" s="106">
        <v>37.5</v>
      </c>
      <c r="J22" s="140">
        <f>F22/I22</f>
        <v>5344.8149333333331</v>
      </c>
      <c r="K22" s="23">
        <f>J22-H22</f>
        <v>-728.83506666666653</v>
      </c>
      <c r="L22" s="111"/>
      <c r="M22" s="113"/>
    </row>
    <row r="23" spans="1:15" x14ac:dyDescent="0.35">
      <c r="A23" s="1"/>
      <c r="B23" s="68"/>
      <c r="C23" s="3"/>
      <c r="D23" s="3" t="s">
        <v>129</v>
      </c>
      <c r="E23" s="103">
        <v>40119</v>
      </c>
      <c r="F23" s="161">
        <v>84424.76</v>
      </c>
      <c r="G23" s="107">
        <v>20</v>
      </c>
      <c r="H23" s="140">
        <v>4221.24</v>
      </c>
      <c r="I23" s="106">
        <v>10</v>
      </c>
      <c r="J23" s="141">
        <f>F23/I23</f>
        <v>8442.4759999999987</v>
      </c>
      <c r="K23" s="23">
        <f>J23-H23</f>
        <v>4221.235999999999</v>
      </c>
      <c r="L23" s="111"/>
      <c r="M23" s="113"/>
    </row>
    <row r="24" spans="1:15" hidden="1" x14ac:dyDescent="0.35">
      <c r="A24" s="1"/>
      <c r="B24" s="68"/>
      <c r="C24" s="3"/>
      <c r="D24" s="3" t="s">
        <v>130</v>
      </c>
      <c r="E24" s="267" t="s">
        <v>74</v>
      </c>
      <c r="G24" s="107" t="s">
        <v>144</v>
      </c>
      <c r="H24" s="140"/>
      <c r="I24" s="106">
        <v>20</v>
      </c>
      <c r="J24" s="141">
        <f>F24/I24</f>
        <v>0</v>
      </c>
      <c r="K24" s="23">
        <f>J24-H24</f>
        <v>0</v>
      </c>
      <c r="L24" s="111"/>
      <c r="M24" s="113"/>
    </row>
    <row r="25" spans="1:15" x14ac:dyDescent="0.35">
      <c r="A25" s="1"/>
      <c r="B25" s="68"/>
      <c r="C25" s="98"/>
      <c r="D25" s="98"/>
      <c r="E25" s="98"/>
      <c r="G25" s="107"/>
      <c r="H25" s="141"/>
      <c r="I25" s="107"/>
      <c r="J25" s="141"/>
      <c r="K25" s="2"/>
      <c r="L25" s="111"/>
      <c r="M25" s="113"/>
    </row>
    <row r="26" spans="1:15" x14ac:dyDescent="0.35">
      <c r="A26" s="1"/>
      <c r="B26" s="68"/>
      <c r="C26" s="99" t="s">
        <v>120</v>
      </c>
      <c r="D26" s="3"/>
      <c r="E26" s="103"/>
      <c r="G26" s="106"/>
      <c r="H26" s="141"/>
      <c r="I26" s="106"/>
      <c r="J26" s="141"/>
      <c r="K26" s="2"/>
      <c r="L26" s="111"/>
      <c r="M26" s="113"/>
    </row>
    <row r="27" spans="1:15" hidden="1" x14ac:dyDescent="0.35">
      <c r="A27" s="1"/>
      <c r="B27" s="68"/>
      <c r="C27" s="99"/>
      <c r="D27" s="3" t="s">
        <v>131</v>
      </c>
      <c r="E27" s="267" t="s">
        <v>74</v>
      </c>
      <c r="F27" s="166"/>
      <c r="G27" s="88" t="s">
        <v>144</v>
      </c>
      <c r="H27" s="140"/>
      <c r="I27" s="106">
        <v>50</v>
      </c>
      <c r="J27" s="140">
        <f t="shared" ref="J27:J35" si="4">F27/I27</f>
        <v>0</v>
      </c>
      <c r="K27" s="23">
        <f>J27-H27</f>
        <v>0</v>
      </c>
      <c r="L27" s="111"/>
      <c r="M27" s="113"/>
    </row>
    <row r="28" spans="1:15" x14ac:dyDescent="0.35">
      <c r="A28" s="1"/>
      <c r="B28" s="68"/>
      <c r="C28" s="99"/>
      <c r="D28" s="3" t="s">
        <v>132</v>
      </c>
      <c r="E28" s="103" t="s">
        <v>74</v>
      </c>
      <c r="F28" s="166">
        <v>8284065.0700000003</v>
      </c>
      <c r="G28" s="88">
        <v>33</v>
      </c>
      <c r="H28" s="140">
        <v>210560.38</v>
      </c>
      <c r="I28" s="106">
        <v>62.5</v>
      </c>
      <c r="J28" s="140">
        <f t="shared" si="4"/>
        <v>132545.04112000001</v>
      </c>
      <c r="K28" s="23">
        <f t="shared" ref="K28:K35" si="5">J28-H28</f>
        <v>-78015.338879999996</v>
      </c>
      <c r="L28" s="111"/>
      <c r="M28" s="113"/>
      <c r="N28" s="362"/>
      <c r="O28" s="21"/>
    </row>
    <row r="29" spans="1:15" hidden="1" x14ac:dyDescent="0.35">
      <c r="A29" s="1"/>
      <c r="B29" s="68"/>
      <c r="C29" s="99"/>
      <c r="D29" s="3" t="s">
        <v>133</v>
      </c>
      <c r="E29" s="267" t="s">
        <v>74</v>
      </c>
      <c r="F29" s="166"/>
      <c r="G29" s="88" t="s">
        <v>144</v>
      </c>
      <c r="H29" s="140"/>
      <c r="I29" s="106">
        <v>45</v>
      </c>
      <c r="J29" s="140">
        <f t="shared" si="4"/>
        <v>0</v>
      </c>
      <c r="K29" s="23">
        <f t="shared" si="5"/>
        <v>0</v>
      </c>
      <c r="L29" s="111"/>
      <c r="M29" s="113"/>
    </row>
    <row r="30" spans="1:15" x14ac:dyDescent="0.35">
      <c r="A30" s="1"/>
      <c r="B30" s="68"/>
      <c r="C30" s="99"/>
      <c r="D30" s="3" t="s">
        <v>134</v>
      </c>
      <c r="E30" s="103" t="s">
        <v>74</v>
      </c>
      <c r="F30" s="166">
        <v>198747.64</v>
      </c>
      <c r="G30" s="88">
        <v>20</v>
      </c>
      <c r="H30" s="140">
        <v>8528.24</v>
      </c>
      <c r="I30" s="383">
        <v>20</v>
      </c>
      <c r="J30" s="140">
        <f t="shared" si="4"/>
        <v>9937.3820000000014</v>
      </c>
      <c r="K30" s="23">
        <f t="shared" si="5"/>
        <v>1409.1420000000016</v>
      </c>
      <c r="L30" s="111"/>
      <c r="M30" s="113"/>
      <c r="O30" s="2"/>
    </row>
    <row r="31" spans="1:15" hidden="1" x14ac:dyDescent="0.35">
      <c r="A31" s="1"/>
      <c r="B31" s="68"/>
      <c r="C31" s="99"/>
      <c r="D31" s="3" t="s">
        <v>135</v>
      </c>
      <c r="E31" s="103"/>
      <c r="F31" s="166"/>
      <c r="G31" s="88"/>
      <c r="H31" s="140"/>
      <c r="I31" s="106">
        <v>20</v>
      </c>
      <c r="J31" s="140">
        <f t="shared" si="4"/>
        <v>0</v>
      </c>
      <c r="K31" s="23">
        <f t="shared" si="5"/>
        <v>0</v>
      </c>
      <c r="L31" s="111"/>
      <c r="M31" s="113"/>
    </row>
    <row r="32" spans="1:15" hidden="1" x14ac:dyDescent="0.35">
      <c r="A32" s="1"/>
      <c r="B32" s="68"/>
      <c r="C32" s="99"/>
      <c r="D32" s="3" t="s">
        <v>136</v>
      </c>
      <c r="E32" s="103"/>
      <c r="F32" s="166"/>
      <c r="G32" s="88"/>
      <c r="H32" s="140"/>
      <c r="I32" s="106">
        <v>37.5</v>
      </c>
      <c r="J32" s="140">
        <f t="shared" si="4"/>
        <v>0</v>
      </c>
      <c r="K32" s="23">
        <f t="shared" si="5"/>
        <v>0</v>
      </c>
      <c r="L32" s="111"/>
      <c r="M32" s="113"/>
    </row>
    <row r="33" spans="1:14" x14ac:dyDescent="0.35">
      <c r="A33" s="1"/>
      <c r="B33" s="68"/>
      <c r="C33" s="99"/>
      <c r="D33" s="3" t="s">
        <v>137</v>
      </c>
      <c r="E33" s="103" t="s">
        <v>74</v>
      </c>
      <c r="F33" s="166">
        <v>179711.94</v>
      </c>
      <c r="G33" s="88">
        <v>33</v>
      </c>
      <c r="H33" s="140">
        <v>5345.15</v>
      </c>
      <c r="I33" s="106">
        <v>40</v>
      </c>
      <c r="J33" s="140">
        <f t="shared" si="4"/>
        <v>4492.7984999999999</v>
      </c>
      <c r="K33" s="23">
        <f t="shared" si="5"/>
        <v>-852.35149999999976</v>
      </c>
      <c r="L33" s="111"/>
      <c r="M33" s="113"/>
    </row>
    <row r="34" spans="1:14" x14ac:dyDescent="0.35">
      <c r="A34" s="1"/>
      <c r="B34" s="68"/>
      <c r="C34" s="99"/>
      <c r="D34" s="3" t="s">
        <v>138</v>
      </c>
      <c r="E34" s="103" t="s">
        <v>74</v>
      </c>
      <c r="F34" s="166">
        <v>2369177.7599999998</v>
      </c>
      <c r="G34" s="88">
        <v>33</v>
      </c>
      <c r="H34" s="140">
        <v>71793.279999999999</v>
      </c>
      <c r="I34" s="106">
        <v>45</v>
      </c>
      <c r="J34" s="140">
        <f t="shared" si="4"/>
        <v>52648.39466666666</v>
      </c>
      <c r="K34" s="23">
        <f t="shared" si="5"/>
        <v>-19144.885333333339</v>
      </c>
      <c r="L34" s="111"/>
      <c r="M34" s="113"/>
    </row>
    <row r="35" spans="1:14" x14ac:dyDescent="0.35">
      <c r="A35" s="1"/>
      <c r="B35" s="68"/>
      <c r="C35" s="99"/>
      <c r="D35" s="3" t="s">
        <v>139</v>
      </c>
      <c r="E35" s="103" t="s">
        <v>74</v>
      </c>
      <c r="F35" s="166">
        <v>35317.47</v>
      </c>
      <c r="G35" s="88">
        <v>33</v>
      </c>
      <c r="H35" s="140">
        <v>1070.23</v>
      </c>
      <c r="I35" s="106">
        <v>15</v>
      </c>
      <c r="J35" s="140">
        <f t="shared" si="4"/>
        <v>2354.498</v>
      </c>
      <c r="K35" s="23">
        <f t="shared" si="5"/>
        <v>1284.268</v>
      </c>
      <c r="L35" s="111"/>
      <c r="M35" s="113"/>
    </row>
    <row r="36" spans="1:14" x14ac:dyDescent="0.35">
      <c r="A36" s="1"/>
      <c r="B36" s="68"/>
      <c r="C36" s="99"/>
      <c r="E36" s="103"/>
      <c r="G36" s="107"/>
      <c r="H36" s="141"/>
      <c r="I36" s="107"/>
      <c r="J36" s="141"/>
      <c r="K36" s="23"/>
      <c r="L36" s="111"/>
      <c r="M36" s="113"/>
    </row>
    <row r="37" spans="1:14" x14ac:dyDescent="0.35">
      <c r="A37" s="1"/>
      <c r="B37" s="68"/>
      <c r="C37" s="99" t="s">
        <v>121</v>
      </c>
      <c r="E37" s="103"/>
      <c r="G37" s="106"/>
      <c r="H37" s="141"/>
      <c r="I37" s="109"/>
      <c r="J37" s="141"/>
      <c r="K37" s="2"/>
      <c r="L37" s="111"/>
      <c r="M37" s="113"/>
    </row>
    <row r="38" spans="1:14" x14ac:dyDescent="0.35">
      <c r="A38" s="1"/>
      <c r="B38" s="68"/>
      <c r="C38" s="3"/>
      <c r="D38" s="1" t="s">
        <v>140</v>
      </c>
      <c r="E38" s="103" t="s">
        <v>74</v>
      </c>
      <c r="F38" s="161">
        <v>79072.800000000003</v>
      </c>
      <c r="G38" s="106">
        <v>5</v>
      </c>
      <c r="H38" s="141">
        <v>15814.56</v>
      </c>
      <c r="I38" s="109">
        <v>7</v>
      </c>
      <c r="J38" s="141">
        <f>F38/I38</f>
        <v>11296.114285714286</v>
      </c>
      <c r="K38" s="2">
        <f>J38-H38</f>
        <v>-4518.4457142857136</v>
      </c>
      <c r="L38" s="111"/>
      <c r="M38" s="113"/>
    </row>
    <row r="39" spans="1:14" x14ac:dyDescent="0.35">
      <c r="A39" s="1"/>
      <c r="B39" s="68"/>
      <c r="C39" s="98"/>
      <c r="D39" s="98"/>
      <c r="E39" s="98"/>
      <c r="G39" s="107"/>
      <c r="H39" s="141"/>
      <c r="I39" s="107"/>
      <c r="J39" s="141"/>
      <c r="K39" s="2"/>
      <c r="L39" s="111"/>
      <c r="M39" s="113"/>
    </row>
    <row r="40" spans="1:14" hidden="1" x14ac:dyDescent="0.35">
      <c r="A40" s="1"/>
      <c r="B40" s="68"/>
      <c r="C40" s="99"/>
      <c r="D40" s="3"/>
      <c r="E40" s="103"/>
      <c r="G40" s="108"/>
      <c r="H40" s="141"/>
      <c r="I40" s="106"/>
      <c r="J40" s="141"/>
      <c r="K40" s="2"/>
      <c r="L40" s="111"/>
      <c r="M40" s="113"/>
    </row>
    <row r="41" spans="1:14" hidden="1" x14ac:dyDescent="0.35">
      <c r="A41" s="1"/>
      <c r="B41" s="68"/>
      <c r="C41" s="99"/>
      <c r="E41" s="103"/>
      <c r="G41" s="106"/>
      <c r="H41" s="141"/>
      <c r="I41" s="109"/>
      <c r="J41" s="141"/>
      <c r="K41" s="2"/>
      <c r="L41" s="111"/>
      <c r="M41" s="113"/>
    </row>
    <row r="42" spans="1:14" hidden="1" x14ac:dyDescent="0.35">
      <c r="A42" s="1"/>
      <c r="B42" s="68"/>
      <c r="C42" s="99"/>
      <c r="E42" s="103"/>
      <c r="G42" s="106"/>
      <c r="H42" s="141"/>
      <c r="I42" s="109"/>
      <c r="J42" s="141"/>
      <c r="K42" s="2"/>
      <c r="L42" s="111"/>
      <c r="M42" s="113"/>
    </row>
    <row r="43" spans="1:14" hidden="1" x14ac:dyDescent="0.35">
      <c r="A43" s="1"/>
      <c r="B43" s="68"/>
      <c r="C43" s="3"/>
      <c r="D43" s="3"/>
      <c r="E43" s="3"/>
      <c r="G43" s="2"/>
      <c r="H43" s="140"/>
      <c r="I43" s="2"/>
      <c r="J43" s="160"/>
      <c r="K43" s="2"/>
      <c r="L43" s="111"/>
      <c r="M43" s="113"/>
    </row>
    <row r="44" spans="1:14" x14ac:dyDescent="0.35">
      <c r="A44" s="1"/>
      <c r="B44" s="68"/>
      <c r="C44" s="100" t="s">
        <v>81</v>
      </c>
      <c r="F44" s="268">
        <f>SUM(F10:F43)</f>
        <v>11571212.350000001</v>
      </c>
      <c r="G44" s="269"/>
      <c r="H44" s="268">
        <f>SUM(H10:H43)</f>
        <v>330203.14999999997</v>
      </c>
      <c r="I44" s="270"/>
      <c r="J44" s="268">
        <f>SUM(J10:J43)</f>
        <v>230668.03479460318</v>
      </c>
      <c r="K44" s="270">
        <f>SUM(K10:K43)</f>
        <v>-99535.115205396825</v>
      </c>
      <c r="L44" s="111"/>
      <c r="M44" s="113"/>
      <c r="N44" s="21"/>
    </row>
    <row r="45" spans="1:14" x14ac:dyDescent="0.35">
      <c r="A45" s="1"/>
      <c r="B45" s="95"/>
      <c r="C45" s="101"/>
      <c r="D45" s="101"/>
      <c r="E45" s="101"/>
      <c r="F45" s="167"/>
      <c r="G45" s="101"/>
      <c r="H45" s="159"/>
      <c r="I45" s="101"/>
      <c r="J45" s="159"/>
      <c r="K45" s="101"/>
      <c r="L45" s="112"/>
      <c r="M45" s="114"/>
    </row>
    <row r="46" spans="1:14" x14ac:dyDescent="0.35">
      <c r="A46" s="1"/>
      <c r="B46" s="1"/>
      <c r="C46" s="3"/>
      <c r="D46" s="3"/>
      <c r="E46" s="3"/>
      <c r="G46" s="3"/>
      <c r="H46" s="160"/>
      <c r="I46" s="3"/>
      <c r="J46" s="160"/>
      <c r="K46" s="3"/>
      <c r="L46" s="3"/>
      <c r="M46" s="3"/>
    </row>
    <row r="47" spans="1:14" x14ac:dyDescent="0.35">
      <c r="D47" s="3" t="s">
        <v>141</v>
      </c>
    </row>
    <row r="50" spans="4:7" x14ac:dyDescent="0.35">
      <c r="D50" s="1" t="s">
        <v>197</v>
      </c>
      <c r="F50" s="161">
        <f>J44</f>
        <v>230668.03479460318</v>
      </c>
    </row>
    <row r="51" spans="4:7" ht="17" x14ac:dyDescent="0.5">
      <c r="D51" s="1" t="s">
        <v>198</v>
      </c>
      <c r="F51" s="168">
        <f>-SAO!D39</f>
        <v>-330203</v>
      </c>
    </row>
    <row r="52" spans="4:7" x14ac:dyDescent="0.35">
      <c r="D52" s="1" t="s">
        <v>199</v>
      </c>
      <c r="F52" s="161">
        <f>F50+F51</f>
        <v>-99534.965205396817</v>
      </c>
      <c r="G52" s="21" t="s">
        <v>262</v>
      </c>
    </row>
  </sheetData>
  <mergeCells count="5">
    <mergeCell ref="C3:K3"/>
    <mergeCell ref="C4:K4"/>
    <mergeCell ref="C5:K5"/>
    <mergeCell ref="G7:H7"/>
    <mergeCell ref="I7:J7"/>
  </mergeCells>
  <pageMargins left="0.7" right="0.7" top="0.75" bottom="0.75" header="0.3" footer="0.3"/>
  <pageSetup scale="80"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7B32F-4CA1-4F84-B54A-FE6CF749D13D}">
  <sheetPr>
    <tabColor rgb="FF92D050"/>
  </sheetPr>
  <dimension ref="A1:E9"/>
  <sheetViews>
    <sheetView workbookViewId="0">
      <selection activeCell="E5" sqref="E5"/>
    </sheetView>
  </sheetViews>
  <sheetFormatPr defaultRowHeight="15.5" x14ac:dyDescent="0.35"/>
  <sheetData>
    <row r="1" spans="1:5" x14ac:dyDescent="0.35">
      <c r="A1" s="1" t="s">
        <v>183</v>
      </c>
      <c r="B1" s="1"/>
      <c r="C1" s="1"/>
      <c r="D1" s="1"/>
    </row>
    <row r="2" spans="1:5" x14ac:dyDescent="0.35">
      <c r="A2" s="1"/>
      <c r="B2" s="1"/>
      <c r="C2" s="1"/>
      <c r="D2" s="1"/>
    </row>
    <row r="3" spans="1:5" x14ac:dyDescent="0.35">
      <c r="A3" s="1" t="s">
        <v>186</v>
      </c>
      <c r="B3" s="1"/>
      <c r="C3" s="148">
        <f>23*895</f>
        <v>20585</v>
      </c>
      <c r="D3" s="1"/>
      <c r="E3" s="150" t="s">
        <v>330</v>
      </c>
    </row>
    <row r="4" spans="1:5" x14ac:dyDescent="0.35">
      <c r="A4" s="1"/>
      <c r="B4" s="1"/>
      <c r="C4" s="1"/>
      <c r="D4" s="1"/>
    </row>
    <row r="5" spans="1:5" x14ac:dyDescent="0.35">
      <c r="A5" s="1" t="s">
        <v>184</v>
      </c>
      <c r="B5" s="149">
        <v>0.3</v>
      </c>
      <c r="C5" s="148">
        <f>B5*C3</f>
        <v>6175.5</v>
      </c>
      <c r="D5" s="21" t="s">
        <v>174</v>
      </c>
    </row>
    <row r="6" spans="1:5" x14ac:dyDescent="0.35">
      <c r="A6" s="1" t="s">
        <v>185</v>
      </c>
      <c r="B6" s="149">
        <v>0.7</v>
      </c>
      <c r="C6" s="148">
        <f>B6*C3</f>
        <v>14409.499999999998</v>
      </c>
      <c r="D6" s="21" t="s">
        <v>174</v>
      </c>
    </row>
    <row r="8" spans="1:5" x14ac:dyDescent="0.35">
      <c r="A8" s="1" t="s">
        <v>240</v>
      </c>
    </row>
    <row r="9" spans="1:5" x14ac:dyDescent="0.35">
      <c r="A9" s="1" t="s">
        <v>241</v>
      </c>
    </row>
  </sheetData>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52889-0321-45D3-A9A4-AE60C9D6113F}">
  <sheetPr>
    <tabColor rgb="FF92D050"/>
  </sheetPr>
  <dimension ref="A1:M42"/>
  <sheetViews>
    <sheetView showGridLines="0" topLeftCell="A21" workbookViewId="0">
      <selection activeCell="E34" sqref="E34"/>
    </sheetView>
  </sheetViews>
  <sheetFormatPr defaultColWidth="8.84375" defaultRowHeight="14" x14ac:dyDescent="0.3"/>
  <cols>
    <col min="1" max="1" width="22.07421875" style="121" customWidth="1"/>
    <col min="2" max="2" width="9.84375" style="122" bestFit="1" customWidth="1"/>
    <col min="3" max="3" width="10.15234375" style="122" bestFit="1" customWidth="1"/>
    <col min="4" max="4" width="11.15234375" style="121" bestFit="1" customWidth="1"/>
    <col min="5" max="5" width="8.84375" style="121"/>
    <col min="6" max="6" width="10.23046875" style="121" bestFit="1" customWidth="1"/>
    <col min="7" max="10" width="8.84375" style="121"/>
    <col min="11" max="11" width="10.07421875" style="121" bestFit="1" customWidth="1"/>
    <col min="12" max="16384" width="8.84375" style="121"/>
  </cols>
  <sheetData>
    <row r="1" spans="1:7" ht="14.5" x14ac:dyDescent="0.35">
      <c r="A1" s="1" t="s">
        <v>153</v>
      </c>
      <c r="B1" s="7"/>
      <c r="C1" s="7" t="s">
        <v>299</v>
      </c>
      <c r="D1" s="1"/>
      <c r="E1" s="1" t="s">
        <v>300</v>
      </c>
      <c r="F1" s="1"/>
      <c r="G1" s="1"/>
    </row>
    <row r="2" spans="1:7" ht="14.5" x14ac:dyDescent="0.35">
      <c r="A2" s="1" t="s">
        <v>158</v>
      </c>
      <c r="B2" s="7"/>
      <c r="C2" s="7">
        <v>0</v>
      </c>
      <c r="D2" s="1"/>
      <c r="E2" s="1"/>
      <c r="F2" s="1"/>
      <c r="G2" s="1"/>
    </row>
    <row r="3" spans="1:7" ht="14.5" x14ac:dyDescent="0.35">
      <c r="A3" s="1" t="s">
        <v>159</v>
      </c>
      <c r="B3" s="7"/>
      <c r="C3" s="5">
        <v>205078000</v>
      </c>
      <c r="D3" s="1"/>
      <c r="E3" s="1"/>
      <c r="F3" s="1"/>
      <c r="G3" s="1"/>
    </row>
    <row r="4" spans="1:7" ht="14.5" x14ac:dyDescent="0.35">
      <c r="A4" s="1" t="s">
        <v>160</v>
      </c>
      <c r="B4" s="7"/>
      <c r="C4" s="7">
        <f>C2+C3</f>
        <v>205078000</v>
      </c>
      <c r="D4" s="1"/>
      <c r="E4" s="1"/>
      <c r="F4" s="1"/>
      <c r="G4" s="1"/>
    </row>
    <row r="5" spans="1:7" ht="14.5" x14ac:dyDescent="0.35">
      <c r="A5" s="1"/>
      <c r="B5" s="7"/>
      <c r="C5" s="7"/>
      <c r="D5" s="1"/>
      <c r="E5" s="1"/>
      <c r="F5" s="1"/>
      <c r="G5" s="1"/>
    </row>
    <row r="6" spans="1:7" ht="14.5" x14ac:dyDescent="0.35">
      <c r="A6" s="1" t="s">
        <v>278</v>
      </c>
      <c r="B6" s="7"/>
      <c r="C6" s="7">
        <v>151319000</v>
      </c>
      <c r="D6" s="1"/>
      <c r="E6" s="1"/>
      <c r="F6" s="1"/>
      <c r="G6" s="1"/>
    </row>
    <row r="7" spans="1:7" ht="14.5" x14ac:dyDescent="0.35">
      <c r="A7" s="1" t="s">
        <v>279</v>
      </c>
      <c r="B7" s="7"/>
      <c r="C7" s="5">
        <v>14314000</v>
      </c>
      <c r="D7" s="1"/>
      <c r="E7" s="1"/>
      <c r="F7" s="1"/>
      <c r="G7" s="1"/>
    </row>
    <row r="8" spans="1:7" ht="14.5" x14ac:dyDescent="0.35">
      <c r="A8" s="1" t="s">
        <v>301</v>
      </c>
      <c r="B8" s="7"/>
      <c r="C8" s="7">
        <f>SUM(C6:C7)</f>
        <v>165633000</v>
      </c>
      <c r="D8" s="1"/>
      <c r="E8" s="1"/>
      <c r="F8" s="1"/>
      <c r="G8" s="1"/>
    </row>
    <row r="9" spans="1:7" ht="14.5" x14ac:dyDescent="0.35">
      <c r="A9" s="1" t="s">
        <v>154</v>
      </c>
      <c r="B9" s="7"/>
      <c r="C9" s="7"/>
      <c r="D9" s="1"/>
      <c r="E9" s="1"/>
      <c r="F9" s="1"/>
      <c r="G9" s="1"/>
    </row>
    <row r="10" spans="1:7" ht="14.5" x14ac:dyDescent="0.35">
      <c r="A10" s="1" t="s">
        <v>163</v>
      </c>
      <c r="B10" s="7">
        <v>0</v>
      </c>
      <c r="C10" s="7"/>
      <c r="D10" s="1"/>
      <c r="E10" s="1"/>
      <c r="F10" s="1"/>
      <c r="G10" s="1"/>
    </row>
    <row r="11" spans="1:7" ht="14.5" x14ac:dyDescent="0.35">
      <c r="A11" s="1" t="s">
        <v>164</v>
      </c>
      <c r="B11" s="7">
        <v>726000</v>
      </c>
      <c r="C11" s="7"/>
      <c r="D11" s="1"/>
      <c r="E11" s="1"/>
      <c r="F11" s="1"/>
      <c r="G11" s="1"/>
    </row>
    <row r="12" spans="1:7" ht="14.5" x14ac:dyDescent="0.35">
      <c r="A12" s="1" t="s">
        <v>165</v>
      </c>
      <c r="B12" s="7">
        <v>0</v>
      </c>
      <c r="C12" s="7"/>
      <c r="D12" s="1"/>
      <c r="E12" s="1"/>
      <c r="F12" s="1"/>
      <c r="G12" s="1"/>
    </row>
    <row r="13" spans="1:7" ht="14.5" x14ac:dyDescent="0.35">
      <c r="A13" s="1" t="s">
        <v>166</v>
      </c>
      <c r="B13" s="7">
        <v>2184000</v>
      </c>
      <c r="C13" s="7"/>
      <c r="D13" s="1"/>
      <c r="E13" s="1"/>
      <c r="F13" s="1"/>
      <c r="G13" s="1"/>
    </row>
    <row r="14" spans="1:7" ht="14.5" x14ac:dyDescent="0.35">
      <c r="A14" s="1" t="s">
        <v>161</v>
      </c>
      <c r="B14" s="7"/>
      <c r="C14" s="7">
        <f>SUM(B10:B13)</f>
        <v>2910000</v>
      </c>
      <c r="D14" s="1"/>
      <c r="E14" s="1"/>
      <c r="F14" s="1"/>
      <c r="G14" s="1"/>
    </row>
    <row r="15" spans="1:7" ht="14.5" x14ac:dyDescent="0.35">
      <c r="A15" s="1"/>
      <c r="B15" s="7"/>
      <c r="C15" s="7"/>
      <c r="D15" s="1"/>
      <c r="E15" s="1"/>
      <c r="F15" s="1"/>
      <c r="G15" s="1"/>
    </row>
    <row r="16" spans="1:7" ht="14.5" x14ac:dyDescent="0.35">
      <c r="A16" s="1" t="s">
        <v>162</v>
      </c>
      <c r="B16" s="7"/>
      <c r="C16" s="7"/>
      <c r="D16" s="1"/>
      <c r="E16" s="1"/>
      <c r="F16" s="1"/>
      <c r="G16" s="1"/>
    </row>
    <row r="17" spans="1:13" ht="14.5" x14ac:dyDescent="0.35">
      <c r="A17" s="1" t="s">
        <v>167</v>
      </c>
      <c r="B17" s="7">
        <v>0</v>
      </c>
      <c r="C17" s="7"/>
      <c r="D17" s="1"/>
      <c r="E17" s="1"/>
      <c r="F17" s="1"/>
      <c r="G17" s="1"/>
    </row>
    <row r="18" spans="1:13" ht="14.5" x14ac:dyDescent="0.35">
      <c r="A18" s="1" t="s">
        <v>168</v>
      </c>
      <c r="B18" s="7"/>
      <c r="C18" s="7"/>
      <c r="D18" s="1"/>
      <c r="E18" s="1"/>
      <c r="F18" s="1"/>
      <c r="G18" s="1"/>
    </row>
    <row r="19" spans="1:13" ht="14.5" x14ac:dyDescent="0.35">
      <c r="A19" s="1" t="s">
        <v>169</v>
      </c>
      <c r="B19" s="7">
        <v>20205000</v>
      </c>
      <c r="C19" s="7"/>
      <c r="D19" s="1"/>
      <c r="E19" s="1"/>
      <c r="F19" s="1"/>
      <c r="G19" s="1"/>
    </row>
    <row r="20" spans="1:13" ht="14.5" x14ac:dyDescent="0.35">
      <c r="A20" s="1" t="s">
        <v>212</v>
      </c>
      <c r="B20" s="7">
        <v>0</v>
      </c>
      <c r="C20" s="7"/>
      <c r="D20" s="1"/>
      <c r="E20" s="1"/>
      <c r="F20" s="1"/>
      <c r="G20" s="1"/>
    </row>
    <row r="21" spans="1:13" ht="14.5" x14ac:dyDescent="0.35">
      <c r="A21" s="1" t="s">
        <v>170</v>
      </c>
      <c r="B21" s="7">
        <v>16330000</v>
      </c>
      <c r="C21" s="7"/>
    </row>
    <row r="22" spans="1:13" ht="14.5" x14ac:dyDescent="0.35">
      <c r="A22" s="1" t="s">
        <v>171</v>
      </c>
      <c r="B22" s="7"/>
      <c r="C22" s="5">
        <f>SUM(B17:B21)</f>
        <v>36535000</v>
      </c>
    </row>
    <row r="23" spans="1:13" ht="14.5" x14ac:dyDescent="0.35">
      <c r="A23" s="1" t="s">
        <v>172</v>
      </c>
      <c r="B23" s="7"/>
      <c r="C23" s="7">
        <f>C8+C14+C22</f>
        <v>205078000</v>
      </c>
      <c r="D23" s="253"/>
    </row>
    <row r="24" spans="1:13" ht="14.5" x14ac:dyDescent="0.35">
      <c r="A24" s="1"/>
    </row>
    <row r="26" spans="1:13" ht="14.5" x14ac:dyDescent="0.35">
      <c r="D26" s="58">
        <f>C22/C4</f>
        <v>0.17815172763533874</v>
      </c>
      <c r="E26" s="1" t="s">
        <v>155</v>
      </c>
      <c r="F26" s="1"/>
      <c r="G26" s="1"/>
    </row>
    <row r="27" spans="1:13" ht="14.5" x14ac:dyDescent="0.35">
      <c r="D27" s="58">
        <v>0.15</v>
      </c>
      <c r="E27" s="1" t="s">
        <v>156</v>
      </c>
      <c r="F27" s="1"/>
      <c r="G27" s="1"/>
    </row>
    <row r="28" spans="1:13" ht="14.5" x14ac:dyDescent="0.35">
      <c r="D28" s="58">
        <f>D26-D27</f>
        <v>2.8151727635338741E-2</v>
      </c>
      <c r="E28" s="1" t="s">
        <v>157</v>
      </c>
      <c r="F28" s="1"/>
      <c r="G28" s="21"/>
    </row>
    <row r="30" spans="1:13" ht="14.5" x14ac:dyDescent="0.35">
      <c r="A30" s="1" t="s">
        <v>215</v>
      </c>
      <c r="B30" s="7"/>
      <c r="C30" s="7"/>
    </row>
    <row r="31" spans="1:13" ht="14.5" x14ac:dyDescent="0.35">
      <c r="A31" s="1" t="str">
        <f>SAO!C23</f>
        <v>Purchased Water</v>
      </c>
      <c r="B31" s="186">
        <f>SAO!D23</f>
        <v>630042</v>
      </c>
      <c r="C31" s="187">
        <f>D28</f>
        <v>2.8151727635338741E-2</v>
      </c>
      <c r="D31" s="172">
        <f>B31*C31</f>
        <v>17736.770782824093</v>
      </c>
      <c r="E31" s="214" t="str">
        <f>SAO!F25</f>
        <v>G</v>
      </c>
      <c r="K31" s="381"/>
    </row>
    <row r="32" spans="1:13" ht="14.5" x14ac:dyDescent="0.35">
      <c r="A32" s="1" t="str">
        <f>SAO!C24</f>
        <v>Purchased Power</v>
      </c>
      <c r="B32" s="186">
        <f>SAO!E24</f>
        <v>11382</v>
      </c>
      <c r="C32" s="187">
        <f>D28</f>
        <v>2.8151727635338741E-2</v>
      </c>
      <c r="D32" s="172">
        <f t="shared" ref="D32:D33" si="0">B32*C32</f>
        <v>320.42296394542558</v>
      </c>
      <c r="M32" s="382"/>
    </row>
    <row r="33" spans="1:6" ht="16" x14ac:dyDescent="0.5">
      <c r="A33" s="1" t="str">
        <f>SAO!C26</f>
        <v>Chemicals</v>
      </c>
      <c r="B33" s="186">
        <f>SAO!D26</f>
        <v>0</v>
      </c>
      <c r="C33" s="188">
        <f>D28</f>
        <v>2.8151727635338741E-2</v>
      </c>
      <c r="D33" s="189">
        <f t="shared" si="0"/>
        <v>0</v>
      </c>
    </row>
    <row r="34" spans="1:6" ht="14.5" x14ac:dyDescent="0.35">
      <c r="A34" s="1" t="s">
        <v>207</v>
      </c>
      <c r="B34" s="7"/>
      <c r="C34" s="173"/>
      <c r="D34" s="172">
        <f>SUM(D31:D33)</f>
        <v>18057.193746769517</v>
      </c>
      <c r="F34" s="381"/>
    </row>
    <row r="35" spans="1:6" ht="14.5" x14ac:dyDescent="0.35">
      <c r="A35" s="1" t="s">
        <v>210</v>
      </c>
      <c r="B35" s="7"/>
      <c r="C35" s="6"/>
      <c r="D35" s="40">
        <f>ExBA!D8</f>
        <v>27596</v>
      </c>
    </row>
    <row r="36" spans="1:6" ht="14.5" x14ac:dyDescent="0.35">
      <c r="A36" s="1" t="s">
        <v>208</v>
      </c>
      <c r="B36" s="7"/>
      <c r="C36" s="173"/>
      <c r="D36" s="172">
        <f>D34/D35</f>
        <v>0.65434098227168858</v>
      </c>
      <c r="F36" s="381"/>
    </row>
    <row r="41" spans="1:6" ht="16" x14ac:dyDescent="0.5">
      <c r="A41" s="408" t="s">
        <v>205</v>
      </c>
      <c r="B41" s="409"/>
      <c r="C41" s="30" t="s">
        <v>58</v>
      </c>
    </row>
    <row r="42" spans="1:6" ht="14.5" x14ac:dyDescent="0.35">
      <c r="A42" s="410" t="s">
        <v>206</v>
      </c>
      <c r="B42" s="411"/>
      <c r="C42" s="179">
        <v>1.61</v>
      </c>
      <c r="E42" s="27" t="s">
        <v>275</v>
      </c>
    </row>
  </sheetData>
  <mergeCells count="2">
    <mergeCell ref="A41:B41"/>
    <mergeCell ref="A42:B42"/>
  </mergeCells>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2:GI23"/>
  <sheetViews>
    <sheetView showGridLines="0" tabSelected="1" workbookViewId="0">
      <selection activeCell="P7" sqref="P7"/>
    </sheetView>
  </sheetViews>
  <sheetFormatPr defaultColWidth="8.84375" defaultRowHeight="14.5" x14ac:dyDescent="0.35"/>
  <cols>
    <col min="1" max="1" width="2.84375" style="27" customWidth="1"/>
    <col min="2" max="2" width="9.69140625" style="27" customWidth="1"/>
    <col min="3" max="3" width="11.07421875" style="27" customWidth="1"/>
    <col min="4" max="4" width="8.4609375" style="27" customWidth="1"/>
    <col min="5" max="5" width="9.69140625" style="27" customWidth="1"/>
    <col min="6" max="6" width="9.69140625" style="27" hidden="1" customWidth="1"/>
    <col min="7" max="7" width="13.921875" style="27" bestFit="1" customWidth="1"/>
    <col min="8" max="9" width="9.69140625" style="62" customWidth="1"/>
    <col min="10" max="10" width="2.765625" style="27" customWidth="1"/>
    <col min="11" max="11" width="2" style="27" customWidth="1"/>
    <col min="12" max="12" width="9.69140625" style="169" customWidth="1"/>
    <col min="13" max="13" width="9.69140625" style="27" customWidth="1"/>
    <col min="14" max="14" width="16.53515625" style="27" bestFit="1" customWidth="1"/>
    <col min="15" max="15" width="10.61328125" style="27" customWidth="1"/>
    <col min="16" max="17" width="11.765625" style="27" bestFit="1" customWidth="1"/>
    <col min="18" max="18" width="8.53515625" style="27" customWidth="1"/>
    <col min="19" max="19" width="10.765625" style="27" customWidth="1"/>
    <col min="20" max="191" width="9.69140625" style="27" customWidth="1"/>
    <col min="192" max="16384" width="8.84375" style="17"/>
  </cols>
  <sheetData>
    <row r="2" spans="2:19" ht="18" customHeight="1" x14ac:dyDescent="0.45">
      <c r="B2" s="412"/>
      <c r="C2" s="413"/>
      <c r="D2" s="413"/>
      <c r="E2" s="413"/>
      <c r="F2" s="413"/>
      <c r="G2" s="413"/>
      <c r="H2" s="413"/>
      <c r="I2" s="413"/>
      <c r="J2" s="414"/>
    </row>
    <row r="3" spans="2:19" ht="18.5" hidden="1" customHeight="1" x14ac:dyDescent="0.5">
      <c r="B3" s="433"/>
      <c r="C3" s="434"/>
      <c r="D3" s="434"/>
      <c r="E3" s="434"/>
      <c r="F3" s="434"/>
      <c r="G3" s="434"/>
      <c r="H3" s="434"/>
      <c r="I3" s="434"/>
      <c r="J3" s="435"/>
    </row>
    <row r="4" spans="2:19" ht="21" x14ac:dyDescent="0.5">
      <c r="B4" s="417" t="s">
        <v>57</v>
      </c>
      <c r="C4" s="418"/>
      <c r="D4" s="418"/>
      <c r="E4" s="418"/>
      <c r="F4" s="418"/>
      <c r="G4" s="418"/>
      <c r="H4" s="418"/>
      <c r="I4" s="418"/>
      <c r="J4" s="419"/>
    </row>
    <row r="5" spans="2:19" ht="18" customHeight="1" x14ac:dyDescent="0.35">
      <c r="B5" s="420" t="s">
        <v>216</v>
      </c>
      <c r="C5" s="421"/>
      <c r="D5" s="421"/>
      <c r="E5" s="421"/>
      <c r="F5" s="421"/>
      <c r="G5" s="421"/>
      <c r="H5" s="421"/>
      <c r="I5" s="421"/>
      <c r="J5" s="422"/>
    </row>
    <row r="6" spans="2:19" ht="6" customHeight="1" x14ac:dyDescent="0.35">
      <c r="B6" s="174"/>
      <c r="J6" s="175"/>
    </row>
    <row r="7" spans="2:19" x14ac:dyDescent="0.35">
      <c r="B7" s="174"/>
      <c r="J7" s="175"/>
    </row>
    <row r="8" spans="2:19" ht="18.5" x14ac:dyDescent="0.45">
      <c r="B8" s="424" t="s">
        <v>65</v>
      </c>
      <c r="C8" s="425"/>
      <c r="D8" s="425"/>
      <c r="E8" s="425"/>
      <c r="F8" s="425"/>
      <c r="G8" s="425"/>
      <c r="H8" s="425"/>
      <c r="I8" s="425"/>
      <c r="J8" s="426"/>
    </row>
    <row r="9" spans="2:19" ht="6" customHeight="1" x14ac:dyDescent="0.35">
      <c r="B9" s="174"/>
      <c r="J9" s="175"/>
    </row>
    <row r="10" spans="2:19" ht="30.4" customHeight="1" x14ac:dyDescent="0.5">
      <c r="B10" s="415" t="s">
        <v>217</v>
      </c>
      <c r="C10" s="416"/>
      <c r="D10" s="30" t="s">
        <v>58</v>
      </c>
      <c r="E10" s="30" t="s">
        <v>9</v>
      </c>
      <c r="F10" s="30"/>
      <c r="G10" s="30"/>
      <c r="H10" s="423" t="s">
        <v>76</v>
      </c>
      <c r="I10" s="423"/>
      <c r="J10" s="176"/>
      <c r="N10" s="391"/>
      <c r="O10" s="221" t="s">
        <v>399</v>
      </c>
      <c r="P10" s="221" t="s">
        <v>390</v>
      </c>
      <c r="Q10" s="221" t="s">
        <v>391</v>
      </c>
      <c r="R10" s="221"/>
      <c r="S10" s="392"/>
    </row>
    <row r="11" spans="2:19" x14ac:dyDescent="0.35">
      <c r="B11" s="29"/>
      <c r="C11" s="28" t="s">
        <v>213</v>
      </c>
      <c r="D11" s="37">
        <v>30.37</v>
      </c>
      <c r="E11" s="38">
        <f>ROUND(D11*(1+SAO!$G$57),2)</f>
        <v>33.08</v>
      </c>
      <c r="F11" s="37" t="e">
        <f>#REF!*(1+#REF!)</f>
        <v>#REF!</v>
      </c>
      <c r="G11" s="37" t="s">
        <v>388</v>
      </c>
      <c r="H11" s="182">
        <f>E11-D11</f>
        <v>2.7099999999999973</v>
      </c>
      <c r="I11" s="384">
        <f>H11/D11</f>
        <v>8.9232795521896516E-2</v>
      </c>
      <c r="J11" s="177"/>
      <c r="M11" s="170"/>
      <c r="N11" s="393" t="s">
        <v>400</v>
      </c>
      <c r="O11" s="368" t="s">
        <v>397</v>
      </c>
      <c r="P11" s="368" t="s">
        <v>392</v>
      </c>
      <c r="Q11" s="368" t="s">
        <v>398</v>
      </c>
      <c r="R11" s="368" t="s">
        <v>393</v>
      </c>
      <c r="S11" s="394" t="s">
        <v>394</v>
      </c>
    </row>
    <row r="12" spans="2:19" x14ac:dyDescent="0.35">
      <c r="B12" s="29"/>
      <c r="C12" s="28" t="s">
        <v>220</v>
      </c>
      <c r="D12" s="37">
        <v>11.88</v>
      </c>
      <c r="E12" s="38">
        <f>ROUND(D12*(1+SAO!$G$57),2)</f>
        <v>12.94</v>
      </c>
      <c r="F12" s="37"/>
      <c r="G12" s="37" t="s">
        <v>389</v>
      </c>
      <c r="H12" s="182">
        <f>E12-D12</f>
        <v>1.0599999999999987</v>
      </c>
      <c r="I12" s="384">
        <f t="shared" ref="I12:I18" si="0">H12/D12</f>
        <v>8.9225589225589111E-2</v>
      </c>
      <c r="J12" s="177"/>
      <c r="M12" s="170"/>
      <c r="N12" s="174"/>
      <c r="S12" s="175"/>
    </row>
    <row r="13" spans="2:19" x14ac:dyDescent="0.35">
      <c r="B13" s="29"/>
      <c r="C13" s="28" t="s">
        <v>221</v>
      </c>
      <c r="D13" s="59">
        <v>9.64</v>
      </c>
      <c r="E13" s="38">
        <f>ROUND(D13*(1+SAO!$G$57),2)</f>
        <v>10.5</v>
      </c>
      <c r="F13" s="190" t="e">
        <f>#REF!*(1+#REF!)</f>
        <v>#REF!</v>
      </c>
      <c r="G13" s="37" t="s">
        <v>389</v>
      </c>
      <c r="H13" s="182">
        <f>E13-D13</f>
        <v>0.85999999999999943</v>
      </c>
      <c r="I13" s="384">
        <f t="shared" si="0"/>
        <v>8.9211618257261344E-2</v>
      </c>
      <c r="J13" s="175"/>
      <c r="M13" s="170"/>
      <c r="N13" s="174" t="s">
        <v>396</v>
      </c>
      <c r="O13" s="387">
        <v>4000</v>
      </c>
      <c r="P13" s="386">
        <f>D11+(2*D12)</f>
        <v>54.13</v>
      </c>
      <c r="Q13" s="386">
        <f>E11+(2*E12)</f>
        <v>58.959999999999994</v>
      </c>
      <c r="R13" s="386">
        <f>Q13-P13</f>
        <v>4.8299999999999912</v>
      </c>
      <c r="S13" s="395">
        <f>R13/P13</f>
        <v>8.9229632366524869E-2</v>
      </c>
    </row>
    <row r="14" spans="2:19" x14ac:dyDescent="0.35">
      <c r="B14" s="219"/>
      <c r="C14" s="220"/>
      <c r="D14" s="215"/>
      <c r="E14" s="220"/>
      <c r="F14" s="220"/>
      <c r="G14" s="220"/>
      <c r="H14" s="221"/>
      <c r="I14" s="222"/>
      <c r="J14" s="223"/>
      <c r="M14" s="170"/>
      <c r="N14" s="389" t="s">
        <v>395</v>
      </c>
      <c r="O14" s="396">
        <v>4700000</v>
      </c>
      <c r="P14" s="397">
        <f>(O14/1000)*D18</f>
        <v>22372</v>
      </c>
      <c r="Q14" s="397">
        <f>(O14/1000)*E18</f>
        <v>24346</v>
      </c>
      <c r="R14" s="397">
        <f>Q14-P14</f>
        <v>1974</v>
      </c>
      <c r="S14" s="398">
        <f>R14/P14</f>
        <v>8.8235294117647065E-2</v>
      </c>
    </row>
    <row r="15" spans="2:19" ht="18.5" x14ac:dyDescent="0.45">
      <c r="B15" s="427" t="s">
        <v>218</v>
      </c>
      <c r="C15" s="428"/>
      <c r="D15" s="428"/>
      <c r="E15" s="428"/>
      <c r="F15" s="428"/>
      <c r="G15" s="428"/>
      <c r="H15" s="428"/>
      <c r="I15" s="428"/>
      <c r="J15" s="429"/>
      <c r="M15" s="170"/>
      <c r="N15" s="170"/>
    </row>
    <row r="16" spans="2:19" ht="6" customHeight="1" x14ac:dyDescent="0.75">
      <c r="B16" s="178"/>
      <c r="C16" s="171"/>
      <c r="I16" s="183"/>
      <c r="J16" s="175"/>
      <c r="M16" s="170"/>
      <c r="N16" s="170"/>
    </row>
    <row r="17" spans="2:16" ht="16" x14ac:dyDescent="0.5">
      <c r="B17" s="415" t="s">
        <v>217</v>
      </c>
      <c r="C17" s="416"/>
      <c r="D17" s="30" t="s">
        <v>58</v>
      </c>
      <c r="E17" s="30" t="s">
        <v>9</v>
      </c>
      <c r="H17" s="423" t="s">
        <v>76</v>
      </c>
      <c r="I17" s="423"/>
      <c r="J17" s="175"/>
      <c r="M17" s="170"/>
      <c r="N17" s="170"/>
    </row>
    <row r="18" spans="2:16" ht="15" customHeight="1" x14ac:dyDescent="0.75">
      <c r="B18" s="178"/>
      <c r="C18" s="36" t="s">
        <v>86</v>
      </c>
      <c r="D18" s="38">
        <v>4.76</v>
      </c>
      <c r="E18" s="38">
        <f>ROUND(D18*(1+SAO!$G$57),2)</f>
        <v>5.18</v>
      </c>
      <c r="F18" s="190"/>
      <c r="G18" s="38" t="s">
        <v>389</v>
      </c>
      <c r="H18" s="191">
        <f>E18-D18</f>
        <v>0.41999999999999993</v>
      </c>
      <c r="I18" s="385">
        <f t="shared" si="0"/>
        <v>8.8235294117647051E-2</v>
      </c>
      <c r="J18" s="175"/>
      <c r="K18" s="17"/>
      <c r="L18" s="89"/>
      <c r="M18" s="390" t="s">
        <v>401</v>
      </c>
      <c r="N18" s="388" t="s">
        <v>305</v>
      </c>
      <c r="O18" s="220"/>
      <c r="P18" s="223"/>
    </row>
    <row r="19" spans="2:16" ht="15" customHeight="1" x14ac:dyDescent="0.75">
      <c r="B19" s="178"/>
      <c r="C19" s="36"/>
      <c r="D19" s="38"/>
      <c r="E19" s="38"/>
      <c r="I19" s="183"/>
      <c r="J19" s="175"/>
      <c r="K19" s="17"/>
      <c r="M19" s="174"/>
      <c r="O19" s="27">
        <v>42805</v>
      </c>
      <c r="P19" s="175" t="s">
        <v>277</v>
      </c>
    </row>
    <row r="20" spans="2:16" ht="18.5" x14ac:dyDescent="0.45">
      <c r="B20" s="430" t="s">
        <v>204</v>
      </c>
      <c r="C20" s="431"/>
      <c r="D20" s="431"/>
      <c r="E20" s="431"/>
      <c r="F20" s="431"/>
      <c r="G20" s="431"/>
      <c r="H20" s="431"/>
      <c r="I20" s="431"/>
      <c r="J20" s="432"/>
      <c r="M20" s="174"/>
      <c r="O20" s="180" t="s">
        <v>276</v>
      </c>
      <c r="P20" s="175"/>
    </row>
    <row r="21" spans="2:16" x14ac:dyDescent="0.35">
      <c r="B21" s="174"/>
      <c r="I21" s="183"/>
      <c r="J21" s="175"/>
      <c r="M21" s="174"/>
      <c r="O21" s="27">
        <f>O19*4</f>
        <v>171220</v>
      </c>
      <c r="P21" s="175"/>
    </row>
    <row r="22" spans="2:16" ht="16" x14ac:dyDescent="0.5">
      <c r="B22" s="408" t="s">
        <v>205</v>
      </c>
      <c r="C22" s="409"/>
      <c r="D22" s="30" t="s">
        <v>58</v>
      </c>
      <c r="E22" s="30" t="s">
        <v>9</v>
      </c>
      <c r="H22" s="423" t="s">
        <v>76</v>
      </c>
      <c r="I22" s="423"/>
      <c r="J22" s="175"/>
      <c r="M22" s="174"/>
      <c r="P22" s="175"/>
    </row>
    <row r="23" spans="2:16" x14ac:dyDescent="0.35">
      <c r="B23" s="410" t="s">
        <v>206</v>
      </c>
      <c r="C23" s="411"/>
      <c r="D23" s="179">
        <v>1.61</v>
      </c>
      <c r="E23" s="179">
        <v>1.61</v>
      </c>
      <c r="F23" s="180"/>
      <c r="G23" s="180"/>
      <c r="H23" s="184">
        <f>E23-D23</f>
        <v>0</v>
      </c>
      <c r="I23" s="185">
        <f>H23/D23</f>
        <v>0</v>
      </c>
      <c r="J23" s="181"/>
      <c r="M23" s="389" t="s">
        <v>384</v>
      </c>
      <c r="N23" s="180"/>
      <c r="O23" s="180"/>
      <c r="P23" s="181"/>
    </row>
  </sheetData>
  <mergeCells count="14">
    <mergeCell ref="B22:C22"/>
    <mergeCell ref="B23:C23"/>
    <mergeCell ref="B2:J2"/>
    <mergeCell ref="B17:C17"/>
    <mergeCell ref="B4:J4"/>
    <mergeCell ref="B5:J5"/>
    <mergeCell ref="B10:C10"/>
    <mergeCell ref="H10:I10"/>
    <mergeCell ref="H17:I17"/>
    <mergeCell ref="H22:I22"/>
    <mergeCell ref="B8:J8"/>
    <mergeCell ref="B15:J15"/>
    <mergeCell ref="B20:J20"/>
    <mergeCell ref="B3:J3"/>
  </mergeCells>
  <printOptions horizontalCentered="1"/>
  <pageMargins left="0.55000000000000004" right="0.55000000000000004" top="1.6" bottom="0.5"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SAO</vt:lpstr>
      <vt:lpstr>References</vt:lpstr>
      <vt:lpstr>Wages</vt:lpstr>
      <vt:lpstr>Medical</vt:lpstr>
      <vt:lpstr>Debt Service</vt:lpstr>
      <vt:lpstr>Depreciation</vt:lpstr>
      <vt:lpstr>Capital</vt:lpstr>
      <vt:lpstr>Water Loss</vt:lpstr>
      <vt:lpstr>Rates</vt:lpstr>
      <vt:lpstr>Bills</vt:lpstr>
      <vt:lpstr>Bills with Surcharge</vt:lpstr>
      <vt:lpstr>ExBA</vt:lpstr>
      <vt:lpstr>PrBA</vt:lpstr>
      <vt:lpstr>Notice_R</vt:lpstr>
      <vt:lpstr>Notice_W</vt:lpstr>
      <vt:lpstr>Bills!Print_Area</vt:lpstr>
      <vt:lpstr>'Debt Service'!Print_Area</vt:lpstr>
      <vt:lpstr>Depreciation!Print_Area</vt:lpstr>
      <vt:lpstr>PrBA!Print_Area</vt:lpstr>
      <vt:lpstr>Rates!Print_Area</vt:lpstr>
      <vt:lpstr>SAO!Print_Area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dc:creator>
  <cp:lastModifiedBy>Janet Reid</cp:lastModifiedBy>
  <cp:lastPrinted>2022-01-17T21:23:27Z</cp:lastPrinted>
  <dcterms:created xsi:type="dcterms:W3CDTF">2016-05-18T14:12:06Z</dcterms:created>
  <dcterms:modified xsi:type="dcterms:W3CDTF">2026-03-25T16:43:19Z</dcterms:modified>
</cp:coreProperties>
</file>