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ex-19\home\tina.frederick\Warren County Water District\June 2026 Perm Financing\DR1\"/>
    </mc:Choice>
  </mc:AlternateContent>
  <xr:revisionPtr revIDLastSave="0" documentId="8_{DB118B09-AA51-4FCA-B226-5ED0A23D252F}" xr6:coauthVersionLast="47" xr6:coauthVersionMax="47" xr10:uidLastSave="{00000000-0000-0000-0000-000000000000}"/>
  <bookViews>
    <workbookView xWindow="-120" yWindow="-120" windowWidth="29040" windowHeight="15720" activeTab="2" xr2:uid="{6C18082E-5A30-4C20-A34F-27621D667BEA}"/>
  </bookViews>
  <sheets>
    <sheet name="Q5 Revenue Requirements" sheetId="9" r:id="rId1"/>
    <sheet name="Debt Service" sheetId="4" r:id="rId2"/>
    <sheet name="Pro Forma Revenue &amp; Expense" sheetId="3" r:id="rId3"/>
  </sheets>
  <definedNames>
    <definedName name="_xlnm.Print_Area" localSheetId="2">'Pro Forma Revenue &amp; Expense'!$A$1:$E$71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" i="3" l="1"/>
  <c r="E58" i="3"/>
  <c r="E66" i="3"/>
  <c r="E50" i="3"/>
  <c r="D67" i="3"/>
  <c r="E67" i="3" s="1"/>
  <c r="C18" i="9"/>
  <c r="B10" i="9"/>
  <c r="B9" i="9"/>
  <c r="B8" i="9"/>
  <c r="B7" i="9"/>
  <c r="E31" i="3"/>
  <c r="D54" i="3"/>
  <c r="E54" i="3" s="1"/>
  <c r="D55" i="3"/>
  <c r="E55" i="3" s="1"/>
  <c r="D56" i="3"/>
  <c r="E56" i="3" s="1"/>
  <c r="D57" i="3"/>
  <c r="E57" i="3" s="1"/>
  <c r="D11" i="4"/>
  <c r="B21" i="4"/>
  <c r="C20" i="4"/>
  <c r="D20" i="4" s="1"/>
  <c r="C19" i="4"/>
  <c r="D19" i="4" s="1"/>
  <c r="C18" i="4"/>
  <c r="E49" i="3"/>
  <c r="E48" i="3"/>
  <c r="E41" i="3"/>
  <c r="E40" i="3"/>
  <c r="E39" i="3"/>
  <c r="E38" i="3"/>
  <c r="E37" i="3"/>
  <c r="E36" i="3"/>
  <c r="E35" i="3"/>
  <c r="E34" i="3"/>
  <c r="E33" i="3"/>
  <c r="E32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D68" i="3" l="1"/>
  <c r="E68" i="3" s="1"/>
  <c r="C21" i="4"/>
  <c r="D51" i="3" s="1"/>
  <c r="C10" i="9"/>
  <c r="E19" i="3"/>
  <c r="D18" i="4"/>
  <c r="D21" i="4" s="1"/>
  <c r="B13" i="9" s="1"/>
  <c r="B14" i="9" s="1"/>
  <c r="C14" i="9" s="1"/>
  <c r="C16" i="9" s="1"/>
  <c r="C20" i="9" s="1"/>
  <c r="E43" i="3"/>
  <c r="A24" i="3"/>
  <c r="A25" i="3" s="1"/>
  <c r="A26" i="3" s="1"/>
  <c r="A11" i="3"/>
  <c r="A12" i="3" s="1"/>
  <c r="A13" i="3" s="1"/>
  <c r="A14" i="3" s="1"/>
  <c r="A15" i="3" s="1"/>
  <c r="D52" i="3" l="1"/>
  <c r="E52" i="3" s="1"/>
  <c r="E51" i="3"/>
  <c r="D70" i="3"/>
  <c r="E60" i="3"/>
  <c r="E62" i="3" s="1"/>
  <c r="E64" i="3" s="1"/>
  <c r="E70" i="3" s="1"/>
  <c r="A27" i="3"/>
  <c r="A28" i="3" s="1"/>
  <c r="A29" i="3" s="1"/>
  <c r="A30" i="3" s="1"/>
  <c r="A31" i="3" s="1"/>
  <c r="D72" i="3" l="1"/>
  <c r="A32" i="3"/>
  <c r="A33" i="3" s="1"/>
  <c r="A34" i="3" s="1"/>
  <c r="A35" i="3" s="1"/>
  <c r="A36" i="3" s="1"/>
  <c r="A37" i="3" s="1"/>
  <c r="A38" i="3" s="1"/>
  <c r="A39" i="3" s="1"/>
  <c r="A40" i="3" s="1"/>
  <c r="A41" i="3" s="1"/>
  <c r="A48" i="3" s="1"/>
  <c r="A49" i="3" s="1"/>
  <c r="A50" i="3" s="1"/>
  <c r="A53" i="3" s="1"/>
  <c r="A58" i="3" s="1"/>
  <c r="C43" i="3" l="1"/>
  <c r="C60" i="3"/>
  <c r="C19" i="3"/>
  <c r="C62" i="3" l="1"/>
  <c r="C64" i="3" l="1"/>
  <c r="C70" i="3" s="1"/>
</calcChain>
</file>

<file path=xl/sharedStrings.xml><?xml version="1.0" encoding="utf-8"?>
<sst xmlns="http://schemas.openxmlformats.org/spreadsheetml/2006/main" count="93" uniqueCount="83">
  <si>
    <t>WARREN COUNTY WATER DISTRICT</t>
  </si>
  <si>
    <t>OPERATING REVENUE:</t>
  </si>
  <si>
    <t>Line No.</t>
  </si>
  <si>
    <t xml:space="preserve">  Metered Water Revenue</t>
  </si>
  <si>
    <t xml:space="preserve">  Forfeited Discounts</t>
  </si>
  <si>
    <t xml:space="preserve">  Miscellaneous Service Revenue</t>
  </si>
  <si>
    <t xml:space="preserve">  Other Water Revenue</t>
  </si>
  <si>
    <t xml:space="preserve">  Interest Income</t>
  </si>
  <si>
    <t xml:space="preserve">  Non-Utility Income - Storm Water</t>
  </si>
  <si>
    <t xml:space="preserve">  Disposition Gains \ (Losses)</t>
  </si>
  <si>
    <t>TOTAL Operating Revenue</t>
  </si>
  <si>
    <t>OPERATING EXPENSES:</t>
  </si>
  <si>
    <t xml:space="preserve">  Salaries and Wages </t>
  </si>
  <si>
    <t xml:space="preserve">  Commissioners' Fees</t>
  </si>
  <si>
    <t xml:space="preserve">  Employee Overhead</t>
  </si>
  <si>
    <t xml:space="preserve">  Purchased Water</t>
  </si>
  <si>
    <t xml:space="preserve">  Purchased Power</t>
  </si>
  <si>
    <t xml:space="preserve">  Chemicals</t>
  </si>
  <si>
    <t xml:space="preserve">  Materials &amp; Supplies</t>
  </si>
  <si>
    <t xml:space="preserve">  Contractual Services - Accounting</t>
  </si>
  <si>
    <t xml:space="preserve">  Contractual Services - Legal</t>
  </si>
  <si>
    <t xml:space="preserve">  Contractual Services - Other</t>
  </si>
  <si>
    <t xml:space="preserve">  Rental of Building / Property</t>
  </si>
  <si>
    <t xml:space="preserve">  Equipment </t>
  </si>
  <si>
    <t xml:space="preserve">  Insurance - General Liability</t>
  </si>
  <si>
    <t xml:space="preserve">  Insurance - Other</t>
  </si>
  <si>
    <t xml:space="preserve">  Regulatory Commission Expense</t>
  </si>
  <si>
    <t xml:space="preserve">  Bad Debts Expense</t>
  </si>
  <si>
    <t xml:space="preserve">  Miscellaneous Expense</t>
  </si>
  <si>
    <t>SUBTOTAL Operating Expenses</t>
  </si>
  <si>
    <t>OTHER EXPENSES:</t>
  </si>
  <si>
    <t xml:space="preserve">  Depreciation</t>
  </si>
  <si>
    <t xml:space="preserve">  Interest Expenses</t>
  </si>
  <si>
    <t xml:space="preserve">  Debt Expense</t>
  </si>
  <si>
    <t xml:space="preserve">  OPEB Expense</t>
  </si>
  <si>
    <t>SUBTOTAL Other Expenses</t>
  </si>
  <si>
    <t>TOTAL Expenses</t>
  </si>
  <si>
    <t xml:space="preserve">  Sewage Disposal</t>
  </si>
  <si>
    <t>NET INCOME (LOSS)</t>
  </si>
  <si>
    <t xml:space="preserve">  Rental Income</t>
  </si>
  <si>
    <t>For 12 Months Ending December 31, 2025</t>
  </si>
  <si>
    <t>WATER &amp; SEWER DIVISION</t>
  </si>
  <si>
    <t xml:space="preserve">  Less: Principal Payments</t>
  </si>
  <si>
    <t>NET INCOME AFTER PRINCIPAL PAYMENTS</t>
  </si>
  <si>
    <t>YEAR 2025</t>
  </si>
  <si>
    <t xml:space="preserve">  Miscellaneous Non-Operating (Income) Expense</t>
  </si>
  <si>
    <t>(Excluding payoff of BAN, RWFA 2024D)</t>
  </si>
  <si>
    <t>RWFA, Series 2026</t>
  </si>
  <si>
    <t>Principal</t>
  </si>
  <si>
    <t>Interest</t>
  </si>
  <si>
    <t>Total</t>
  </si>
  <si>
    <t>Average</t>
  </si>
  <si>
    <t>Year</t>
  </si>
  <si>
    <t>Total Underwriters Discount</t>
  </si>
  <si>
    <t>RWFA Program Costs of Issuance</t>
  </si>
  <si>
    <t>Payoff of BAN (RWFA, Series 2025D)</t>
  </si>
  <si>
    <t>SKO PSC Fee</t>
  </si>
  <si>
    <t>Rounding Amount</t>
  </si>
  <si>
    <t>Principal &amp; Interest Payments</t>
  </si>
  <si>
    <t>Par Amount of Bonds</t>
  </si>
  <si>
    <t xml:space="preserve">     SKO PSC Fee</t>
  </si>
  <si>
    <t xml:space="preserve">     RWFA Program Costs of Issuance</t>
  </si>
  <si>
    <t xml:space="preserve">     Rounding Amount</t>
  </si>
  <si>
    <t xml:space="preserve">     Total Underwriters Discount</t>
  </si>
  <si>
    <t>Revenue Requirements</t>
  </si>
  <si>
    <t>Total Revenue Requirement</t>
  </si>
  <si>
    <t>Required Revenue Increase</t>
  </si>
  <si>
    <t>Water &amp; Sewer Sales - Year 2025</t>
  </si>
  <si>
    <t xml:space="preserve">     Debt Service Coverage</t>
  </si>
  <si>
    <t xml:space="preserve">     Principal &amp; Interest Payments</t>
  </si>
  <si>
    <t>Debt Service</t>
  </si>
  <si>
    <t>Subtotal</t>
  </si>
  <si>
    <t xml:space="preserve">     Interest</t>
  </si>
  <si>
    <t xml:space="preserve">           Principal Payments - RWFA, Series 2026</t>
  </si>
  <si>
    <t>Debt Service Coverage Method</t>
  </si>
  <si>
    <t>Issuance Costs:</t>
  </si>
  <si>
    <t>Use of Funds</t>
  </si>
  <si>
    <t>WITH ADJUSTMENTS</t>
  </si>
  <si>
    <t>LOAN</t>
  </si>
  <si>
    <t>RWFA, SERIES 2026B</t>
  </si>
  <si>
    <t xml:space="preserve">     Debt Service Coverage (Interest Only)</t>
  </si>
  <si>
    <t xml:space="preserve">              Debt Service Coverage (Principal Only)</t>
  </si>
  <si>
    <t>Pro Forma Revenue &amp; Expense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</si>
</sst>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Border="0" applyAlignment="0"/>
    <xf numFmtId="0" fontId="8" fillId="0" borderId="0" applyNumberFormat="0" applyBorder="0" applyAlignment="0"/>
    <xf numFmtId="9" fontId="1" fillId="0" borderId="0" applyFont="0" applyFill="0" applyBorder="0" applyAlignment="0" applyProtection="0"/>
  </cellStyleXfs>
  <cellXfs count="61">
    <xf numFmtId="0" fontId="0" fillId="0" borderId="0" xfId="0"/>
    <xf numFmtId="164" fontId="0" fillId="0" borderId="0" xfId="1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6" fillId="0" borderId="0" xfId="0" applyFont="1" applyAlignment="1">
      <alignment horizontal="center"/>
    </xf>
    <xf numFmtId="165" fontId="0" fillId="0" borderId="0" xfId="2" applyNumberFormat="1" applyFont="1" applyFill="1"/>
    <xf numFmtId="164" fontId="0" fillId="0" borderId="0" xfId="0" applyNumberFormat="1"/>
    <xf numFmtId="164" fontId="0" fillId="0" borderId="2" xfId="1" applyNumberFormat="1" applyFont="1" applyBorder="1"/>
    <xf numFmtId="0" fontId="3" fillId="0" borderId="0" xfId="0" applyFont="1"/>
    <xf numFmtId="164" fontId="0" fillId="0" borderId="3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9" fillId="0" borderId="5" xfId="0" applyFont="1" applyBorder="1" applyAlignment="1">
      <alignment horizontal="center"/>
    </xf>
    <xf numFmtId="165" fontId="0" fillId="0" borderId="5" xfId="2" applyNumberFormat="1" applyFont="1" applyBorder="1"/>
    <xf numFmtId="165" fontId="9" fillId="0" borderId="5" xfId="2" applyNumberFormat="1" applyFont="1" applyBorder="1"/>
    <xf numFmtId="0" fontId="9" fillId="0" borderId="0" xfId="0" applyFont="1" applyAlignment="1">
      <alignment horizontal="center"/>
    </xf>
    <xf numFmtId="165" fontId="9" fillId="0" borderId="0" xfId="2" applyNumberFormat="1" applyFont="1" applyBorder="1"/>
    <xf numFmtId="0" fontId="0" fillId="0" borderId="5" xfId="0" applyBorder="1"/>
    <xf numFmtId="164" fontId="9" fillId="0" borderId="5" xfId="1" applyNumberFormat="1" applyFont="1" applyBorder="1"/>
    <xf numFmtId="164" fontId="9" fillId="0" borderId="0" xfId="0" applyNumberFormat="1" applyFont="1"/>
    <xf numFmtId="165" fontId="0" fillId="0" borderId="0" xfId="0" applyNumberFormat="1"/>
    <xf numFmtId="10" fontId="0" fillId="0" borderId="5" xfId="5" applyNumberFormat="1" applyFont="1" applyBorder="1"/>
    <xf numFmtId="0" fontId="9" fillId="0" borderId="5" xfId="0" applyFont="1" applyBorder="1"/>
    <xf numFmtId="164" fontId="1" fillId="0" borderId="0" xfId="1" applyNumberFormat="1" applyFont="1"/>
    <xf numFmtId="0" fontId="0" fillId="0" borderId="8" xfId="0" applyBorder="1"/>
    <xf numFmtId="164" fontId="0" fillId="0" borderId="8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1" fillId="2" borderId="0" xfId="2" applyNumberFormat="1" applyFont="1" applyFill="1" applyBorder="1"/>
    <xf numFmtId="43" fontId="0" fillId="0" borderId="0" xfId="0" applyNumberFormat="1"/>
    <xf numFmtId="165" fontId="1" fillId="0" borderId="4" xfId="2" applyNumberFormat="1" applyFont="1" applyBorder="1"/>
    <xf numFmtId="0" fontId="0" fillId="2" borderId="0" xfId="0" applyFill="1"/>
    <xf numFmtId="10" fontId="9" fillId="0" borderId="0" xfId="5" applyNumberFormat="1" applyFont="1"/>
    <xf numFmtId="0" fontId="9" fillId="0" borderId="0" xfId="0" applyFont="1"/>
    <xf numFmtId="0" fontId="0" fillId="0" borderId="0" xfId="0" applyFont="1"/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5" fontId="0" fillId="0" borderId="0" xfId="0" applyNumberFormat="1" applyFont="1"/>
    <xf numFmtId="164" fontId="0" fillId="0" borderId="0" xfId="0" applyNumberFormat="1" applyFont="1"/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quotePrefix="1" applyNumberFormat="1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Percent" xfId="5" builtinId="5"/>
    <cellStyle name="STYLE2" xfId="3" xr:uid="{A5DD2A86-5CA7-4074-A5FF-00150C13A00A}"/>
    <cellStyle name="STYLE3" xfId="4" xr:uid="{AF131019-AFE7-4F4C-A3C9-7A7B4AF46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7FF8-7023-4855-9251-0F6863D27E5E}">
  <dimension ref="A1:E20"/>
  <sheetViews>
    <sheetView zoomScale="122" zoomScaleNormal="122" workbookViewId="0">
      <selection activeCell="A22" sqref="A22"/>
    </sheetView>
  </sheetViews>
  <sheetFormatPr defaultRowHeight="15" x14ac:dyDescent="0.25"/>
  <cols>
    <col min="1" max="1" width="38.42578125" customWidth="1"/>
    <col min="2" max="2" width="17.140625" style="1" customWidth="1"/>
    <col min="3" max="3" width="15.28515625" style="1" bestFit="1" customWidth="1"/>
  </cols>
  <sheetData>
    <row r="1" spans="1:3" x14ac:dyDescent="0.25">
      <c r="A1" s="44" t="s">
        <v>64</v>
      </c>
      <c r="B1" s="44"/>
      <c r="C1" s="44"/>
    </row>
    <row r="2" spans="1:3" x14ac:dyDescent="0.25">
      <c r="A2" s="45" t="s">
        <v>74</v>
      </c>
      <c r="B2" s="45"/>
      <c r="C2" s="45"/>
    </row>
    <row r="3" spans="1:3" x14ac:dyDescent="0.25">
      <c r="A3" s="46" t="s">
        <v>47</v>
      </c>
      <c r="B3" s="46"/>
      <c r="C3" s="46"/>
    </row>
    <row r="4" spans="1:3" x14ac:dyDescent="0.25">
      <c r="A4" s="26"/>
      <c r="B4" s="27"/>
      <c r="C4" s="28"/>
    </row>
    <row r="5" spans="1:3" x14ac:dyDescent="0.25">
      <c r="A5" s="24"/>
      <c r="B5" s="25" t="s">
        <v>71</v>
      </c>
      <c r="C5" s="25" t="s">
        <v>50</v>
      </c>
    </row>
    <row r="6" spans="1:3" x14ac:dyDescent="0.25">
      <c r="A6" s="17" t="s">
        <v>75</v>
      </c>
      <c r="B6" s="11"/>
      <c r="C6" s="11"/>
    </row>
    <row r="7" spans="1:3" x14ac:dyDescent="0.25">
      <c r="A7" s="17" t="s">
        <v>63</v>
      </c>
      <c r="B7" s="13">
        <f>+'Debt Service'!D6</f>
        <v>308625</v>
      </c>
      <c r="C7" s="11"/>
    </row>
    <row r="8" spans="1:3" x14ac:dyDescent="0.25">
      <c r="A8" s="17" t="s">
        <v>61</v>
      </c>
      <c r="B8" s="11">
        <f>+'Debt Service'!D7</f>
        <v>236825</v>
      </c>
      <c r="C8" s="11"/>
    </row>
    <row r="9" spans="1:3" x14ac:dyDescent="0.25">
      <c r="A9" s="17" t="s">
        <v>60</v>
      </c>
      <c r="B9" s="11">
        <f>+'Debt Service'!D8</f>
        <v>25000</v>
      </c>
      <c r="C9" s="11"/>
    </row>
    <row r="10" spans="1:3" x14ac:dyDescent="0.25">
      <c r="A10" s="17" t="s">
        <v>62</v>
      </c>
      <c r="B10" s="11">
        <f>+'Debt Service'!D9</f>
        <v>4550</v>
      </c>
      <c r="C10" s="13">
        <f>SUM(B7:B10)</f>
        <v>575000</v>
      </c>
    </row>
    <row r="11" spans="1:3" x14ac:dyDescent="0.25">
      <c r="A11" s="17"/>
      <c r="B11" s="11"/>
      <c r="C11" s="11"/>
    </row>
    <row r="12" spans="1:3" x14ac:dyDescent="0.25">
      <c r="A12" s="17" t="s">
        <v>70</v>
      </c>
      <c r="B12" s="11"/>
      <c r="C12" s="11"/>
    </row>
    <row r="13" spans="1:3" x14ac:dyDescent="0.25">
      <c r="A13" s="17" t="s">
        <v>69</v>
      </c>
      <c r="B13" s="11">
        <f>+'Debt Service'!D21</f>
        <v>1282022.6666666667</v>
      </c>
      <c r="C13" s="11"/>
    </row>
    <row r="14" spans="1:3" x14ac:dyDescent="0.25">
      <c r="A14" s="17" t="s">
        <v>68</v>
      </c>
      <c r="B14" s="11">
        <f>+B13*0.2</f>
        <v>256404.53333333335</v>
      </c>
      <c r="C14" s="11">
        <f>+B14+B13</f>
        <v>1538427.2000000002</v>
      </c>
    </row>
    <row r="15" spans="1:3" x14ac:dyDescent="0.25">
      <c r="A15" s="17"/>
      <c r="B15" s="11"/>
      <c r="C15" s="11"/>
    </row>
    <row r="16" spans="1:3" x14ac:dyDescent="0.25">
      <c r="A16" s="22" t="s">
        <v>65</v>
      </c>
      <c r="B16" s="18"/>
      <c r="C16" s="14">
        <f>+C10+C14</f>
        <v>2113427.2000000002</v>
      </c>
    </row>
    <row r="17" spans="1:5" x14ac:dyDescent="0.25">
      <c r="A17" s="17"/>
      <c r="B17" s="11"/>
      <c r="C17" s="11"/>
      <c r="E17" s="6"/>
    </row>
    <row r="18" spans="1:5" x14ac:dyDescent="0.25">
      <c r="A18" s="17" t="s">
        <v>67</v>
      </c>
      <c r="B18" s="11"/>
      <c r="C18" s="11">
        <f>+'Pro Forma Revenue &amp; Expense'!C10</f>
        <v>25165965</v>
      </c>
    </row>
    <row r="19" spans="1:5" x14ac:dyDescent="0.25">
      <c r="A19" s="17"/>
      <c r="B19" s="11"/>
      <c r="C19" s="11"/>
    </row>
    <row r="20" spans="1:5" x14ac:dyDescent="0.25">
      <c r="A20" s="17" t="s">
        <v>66</v>
      </c>
      <c r="B20" s="11"/>
      <c r="C20" s="21">
        <f>+C16/C18</f>
        <v>8.3979581152560615E-2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54B2-CAAD-4B27-8211-694B42ECE36A}">
  <dimension ref="A2:F21"/>
  <sheetViews>
    <sheetView workbookViewId="0">
      <selection activeCell="F14" sqref="F14"/>
    </sheetView>
  </sheetViews>
  <sheetFormatPr defaultRowHeight="15" x14ac:dyDescent="0.25"/>
  <cols>
    <col min="1" max="1" width="9.140625" style="39"/>
    <col min="2" max="2" width="12.5703125" style="39" bestFit="1" customWidth="1"/>
    <col min="3" max="3" width="14.28515625" style="39" bestFit="1" customWidth="1"/>
    <col min="4" max="4" width="15.28515625" style="39" bestFit="1" customWidth="1"/>
    <col min="5" max="5" width="9.140625" style="39"/>
    <col min="6" max="6" width="11.5703125" style="39" bestFit="1" customWidth="1"/>
    <col min="7" max="16384" width="9.140625" style="39"/>
  </cols>
  <sheetData>
    <row r="2" spans="1:4" x14ac:dyDescent="0.25">
      <c r="A2" s="15"/>
      <c r="B2" s="16"/>
      <c r="C2" s="16"/>
      <c r="D2" s="16"/>
    </row>
    <row r="4" spans="1:4" x14ac:dyDescent="0.25">
      <c r="A4" s="47" t="s">
        <v>47</v>
      </c>
      <c r="B4" s="48"/>
      <c r="C4" s="48"/>
      <c r="D4" s="49"/>
    </row>
    <row r="5" spans="1:4" x14ac:dyDescent="0.25">
      <c r="A5" s="50" t="s">
        <v>76</v>
      </c>
      <c r="B5" s="51"/>
      <c r="C5" s="51"/>
      <c r="D5" s="52"/>
    </row>
    <row r="6" spans="1:4" x14ac:dyDescent="0.25">
      <c r="A6" s="53" t="s">
        <v>53</v>
      </c>
      <c r="B6" s="53"/>
      <c r="C6" s="53"/>
      <c r="D6" s="14">
        <v>308625</v>
      </c>
    </row>
    <row r="7" spans="1:4" x14ac:dyDescent="0.25">
      <c r="A7" s="53" t="s">
        <v>54</v>
      </c>
      <c r="B7" s="53"/>
      <c r="C7" s="53"/>
      <c r="D7" s="18">
        <v>236825</v>
      </c>
    </row>
    <row r="8" spans="1:4" x14ac:dyDescent="0.25">
      <c r="A8" s="54" t="s">
        <v>56</v>
      </c>
      <c r="B8" s="55"/>
      <c r="C8" s="56"/>
      <c r="D8" s="18">
        <v>25000</v>
      </c>
    </row>
    <row r="9" spans="1:4" x14ac:dyDescent="0.25">
      <c r="A9" s="53" t="s">
        <v>57</v>
      </c>
      <c r="B9" s="53"/>
      <c r="C9" s="53"/>
      <c r="D9" s="18">
        <v>4550</v>
      </c>
    </row>
    <row r="10" spans="1:4" x14ac:dyDescent="0.25">
      <c r="A10" s="57" t="s">
        <v>55</v>
      </c>
      <c r="B10" s="57"/>
      <c r="C10" s="57"/>
      <c r="D10" s="11">
        <v>20000000</v>
      </c>
    </row>
    <row r="11" spans="1:4" x14ac:dyDescent="0.25">
      <c r="A11" s="57" t="s">
        <v>59</v>
      </c>
      <c r="B11" s="57"/>
      <c r="C11" s="57"/>
      <c r="D11" s="13">
        <f>SUM(D6:D10)</f>
        <v>20575000</v>
      </c>
    </row>
    <row r="15" spans="1:4" x14ac:dyDescent="0.25">
      <c r="A15" s="47" t="s">
        <v>47</v>
      </c>
      <c r="B15" s="48"/>
      <c r="C15" s="48"/>
      <c r="D15" s="49"/>
    </row>
    <row r="16" spans="1:4" x14ac:dyDescent="0.25">
      <c r="A16" s="50" t="s">
        <v>58</v>
      </c>
      <c r="B16" s="51"/>
      <c r="C16" s="51"/>
      <c r="D16" s="52"/>
    </row>
    <row r="17" spans="1:6" x14ac:dyDescent="0.25">
      <c r="A17" s="40" t="s">
        <v>52</v>
      </c>
      <c r="B17" s="40" t="s">
        <v>48</v>
      </c>
      <c r="C17" s="40" t="s">
        <v>49</v>
      </c>
      <c r="D17" s="40" t="s">
        <v>50</v>
      </c>
    </row>
    <row r="18" spans="1:6" x14ac:dyDescent="0.25">
      <c r="A18" s="41">
        <v>2027</v>
      </c>
      <c r="B18" s="13">
        <v>100000</v>
      </c>
      <c r="C18" s="13">
        <f>571025.5+485625.5</f>
        <v>1056651</v>
      </c>
      <c r="D18" s="13">
        <f>+B18+C18</f>
        <v>1156651</v>
      </c>
      <c r="F18" s="42"/>
    </row>
    <row r="19" spans="1:6" x14ac:dyDescent="0.25">
      <c r="A19" s="41">
        <v>2028</v>
      </c>
      <c r="B19" s="11">
        <v>380000</v>
      </c>
      <c r="C19" s="11">
        <f>485625.5+479906.5</f>
        <v>965532</v>
      </c>
      <c r="D19" s="11">
        <f>+B19+C19</f>
        <v>1345532</v>
      </c>
      <c r="F19" s="43"/>
    </row>
    <row r="20" spans="1:6" x14ac:dyDescent="0.25">
      <c r="A20" s="41">
        <v>2029</v>
      </c>
      <c r="B20" s="11">
        <v>390000</v>
      </c>
      <c r="C20" s="11">
        <f>479906.5+473978.5</f>
        <v>953885</v>
      </c>
      <c r="D20" s="11">
        <f>+B20+C20</f>
        <v>1343885</v>
      </c>
      <c r="F20" s="43"/>
    </row>
    <row r="21" spans="1:6" x14ac:dyDescent="0.25">
      <c r="A21" s="12" t="s">
        <v>51</v>
      </c>
      <c r="B21" s="14">
        <f>AVERAGE(B18:B20)</f>
        <v>290000</v>
      </c>
      <c r="C21" s="14">
        <f>AVERAGE(C18:C20)</f>
        <v>992022.66666666663</v>
      </c>
      <c r="D21" s="14">
        <f>AVERAGE(D18:D20)</f>
        <v>1282022.6666666667</v>
      </c>
      <c r="F21" s="42"/>
    </row>
  </sheetData>
  <mergeCells count="10">
    <mergeCell ref="A15:D15"/>
    <mergeCell ref="A16:D16"/>
    <mergeCell ref="A4:D4"/>
    <mergeCell ref="A5:D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5F8D4-9783-45D3-A66A-BA5CF49521A9}">
  <sheetPr>
    <pageSetUpPr fitToPage="1"/>
  </sheetPr>
  <dimension ref="A1:G202"/>
  <sheetViews>
    <sheetView tabSelected="1" workbookViewId="0">
      <selection activeCell="A34" sqref="A34"/>
    </sheetView>
  </sheetViews>
  <sheetFormatPr defaultRowHeight="15" x14ac:dyDescent="0.25"/>
  <cols>
    <col min="1" max="1" width="7.140625" style="2" customWidth="1"/>
    <col min="2" max="2" width="47.7109375" customWidth="1"/>
    <col min="3" max="5" width="19.42578125" customWidth="1"/>
    <col min="8" max="8" width="10.5703125" bestFit="1" customWidth="1"/>
  </cols>
  <sheetData>
    <row r="1" spans="1:5" ht="16.5" x14ac:dyDescent="0.25">
      <c r="A1" s="58" t="s">
        <v>0</v>
      </c>
      <c r="B1" s="58"/>
      <c r="C1" s="58"/>
      <c r="D1" s="58"/>
      <c r="E1" s="58"/>
    </row>
    <row r="2" spans="1:5" ht="16.5" x14ac:dyDescent="0.25">
      <c r="A2" s="58" t="s">
        <v>41</v>
      </c>
      <c r="B2" s="58"/>
      <c r="C2" s="58"/>
      <c r="D2" s="58"/>
      <c r="E2" s="58"/>
    </row>
    <row r="3" spans="1:5" x14ac:dyDescent="0.25">
      <c r="A3" s="59" t="s">
        <v>82</v>
      </c>
      <c r="B3" s="59"/>
      <c r="C3" s="59"/>
      <c r="D3" s="59"/>
      <c r="E3" s="59"/>
    </row>
    <row r="4" spans="1:5" x14ac:dyDescent="0.25">
      <c r="A4" s="60" t="s">
        <v>40</v>
      </c>
      <c r="B4" s="60"/>
      <c r="C4" s="60"/>
      <c r="D4" s="60"/>
      <c r="E4" s="60"/>
    </row>
    <row r="6" spans="1:5" x14ac:dyDescent="0.25">
      <c r="C6" s="29"/>
      <c r="D6" s="29" t="s">
        <v>79</v>
      </c>
      <c r="E6" s="30" t="s">
        <v>44</v>
      </c>
    </row>
    <row r="7" spans="1:5" ht="15.75" thickBot="1" x14ac:dyDescent="0.3">
      <c r="B7" s="3"/>
      <c r="C7" s="31" t="s">
        <v>44</v>
      </c>
      <c r="D7" s="31" t="s">
        <v>78</v>
      </c>
      <c r="E7" s="32" t="s">
        <v>77</v>
      </c>
    </row>
    <row r="8" spans="1:5" x14ac:dyDescent="0.25">
      <c r="B8" t="s">
        <v>1</v>
      </c>
    </row>
    <row r="9" spans="1:5" x14ac:dyDescent="0.25">
      <c r="A9" s="4" t="s">
        <v>2</v>
      </c>
    </row>
    <row r="10" spans="1:5" x14ac:dyDescent="0.25">
      <c r="A10" s="2">
        <v>1</v>
      </c>
      <c r="B10" t="s">
        <v>3</v>
      </c>
      <c r="C10" s="5">
        <v>25165965</v>
      </c>
      <c r="D10" s="1"/>
      <c r="E10" s="5">
        <f>+C10+D10</f>
        <v>25165965</v>
      </c>
    </row>
    <row r="11" spans="1:5" x14ac:dyDescent="0.25">
      <c r="A11" s="2">
        <f t="shared" ref="A11:A15" si="0">+A10+1</f>
        <v>2</v>
      </c>
      <c r="B11" t="s">
        <v>4</v>
      </c>
      <c r="C11" s="1">
        <v>267056</v>
      </c>
      <c r="D11" s="1"/>
      <c r="E11" s="1">
        <f>+C11+D11</f>
        <v>267056</v>
      </c>
    </row>
    <row r="12" spans="1:5" x14ac:dyDescent="0.25">
      <c r="A12" s="2">
        <f t="shared" si="0"/>
        <v>3</v>
      </c>
      <c r="B12" t="s">
        <v>5</v>
      </c>
      <c r="C12" s="1">
        <v>182496</v>
      </c>
      <c r="D12" s="1"/>
      <c r="E12" s="1">
        <f t="shared" ref="E12:E17" si="1">+C12+D12</f>
        <v>182496</v>
      </c>
    </row>
    <row r="13" spans="1:5" x14ac:dyDescent="0.25">
      <c r="A13" s="2">
        <f t="shared" si="0"/>
        <v>4</v>
      </c>
      <c r="B13" t="s">
        <v>6</v>
      </c>
      <c r="C13" s="1">
        <v>1200</v>
      </c>
      <c r="D13" s="1"/>
      <c r="E13" s="1">
        <f t="shared" si="1"/>
        <v>1200</v>
      </c>
    </row>
    <row r="14" spans="1:5" x14ac:dyDescent="0.25">
      <c r="A14" s="2">
        <f t="shared" si="0"/>
        <v>5</v>
      </c>
      <c r="B14" t="s">
        <v>7</v>
      </c>
      <c r="C14" s="1">
        <v>864247</v>
      </c>
      <c r="D14" s="1"/>
      <c r="E14" s="1">
        <f t="shared" si="1"/>
        <v>864247</v>
      </c>
    </row>
    <row r="15" spans="1:5" x14ac:dyDescent="0.25">
      <c r="A15" s="2">
        <f t="shared" si="0"/>
        <v>6</v>
      </c>
      <c r="B15" t="s">
        <v>39</v>
      </c>
      <c r="C15" s="1">
        <v>121073</v>
      </c>
      <c r="D15" s="1"/>
      <c r="E15" s="1">
        <f t="shared" si="1"/>
        <v>121073</v>
      </c>
    </row>
    <row r="16" spans="1:5" x14ac:dyDescent="0.25">
      <c r="A16" s="2">
        <v>8</v>
      </c>
      <c r="B16" t="s">
        <v>8</v>
      </c>
      <c r="C16" s="1">
        <v>73829</v>
      </c>
      <c r="D16" s="1"/>
      <c r="E16" s="1">
        <f t="shared" si="1"/>
        <v>73829</v>
      </c>
    </row>
    <row r="17" spans="1:5" x14ac:dyDescent="0.25">
      <c r="A17" s="2">
        <v>9</v>
      </c>
      <c r="B17" t="s">
        <v>9</v>
      </c>
      <c r="C17" s="7">
        <v>-1647</v>
      </c>
      <c r="D17" s="1"/>
      <c r="E17" s="7">
        <f t="shared" si="1"/>
        <v>-1647</v>
      </c>
    </row>
    <row r="18" spans="1:5" x14ac:dyDescent="0.25">
      <c r="C18" s="10"/>
      <c r="D18" s="1"/>
      <c r="E18" s="10"/>
    </row>
    <row r="19" spans="1:5" x14ac:dyDescent="0.25">
      <c r="B19" t="s">
        <v>10</v>
      </c>
      <c r="C19" s="1">
        <f>SUM(C10:C17)</f>
        <v>26674219</v>
      </c>
      <c r="D19" s="1"/>
      <c r="E19" s="1">
        <f>SUM(E10:E17)</f>
        <v>26674219</v>
      </c>
    </row>
    <row r="20" spans="1:5" x14ac:dyDescent="0.25">
      <c r="C20" s="1"/>
      <c r="D20" s="1"/>
      <c r="E20" s="1"/>
    </row>
    <row r="21" spans="1:5" x14ac:dyDescent="0.25">
      <c r="C21" s="1"/>
      <c r="D21" s="1"/>
      <c r="E21" s="1"/>
    </row>
    <row r="22" spans="1:5" x14ac:dyDescent="0.25">
      <c r="B22" t="s">
        <v>11</v>
      </c>
      <c r="C22" s="1"/>
      <c r="D22" s="1"/>
      <c r="E22" s="1"/>
    </row>
    <row r="23" spans="1:5" x14ac:dyDescent="0.25">
      <c r="A23" s="4" t="s">
        <v>2</v>
      </c>
      <c r="C23" s="1"/>
      <c r="D23" s="1"/>
      <c r="E23" s="1"/>
    </row>
    <row r="24" spans="1:5" x14ac:dyDescent="0.25">
      <c r="A24" s="2">
        <f>+A17+1</f>
        <v>10</v>
      </c>
      <c r="B24" t="s">
        <v>12</v>
      </c>
      <c r="C24" s="1">
        <v>2926599</v>
      </c>
      <c r="D24" s="1"/>
      <c r="E24" s="1">
        <f t="shared" ref="E24:E41" si="2">+C24+D24</f>
        <v>2926599</v>
      </c>
    </row>
    <row r="25" spans="1:5" x14ac:dyDescent="0.25">
      <c r="A25" s="2">
        <f>+A24+1</f>
        <v>11</v>
      </c>
      <c r="B25" t="s">
        <v>13</v>
      </c>
      <c r="C25" s="1">
        <v>30000</v>
      </c>
      <c r="D25" s="1"/>
      <c r="E25" s="1">
        <f t="shared" si="2"/>
        <v>30000</v>
      </c>
    </row>
    <row r="26" spans="1:5" x14ac:dyDescent="0.25">
      <c r="A26" s="2">
        <f t="shared" ref="A26:A41" si="3">+A25+1</f>
        <v>12</v>
      </c>
      <c r="B26" t="s">
        <v>14</v>
      </c>
      <c r="C26" s="1">
        <v>1669837</v>
      </c>
      <c r="D26" s="1"/>
      <c r="E26" s="1">
        <f t="shared" si="2"/>
        <v>1669837</v>
      </c>
    </row>
    <row r="27" spans="1:5" x14ac:dyDescent="0.25">
      <c r="A27" s="2">
        <f t="shared" si="3"/>
        <v>13</v>
      </c>
      <c r="B27" t="s">
        <v>15</v>
      </c>
      <c r="C27" s="1">
        <v>8037878</v>
      </c>
      <c r="D27" s="1"/>
      <c r="E27" s="1">
        <f t="shared" si="2"/>
        <v>8037878</v>
      </c>
    </row>
    <row r="28" spans="1:5" x14ac:dyDescent="0.25">
      <c r="A28" s="2">
        <f t="shared" si="3"/>
        <v>14</v>
      </c>
      <c r="B28" s="8" t="s">
        <v>37</v>
      </c>
      <c r="C28" s="1">
        <v>3794004</v>
      </c>
      <c r="D28" s="1"/>
      <c r="E28" s="1">
        <f t="shared" si="2"/>
        <v>3794004</v>
      </c>
    </row>
    <row r="29" spans="1:5" x14ac:dyDescent="0.25">
      <c r="A29" s="2">
        <f t="shared" si="3"/>
        <v>15</v>
      </c>
      <c r="B29" t="s">
        <v>16</v>
      </c>
      <c r="C29" s="1">
        <v>827181</v>
      </c>
      <c r="D29" s="1"/>
      <c r="E29" s="1">
        <f t="shared" si="2"/>
        <v>827181</v>
      </c>
    </row>
    <row r="30" spans="1:5" x14ac:dyDescent="0.25">
      <c r="A30" s="2">
        <f t="shared" si="3"/>
        <v>16</v>
      </c>
      <c r="B30" t="s">
        <v>18</v>
      </c>
      <c r="C30" s="1">
        <v>518724</v>
      </c>
      <c r="D30" s="1"/>
      <c r="E30" s="1">
        <f t="shared" si="2"/>
        <v>518724</v>
      </c>
    </row>
    <row r="31" spans="1:5" x14ac:dyDescent="0.25">
      <c r="A31" s="2">
        <f t="shared" si="3"/>
        <v>17</v>
      </c>
      <c r="B31" t="s">
        <v>17</v>
      </c>
      <c r="C31" s="1">
        <v>28425</v>
      </c>
      <c r="D31" s="1"/>
      <c r="E31" s="1">
        <f t="shared" si="2"/>
        <v>28425</v>
      </c>
    </row>
    <row r="32" spans="1:5" x14ac:dyDescent="0.25">
      <c r="A32" s="2">
        <f>+A31+1</f>
        <v>18</v>
      </c>
      <c r="B32" t="s">
        <v>19</v>
      </c>
      <c r="C32" s="1">
        <v>36320</v>
      </c>
      <c r="D32" s="1"/>
      <c r="E32" s="1">
        <f t="shared" si="2"/>
        <v>36320</v>
      </c>
    </row>
    <row r="33" spans="1:5" x14ac:dyDescent="0.25">
      <c r="A33" s="2">
        <f t="shared" si="3"/>
        <v>19</v>
      </c>
      <c r="B33" t="s">
        <v>20</v>
      </c>
      <c r="C33" s="1">
        <v>70568</v>
      </c>
      <c r="D33" s="1"/>
      <c r="E33" s="1">
        <f t="shared" si="2"/>
        <v>70568</v>
      </c>
    </row>
    <row r="34" spans="1:5" x14ac:dyDescent="0.25">
      <c r="A34" s="2">
        <f t="shared" si="3"/>
        <v>20</v>
      </c>
      <c r="B34" s="8" t="s">
        <v>21</v>
      </c>
      <c r="C34" s="1">
        <v>1250823</v>
      </c>
      <c r="D34" s="1"/>
      <c r="E34" s="1">
        <f t="shared" si="2"/>
        <v>1250823</v>
      </c>
    </row>
    <row r="35" spans="1:5" x14ac:dyDescent="0.25">
      <c r="A35" s="2">
        <f t="shared" si="3"/>
        <v>21</v>
      </c>
      <c r="B35" t="s">
        <v>22</v>
      </c>
      <c r="C35" s="1">
        <v>57410</v>
      </c>
      <c r="D35" s="1"/>
      <c r="E35" s="1">
        <f t="shared" si="2"/>
        <v>57410</v>
      </c>
    </row>
    <row r="36" spans="1:5" x14ac:dyDescent="0.25">
      <c r="A36" s="2">
        <f t="shared" si="3"/>
        <v>22</v>
      </c>
      <c r="B36" t="s">
        <v>23</v>
      </c>
      <c r="C36" s="1">
        <v>400963</v>
      </c>
      <c r="D36" s="1"/>
      <c r="E36" s="1">
        <f t="shared" si="2"/>
        <v>400963</v>
      </c>
    </row>
    <row r="37" spans="1:5" x14ac:dyDescent="0.25">
      <c r="A37" s="2">
        <f t="shared" si="3"/>
        <v>23</v>
      </c>
      <c r="B37" t="s">
        <v>24</v>
      </c>
      <c r="C37" s="1">
        <v>103306</v>
      </c>
      <c r="D37" s="1"/>
      <c r="E37" s="1">
        <f t="shared" si="2"/>
        <v>103306</v>
      </c>
    </row>
    <row r="38" spans="1:5" x14ac:dyDescent="0.25">
      <c r="A38" s="2">
        <f t="shared" si="3"/>
        <v>24</v>
      </c>
      <c r="B38" t="s">
        <v>25</v>
      </c>
      <c r="C38" s="1">
        <v>5230</v>
      </c>
      <c r="D38" s="1"/>
      <c r="E38" s="1">
        <f t="shared" si="2"/>
        <v>5230</v>
      </c>
    </row>
    <row r="39" spans="1:5" x14ac:dyDescent="0.25">
      <c r="A39" s="2">
        <f t="shared" si="3"/>
        <v>25</v>
      </c>
      <c r="B39" t="s">
        <v>26</v>
      </c>
      <c r="C39" s="1">
        <v>88766</v>
      </c>
      <c r="D39" s="1"/>
      <c r="E39" s="1">
        <f t="shared" si="2"/>
        <v>88766</v>
      </c>
    </row>
    <row r="40" spans="1:5" x14ac:dyDescent="0.25">
      <c r="A40" s="2">
        <f t="shared" si="3"/>
        <v>26</v>
      </c>
      <c r="B40" t="s">
        <v>27</v>
      </c>
      <c r="C40" s="1">
        <v>25392</v>
      </c>
      <c r="D40" s="1"/>
      <c r="E40" s="1">
        <f t="shared" si="2"/>
        <v>25392</v>
      </c>
    </row>
    <row r="41" spans="1:5" x14ac:dyDescent="0.25">
      <c r="A41" s="2">
        <f t="shared" si="3"/>
        <v>27</v>
      </c>
      <c r="B41" t="s">
        <v>28</v>
      </c>
      <c r="C41" s="7">
        <v>71589</v>
      </c>
      <c r="D41" s="1"/>
      <c r="E41" s="7">
        <f t="shared" si="2"/>
        <v>71589</v>
      </c>
    </row>
    <row r="42" spans="1:5" x14ac:dyDescent="0.25">
      <c r="C42" s="1"/>
      <c r="D42" s="1"/>
      <c r="E42" s="1"/>
    </row>
    <row r="43" spans="1:5" x14ac:dyDescent="0.25">
      <c r="B43" t="s">
        <v>29</v>
      </c>
      <c r="C43" s="1">
        <f>SUM(C24:C42)</f>
        <v>19943015</v>
      </c>
      <c r="D43" s="1"/>
      <c r="E43" s="1">
        <f>SUM(E24:E42)</f>
        <v>19943015</v>
      </c>
    </row>
    <row r="44" spans="1:5" x14ac:dyDescent="0.25">
      <c r="C44" s="1"/>
      <c r="D44" s="1"/>
      <c r="E44" s="1"/>
    </row>
    <row r="45" spans="1:5" x14ac:dyDescent="0.25">
      <c r="C45" s="1"/>
      <c r="D45" s="1"/>
      <c r="E45" s="1"/>
    </row>
    <row r="46" spans="1:5" x14ac:dyDescent="0.25">
      <c r="B46" t="s">
        <v>30</v>
      </c>
      <c r="C46" s="1"/>
      <c r="D46" s="1"/>
      <c r="E46" s="1"/>
    </row>
    <row r="47" spans="1:5" x14ac:dyDescent="0.25">
      <c r="A47" s="4" t="s">
        <v>2</v>
      </c>
      <c r="C47" s="1"/>
      <c r="D47" s="1"/>
      <c r="E47" s="1"/>
    </row>
    <row r="48" spans="1:5" x14ac:dyDescent="0.25">
      <c r="A48" s="2">
        <f>+A41+1</f>
        <v>28</v>
      </c>
      <c r="B48" t="s">
        <v>31</v>
      </c>
      <c r="C48" s="1">
        <v>6669787</v>
      </c>
      <c r="D48" s="1"/>
      <c r="E48" s="1">
        <f t="shared" ref="E48:E58" si="4">+C48+D48</f>
        <v>6669787</v>
      </c>
    </row>
    <row r="49" spans="1:5" x14ac:dyDescent="0.25">
      <c r="A49" s="2">
        <f>+A48+1</f>
        <v>29</v>
      </c>
      <c r="B49" t="s">
        <v>45</v>
      </c>
      <c r="C49" s="1">
        <v>-9528</v>
      </c>
      <c r="D49" s="1"/>
      <c r="E49" s="1">
        <f t="shared" si="4"/>
        <v>-9528</v>
      </c>
    </row>
    <row r="50" spans="1:5" x14ac:dyDescent="0.25">
      <c r="A50" s="2">
        <f>+A49+1</f>
        <v>30</v>
      </c>
      <c r="B50" t="s">
        <v>32</v>
      </c>
      <c r="C50" s="1">
        <v>882419</v>
      </c>
      <c r="D50" s="19"/>
      <c r="E50" s="1">
        <f t="shared" ref="E50:E57" si="5">+C50+D50</f>
        <v>882419</v>
      </c>
    </row>
    <row r="51" spans="1:5" x14ac:dyDescent="0.25">
      <c r="B51" t="s">
        <v>72</v>
      </c>
      <c r="C51" s="1"/>
      <c r="D51" s="23">
        <f>+'Debt Service'!C21</f>
        <v>992022.66666666663</v>
      </c>
      <c r="E51" s="1">
        <f t="shared" si="5"/>
        <v>992022.66666666663</v>
      </c>
    </row>
    <row r="52" spans="1:5" x14ac:dyDescent="0.25">
      <c r="B52" t="s">
        <v>80</v>
      </c>
      <c r="C52" s="1"/>
      <c r="D52" s="23">
        <f>+D51*0.2</f>
        <v>198404.53333333333</v>
      </c>
      <c r="E52" s="1">
        <f t="shared" si="5"/>
        <v>198404.53333333333</v>
      </c>
    </row>
    <row r="53" spans="1:5" x14ac:dyDescent="0.25">
      <c r="A53" s="2">
        <f t="shared" ref="A53" si="6">+A50+1</f>
        <v>31</v>
      </c>
      <c r="B53" t="s">
        <v>33</v>
      </c>
      <c r="C53" s="1">
        <v>393802</v>
      </c>
      <c r="D53" s="19"/>
      <c r="E53" s="1">
        <f t="shared" si="5"/>
        <v>393802</v>
      </c>
    </row>
    <row r="54" spans="1:5" x14ac:dyDescent="0.25">
      <c r="B54" t="s">
        <v>63</v>
      </c>
      <c r="C54" s="1"/>
      <c r="D54" s="1">
        <f>+'Debt Service'!D6</f>
        <v>308625</v>
      </c>
      <c r="E54" s="1">
        <f t="shared" si="5"/>
        <v>308625</v>
      </c>
    </row>
    <row r="55" spans="1:5" x14ac:dyDescent="0.25">
      <c r="B55" t="s">
        <v>61</v>
      </c>
      <c r="C55" s="1"/>
      <c r="D55" s="1">
        <f>+'Debt Service'!D7</f>
        <v>236825</v>
      </c>
      <c r="E55" s="1">
        <f t="shared" si="5"/>
        <v>236825</v>
      </c>
    </row>
    <row r="56" spans="1:5" x14ac:dyDescent="0.25">
      <c r="C56" s="1"/>
      <c r="D56" s="1">
        <f>+'Debt Service'!D8</f>
        <v>25000</v>
      </c>
      <c r="E56" s="1">
        <f t="shared" si="5"/>
        <v>25000</v>
      </c>
    </row>
    <row r="57" spans="1:5" x14ac:dyDescent="0.25">
      <c r="B57" t="s">
        <v>60</v>
      </c>
      <c r="C57" s="1"/>
      <c r="D57" s="1">
        <f>+'Debt Service'!D9</f>
        <v>4550</v>
      </c>
      <c r="E57" s="1">
        <f t="shared" si="5"/>
        <v>4550</v>
      </c>
    </row>
    <row r="58" spans="1:5" x14ac:dyDescent="0.25">
      <c r="A58" s="2">
        <f>+A53+1</f>
        <v>32</v>
      </c>
      <c r="B58" t="s">
        <v>34</v>
      </c>
      <c r="C58" s="1">
        <v>50510</v>
      </c>
      <c r="D58" s="1"/>
      <c r="E58" s="1">
        <f t="shared" si="4"/>
        <v>50510</v>
      </c>
    </row>
    <row r="59" spans="1:5" x14ac:dyDescent="0.25">
      <c r="C59" s="1"/>
      <c r="D59" s="1"/>
      <c r="E59" s="1"/>
    </row>
    <row r="60" spans="1:5" x14ac:dyDescent="0.25">
      <c r="B60" t="s">
        <v>35</v>
      </c>
      <c r="C60" s="9">
        <f>SUM(C48:C59)</f>
        <v>7986990</v>
      </c>
      <c r="D60" s="1"/>
      <c r="E60" s="9">
        <f>SUM(E48:E59)</f>
        <v>9752417.1999999993</v>
      </c>
    </row>
    <row r="61" spans="1:5" x14ac:dyDescent="0.25">
      <c r="C61" s="1"/>
      <c r="D61" s="1"/>
      <c r="E61" s="1"/>
    </row>
    <row r="62" spans="1:5" x14ac:dyDescent="0.25">
      <c r="B62" t="s">
        <v>36</v>
      </c>
      <c r="C62" s="7">
        <f>+C43+C60</f>
        <v>27930005</v>
      </c>
      <c r="D62" s="1"/>
      <c r="E62" s="7">
        <f>+E43+E60</f>
        <v>29695432.199999999</v>
      </c>
    </row>
    <row r="63" spans="1:5" x14ac:dyDescent="0.25">
      <c r="C63" s="1"/>
      <c r="D63" s="1"/>
      <c r="E63" s="1"/>
    </row>
    <row r="64" spans="1:5" x14ac:dyDescent="0.25">
      <c r="B64" s="36" t="s">
        <v>38</v>
      </c>
      <c r="C64" s="33">
        <f>+C19-C62</f>
        <v>-1255786</v>
      </c>
      <c r="D64" s="23"/>
      <c r="E64" s="33">
        <f>+E19-E62</f>
        <v>-3021213.1999999993</v>
      </c>
    </row>
    <row r="65" spans="2:7" x14ac:dyDescent="0.25">
      <c r="B65" s="8"/>
      <c r="C65" s="6"/>
      <c r="D65" s="23"/>
      <c r="E65" s="6"/>
    </row>
    <row r="66" spans="2:7" x14ac:dyDescent="0.25">
      <c r="B66" s="8" t="s">
        <v>42</v>
      </c>
      <c r="C66" s="6">
        <v>856793</v>
      </c>
      <c r="D66" s="6"/>
      <c r="E66" s="23">
        <f>+C66+D66</f>
        <v>856793</v>
      </c>
      <c r="G66" t="s">
        <v>46</v>
      </c>
    </row>
    <row r="67" spans="2:7" x14ac:dyDescent="0.25">
      <c r="B67" s="8" t="s">
        <v>73</v>
      </c>
      <c r="C67" s="6"/>
      <c r="D67" s="23">
        <f>+'Debt Service'!B21</f>
        <v>290000</v>
      </c>
      <c r="E67" s="23">
        <f>+D67</f>
        <v>290000</v>
      </c>
    </row>
    <row r="68" spans="2:7" x14ac:dyDescent="0.25">
      <c r="B68" t="s">
        <v>81</v>
      </c>
      <c r="C68" s="6"/>
      <c r="D68" s="23">
        <f>D67*0.2</f>
        <v>58000</v>
      </c>
      <c r="E68" s="23">
        <f>+D68</f>
        <v>58000</v>
      </c>
    </row>
    <row r="69" spans="2:7" x14ac:dyDescent="0.25">
      <c r="B69" s="8"/>
      <c r="C69" s="34"/>
      <c r="D69" s="23"/>
      <c r="E69" s="34"/>
    </row>
    <row r="70" spans="2:7" ht="15.75" thickBot="1" x14ac:dyDescent="0.3">
      <c r="B70" s="8" t="s">
        <v>43</v>
      </c>
      <c r="C70" s="35">
        <f>+C64-C66</f>
        <v>-2112579</v>
      </c>
      <c r="D70" s="16">
        <f>SUM(D10:D69)</f>
        <v>2113427.2000000002</v>
      </c>
      <c r="E70" s="35">
        <f>+E64-E66-E67-E68</f>
        <v>-4226006.1999999993</v>
      </c>
    </row>
    <row r="71" spans="2:7" ht="15.75" thickTop="1" x14ac:dyDescent="0.25">
      <c r="B71" s="8"/>
    </row>
    <row r="72" spans="2:7" x14ac:dyDescent="0.25">
      <c r="B72" s="38" t="s">
        <v>66</v>
      </c>
      <c r="D72" s="37">
        <f>+D70/C10</f>
        <v>8.3979581152560615E-2</v>
      </c>
    </row>
    <row r="73" spans="2:7" x14ac:dyDescent="0.25">
      <c r="B73" s="8"/>
      <c r="D73" s="20"/>
    </row>
    <row r="74" spans="2:7" x14ac:dyDescent="0.25">
      <c r="B74" s="8"/>
    </row>
    <row r="75" spans="2:7" x14ac:dyDescent="0.25">
      <c r="B75" s="8"/>
    </row>
    <row r="76" spans="2:7" x14ac:dyDescent="0.25">
      <c r="B76" s="8"/>
    </row>
    <row r="77" spans="2:7" x14ac:dyDescent="0.25">
      <c r="B77" s="8"/>
    </row>
    <row r="78" spans="2:7" x14ac:dyDescent="0.25">
      <c r="B78" s="8"/>
    </row>
    <row r="79" spans="2:7" x14ac:dyDescent="0.25">
      <c r="B79" s="8"/>
    </row>
    <row r="80" spans="2:7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</sheetData>
  <mergeCells count="4">
    <mergeCell ref="A1:E1"/>
    <mergeCell ref="A2:E2"/>
    <mergeCell ref="A3:E3"/>
    <mergeCell ref="A4:E4"/>
  </mergeCells>
  <printOptions horizontalCentered="1"/>
  <pageMargins left="0.45" right="0.45" top="0.5" bottom="0.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Q5 Revenue Requirements</vt:lpstr>
      <vt:lpstr>Debt Service</vt:lpstr>
      <vt:lpstr>Pro Forma Revenue &amp; Expense</vt:lpstr>
      <vt:lpstr>'Pro Forma Revenue &amp; Expense'!Print_Area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Peeples, Jeff</dc:creator>
  <cp:lastModifiedBy>Tina Frederick</cp:lastModifiedBy>
  <cp:lastPrinted>2026-04-22T12:55:52Z</cp:lastPrinted>
  <dcterms:created xsi:type="dcterms:W3CDTF">2022-03-01T19:52:45Z</dcterms:created>
  <dcterms:modified xsi:type="dcterms:W3CDTF">2026-04-23T12:36:02Z</dcterms:modified>
</cp:coreProperties>
</file>