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dukeenergy-my.sharepoint.com/personal/charlene_barlow_duke-energy_com/Documents/Documents/5. KYPSC Electronic Filings/"/>
    </mc:Choice>
  </mc:AlternateContent>
  <xr:revisionPtr revIDLastSave="7" documentId="13_ncr:20000001_{C1664E40-A690-449E-AB30-8281977868C4}" xr6:coauthVersionLast="47" xr6:coauthVersionMax="47" xr10:uidLastSave="{6481E6C5-6B2B-4CC3-8A01-DA40046D6213}"/>
  <bookViews>
    <workbookView xWindow="-120" yWindow="-120" windowWidth="29040" windowHeight="15720" tabRatio="875" activeTab="8" xr2:uid="{00000000-000D-0000-FFFF-FFFF00000000}"/>
  </bookViews>
  <sheets>
    <sheet name="FORM 1.00" sheetId="1" r:id="rId1"/>
    <sheet name="FORM 1.20" sheetId="16" r:id="rId2"/>
    <sheet name="FORM 2.00" sheetId="3" r:id="rId3"/>
    <sheet name="FORM 2.10" sheetId="6" r:id="rId4"/>
    <sheet name="FORM 2.20" sheetId="19" r:id="rId5"/>
    <sheet name="FORM 2.30" sheetId="14" r:id="rId6"/>
    <sheet name="FORM 2.50" sheetId="9" r:id="rId7"/>
    <sheet name="FORM 1.10" sheetId="24"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7">'FORM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3.00'!$B$1:$I$65</definedName>
    <definedName name="ESM">#REF!</definedName>
    <definedName name="ExpMonth">#REF!</definedName>
    <definedName name="Form3_Non">'FORM 3.00'!$B$47:$I$58</definedName>
    <definedName name="Form3_Res">'FORM 3.00'!$B$19:$H$30</definedName>
    <definedName name="JurisEm">#REF!</definedName>
    <definedName name="_xlnm.Print_Area" localSheetId="0">'FORM 1.00'!$A$1:$E$43</definedName>
    <definedName name="_xlnm.Print_Area" localSheetId="7">'FORM 1.10'!$B$1:$I$72</definedName>
    <definedName name="_xlnm.Print_Area" localSheetId="1">'FORM 1.20'!$A$1:$G$24</definedName>
    <definedName name="_xlnm.Print_Area" localSheetId="2">'FORM 2.00'!$A$1:$F$58</definedName>
    <definedName name="_xlnm.Print_Area" localSheetId="3">'FORM 2.10'!$B$1:$K$55</definedName>
    <definedName name="_xlnm.Print_Area" localSheetId="4">'FORM 2.20'!$A$1:$P$190</definedName>
    <definedName name="_xlnm.Print_Area" localSheetId="5">'FORM 2.30'!$A$1:$G$39</definedName>
    <definedName name="_xlnm.Print_Area" localSheetId="6">'FORM 2.50'!$A$1:$I$39</definedName>
    <definedName name="_xlnm.Print_Area" localSheetId="8">'FORM 3.00'!$B$1:$I$65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8" i="13" l="1"/>
  <c r="I58" i="13" s="1"/>
  <c r="H57" i="13"/>
  <c r="I57" i="13" s="1"/>
  <c r="H56" i="13"/>
  <c r="I56" i="13" s="1"/>
  <c r="H55" i="13"/>
  <c r="I55" i="13" s="1"/>
  <c r="H54" i="13"/>
  <c r="I54" i="13" s="1"/>
  <c r="H53" i="13"/>
  <c r="I53" i="13" s="1"/>
  <c r="H52" i="13"/>
  <c r="I52" i="13" s="1"/>
  <c r="H51" i="13"/>
  <c r="I51" i="13" s="1"/>
  <c r="H50" i="13"/>
  <c r="I50" i="13" s="1"/>
  <c r="H49" i="13"/>
  <c r="I49" i="13" s="1"/>
  <c r="H48" i="13"/>
  <c r="I48" i="13" s="1"/>
  <c r="H47" i="13"/>
  <c r="I47" i="13" s="1"/>
  <c r="H30" i="13"/>
  <c r="H29" i="13"/>
  <c r="H28" i="13"/>
  <c r="H27" i="13"/>
  <c r="H26" i="13"/>
  <c r="H25" i="13"/>
  <c r="H24" i="13"/>
  <c r="H23" i="13"/>
  <c r="H22" i="13"/>
  <c r="H21" i="13"/>
  <c r="H20" i="13"/>
  <c r="H19" i="13"/>
  <c r="B3" i="14"/>
  <c r="B4" i="14"/>
  <c r="E32" i="14"/>
  <c r="H33" i="24" l="1"/>
  <c r="H37" i="24" l="1"/>
  <c r="B14" i="24"/>
  <c r="B16" i="24" l="1"/>
  <c r="B18" i="24" s="1"/>
  <c r="B20" i="24" s="1"/>
  <c r="B22" i="24" l="1"/>
  <c r="B24" i="24" l="1"/>
  <c r="B26" i="24" s="1"/>
  <c r="B28" i="24" l="1"/>
  <c r="B30" i="24" l="1"/>
  <c r="B32" i="24" l="1"/>
  <c r="B35" i="24" s="1"/>
  <c r="B37" i="24" l="1"/>
  <c r="B39" i="24" l="1"/>
  <c r="B41" i="24" s="1"/>
  <c r="B49" i="24"/>
  <c r="B51" i="24" s="1"/>
  <c r="B53" i="24" s="1"/>
  <c r="B57" i="24" s="1"/>
  <c r="B62" i="24" s="1"/>
  <c r="B64" i="24" s="1"/>
  <c r="B66" i="24" s="1"/>
  <c r="I18" i="9" l="1"/>
  <c r="E31" i="14" l="1"/>
  <c r="K107" i="19" l="1"/>
  <c r="K106" i="19"/>
  <c r="K105" i="19"/>
  <c r="G21" i="14"/>
  <c r="K104" i="19"/>
  <c r="K103" i="19"/>
  <c r="K102" i="19"/>
  <c r="G17" i="14"/>
  <c r="K95" i="19"/>
  <c r="C32" i="14"/>
  <c r="C31" i="14"/>
  <c r="N147" i="19"/>
  <c r="N148" i="19"/>
  <c r="N149" i="19"/>
  <c r="N150" i="19"/>
  <c r="N151" i="19"/>
  <c r="N152" i="19"/>
  <c r="N153" i="19"/>
  <c r="N154" i="19"/>
  <c r="N155" i="19"/>
  <c r="P155" i="19" s="1"/>
  <c r="N156" i="19"/>
  <c r="N157" i="19"/>
  <c r="P157" i="19" s="1"/>
  <c r="N158" i="19"/>
  <c r="P158" i="19" s="1"/>
  <c r="N159" i="19"/>
  <c r="N160" i="19"/>
  <c r="P160" i="19" s="1"/>
  <c r="N161" i="19"/>
  <c r="P161" i="19" s="1"/>
  <c r="N162" i="19"/>
  <c r="P162" i="19" s="1"/>
  <c r="N163" i="19"/>
  <c r="N164" i="19"/>
  <c r="N165" i="19"/>
  <c r="P165" i="19" s="1"/>
  <c r="N166" i="19"/>
  <c r="N167" i="19"/>
  <c r="N168" i="19"/>
  <c r="N169" i="19"/>
  <c r="N170" i="19"/>
  <c r="N171" i="19"/>
  <c r="N172" i="19"/>
  <c r="N173" i="19"/>
  <c r="N174" i="19"/>
  <c r="N175" i="19"/>
  <c r="P175" i="19" s="1"/>
  <c r="N176" i="19"/>
  <c r="N177" i="19"/>
  <c r="P177" i="19" s="1"/>
  <c r="N178" i="19"/>
  <c r="P178" i="19" s="1"/>
  <c r="N179" i="19"/>
  <c r="N180" i="19"/>
  <c r="P180" i="19" s="1"/>
  <c r="N181" i="19"/>
  <c r="P181" i="19" s="1"/>
  <c r="N182" i="19"/>
  <c r="P182" i="19" s="1"/>
  <c r="N183" i="19"/>
  <c r="N146" i="19"/>
  <c r="P146" i="19" s="1"/>
  <c r="N145" i="19"/>
  <c r="N144" i="19"/>
  <c r="N128" i="19"/>
  <c r="N108" i="19"/>
  <c r="N109" i="19"/>
  <c r="N110" i="19"/>
  <c r="N111" i="19"/>
  <c r="N112" i="19"/>
  <c r="N113" i="19"/>
  <c r="N114" i="19"/>
  <c r="N115" i="19"/>
  <c r="N116" i="19"/>
  <c r="N117" i="19"/>
  <c r="P117" i="19" s="1"/>
  <c r="N118" i="19"/>
  <c r="N119" i="19"/>
  <c r="N120" i="19"/>
  <c r="P120" i="19" s="1"/>
  <c r="N121" i="19"/>
  <c r="P121" i="19" s="1"/>
  <c r="N122" i="19"/>
  <c r="N123" i="19"/>
  <c r="P123" i="19" s="1"/>
  <c r="N124" i="19"/>
  <c r="P124" i="19" s="1"/>
  <c r="N125" i="19"/>
  <c r="N126" i="19"/>
  <c r="N127" i="19"/>
  <c r="N107" i="19"/>
  <c r="N95" i="19"/>
  <c r="M184" i="19"/>
  <c r="K80" i="19"/>
  <c r="P80" i="19"/>
  <c r="I15" i="9"/>
  <c r="I16" i="9"/>
  <c r="C18" i="14"/>
  <c r="F36" i="3"/>
  <c r="K58" i="19"/>
  <c r="P58" i="19"/>
  <c r="K57" i="19"/>
  <c r="P57" i="19" s="1"/>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s="1"/>
  <c r="K35" i="19"/>
  <c r="P35" i="19"/>
  <c r="K36" i="19"/>
  <c r="P36" i="19" s="1"/>
  <c r="K37" i="19"/>
  <c r="P37" i="19"/>
  <c r="K38" i="19"/>
  <c r="P38" i="19"/>
  <c r="K39" i="19"/>
  <c r="P39" i="19"/>
  <c r="K40" i="19"/>
  <c r="P40" i="19"/>
  <c r="K41" i="19"/>
  <c r="P41" i="19" s="1"/>
  <c r="K42" i="19"/>
  <c r="P42" i="19"/>
  <c r="K43" i="19"/>
  <c r="P43" i="19" s="1"/>
  <c r="K44" i="19"/>
  <c r="P44" i="19" s="1"/>
  <c r="K45" i="19"/>
  <c r="P45" i="19"/>
  <c r="K46" i="19"/>
  <c r="P46" i="19" s="1"/>
  <c r="K47" i="19"/>
  <c r="P47" i="19"/>
  <c r="K48" i="19"/>
  <c r="P48" i="19"/>
  <c r="K49" i="19"/>
  <c r="P49" i="19"/>
  <c r="K50" i="19"/>
  <c r="P50" i="19"/>
  <c r="K51" i="19"/>
  <c r="P51" i="19" s="1"/>
  <c r="K52" i="19"/>
  <c r="P52" i="19"/>
  <c r="K53" i="19"/>
  <c r="P53" i="19" s="1"/>
  <c r="K54" i="19"/>
  <c r="P54" i="19" s="1"/>
  <c r="K55" i="19"/>
  <c r="P55" i="19"/>
  <c r="K56" i="19"/>
  <c r="P56" i="19" s="1"/>
  <c r="K59" i="19"/>
  <c r="P59" i="19"/>
  <c r="K60" i="19"/>
  <c r="P60" i="19"/>
  <c r="K61" i="19"/>
  <c r="P61" i="19"/>
  <c r="K62" i="19"/>
  <c r="P62" i="19"/>
  <c r="K63" i="19"/>
  <c r="P63" i="19" s="1"/>
  <c r="K64" i="19"/>
  <c r="P64" i="19"/>
  <c r="K81" i="19"/>
  <c r="P81" i="19" s="1"/>
  <c r="K82" i="19"/>
  <c r="P82" i="19" s="1"/>
  <c r="K83" i="19"/>
  <c r="P83" i="19"/>
  <c r="K84" i="19"/>
  <c r="P84" i="19" s="1"/>
  <c r="K85" i="19"/>
  <c r="P85" i="19"/>
  <c r="K86" i="19"/>
  <c r="P86" i="19"/>
  <c r="K87" i="19"/>
  <c r="P87" i="19"/>
  <c r="K88" i="19"/>
  <c r="P88" i="19"/>
  <c r="K89" i="19"/>
  <c r="P89" i="19" s="1"/>
  <c r="K90" i="19"/>
  <c r="P90" i="19"/>
  <c r="K91" i="19"/>
  <c r="P91" i="19" s="1"/>
  <c r="K92" i="19"/>
  <c r="P92" i="19" s="1"/>
  <c r="K93" i="19"/>
  <c r="P93" i="19"/>
  <c r="K94" i="19"/>
  <c r="P94" i="19" s="1"/>
  <c r="P95" i="19"/>
  <c r="K96" i="19"/>
  <c r="K97" i="19"/>
  <c r="K98" i="19"/>
  <c r="K99" i="19"/>
  <c r="K100" i="19"/>
  <c r="K101" i="19"/>
  <c r="P107" i="19"/>
  <c r="K108" i="19"/>
  <c r="P108" i="19"/>
  <c r="K109" i="19"/>
  <c r="P109" i="19" s="1"/>
  <c r="K110" i="19"/>
  <c r="P110" i="19"/>
  <c r="K111" i="19"/>
  <c r="P111" i="19" s="1"/>
  <c r="K112" i="19"/>
  <c r="P112" i="19" s="1"/>
  <c r="K113" i="19"/>
  <c r="P113" i="19" s="1"/>
  <c r="K114" i="19"/>
  <c r="P114" i="19" s="1"/>
  <c r="K115" i="19"/>
  <c r="P115" i="19" s="1"/>
  <c r="K116" i="19"/>
  <c r="P116" i="19" s="1"/>
  <c r="K117" i="19"/>
  <c r="K118" i="19"/>
  <c r="K119" i="19"/>
  <c r="K120" i="19"/>
  <c r="K121" i="19"/>
  <c r="K122" i="19"/>
  <c r="K123" i="19"/>
  <c r="K124" i="19"/>
  <c r="K125" i="19"/>
  <c r="K126" i="19"/>
  <c r="P126" i="19" s="1"/>
  <c r="K127" i="19"/>
  <c r="P127" i="19"/>
  <c r="K128" i="19"/>
  <c r="P128" i="19" s="1"/>
  <c r="K144" i="19"/>
  <c r="P144" i="19"/>
  <c r="K145" i="19"/>
  <c r="K146" i="19"/>
  <c r="K147" i="19"/>
  <c r="P147" i="19" s="1"/>
  <c r="K148" i="19"/>
  <c r="P148" i="19"/>
  <c r="K149" i="19"/>
  <c r="P149" i="19" s="1"/>
  <c r="K150" i="19"/>
  <c r="P150" i="19"/>
  <c r="K151" i="19"/>
  <c r="P151" i="19"/>
  <c r="K152" i="19"/>
  <c r="P152" i="19"/>
  <c r="K153" i="19"/>
  <c r="P153" i="19"/>
  <c r="K154" i="19"/>
  <c r="P154" i="19"/>
  <c r="K155" i="19"/>
  <c r="K156" i="19"/>
  <c r="P156" i="19"/>
  <c r="K157" i="19"/>
  <c r="K158" i="19"/>
  <c r="K159" i="19"/>
  <c r="P159" i="19"/>
  <c r="K160" i="19"/>
  <c r="K161" i="19"/>
  <c r="K162" i="19"/>
  <c r="K163" i="19"/>
  <c r="P163" i="19"/>
  <c r="K164" i="19"/>
  <c r="P164" i="19"/>
  <c r="K165" i="19"/>
  <c r="K166" i="19"/>
  <c r="P166" i="19"/>
  <c r="K167" i="19"/>
  <c r="P167" i="19"/>
  <c r="K168" i="19"/>
  <c r="P168" i="19"/>
  <c r="K169" i="19"/>
  <c r="P169" i="19"/>
  <c r="K170" i="19"/>
  <c r="P170" i="19"/>
  <c r="K171" i="19"/>
  <c r="P171" i="19"/>
  <c r="K172" i="19"/>
  <c r="P172" i="19"/>
  <c r="K173" i="19"/>
  <c r="P173" i="19"/>
  <c r="K174" i="19"/>
  <c r="P174" i="19"/>
  <c r="K175" i="19"/>
  <c r="K176" i="19"/>
  <c r="P176" i="19"/>
  <c r="K177" i="19"/>
  <c r="K178" i="19"/>
  <c r="K179" i="19"/>
  <c r="P179" i="19"/>
  <c r="K180" i="19"/>
  <c r="K181" i="19"/>
  <c r="K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s="1"/>
  <c r="A20" i="19" s="1"/>
  <c r="A21" i="19" s="1"/>
  <c r="A22" i="19" s="1"/>
  <c r="A23" i="19" s="1"/>
  <c r="A24" i="19" s="1"/>
  <c r="A25" i="19" s="1"/>
  <c r="A26" i="19" s="1"/>
  <c r="A27" i="19" s="1"/>
  <c r="A28" i="19"/>
  <c r="A29" i="19" s="1"/>
  <c r="A30" i="19" s="1"/>
  <c r="A31" i="19" s="1"/>
  <c r="A32" i="19" s="1"/>
  <c r="A33" i="19" s="1"/>
  <c r="A34" i="19" s="1"/>
  <c r="A35" i="19" s="1"/>
  <c r="A36" i="19" s="1"/>
  <c r="A37" i="19" s="1"/>
  <c r="A38" i="19" s="1"/>
  <c r="A39" i="19" s="1"/>
  <c r="A40" i="19" s="1"/>
  <c r="A41" i="19" s="1"/>
  <c r="A42" i="19" s="1"/>
  <c r="A43" i="19" s="1"/>
  <c r="A44" i="19" s="1"/>
  <c r="A45" i="19" s="1"/>
  <c r="A46" i="19" s="1"/>
  <c r="A47" i="19" s="1"/>
  <c r="A48" i="19"/>
  <c r="A49" i="19" s="1"/>
  <c r="A50" i="19" s="1"/>
  <c r="A51" i="19" s="1"/>
  <c r="A52" i="19" s="1"/>
  <c r="A53" i="19" s="1"/>
  <c r="A54" i="19" s="1"/>
  <c r="A55" i="19" s="1"/>
  <c r="A56" i="19" s="1"/>
  <c r="A57" i="19" s="1"/>
  <c r="A58" i="19" s="1"/>
  <c r="A59" i="19" s="1"/>
  <c r="A60" i="19" s="1"/>
  <c r="A61" i="19" s="1"/>
  <c r="A62" i="19" s="1"/>
  <c r="A63" i="19" s="1"/>
  <c r="A64" i="19" s="1"/>
  <c r="A80" i="19" s="1"/>
  <c r="A81" i="19" s="1"/>
  <c r="A82" i="19" s="1"/>
  <c r="A83" i="19"/>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s="1"/>
  <c r="H17" i="19" s="1"/>
  <c r="H18" i="19" s="1"/>
  <c r="H19" i="19" s="1"/>
  <c r="H20" i="19" s="1"/>
  <c r="H21" i="19" s="1"/>
  <c r="H22" i="19" s="1"/>
  <c r="H23" i="19" s="1"/>
  <c r="H24" i="19" s="1"/>
  <c r="H25" i="19" s="1"/>
  <c r="H26" i="19" s="1"/>
  <c r="H27" i="19" s="1"/>
  <c r="H28" i="19" s="1"/>
  <c r="H29" i="19"/>
  <c r="H30" i="19" s="1"/>
  <c r="H31" i="19" s="1"/>
  <c r="H32" i="19" s="1"/>
  <c r="H33" i="19" s="1"/>
  <c r="H34" i="19" s="1"/>
  <c r="H35" i="19" s="1"/>
  <c r="H36" i="19" s="1"/>
  <c r="H37" i="19" s="1"/>
  <c r="H38" i="19" s="1"/>
  <c r="H39" i="19" s="1"/>
  <c r="H40" i="19" s="1"/>
  <c r="H41" i="19" s="1"/>
  <c r="H42" i="19" s="1"/>
  <c r="H43" i="19" s="1"/>
  <c r="H44" i="19" s="1"/>
  <c r="H45" i="19" s="1"/>
  <c r="H46" i="19" s="1"/>
  <c r="H47" i="19" s="1"/>
  <c r="H48" i="19" s="1"/>
  <c r="H49" i="19"/>
  <c r="H50" i="19" s="1"/>
  <c r="H51" i="19" s="1"/>
  <c r="H52" i="19" s="1"/>
  <c r="H53" i="19" s="1"/>
  <c r="H54" i="19" s="1"/>
  <c r="H55" i="19" s="1"/>
  <c r="H56" i="19" s="1"/>
  <c r="H57" i="19" s="1"/>
  <c r="H58" i="19" s="1"/>
  <c r="H59" i="19" s="1"/>
  <c r="H60" i="19" s="1"/>
  <c r="H61" i="19" s="1"/>
  <c r="H62" i="19" s="1"/>
  <c r="H63" i="19" s="1"/>
  <c r="H64" i="19" s="1"/>
  <c r="H80" i="19" s="1"/>
  <c r="H81" i="19" s="1"/>
  <c r="H82" i="19" s="1"/>
  <c r="H83" i="19" s="1"/>
  <c r="H84" i="19"/>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20" i="3" s="1"/>
  <c r="A15" i="3"/>
  <c r="A16" i="3"/>
  <c r="A18" i="3"/>
  <c r="A19"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s="1"/>
  <c r="P122" i="19" l="1"/>
  <c r="P119" i="19"/>
  <c r="P118" i="19"/>
  <c r="P145" i="19"/>
  <c r="N96" i="19"/>
  <c r="P125" i="19"/>
  <c r="A22" i="3"/>
  <c r="A23" i="3" s="1"/>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7" i="19" l="1"/>
  <c r="P96" i="19"/>
  <c r="A24" i="3"/>
  <c r="F51" i="3"/>
  <c r="H35" i="24" s="1"/>
  <c r="I20" i="9"/>
  <c r="F37" i="3" s="1"/>
  <c r="F26" i="3"/>
  <c r="F28" i="3" s="1"/>
  <c r="H14" i="24" s="1"/>
  <c r="H16" i="24" s="1"/>
  <c r="H20" i="24" s="1"/>
  <c r="K51" i="6"/>
  <c r="F34" i="3" s="1"/>
  <c r="F51" i="6"/>
  <c r="P97" i="19" l="1"/>
  <c r="N98" i="19"/>
  <c r="A25" i="3"/>
  <c r="F38" i="3"/>
  <c r="H22" i="24" s="1"/>
  <c r="H26" i="24" s="1"/>
  <c r="N99" i="19" l="1"/>
  <c r="P98" i="19"/>
  <c r="A26" i="3"/>
  <c r="H32" i="13"/>
  <c r="H54" i="24" s="1"/>
  <c r="I60" i="13"/>
  <c r="I55" i="24" s="1"/>
  <c r="E26" i="1" s="1"/>
  <c r="H60" i="13"/>
  <c r="N100" i="19" l="1"/>
  <c r="P99" i="19"/>
  <c r="A28" i="3"/>
  <c r="E17" i="1"/>
  <c r="H34" i="13"/>
  <c r="H62" i="24" s="1"/>
  <c r="H62" i="13"/>
  <c r="H64" i="13" s="1"/>
  <c r="I49" i="24" s="1"/>
  <c r="N101" i="19" l="1"/>
  <c r="P100" i="19"/>
  <c r="A31" i="3"/>
  <c r="H66" i="24"/>
  <c r="I66" i="24" s="1"/>
  <c r="H36" i="13"/>
  <c r="H49" i="24" s="1"/>
  <c r="P101" i="19" l="1"/>
  <c r="N102" i="19"/>
  <c r="A33" i="3"/>
  <c r="A34" i="3" s="1"/>
  <c r="A35" i="3" s="1"/>
  <c r="A36" i="3" s="1"/>
  <c r="A37" i="3" s="1"/>
  <c r="A38" i="3" s="1"/>
  <c r="A41" i="3" s="1"/>
  <c r="A43" i="3" s="1"/>
  <c r="A44" i="3" s="1"/>
  <c r="A45" i="3" s="1"/>
  <c r="A48" i="3" s="1"/>
  <c r="A49" i="3" s="1"/>
  <c r="A50" i="3" s="1"/>
  <c r="A51" i="3" s="1"/>
  <c r="I62" i="24"/>
  <c r="H28" i="24" s="1"/>
  <c r="H30" i="24" s="1"/>
  <c r="N103" i="19" l="1"/>
  <c r="P102" i="19"/>
  <c r="H39" i="24"/>
  <c r="H41" i="24"/>
  <c r="I64" i="24"/>
  <c r="N104" i="19" l="1"/>
  <c r="P103" i="19"/>
  <c r="H51" i="24"/>
  <c r="I51" i="24" s="1"/>
  <c r="P104" i="19" l="1"/>
  <c r="N105" i="19"/>
  <c r="I57" i="24"/>
  <c r="E28" i="1" s="1"/>
  <c r="E24" i="1"/>
  <c r="E15" i="1"/>
  <c r="H57" i="24"/>
  <c r="E19" i="1" s="1"/>
  <c r="N106" i="19" l="1"/>
  <c r="P105" i="19"/>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<sst xmlns="http://schemas.openxmlformats.org/spreadsheetml/2006/main" count="732" uniqueCount="382">
  <si>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</si>
  <si>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</si>
  <si>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</si>
  <si>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</si>
  <si>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</si>
  <si>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</si>
  <si>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</si>
  <si>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</si>
  <si>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</si>
  <si>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</si>
  <si>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</si>
  <si>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</si>
  <si>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</si>
  <si>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</si>
  <si>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</si>
  <si>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</si>
  <si>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</si>
  <si>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</si>
  <si>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</si>
  <si>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</si>
  <si>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</si>
  <si>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</si>
  <si>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</si>
  <si>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</si>
  <si>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</si>
  <si>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</si>
  <si>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</si>
  <si>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</si>
  <si>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</si>
  <si>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</si>
  <si>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</si>
  <si>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</si>
  <si>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</si>
  <si>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</si>
  <si>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</si>
  <si>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</si>
  <si>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</si>
  <si>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</si>
  <si>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</si>
  <si>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</si>
  <si>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</si>
  <si>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</si>
  <si>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</si>
  <si>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</si>
  <si>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</si>
  <si>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</si>
  <si>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</si>
  <si>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</si>
  <si>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</si>
  <si>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</si>
  <si>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</si>
  <si>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</si>
  <si>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</si>
  <si>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</si>
  <si>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</si>
  <si>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</si>
  <si>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</si>
  <si>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</si>
  <si>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</si>
  <si>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</si>
  <si>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</si>
  <si>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</si>
  <si>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</si>
  <si>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</si>
  <si>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</si>
  <si>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</si>
  <si>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</si>
  <si>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</si>
  <si>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</si>
  <si>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</si>
  <si>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</si>
  <si>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</si>
  <si>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</si>
  <si>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</si>
  <si>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</si>
  <si>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</si>
  <si>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</si>
  <si>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</si>
  <si>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</si>
  <si>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</si>
  <si>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</si>
  <si>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</si>
  <si>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</si>
  <si>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</si>
  <si>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</si>
  <si>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</si>
  <si>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</si>
  <si>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</si>
  <si>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</si>
  <si>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</si>
  <si>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</si>
  <si>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</si>
  <si>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</si>
  <si>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</si>
  <si>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</si>
  <si>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</si>
  <si>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</si>
  <si>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</si>
  <si>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</si>
  <si>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</si>
  <si>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</si>
  <si>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</si>
  <si>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</si>
  <si>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</si>
  <si>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</si>
  <si>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</si>
  <si>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</si>
  <si>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</si>
  <si>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</si>
  <si>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</si>
  <si>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</si>
  <si>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</si>
  <si>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</si>
  <si>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</si>
  <si>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</si>
  <si>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</si>
  <si>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</si>
  <si>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</si>
  <si>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</si>
  <si>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</si>
  <si>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</si>
  <si>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</si>
  <si>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</si>
  <si>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</si>
  <si>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</si>
  <si>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</si>
  <si>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</si>
  <si>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</si>
  <si>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</si>
  <si>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</si>
  <si>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</si>
  <si>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</si>
  <si>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</si>
  <si>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</si>
  <si>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</si>
  <si>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</si>
  <si>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</si>
  <si>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</si>
  <si>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</si>
  <si>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</si>
  <si>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</si>
  <si>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</si>
  <si>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</si>
  <si>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</si>
  <si>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</si>
  <si>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</si>
  <si>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</si>
  <si>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</si>
  <si>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</si>
  <si>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</si>
  <si>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</si>
  <si>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</si>
  <si>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</si>
  <si>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</si>
  <si>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</si>
  <si>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</si>
  <si>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</si>
  <si>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</si>
  <si>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</si>
  <si>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</si>
  <si>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</si>
  <si>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</si>
  <si>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</si>
  <si>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</si>
  <si>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</si>
  <si>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</si>
  <si>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</si>
  <si>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</si>
  <si>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</si>
  <si>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</si>
  <si>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</si>
  <si>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</si>
  <si>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</si>
  <si>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</si>
  <si>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</si>
  <si>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</si>
  <si>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</si>
  <si>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</si>
  <si>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</si>
  <si>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</si>
  <si>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</si>
  <si>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</si>
  <si>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</si>
  <si>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</si>
  <si>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</si>
  <si>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</si>
  <si>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</si>
  <si>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</si>
  <si>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</si>
  <si>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</si>
  <si>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</si>
  <si>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</si>
  <si>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</si>
  <si>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</si>
  <si>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</si>
  <si>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</si>
  <si>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</si>
  <si>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</si>
  <si>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</si>
  <si>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</si>
  <si>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</si>
  <si>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</si>
  <si>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</si>
  <si>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</si>
  <si>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</si>
  <si>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</si>
  <si>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</si>
  <si>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</si>
  <si>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</si>
  <si>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</si>
  <si>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</si>
  <si>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</si>
  <si>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</si>
  <si>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</si>
  <si>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</si>
  <si>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</si>
  <si>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</si>
  <si>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</si>
  <si>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</si>
  <si>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</si>
  <si>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</si>
  <si>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</si>
  <si>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</si>
  <si>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</si>
  <si>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</si>
  <si>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</si>
  <si>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</si>
  <si>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</si>
  <si>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</si>
  <si>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</si>
  <si>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</si>
  <si>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</si>
  <si>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</si>
  <si>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</si>
  <si>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</si>
  <si>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</si>
  <si>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</si>
  <si>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</si>
  <si>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</si>
  <si>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</si>
  <si>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</si>
  <si>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</si>
  <si>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</si>
  <si>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</si>
  <si>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</si>
  <si>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</si>
  <si>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</si>
  <si>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</si>
  <si>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</si>
  <si>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</si>
  <si>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</si>
  <si>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</si>
  <si>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</si>
  <si>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</si>
  <si>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</si>
  <si>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</si>
  <si>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</si>
  <si>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</si>
  <si>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</si>
  <si>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</si>
  <si>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</si>
  <si>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</si>
  <si>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</si>
  <si>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</si>
  <si>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</si>
  <si>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</si>
  <si>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</si>
  <si>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</si>
  <si>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</si>
  <si>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</si>
  <si>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</si>
  <si>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</si>
  <si>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</si>
  <si>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</si>
  <si>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</si>
  <si>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</si>
  <si>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</si>
  <si>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</si>
  <si>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</si>
  <si>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</si>
  <si>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</si>
  <si>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</si>
  <si>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</si>
  <si>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</si>
  <si>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</si>
  <si>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</si>
  <si>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</si>
  <si>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</si>
  <si>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</si>
  <si>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</si>
  <si>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</si>
  <si>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</si>
  <si>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</si>
  <si>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</si>
  <si>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</si>
  <si>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</si>
  <si>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</si>
  <si>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</si>
  <si>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</si>
  <si>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</si>
  <si>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</si>
  <si>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</si>
  <si>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</si>
  <si>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</si>
  <si>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</si>
  <si>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</si>
  <si>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</si>
  <si>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</si>
  <si>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</si>
  <si>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</si>
  <si>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</si>
  <si>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</si>
  <si>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</si>
  <si>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</si>
  <si>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</si>
  <si>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</si>
  <si>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</si>
  <si>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</si>
  <si>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</si>
  <si>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</si>
  <si>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</si>
  <si>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</si>
  <si>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</si>
  <si>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</si>
  <si>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</si>
  <si>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</si>
  <si>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</si>
  <si>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</si>
  <si>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</si>
  <si>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</si>
  <si>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</si>
  <si>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</si>
  <si>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</si>
  <si>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</si>
  <si>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</si>
  <si>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</si>
  <si>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</si>
  <si>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</si>
  <si>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</si>
  <si>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</si>
  <si>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</si>
  <si>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</si>
  <si>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</si>
  <si>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</si>
  <si>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</si>
  <si>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</si>
  <si>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</si>
  <si>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</si>
  <si>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</si>
  <si>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</si>
  <si>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</si>
  <si>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</si>
  <si>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</si>
  <si>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</si>
  <si>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</si>
  <si>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</si>
  <si>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</si>
  <si>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</si>
  <si>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</si>
  <si>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</si>
  <si>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</si>
  <si>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</si>
  <si>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</si>
  <si>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</si>
  <si>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</si>
  <si>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</si>
  <si>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</si>
  <si>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</si>
  <si>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</si>
  <si>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</si>
  <si>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</si>
  <si>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</si>
  <si>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</si>
  <si>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</si>
  <si>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</si>
  <si>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</si>
  <si>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</si>
  <si>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May 2025</t>
  </si>
  <si>
    <t>Rider</t>
  </si>
  <si>
    <t>ESM</t>
  </si>
  <si>
    <t>(2) - (5) - (6)</t>
  </si>
  <si>
    <t>(7) - (3) -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</si>
</sst>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
      <left style="thin">
        <color indexed="64"/>
      </left>
      <right style="thin">
        <color indexed="64"/>
      </right>
      <top style="thin">
        <color indexed="64"/>
      </top>
      <bottom/>
      <diagonal/>
    </border>
    <border>
      <left/>
      <right/>
      <top style="thin">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36">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66" fontId="7" fillId="0" borderId="0" xfId="0" applyNumberFormat="1" applyFont="1"/>
    <xf numFmtId="14" fontId="0" fillId="0" borderId="0" xfId="0" applyNumberFormat="1" applyAlignment="1">
      <alignment horizontal="center"/>
    </xf>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1"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6"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31" xfId="0" quotePrefix="1" applyBorder="1" applyAlignment="1">
      <alignment horizontal="centerContinuous"/>
    </xf>
    <xf numFmtId="0" fontId="0" fillId="0" borderId="111" xfId="0" applyBorder="1" applyAlignment="1">
      <alignment horizontal="center"/>
    </xf>
    <xf numFmtId="0" fontId="0" fillId="0" borderId="111" xfId="0" quotePrefix="1" applyBorder="1" applyAlignment="1">
      <alignment horizontal="center"/>
    </xf>
    <xf numFmtId="42" fontId="9" fillId="0" borderId="112" xfId="0" applyNumberFormat="1" applyFont="1" applyBorder="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31" xfId="0" applyBorder="1" applyAlignment="1">
      <alignment vertical="top" wrapText="1"/>
    </xf>
    <xf numFmtId="0" fontId="0" fillId="0" borderId="11" xfId="0" applyBorder="1" applyAlignment="1">
      <alignment vertical="top" wrapText="1"/>
    </xf>
    <xf numFmtId="0" fontId="0" fillId="0" borderId="10" xfId="0" applyBorder="1" applyAlignment="1">
      <alignment horizontal="left" vertical="top" wrapText="1"/>
    </xf>
    <xf numFmtId="0" fontId="0" fillId="0" borderId="31" xfId="0" applyBorder="1" applyAlignment="1">
      <alignment horizontal="left" vertical="top" wrapText="1"/>
    </xf>
    <xf numFmtId="0" fontId="0" fillId="0" borderId="11" xfId="0" applyBorder="1" applyAlignment="1">
      <alignment horizontal="lef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view="pageLayout" zoomScaleNormal="100" workbookViewId="0"/>
  </sheetViews>
  <sheetFormatPr defaultRowHeight="12.75"/>
  <cols>
    <col min="1" max="1" width="49.42578125" customWidth="1"/>
    <col min="2" max="2" width="2.5703125" customWidth="1"/>
    <col min="3" max="3" width="23.42578125" customWidth="1"/>
    <col min="4" max="4" width="6.42578125" customWidth="1"/>
    <col min="5" max="5" width="16.5703125" customWidth="1"/>
    <col min="6" max="6" width="1.5703125" customWidth="1"/>
    <col min="7" max="7" width="16" customWidth="1"/>
    <col min="8" max="8" width="5.5703125" customWidth="1"/>
    <col min="17" max="17" width="17.5703125" customWidth="1"/>
    <col min="18" max="18" width="9.570312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284</v>
      </c>
      <c r="B6" s="4"/>
      <c r="C6" s="4"/>
      <c r="D6" s="4"/>
      <c r="E6" s="4"/>
    </row>
    <row r="7" spans="1:5" ht="12.75" customHeight="1">
      <c r="A7" s="4"/>
      <c r="B7" s="4"/>
      <c r="C7" s="4"/>
      <c r="D7" s="4"/>
      <c r="E7" s="4"/>
    </row>
    <row r="8" spans="1:5" ht="12.75" customHeight="1">
      <c r="A8" s="4" t="s">
        <v>377</v>
      </c>
      <c r="B8" s="4"/>
      <c r="C8" s="4"/>
      <c r="D8" s="4"/>
      <c r="E8" s="4"/>
    </row>
    <row r="9" spans="1:5" ht="12.75" customHeight="1"/>
    <row r="10" spans="1:5" ht="12.75" customHeight="1"/>
    <row r="11" spans="1:5" ht="13.5" customHeight="1"/>
    <row r="12" spans="1:5" ht="12.75" customHeight="1"/>
    <row r="13" spans="1:5" ht="12.75" customHeight="1">
      <c r="A13" s="18" t="s">
        <v>278</v>
      </c>
    </row>
    <row r="14" spans="1:5" ht="12.75" customHeight="1"/>
    <row r="15" spans="1:5" ht="12.75" customHeight="1">
      <c r="A15" t="s">
        <v>279</v>
      </c>
      <c r="C15" s="5" t="s">
        <v>280</v>
      </c>
      <c r="D15" s="9" t="s">
        <v>2</v>
      </c>
      <c r="E15" s="103">
        <f>'FORM 1.10'!H51</f>
        <v>843255</v>
      </c>
    </row>
    <row r="16" spans="1:5" ht="12.75" customHeight="1">
      <c r="E16" s="39"/>
    </row>
    <row r="17" spans="1:9" ht="12.75" customHeight="1">
      <c r="A17" t="s">
        <v>283</v>
      </c>
      <c r="C17" s="5" t="s">
        <v>292</v>
      </c>
      <c r="D17" s="9" t="s">
        <v>2</v>
      </c>
      <c r="E17" s="103">
        <f>'FORM 1.10'!H54</f>
        <v>15518335</v>
      </c>
    </row>
    <row r="18" spans="1:9" ht="12.75" customHeight="1"/>
    <row r="19" spans="1:9" ht="12.75" customHeight="1">
      <c r="A19" t="s">
        <v>281</v>
      </c>
      <c r="C19" s="5" t="s">
        <v>321</v>
      </c>
      <c r="D19" s="9" t="s">
        <v>2</v>
      </c>
      <c r="E19" s="56">
        <f>'FORM 1.10'!H57</f>
        <v>5.4300000000000001E-2</v>
      </c>
    </row>
    <row r="20" spans="1:9" ht="12.75" customHeight="1"/>
    <row r="21" spans="1:9" ht="12.75" customHeight="1"/>
    <row r="22" spans="1:9" ht="12.75" customHeight="1">
      <c r="A22" s="57" t="s">
        <v>282</v>
      </c>
    </row>
    <row r="23" spans="1:9" ht="12.75" customHeight="1"/>
    <row r="24" spans="1:9" ht="12.75" customHeight="1">
      <c r="A24" t="s">
        <v>279</v>
      </c>
      <c r="C24" s="5" t="s">
        <v>280</v>
      </c>
      <c r="D24" s="9" t="s">
        <v>2</v>
      </c>
      <c r="E24" s="103">
        <f>'FORM 1.10'!I51</f>
        <v>1125587.6666666677</v>
      </c>
      <c r="I24" s="103"/>
    </row>
    <row r="25" spans="1:9" ht="12.75" customHeight="1">
      <c r="E25" s="39"/>
    </row>
    <row r="26" spans="1:9" ht="12.75" customHeight="1">
      <c r="A26" t="s">
        <v>283</v>
      </c>
      <c r="C26" s="5" t="s">
        <v>292</v>
      </c>
      <c r="D26" s="9" t="s">
        <v>2</v>
      </c>
      <c r="E26" s="103">
        <f>'FORM 1.10'!I55</f>
        <v>13159076</v>
      </c>
    </row>
    <row r="27" spans="1:9" ht="12.75" customHeight="1"/>
    <row r="28" spans="1:9" ht="12.75" customHeight="1">
      <c r="A28" t="s">
        <v>281</v>
      </c>
      <c r="C28" s="5" t="s">
        <v>321</v>
      </c>
      <c r="D28" s="9" t="s">
        <v>2</v>
      </c>
      <c r="E28" s="56">
        <f>'FORM 1.10'!I57</f>
        <v>8.5500000000000007E-2</v>
      </c>
    </row>
    <row r="29" spans="1:9" ht="12.75" customHeight="1"/>
    <row r="30" spans="1:9" ht="12.75" customHeight="1"/>
    <row r="31" spans="1:9" ht="12.75" customHeight="1"/>
    <row r="32" spans="1:9" ht="12.75" customHeight="1"/>
    <row r="33" spans="1:5" ht="12.75" customHeight="1">
      <c r="A33" s="2" t="s">
        <v>4</v>
      </c>
      <c r="B33" s="2"/>
      <c r="C33" s="113">
        <v>45839</v>
      </c>
      <c r="D33" s="7"/>
      <c r="E33" s="7"/>
    </row>
    <row r="34" spans="1:5" ht="12.75" customHeight="1">
      <c r="A34" s="2"/>
      <c r="B34" s="2"/>
    </row>
    <row r="35" spans="1:5" ht="12.75" customHeight="1">
      <c r="A35" s="2"/>
      <c r="B35" s="2"/>
    </row>
    <row r="36" spans="1:5" ht="12.75" customHeight="1">
      <c r="A36" s="2" t="s">
        <v>5</v>
      </c>
      <c r="B36" s="2"/>
      <c r="C36" s="112" t="s">
        <v>318</v>
      </c>
      <c r="D36" s="7"/>
      <c r="E36" s="7"/>
    </row>
    <row r="37" spans="1:5" ht="12.75" customHeight="1">
      <c r="A37" s="2"/>
      <c r="B37" s="2"/>
    </row>
    <row r="38" spans="1:5" ht="12.75" customHeight="1">
      <c r="A38" s="2"/>
      <c r="B38" s="2"/>
    </row>
    <row r="39" spans="1:5" ht="12.75" customHeight="1">
      <c r="A39" s="2" t="s">
        <v>6</v>
      </c>
      <c r="B39" s="2"/>
      <c r="C39" s="7" t="s">
        <v>310</v>
      </c>
      <c r="D39" s="7"/>
      <c r="E39" s="7"/>
    </row>
    <row r="40" spans="1:5" ht="12.75" customHeight="1">
      <c r="A40" s="2"/>
      <c r="B40" s="2"/>
    </row>
    <row r="41" spans="1:5" ht="12.75" customHeight="1">
      <c r="A41" s="2"/>
      <c r="B41" s="2"/>
    </row>
    <row r="42" spans="1:5" ht="12.75" customHeight="1">
      <c r="A42" s="2" t="s">
        <v>7</v>
      </c>
      <c r="B42" s="2"/>
      <c r="C42" s="113">
        <v>45827</v>
      </c>
      <c r="D42" s="114"/>
      <c r="E42" s="114"/>
    </row>
  </sheetData>
  <printOptions horizontalCentered="1"/>
  <pageMargins left="1" right="0.5" top="1" bottom="1" header="0.3" footer="0.3"/>
  <pageSetup scale="92" orientation="portrait" r:id="rId1"/>
  <headerFooter>
    <oddHeader>&amp;R&amp;"Times New Roman,Bold"KyPSC Case No. 2026-00041
STAFF-DR-02-001 Attachment 2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I22"/>
  <sheetViews>
    <sheetView view="pageLayout" zoomScaleNormal="100" workbookViewId="0"/>
  </sheetViews>
  <sheetFormatPr defaultColWidth="8.5703125" defaultRowHeight="12.75"/>
  <cols>
    <col min="1" max="1" width="6" customWidth="1"/>
    <col min="2" max="2" width="22" customWidth="1"/>
    <col min="3" max="3" width="12.42578125" customWidth="1"/>
    <col min="4" max="4" width="11.42578125" customWidth="1"/>
    <col min="5" max="5" width="13.42578125" customWidth="1"/>
    <col min="6" max="6" width="12.5703125" customWidth="1"/>
    <col min="7" max="7" width="19.5703125" customWidth="1"/>
  </cols>
  <sheetData>
    <row r="1" spans="1:9" ht="12.75" customHeight="1">
      <c r="G1" s="6" t="s">
        <v>100</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95</v>
      </c>
      <c r="B6" s="4"/>
      <c r="C6" s="4"/>
      <c r="D6" s="4"/>
      <c r="E6" s="4"/>
      <c r="F6" s="4"/>
      <c r="G6" s="4"/>
      <c r="I6" s="4"/>
    </row>
    <row r="7" spans="1:9" ht="12.75" customHeight="1"/>
    <row r="8" spans="1:9" ht="12.75" customHeight="1"/>
    <row r="9" spans="1:9" ht="14.25" customHeight="1">
      <c r="A9" s="42" t="s">
        <v>123</v>
      </c>
      <c r="B9" s="42"/>
      <c r="C9" s="42"/>
      <c r="D9" s="42"/>
      <c r="E9" s="42" t="s">
        <v>96</v>
      </c>
      <c r="F9" s="42" t="s">
        <v>273</v>
      </c>
      <c r="G9" s="42" t="s">
        <v>275</v>
      </c>
    </row>
    <row r="10" spans="1:9" ht="14.25" customHeight="1">
      <c r="A10" s="42" t="s">
        <v>36</v>
      </c>
      <c r="B10" s="42" t="s">
        <v>97</v>
      </c>
      <c r="C10" s="42" t="s">
        <v>98</v>
      </c>
      <c r="D10" s="42" t="s">
        <v>99</v>
      </c>
      <c r="E10" s="42" t="s">
        <v>99</v>
      </c>
      <c r="F10" s="42" t="s">
        <v>274</v>
      </c>
      <c r="G10" s="42" t="s">
        <v>276</v>
      </c>
    </row>
    <row r="11" spans="1:9" ht="14.25" customHeight="1">
      <c r="A11" s="44"/>
      <c r="B11" s="44"/>
      <c r="C11" s="24"/>
      <c r="D11" s="24"/>
      <c r="E11" s="24" t="s">
        <v>122</v>
      </c>
      <c r="F11" s="24" t="s">
        <v>131</v>
      </c>
      <c r="G11" s="24" t="s">
        <v>277</v>
      </c>
    </row>
    <row r="12" spans="1:9" ht="12.75" customHeight="1"/>
    <row r="13" spans="1:9" ht="14.25" customHeight="1">
      <c r="A13" s="5">
        <v>1</v>
      </c>
      <c r="B13" s="43" t="s">
        <v>118</v>
      </c>
      <c r="C13" s="71">
        <v>3.78E-2</v>
      </c>
      <c r="D13" s="71">
        <v>4.7390000000000002E-2</v>
      </c>
      <c r="E13" s="72">
        <f>ROUND(C13*D13,5)</f>
        <v>1.7899999999999999E-3</v>
      </c>
      <c r="G13" s="72">
        <f>ROUND(E13,5)</f>
        <v>1.7899999999999999E-3</v>
      </c>
    </row>
    <row r="14" spans="1:9" ht="14.25" customHeight="1">
      <c r="A14" s="5">
        <f>A13+1</f>
        <v>2</v>
      </c>
      <c r="B14" s="43" t="s">
        <v>119</v>
      </c>
      <c r="C14" s="71">
        <v>0.44074999999999998</v>
      </c>
      <c r="D14" s="71">
        <v>4.3770000000000003E-2</v>
      </c>
      <c r="E14" s="72">
        <f>ROUND(C14*D14,5)</f>
        <v>1.9290000000000002E-2</v>
      </c>
      <c r="G14" s="72">
        <f>ROUND(E14,5)</f>
        <v>1.9290000000000002E-2</v>
      </c>
    </row>
    <row r="15" spans="1:9" ht="14.25" customHeight="1">
      <c r="A15" s="5">
        <f t="shared" ref="A15:A16" si="0">A14+1</f>
        <v>3</v>
      </c>
      <c r="B15" s="43" t="s">
        <v>121</v>
      </c>
      <c r="C15" s="73">
        <v>0.52144999999999997</v>
      </c>
      <c r="D15" s="74">
        <v>9.6500000000000002E-2</v>
      </c>
      <c r="E15" s="75">
        <f>ROUND(C15*D15,5)</f>
        <v>5.0319999999999997E-2</v>
      </c>
      <c r="F15" s="171">
        <v>1.3342383</v>
      </c>
      <c r="G15" s="75">
        <f>ROUND(F15*E15,5)</f>
        <v>6.7140000000000005E-2</v>
      </c>
    </row>
    <row r="16" spans="1:9" ht="12.75" customHeight="1">
      <c r="A16" s="5">
        <f t="shared" si="0"/>
        <v>4</v>
      </c>
      <c r="B16" s="43" t="s">
        <v>120</v>
      </c>
      <c r="C16" s="68">
        <f>SUM(C13:C15)</f>
        <v>1</v>
      </c>
      <c r="D16" s="69"/>
      <c r="E16" s="68">
        <f>SUM(E13:E15)</f>
        <v>7.1399999999999991E-2</v>
      </c>
      <c r="F16" s="68"/>
      <c r="G16" s="68">
        <f>SUM(G13:G15)</f>
        <v>8.8220000000000007E-2</v>
      </c>
    </row>
    <row r="17" spans="1:7" ht="12.75" customHeight="1"/>
    <row r="18" spans="1:7" ht="12.75" customHeight="1">
      <c r="A18" s="70"/>
      <c r="B18" s="70"/>
      <c r="C18" s="70"/>
      <c r="D18" s="70"/>
      <c r="E18" s="70"/>
      <c r="F18" s="70"/>
      <c r="G18" s="70"/>
    </row>
    <row r="19" spans="1:7" ht="12.75" customHeight="1"/>
    <row r="20" spans="1:7" ht="12.75" customHeight="1">
      <c r="B20" s="43" t="s">
        <v>317</v>
      </c>
    </row>
    <row r="21" spans="1:7" ht="12.75" customHeight="1">
      <c r="B21" t="s">
        <v>285</v>
      </c>
    </row>
    <row r="22" spans="1:7">
      <c r="B22" t="s">
        <v>286</v>
      </c>
    </row>
  </sheetData>
  <printOptions horizontalCentered="1"/>
  <pageMargins left="1" right="0.5" top="1" bottom="1" header="0.3" footer="0.3"/>
  <pageSetup scale="93" orientation="portrait" r:id="rId1"/>
  <headerFooter>
    <oddHeader>&amp;R&amp;"Times New Roman,Bold"KyPSC Case No. 2026-00041
STAFF-DR-02-001 Attachment 2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F58"/>
  <sheetViews>
    <sheetView view="pageLayout" zoomScaleNormal="100" workbookViewId="0"/>
  </sheetViews>
  <sheetFormatPr defaultRowHeight="12.75"/>
  <cols>
    <col min="1" max="1" width="6.5703125" customWidth="1"/>
    <col min="2" max="2" width="1.5703125" customWidth="1"/>
    <col min="3" max="3" width="82" bestFit="1" customWidth="1"/>
    <col min="4" max="4" width="14.5703125" customWidth="1"/>
    <col min="5" max="5" width="1.5703125" customWidth="1"/>
    <col min="6" max="6" width="16.570312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377</v>
      </c>
      <c r="B8" s="4"/>
      <c r="C8" s="4"/>
      <c r="D8" s="4"/>
      <c r="E8" s="4"/>
      <c r="F8" s="4"/>
    </row>
    <row r="9" spans="1:6" ht="12.75" customHeight="1"/>
    <row r="10" spans="1:6" ht="12.75" customHeight="1"/>
    <row r="11" spans="1:6" ht="12.75" customHeight="1">
      <c r="A11" s="42" t="s">
        <v>123</v>
      </c>
    </row>
    <row r="12" spans="1:6" ht="14.25" customHeight="1">
      <c r="A12" s="44" t="s">
        <v>36</v>
      </c>
      <c r="B12" s="41"/>
      <c r="C12" s="45" t="s">
        <v>88</v>
      </c>
      <c r="D12" s="44" t="s">
        <v>25</v>
      </c>
      <c r="E12" s="14"/>
      <c r="F12" s="44" t="s">
        <v>33</v>
      </c>
    </row>
    <row r="13" spans="1:6" ht="12.75" customHeight="1">
      <c r="C13" s="1"/>
    </row>
    <row r="14" spans="1:6" ht="12.75" customHeight="1">
      <c r="A14" s="5">
        <f>MAX(A13:A$13)+1</f>
        <v>1</v>
      </c>
      <c r="B14" s="5"/>
      <c r="C14" t="s">
        <v>301</v>
      </c>
      <c r="D14" s="5" t="s">
        <v>54</v>
      </c>
      <c r="F14" s="77">
        <f>'FORM 2.10'!D51</f>
        <v>67432275</v>
      </c>
    </row>
    <row r="15" spans="1:6" ht="12.75" customHeight="1">
      <c r="A15" s="5">
        <f>MAX(A$13:A14)+1</f>
        <v>2</v>
      </c>
      <c r="B15" s="5"/>
      <c r="C15" t="s">
        <v>26</v>
      </c>
      <c r="D15" s="5" t="s">
        <v>54</v>
      </c>
      <c r="F15" s="181">
        <f>'FORM 2.10'!G51</f>
        <v>0</v>
      </c>
    </row>
    <row r="16" spans="1:6" ht="12.75" customHeight="1">
      <c r="A16" s="5">
        <f>MAX(A$13:A15)+1</f>
        <v>3</v>
      </c>
      <c r="B16" s="5"/>
      <c r="C16" s="16" t="s">
        <v>20</v>
      </c>
      <c r="D16" s="5"/>
      <c r="F16" s="77">
        <f>F14+F15</f>
        <v>67432275</v>
      </c>
    </row>
    <row r="17" spans="1:6" ht="12.75" customHeight="1">
      <c r="A17" s="5"/>
      <c r="B17" s="5"/>
      <c r="C17" s="16"/>
      <c r="D17" s="5"/>
      <c r="F17" s="103"/>
    </row>
    <row r="18" spans="1:6" ht="12.75" customHeight="1">
      <c r="A18" s="5">
        <f>MAX(A$13:A17)+1</f>
        <v>4</v>
      </c>
      <c r="C18" s="46" t="s">
        <v>21</v>
      </c>
      <c r="D18" s="5"/>
      <c r="F18" s="103"/>
    </row>
    <row r="19" spans="1:6" ht="12.75" customHeight="1">
      <c r="A19" s="5">
        <f>MAX(A$13:A18)+1</f>
        <v>5</v>
      </c>
      <c r="B19" s="5"/>
      <c r="C19" t="s">
        <v>27</v>
      </c>
      <c r="D19" s="5" t="s">
        <v>87</v>
      </c>
      <c r="F19" s="102">
        <f>ROUND('FORM 2.30'!G32,0)</f>
        <v>17457</v>
      </c>
    </row>
    <row r="20" spans="1:6" ht="12.75" customHeight="1">
      <c r="A20" s="5">
        <f>MAX(A$13:A19)+1</f>
        <v>6</v>
      </c>
      <c r="B20" s="5"/>
      <c r="C20" s="16" t="s">
        <v>20</v>
      </c>
      <c r="D20" s="5"/>
      <c r="F20" s="77">
        <f>SUM(F19:F19)</f>
        <v>17457</v>
      </c>
    </row>
    <row r="21" spans="1:6" ht="12.75" customHeight="1">
      <c r="A21" s="5"/>
      <c r="B21" s="5"/>
      <c r="C21" s="16"/>
      <c r="D21" s="5"/>
      <c r="F21" s="103"/>
    </row>
    <row r="22" spans="1:6" ht="12.75" customHeight="1">
      <c r="A22" s="5">
        <f>MAX(A$13:A21)+1</f>
        <v>7</v>
      </c>
      <c r="B22" s="5"/>
      <c r="C22" s="47" t="s">
        <v>22</v>
      </c>
      <c r="D22" s="5"/>
      <c r="F22" s="103"/>
    </row>
    <row r="23" spans="1:6" ht="12.75" customHeight="1">
      <c r="A23" s="5">
        <f>MAX(A$13:A22)+1</f>
        <v>8</v>
      </c>
      <c r="B23" s="5"/>
      <c r="C23" t="s">
        <v>28</v>
      </c>
      <c r="D23" s="5" t="s">
        <v>54</v>
      </c>
      <c r="F23" s="77">
        <f>'FORM 2.10'!E51</f>
        <v>10974237</v>
      </c>
    </row>
    <row r="24" spans="1:6" ht="12.75" customHeight="1">
      <c r="A24" s="5">
        <f>MAX(A$13:A23)+1</f>
        <v>9</v>
      </c>
      <c r="B24" s="5"/>
      <c r="C24" t="s">
        <v>29</v>
      </c>
      <c r="D24" s="5" t="s">
        <v>54</v>
      </c>
      <c r="F24" s="95">
        <f>'FORM 2.10'!I51</f>
        <v>5394572</v>
      </c>
    </row>
    <row r="25" spans="1:6" ht="12.75" customHeight="1">
      <c r="A25" s="5">
        <f>MAX(A$13:A24)+1</f>
        <v>10</v>
      </c>
      <c r="B25" s="5"/>
      <c r="C25" t="s">
        <v>128</v>
      </c>
      <c r="D25" s="5" t="s">
        <v>54</v>
      </c>
      <c r="F25" s="181">
        <f>'FORM 2.10'!H51</f>
        <v>0</v>
      </c>
    </row>
    <row r="26" spans="1:6" ht="12.75" customHeight="1">
      <c r="A26" s="5">
        <f>MAX(A$13:A25)+1</f>
        <v>11</v>
      </c>
      <c r="B26" s="5"/>
      <c r="C26" s="16" t="s">
        <v>20</v>
      </c>
      <c r="D26" s="5"/>
      <c r="F26" s="77">
        <f>SUM(F23:F25)</f>
        <v>16368809</v>
      </c>
    </row>
    <row r="27" spans="1:6" ht="12.75" customHeight="1">
      <c r="A27" s="5"/>
      <c r="B27" s="5"/>
      <c r="C27" s="16"/>
      <c r="D27" s="5"/>
      <c r="F27" s="103"/>
    </row>
    <row r="28" spans="1:6" ht="13.5" customHeight="1">
      <c r="A28" s="5">
        <f>MAX(A$13:A27)+1</f>
        <v>12</v>
      </c>
      <c r="B28" s="5"/>
      <c r="C28" t="s">
        <v>90</v>
      </c>
      <c r="D28" s="5"/>
      <c r="F28" s="77">
        <f>F16+F20-F26</f>
        <v>51080923</v>
      </c>
    </row>
    <row r="29" spans="1:6" ht="13.5" customHeight="1">
      <c r="A29" s="5"/>
      <c r="B29" s="5"/>
      <c r="D29" s="5"/>
      <c r="F29" s="103"/>
    </row>
    <row r="30" spans="1:6" ht="12.75" customHeight="1">
      <c r="A30" s="5"/>
      <c r="B30" s="5"/>
      <c r="D30" s="5"/>
      <c r="F30" s="103"/>
    </row>
    <row r="31" spans="1:6" ht="12.75" customHeight="1">
      <c r="A31" s="5">
        <f>MAX(A$13:A30)+1</f>
        <v>13</v>
      </c>
      <c r="B31" s="5"/>
      <c r="C31" s="18" t="s">
        <v>89</v>
      </c>
      <c r="D31" s="5"/>
      <c r="F31" s="103"/>
    </row>
    <row r="32" spans="1:6" ht="12.75" customHeight="1">
      <c r="A32" s="5"/>
      <c r="B32" s="5"/>
      <c r="D32" s="5"/>
      <c r="F32" s="103"/>
    </row>
    <row r="33" spans="1:6" ht="12.75" customHeight="1">
      <c r="A33" s="5">
        <f>MAX(A$13:A32)+1</f>
        <v>14</v>
      </c>
      <c r="B33" s="5"/>
      <c r="C33" t="s">
        <v>93</v>
      </c>
      <c r="D33" s="5" t="s">
        <v>54</v>
      </c>
      <c r="F33" s="77">
        <f>'FORM 2.10'!J51</f>
        <v>225897</v>
      </c>
    </row>
    <row r="34" spans="1:6" ht="12.75" customHeight="1">
      <c r="A34" s="5">
        <f>MAX(A$13:A33)+1</f>
        <v>15</v>
      </c>
      <c r="B34" s="5"/>
      <c r="C34" t="s">
        <v>30</v>
      </c>
      <c r="D34" s="5" t="s">
        <v>54</v>
      </c>
      <c r="F34" s="77">
        <f>'FORM 2.10'!K51</f>
        <v>61690</v>
      </c>
    </row>
    <row r="35" spans="1:6" ht="12.75" customHeight="1">
      <c r="A35" s="5">
        <f>MAX(A$13:A34)+1</f>
        <v>16</v>
      </c>
      <c r="B35" s="5"/>
      <c r="C35" t="s">
        <v>94</v>
      </c>
      <c r="D35" s="5" t="s">
        <v>59</v>
      </c>
      <c r="F35" s="77">
        <f>-'FORM 2.20'!P187</f>
        <v>797529</v>
      </c>
    </row>
    <row r="36" spans="1:6" ht="12.75" customHeight="1">
      <c r="A36" s="5">
        <f>MAX(A$13:A35)+1</f>
        <v>17</v>
      </c>
      <c r="B36" s="5"/>
      <c r="C36" t="s">
        <v>31</v>
      </c>
      <c r="D36" s="5" t="s">
        <v>87</v>
      </c>
      <c r="F36" s="77">
        <f>ROUND('FORM 2.30'!E32,0)</f>
        <v>21</v>
      </c>
    </row>
    <row r="37" spans="1:6" ht="12.75" customHeight="1">
      <c r="A37" s="5">
        <f>MAX(A$13:A36)+1</f>
        <v>18</v>
      </c>
      <c r="B37" s="5"/>
      <c r="C37" t="s">
        <v>298</v>
      </c>
      <c r="D37" s="5" t="s">
        <v>91</v>
      </c>
      <c r="F37" s="102">
        <f>'FORM 2.50'!I20</f>
        <v>2398674</v>
      </c>
    </row>
    <row r="38" spans="1:6" ht="13.5" customHeight="1">
      <c r="A38" s="5">
        <f>MAX(A$13:A37)+1</f>
        <v>19</v>
      </c>
      <c r="B38" s="5"/>
      <c r="C38" t="s">
        <v>32</v>
      </c>
      <c r="D38" s="5"/>
      <c r="F38" s="77">
        <f>SUM(F33:F37)</f>
        <v>3483811</v>
      </c>
    </row>
    <row r="39" spans="1:6" ht="13.5" customHeight="1">
      <c r="A39" s="5"/>
      <c r="B39" s="5"/>
      <c r="D39" s="5"/>
      <c r="F39" s="103"/>
    </row>
    <row r="40" spans="1:6" ht="12.75" customHeight="1">
      <c r="D40" s="5"/>
      <c r="F40" s="103"/>
    </row>
    <row r="41" spans="1:6" ht="12.75" customHeight="1">
      <c r="A41" s="5">
        <f>A38+1</f>
        <v>20</v>
      </c>
      <c r="C41" s="18" t="s">
        <v>101</v>
      </c>
      <c r="D41" s="5"/>
      <c r="F41" s="103"/>
    </row>
    <row r="42" spans="1:6" ht="12.75" customHeight="1">
      <c r="A42" s="5"/>
      <c r="D42" s="5"/>
      <c r="F42" s="103"/>
    </row>
    <row r="43" spans="1:6" ht="15" customHeight="1">
      <c r="A43" s="5">
        <f>A41+1</f>
        <v>21</v>
      </c>
      <c r="C43" s="43" t="s">
        <v>127</v>
      </c>
      <c r="D43" s="5"/>
      <c r="F43" s="37">
        <v>0</v>
      </c>
    </row>
    <row r="44" spans="1:6" ht="12.75" customHeight="1">
      <c r="A44" s="5">
        <f>A43+1</f>
        <v>22</v>
      </c>
      <c r="C44" s="43" t="s">
        <v>126</v>
      </c>
      <c r="D44" s="5"/>
      <c r="F44" s="176">
        <v>0</v>
      </c>
    </row>
    <row r="45" spans="1:6" ht="13.5" customHeight="1" thickBot="1">
      <c r="A45" s="5">
        <f>A44+1</f>
        <v>23</v>
      </c>
      <c r="C45" t="s">
        <v>92</v>
      </c>
      <c r="D45" s="5"/>
      <c r="F45" s="96">
        <f>SUM(F43:F44)</f>
        <v>0</v>
      </c>
    </row>
    <row r="46" spans="1:6" ht="13.5" customHeight="1" thickTop="1">
      <c r="D46" s="5"/>
      <c r="F46" s="103"/>
    </row>
    <row r="47" spans="1:6" ht="12.75" customHeight="1">
      <c r="D47" s="5"/>
      <c r="F47" s="103"/>
    </row>
    <row r="48" spans="1:6" ht="12.75" customHeight="1">
      <c r="A48" s="5">
        <f>A45+1</f>
        <v>24</v>
      </c>
      <c r="C48" s="18" t="s">
        <v>269</v>
      </c>
      <c r="D48" s="5"/>
      <c r="F48" s="103"/>
    </row>
    <row r="49" spans="1:6" ht="12.75" customHeight="1">
      <c r="A49" s="5">
        <f>A48+1</f>
        <v>25</v>
      </c>
      <c r="C49" t="s">
        <v>296</v>
      </c>
      <c r="D49" s="5"/>
      <c r="F49" s="77">
        <v>1265367.0000000007</v>
      </c>
    </row>
    <row r="50" spans="1:6" ht="12.75" customHeight="1">
      <c r="A50" s="5">
        <f>A49+1</f>
        <v>26</v>
      </c>
      <c r="C50" t="s">
        <v>130</v>
      </c>
      <c r="D50" s="5"/>
      <c r="F50" s="181">
        <v>1236956</v>
      </c>
    </row>
    <row r="51" spans="1:6" ht="12.75" customHeight="1">
      <c r="A51" s="5">
        <f>A50+1</f>
        <v>27</v>
      </c>
      <c r="C51" t="s">
        <v>269</v>
      </c>
      <c r="D51" s="5"/>
      <c r="F51" s="77">
        <f>F49-F50</f>
        <v>28411.000000000698</v>
      </c>
    </row>
    <row r="52" spans="1:6" ht="12.75" customHeight="1">
      <c r="A52" s="5"/>
      <c r="D52" s="5"/>
    </row>
    <row r="53" spans="1:6" ht="12.75" customHeight="1">
      <c r="A53" s="70"/>
      <c r="B53" s="70"/>
      <c r="C53" s="70"/>
      <c r="D53" s="70"/>
      <c r="E53" s="70"/>
      <c r="F53" s="70"/>
    </row>
    <row r="54" spans="1:6" ht="12.75" customHeight="1">
      <c r="A54" s="5"/>
      <c r="C54" t="s">
        <v>270</v>
      </c>
      <c r="D54" s="5"/>
    </row>
    <row r="55" spans="1:6" ht="12.75" customHeight="1">
      <c r="A55" s="5"/>
      <c r="C55" t="s">
        <v>309</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74" orientation="portrait" r:id="rId1"/>
  <headerFooter>
    <oddHeader>&amp;R&amp;"Times New Roman,Bold"KyPSC Case No. 2026-00041
STAFF-DR-02-001 Attachment 2
Page &amp;P of &amp;N</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B1:L53"/>
  <sheetViews>
    <sheetView view="pageLayout" zoomScaleNormal="90" workbookViewId="0"/>
  </sheetViews>
  <sheetFormatPr defaultRowHeight="12.75"/>
  <cols>
    <col min="1" max="1" width="2.42578125" customWidth="1"/>
    <col min="3" max="3" width="34.42578125" bestFit="1" customWidth="1"/>
    <col min="4" max="6" width="13.5703125" customWidth="1"/>
    <col min="7" max="7" width="15.42578125" customWidth="1"/>
    <col min="8" max="11" width="13.5703125" customWidth="1"/>
  </cols>
  <sheetData>
    <row r="1" spans="2:11" ht="12.75" customHeight="1">
      <c r="K1" s="6" t="s">
        <v>34</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272</v>
      </c>
      <c r="C6" s="4"/>
      <c r="D6" s="4"/>
      <c r="E6" s="4"/>
      <c r="F6" s="4"/>
      <c r="G6" s="4"/>
      <c r="H6" s="4"/>
      <c r="I6" s="4"/>
      <c r="J6" s="4"/>
      <c r="K6" s="4"/>
    </row>
    <row r="7" spans="2:11" ht="12.75" customHeight="1">
      <c r="B7" s="4" t="s">
        <v>271</v>
      </c>
      <c r="C7" s="4"/>
      <c r="D7" s="4"/>
      <c r="E7" s="4"/>
      <c r="F7" s="4"/>
      <c r="G7" s="4"/>
      <c r="H7" s="4"/>
      <c r="I7" s="4"/>
      <c r="J7" s="4"/>
      <c r="K7" s="4"/>
    </row>
    <row r="8" spans="2:11" ht="12.75" customHeight="1">
      <c r="B8" s="4"/>
      <c r="C8" s="4"/>
      <c r="D8" s="4"/>
      <c r="E8" s="4"/>
      <c r="F8" s="4"/>
      <c r="G8" s="4"/>
      <c r="H8" s="4"/>
      <c r="I8" s="4"/>
      <c r="J8" s="4"/>
      <c r="K8" s="4"/>
    </row>
    <row r="9" spans="2:11" ht="12.75" customHeight="1">
      <c r="B9" s="4" t="s">
        <v>377</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320</v>
      </c>
      <c r="K12" s="20" t="s">
        <v>17</v>
      </c>
    </row>
    <row r="13" spans="2:11" ht="12.75" customHeight="1">
      <c r="B13" s="21"/>
      <c r="C13" s="26"/>
      <c r="D13" s="26" t="s">
        <v>299</v>
      </c>
      <c r="E13" s="26"/>
      <c r="F13" s="26" t="s">
        <v>44</v>
      </c>
      <c r="G13" s="26" t="s">
        <v>41</v>
      </c>
      <c r="H13" s="26" t="s">
        <v>39</v>
      </c>
      <c r="I13" s="26" t="s">
        <v>39</v>
      </c>
      <c r="J13" s="26"/>
      <c r="K13" s="26"/>
    </row>
    <row r="14" spans="2:11" ht="12.75" customHeight="1">
      <c r="B14" s="10"/>
      <c r="C14" s="27"/>
      <c r="D14" s="27" t="s">
        <v>38</v>
      </c>
      <c r="E14" s="27" t="s">
        <v>39</v>
      </c>
      <c r="F14" s="27" t="s">
        <v>37</v>
      </c>
      <c r="G14" s="27" t="s">
        <v>42</v>
      </c>
      <c r="H14" s="27" t="s">
        <v>47</v>
      </c>
      <c r="I14" s="27" t="s">
        <v>47</v>
      </c>
      <c r="J14" s="27"/>
      <c r="K14" s="27" t="s">
        <v>49</v>
      </c>
    </row>
    <row r="15" spans="2:11" ht="12.75" customHeight="1">
      <c r="B15" s="10" t="s">
        <v>35</v>
      </c>
      <c r="C15" s="27"/>
      <c r="D15" s="27" t="s">
        <v>300</v>
      </c>
      <c r="E15" s="27" t="s">
        <v>40</v>
      </c>
      <c r="F15" s="27" t="s">
        <v>38</v>
      </c>
      <c r="G15" s="27" t="s">
        <v>43</v>
      </c>
      <c r="H15" s="27" t="s">
        <v>45</v>
      </c>
      <c r="I15" s="27" t="s">
        <v>48</v>
      </c>
      <c r="J15" s="27" t="s">
        <v>49</v>
      </c>
      <c r="K15" s="27" t="s">
        <v>51</v>
      </c>
    </row>
    <row r="16" spans="2:11" ht="12.75" customHeight="1">
      <c r="B16" s="10"/>
      <c r="C16" s="27"/>
      <c r="D16" s="27" t="s">
        <v>46</v>
      </c>
      <c r="E16" s="27" t="s">
        <v>46</v>
      </c>
      <c r="F16" s="27" t="s">
        <v>46</v>
      </c>
      <c r="G16" s="27" t="s">
        <v>46</v>
      </c>
      <c r="H16" s="27" t="s">
        <v>46</v>
      </c>
      <c r="I16" s="27" t="s">
        <v>46</v>
      </c>
      <c r="J16" s="27" t="s">
        <v>40</v>
      </c>
      <c r="K16" s="27" t="s">
        <v>52</v>
      </c>
    </row>
    <row r="17" spans="2:12" ht="12.75" customHeight="1">
      <c r="B17" s="23" t="s">
        <v>36</v>
      </c>
      <c r="C17" s="28" t="s">
        <v>23</v>
      </c>
      <c r="D17" s="55">
        <v>45778</v>
      </c>
      <c r="E17" s="55">
        <v>45778</v>
      </c>
      <c r="F17" s="55">
        <v>45778</v>
      </c>
      <c r="G17" s="55">
        <v>45778</v>
      </c>
      <c r="H17" s="55">
        <v>45778</v>
      </c>
      <c r="I17" s="55">
        <v>45778</v>
      </c>
      <c r="J17" s="28" t="s">
        <v>50</v>
      </c>
      <c r="K17" s="28" t="s">
        <v>50</v>
      </c>
    </row>
    <row r="18" spans="2:12" ht="12.75" customHeight="1">
      <c r="B18" s="19"/>
      <c r="C18" s="20"/>
      <c r="D18" s="20"/>
      <c r="E18" s="20"/>
      <c r="F18" s="20" t="s">
        <v>53</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114</v>
      </c>
      <c r="D20" s="34">
        <v>10324588</v>
      </c>
      <c r="E20" s="34">
        <v>1839850</v>
      </c>
      <c r="F20" s="36">
        <f>D20-E20</f>
        <v>8484738</v>
      </c>
      <c r="G20" s="34">
        <v>0</v>
      </c>
      <c r="H20" s="34">
        <v>0</v>
      </c>
      <c r="I20" s="34">
        <v>1225241</v>
      </c>
      <c r="J20" s="34">
        <v>34587</v>
      </c>
      <c r="K20" s="36">
        <v>9271</v>
      </c>
      <c r="L20" s="66"/>
    </row>
    <row r="21" spans="2:12" ht="12.75" customHeight="1">
      <c r="B21" s="27"/>
      <c r="C21" s="30"/>
      <c r="D21" s="34"/>
      <c r="E21" s="34"/>
      <c r="F21" s="34"/>
      <c r="G21" s="34"/>
      <c r="H21" s="34"/>
      <c r="I21" s="34"/>
      <c r="J21" s="34"/>
      <c r="K21" s="36"/>
    </row>
    <row r="22" spans="2:12" ht="12.75" customHeight="1">
      <c r="B22" s="27">
        <v>2</v>
      </c>
      <c r="C22" s="30" t="s">
        <v>115</v>
      </c>
      <c r="D22" s="34">
        <v>10280726</v>
      </c>
      <c r="E22" s="34">
        <v>1557823</v>
      </c>
      <c r="F22" s="36">
        <f>D22-E22</f>
        <v>8722903</v>
      </c>
      <c r="G22" s="34">
        <v>0</v>
      </c>
      <c r="H22" s="34">
        <v>0</v>
      </c>
      <c r="I22" s="34">
        <v>537382</v>
      </c>
      <c r="J22" s="34">
        <v>34440</v>
      </c>
      <c r="K22" s="36">
        <v>9531</v>
      </c>
    </row>
    <row r="23" spans="2:12" ht="12.75" customHeight="1">
      <c r="B23" s="27"/>
      <c r="C23" s="30"/>
      <c r="D23" s="34"/>
      <c r="E23" s="34"/>
      <c r="F23" s="34"/>
      <c r="G23" s="34"/>
      <c r="H23" s="34"/>
      <c r="I23" s="34"/>
      <c r="J23" s="34"/>
      <c r="K23" s="36"/>
    </row>
    <row r="24" spans="2:12" ht="12.75" customHeight="1">
      <c r="B24" s="27">
        <v>3</v>
      </c>
      <c r="C24" s="30" t="s">
        <v>116</v>
      </c>
      <c r="D24" s="34">
        <v>29882379</v>
      </c>
      <c r="E24" s="34">
        <v>5074380</v>
      </c>
      <c r="F24" s="36">
        <f>D24-E24</f>
        <v>24807999</v>
      </c>
      <c r="G24" s="34">
        <v>0</v>
      </c>
      <c r="H24" s="34">
        <v>0</v>
      </c>
      <c r="I24" s="34">
        <v>2944935</v>
      </c>
      <c r="J24" s="34">
        <v>100106</v>
      </c>
      <c r="K24" s="36">
        <v>27107</v>
      </c>
    </row>
    <row r="25" spans="2:12" ht="12.75" customHeight="1">
      <c r="B25" s="27"/>
      <c r="C25" s="30"/>
      <c r="D25" s="34"/>
      <c r="E25" s="34"/>
      <c r="F25" s="34"/>
      <c r="G25" s="34"/>
      <c r="H25" s="34"/>
      <c r="I25" s="34"/>
      <c r="J25" s="34"/>
      <c r="K25" s="34"/>
    </row>
    <row r="26" spans="2:12" ht="12.75" customHeight="1">
      <c r="B26" s="27">
        <v>4</v>
      </c>
      <c r="C26" s="30" t="s">
        <v>297</v>
      </c>
      <c r="D26" s="34">
        <v>16944582</v>
      </c>
      <c r="E26" s="34">
        <v>2502184</v>
      </c>
      <c r="F26" s="36">
        <f>D26-E26</f>
        <v>14442398</v>
      </c>
      <c r="G26" s="34">
        <v>0</v>
      </c>
      <c r="H26" s="34">
        <v>0</v>
      </c>
      <c r="I26" s="34">
        <v>687014</v>
      </c>
      <c r="J26" s="34">
        <v>56764</v>
      </c>
      <c r="K26" s="36">
        <v>15781</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10974237</v>
      </c>
      <c r="F51" s="101">
        <f t="shared" si="0"/>
        <v>56458038</v>
      </c>
      <c r="G51" s="101">
        <f t="shared" si="0"/>
        <v>0</v>
      </c>
      <c r="H51" s="101">
        <f t="shared" si="0"/>
        <v>0</v>
      </c>
      <c r="I51" s="101">
        <f t="shared" si="0"/>
        <v>5394572</v>
      </c>
      <c r="J51" s="101">
        <f t="shared" si="0"/>
        <v>225897</v>
      </c>
      <c r="K51" s="101">
        <f t="shared" si="0"/>
        <v>61690</v>
      </c>
    </row>
    <row r="52" spans="2:11">
      <c r="J52" s="2"/>
      <c r="K52" s="77"/>
    </row>
    <row r="53" spans="2:11">
      <c r="B53" t="s">
        <v>319</v>
      </c>
    </row>
  </sheetData>
  <printOptions horizontalCentered="1"/>
  <pageMargins left="1" right="0.5" top="1" bottom="1" header="0.3" footer="0.3"/>
  <pageSetup scale="59" orientation="portrait" r:id="rId1"/>
  <headerFooter>
    <oddHeader>&amp;R&amp;"Times New Roman,Bold"KyPSC Case No. 2026-00041
STAFF-DR-02-001 Attachment 2
Page &amp;P of &amp;N</oddHead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190"/>
  <sheetViews>
    <sheetView view="pageLayout" zoomScaleNormal="100" zoomScaleSheetLayoutView="100" workbookViewId="0"/>
  </sheetViews>
  <sheetFormatPr defaultColWidth="8.5703125" defaultRowHeight="12.75"/>
  <cols>
    <col min="1" max="1" width="5.5703125" customWidth="1"/>
    <col min="2" max="2" width="12" customWidth="1"/>
    <col min="3" max="3" width="7.5703125" customWidth="1"/>
    <col min="4" max="4" width="15.5703125" customWidth="1"/>
    <col min="5" max="5" width="15.42578125" customWidth="1"/>
    <col min="6" max="8" width="15.5703125" customWidth="1"/>
    <col min="9" max="9" width="1" customWidth="1"/>
    <col min="10" max="10" width="17.42578125" customWidth="1"/>
    <col min="11" max="11" width="17.5703125" customWidth="1"/>
    <col min="12" max="12" width="1.42578125" customWidth="1"/>
    <col min="13" max="13" width="14.5703125" customWidth="1"/>
    <col min="14" max="14" width="16.42578125" customWidth="1"/>
    <col min="15" max="15" width="1.42578125" customWidth="1"/>
    <col min="16" max="16" width="18.42578125" customWidth="1"/>
  </cols>
  <sheetData>
    <row r="1" spans="1:16">
      <c r="P1" s="6" t="s">
        <v>293</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306</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377</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4" t="s">
        <v>302</v>
      </c>
      <c r="E11" s="145"/>
      <c r="F11" s="145"/>
      <c r="G11" s="145"/>
      <c r="H11" s="146"/>
      <c r="J11" s="144" t="s">
        <v>307</v>
      </c>
      <c r="K11" s="146"/>
      <c r="M11" s="144" t="s">
        <v>303</v>
      </c>
      <c r="N11" s="147"/>
    </row>
    <row r="12" spans="1:16" ht="12.75" customHeight="1">
      <c r="A12" s="52"/>
      <c r="B12" s="223"/>
      <c r="C12" s="224"/>
      <c r="D12" s="52"/>
      <c r="E12" s="52"/>
      <c r="F12" s="52"/>
      <c r="G12" s="53" t="s">
        <v>287</v>
      </c>
      <c r="H12" s="52"/>
      <c r="J12" s="104"/>
      <c r="K12" s="152" t="s">
        <v>287</v>
      </c>
      <c r="M12" s="30"/>
      <c r="N12" s="106" t="s">
        <v>287</v>
      </c>
      <c r="P12" s="105" t="s">
        <v>58</v>
      </c>
    </row>
    <row r="13" spans="1:16" ht="12.75" customHeight="1">
      <c r="A13" s="63" t="s">
        <v>123</v>
      </c>
      <c r="B13" s="64" t="s">
        <v>104</v>
      </c>
      <c r="C13" s="65"/>
      <c r="D13" s="63" t="s">
        <v>105</v>
      </c>
      <c r="E13" s="63" t="s">
        <v>106</v>
      </c>
      <c r="F13" s="63" t="s">
        <v>107</v>
      </c>
      <c r="G13" s="106" t="s">
        <v>288</v>
      </c>
      <c r="H13" s="63" t="s">
        <v>109</v>
      </c>
      <c r="I13" s="9"/>
      <c r="J13" s="63" t="s">
        <v>105</v>
      </c>
      <c r="K13" s="106" t="s">
        <v>289</v>
      </c>
      <c r="L13" s="142"/>
      <c r="M13" s="63" t="s">
        <v>105</v>
      </c>
      <c r="N13" s="106" t="s">
        <v>304</v>
      </c>
      <c r="P13" s="106" t="s">
        <v>108</v>
      </c>
    </row>
    <row r="14" spans="1:16" ht="12.75" customHeight="1">
      <c r="A14" s="48" t="s">
        <v>36</v>
      </c>
      <c r="B14" s="222" t="s">
        <v>9</v>
      </c>
      <c r="C14" s="222"/>
      <c r="D14" s="62" t="s">
        <v>10</v>
      </c>
      <c r="E14" s="62" t="s">
        <v>11</v>
      </c>
      <c r="F14" s="62" t="s">
        <v>12</v>
      </c>
      <c r="G14" s="62" t="s">
        <v>13</v>
      </c>
      <c r="H14" s="62" t="s">
        <v>14</v>
      </c>
      <c r="J14" s="62" t="s">
        <v>15</v>
      </c>
      <c r="K14" s="62" t="s">
        <v>16</v>
      </c>
      <c r="L14" s="58"/>
      <c r="M14" s="62" t="s">
        <v>17</v>
      </c>
      <c r="N14" s="62" t="s">
        <v>305</v>
      </c>
      <c r="P14" s="62" t="s">
        <v>308</v>
      </c>
    </row>
    <row r="15" spans="1:16" ht="12.75" customHeight="1">
      <c r="A15" s="26">
        <v>1</v>
      </c>
      <c r="B15" s="49" t="s">
        <v>110</v>
      </c>
      <c r="C15" s="92" t="s">
        <v>111</v>
      </c>
      <c r="D15" s="117">
        <v>3858084</v>
      </c>
      <c r="E15" s="117">
        <v>-856412</v>
      </c>
      <c r="F15" s="117">
        <v>20378</v>
      </c>
      <c r="G15" s="118">
        <v>0</v>
      </c>
      <c r="H15" s="119">
        <f>SUM(D15:G15)</f>
        <v>3022050</v>
      </c>
      <c r="J15" s="118">
        <v>0</v>
      </c>
      <c r="K15" s="118">
        <v>0</v>
      </c>
      <c r="L15" s="143"/>
      <c r="M15" s="117">
        <v>0</v>
      </c>
      <c r="N15" s="117">
        <v>0</v>
      </c>
      <c r="O15" s="85" t="str">
        <f t="shared" ref="O15:O46" si="0">B15</f>
        <v>2015 Total</v>
      </c>
      <c r="P15" s="120">
        <v>0</v>
      </c>
    </row>
    <row r="16" spans="1:16" ht="12.75" customHeight="1">
      <c r="A16" s="27">
        <f>A15+1</f>
        <v>2</v>
      </c>
      <c r="B16" s="49" t="s">
        <v>112</v>
      </c>
      <c r="C16" s="92" t="s">
        <v>111</v>
      </c>
      <c r="D16" s="136">
        <v>4486812</v>
      </c>
      <c r="E16" s="136">
        <v>-107052</v>
      </c>
      <c r="F16" s="136">
        <v>379037</v>
      </c>
      <c r="G16" s="137">
        <v>0</v>
      </c>
      <c r="H16" s="138">
        <f>SUM(D16:G16)+H15</f>
        <v>7780847</v>
      </c>
      <c r="I16" s="95"/>
      <c r="J16" s="139">
        <v>0</v>
      </c>
      <c r="K16" s="139">
        <v>0</v>
      </c>
      <c r="L16" s="95"/>
      <c r="M16" s="139">
        <v>291152</v>
      </c>
      <c r="N16" s="139">
        <v>0</v>
      </c>
      <c r="O16" s="85" t="str">
        <f t="shared" si="0"/>
        <v>2016 Total</v>
      </c>
      <c r="P16" s="76">
        <v>0</v>
      </c>
    </row>
    <row r="17" spans="1:16" ht="12.75" customHeight="1">
      <c r="A17" s="27">
        <f t="shared" ref="A17" si="1">A16+1</f>
        <v>3</v>
      </c>
      <c r="B17" s="50" t="s">
        <v>132</v>
      </c>
      <c r="C17" s="92" t="s">
        <v>111</v>
      </c>
      <c r="D17" s="136">
        <v>358148</v>
      </c>
      <c r="E17" s="136">
        <v>0</v>
      </c>
      <c r="F17" s="136">
        <v>43243</v>
      </c>
      <c r="G17" s="137">
        <v>0</v>
      </c>
      <c r="H17" s="138">
        <f t="shared" ref="H17:H95" si="2">SUM(D17:G17)+H16</f>
        <v>8182238</v>
      </c>
      <c r="I17" s="95"/>
      <c r="J17" s="139">
        <v>0</v>
      </c>
      <c r="K17" s="76">
        <f>-J15</f>
        <v>0</v>
      </c>
      <c r="L17" s="95"/>
      <c r="M17" s="139">
        <v>13108</v>
      </c>
      <c r="N17" s="139">
        <v>0</v>
      </c>
      <c r="O17" s="85" t="str">
        <f t="shared" si="0"/>
        <v>Jan-17</v>
      </c>
      <c r="P17" s="76">
        <v>0</v>
      </c>
    </row>
    <row r="18" spans="1:16" ht="12.75" customHeight="1">
      <c r="A18" s="27">
        <f>A17+1</f>
        <v>4</v>
      </c>
      <c r="B18" s="50" t="s">
        <v>133</v>
      </c>
      <c r="C18" s="92" t="s">
        <v>111</v>
      </c>
      <c r="D18" s="136">
        <v>424021</v>
      </c>
      <c r="E18" s="136">
        <v>0</v>
      </c>
      <c r="F18" s="136">
        <v>40351</v>
      </c>
      <c r="G18" s="137">
        <v>0</v>
      </c>
      <c r="H18" s="138">
        <f t="shared" si="2"/>
        <v>8646610</v>
      </c>
      <c r="I18" s="95"/>
      <c r="J18" s="139">
        <v>0</v>
      </c>
      <c r="K18" s="76">
        <f t="shared" ref="K18:K96" si="3">-J16</f>
        <v>0</v>
      </c>
      <c r="L18" s="95"/>
      <c r="M18" s="139">
        <v>14281</v>
      </c>
      <c r="N18" s="139">
        <v>0</v>
      </c>
      <c r="O18" s="85" t="str">
        <f t="shared" si="0"/>
        <v>Feb-17</v>
      </c>
      <c r="P18" s="76">
        <v>0</v>
      </c>
    </row>
    <row r="19" spans="1:16" ht="12.75" customHeight="1">
      <c r="A19" s="27">
        <f t="shared" ref="A19:A97" si="4">A18+1</f>
        <v>5</v>
      </c>
      <c r="B19" s="50" t="s">
        <v>135</v>
      </c>
      <c r="C19" s="92" t="s">
        <v>111</v>
      </c>
      <c r="D19" s="136">
        <v>692184</v>
      </c>
      <c r="E19" s="136">
        <v>-26763</v>
      </c>
      <c r="F19" s="136">
        <v>44724</v>
      </c>
      <c r="G19" s="137">
        <v>0</v>
      </c>
      <c r="H19" s="138">
        <f t="shared" si="2"/>
        <v>9356755</v>
      </c>
      <c r="I19" s="95"/>
      <c r="J19" s="139">
        <v>0</v>
      </c>
      <c r="K19" s="76">
        <f t="shared" si="3"/>
        <v>0</v>
      </c>
      <c r="L19" s="95"/>
      <c r="M19" s="139">
        <v>20225</v>
      </c>
      <c r="N19" s="139">
        <v>0</v>
      </c>
      <c r="O19" s="85" t="str">
        <f t="shared" si="0"/>
        <v>Mar-17</v>
      </c>
      <c r="P19" s="76">
        <v>0</v>
      </c>
    </row>
    <row r="20" spans="1:16" ht="12.75" customHeight="1">
      <c r="A20" s="27">
        <f t="shared" si="4"/>
        <v>6</v>
      </c>
      <c r="B20" s="50" t="s">
        <v>136</v>
      </c>
      <c r="C20" s="92" t="s">
        <v>111</v>
      </c>
      <c r="D20" s="136">
        <v>254067</v>
      </c>
      <c r="E20" s="136">
        <v>0</v>
      </c>
      <c r="F20" s="136">
        <v>50949</v>
      </c>
      <c r="G20" s="137">
        <v>0</v>
      </c>
      <c r="H20" s="138">
        <f t="shared" si="2"/>
        <v>9661771</v>
      </c>
      <c r="I20" s="95"/>
      <c r="J20" s="139">
        <v>0</v>
      </c>
      <c r="K20" s="76">
        <f t="shared" si="3"/>
        <v>0</v>
      </c>
      <c r="L20" s="95"/>
      <c r="M20" s="139">
        <v>30324</v>
      </c>
      <c r="N20" s="139">
        <v>0</v>
      </c>
      <c r="O20" s="85" t="str">
        <f t="shared" si="0"/>
        <v>Apr-17</v>
      </c>
      <c r="P20" s="76">
        <v>0</v>
      </c>
    </row>
    <row r="21" spans="1:16" ht="12.75" customHeight="1">
      <c r="A21" s="27">
        <f t="shared" si="4"/>
        <v>7</v>
      </c>
      <c r="B21" s="50" t="s">
        <v>137</v>
      </c>
      <c r="C21" s="92" t="s">
        <v>111</v>
      </c>
      <c r="D21" s="136">
        <v>608377</v>
      </c>
      <c r="E21" s="136">
        <v>0</v>
      </c>
      <c r="F21" s="136">
        <v>56141</v>
      </c>
      <c r="G21" s="137">
        <v>0</v>
      </c>
      <c r="H21" s="138">
        <f t="shared" si="2"/>
        <v>10326289</v>
      </c>
      <c r="I21" s="95"/>
      <c r="J21" s="139">
        <v>0</v>
      </c>
      <c r="K21" s="76">
        <f t="shared" si="3"/>
        <v>0</v>
      </c>
      <c r="L21" s="95"/>
      <c r="M21" s="139">
        <v>34997</v>
      </c>
      <c r="N21" s="139">
        <v>0</v>
      </c>
      <c r="O21" s="85" t="str">
        <f t="shared" si="0"/>
        <v>May-17</v>
      </c>
      <c r="P21" s="76">
        <v>0</v>
      </c>
    </row>
    <row r="22" spans="1:16" ht="12.75" customHeight="1">
      <c r="A22" s="27">
        <f t="shared" si="4"/>
        <v>8</v>
      </c>
      <c r="B22" s="50" t="s">
        <v>138</v>
      </c>
      <c r="C22" s="92" t="s">
        <v>111</v>
      </c>
      <c r="D22" s="136">
        <v>265619</v>
      </c>
      <c r="E22" s="136">
        <v>-26763</v>
      </c>
      <c r="F22" s="136">
        <v>53472</v>
      </c>
      <c r="G22" s="137">
        <v>0</v>
      </c>
      <c r="H22" s="138">
        <f t="shared" si="2"/>
        <v>10618617</v>
      </c>
      <c r="I22" s="95"/>
      <c r="J22" s="139">
        <v>0</v>
      </c>
      <c r="K22" s="76">
        <f t="shared" si="3"/>
        <v>0</v>
      </c>
      <c r="L22" s="95"/>
      <c r="M22" s="139">
        <v>45594</v>
      </c>
      <c r="N22" s="139">
        <v>0</v>
      </c>
      <c r="O22" s="85" t="str">
        <f t="shared" si="0"/>
        <v>Jun-17</v>
      </c>
      <c r="P22" s="76">
        <v>0</v>
      </c>
    </row>
    <row r="23" spans="1:16" ht="12.75" customHeight="1">
      <c r="A23" s="27">
        <f t="shared" si="4"/>
        <v>9</v>
      </c>
      <c r="B23" s="50" t="s">
        <v>139</v>
      </c>
      <c r="C23" s="92" t="s">
        <v>111</v>
      </c>
      <c r="D23" s="136">
        <v>220636</v>
      </c>
      <c r="E23" s="136">
        <v>0</v>
      </c>
      <c r="F23" s="136">
        <v>51558</v>
      </c>
      <c r="G23" s="137">
        <v>0</v>
      </c>
      <c r="H23" s="138">
        <f t="shared" si="2"/>
        <v>10890811</v>
      </c>
      <c r="I23" s="95"/>
      <c r="J23" s="139">
        <v>0</v>
      </c>
      <c r="K23" s="76">
        <f t="shared" si="3"/>
        <v>0</v>
      </c>
      <c r="L23" s="95"/>
      <c r="M23" s="139">
        <v>30629</v>
      </c>
      <c r="N23" s="139">
        <v>0</v>
      </c>
      <c r="O23" s="85" t="str">
        <f t="shared" si="0"/>
        <v>Jul-17</v>
      </c>
      <c r="P23" s="76">
        <v>0</v>
      </c>
    </row>
    <row r="24" spans="1:16" ht="12.75" customHeight="1">
      <c r="A24" s="27">
        <f t="shared" si="4"/>
        <v>10</v>
      </c>
      <c r="B24" s="50" t="s">
        <v>140</v>
      </c>
      <c r="C24" s="92" t="s">
        <v>111</v>
      </c>
      <c r="D24" s="136">
        <v>272053</v>
      </c>
      <c r="E24" s="136">
        <v>0</v>
      </c>
      <c r="F24" s="136">
        <v>47731</v>
      </c>
      <c r="G24" s="137">
        <v>0</v>
      </c>
      <c r="H24" s="138">
        <f t="shared" si="2"/>
        <v>11210595</v>
      </c>
      <c r="I24" s="95"/>
      <c r="J24" s="139">
        <v>0</v>
      </c>
      <c r="K24" s="76">
        <f t="shared" si="3"/>
        <v>0</v>
      </c>
      <c r="L24" s="95"/>
      <c r="M24" s="139">
        <v>17432</v>
      </c>
      <c r="N24" s="139">
        <v>0</v>
      </c>
      <c r="O24" s="85" t="str">
        <f t="shared" si="0"/>
        <v>Aug-17</v>
      </c>
      <c r="P24" s="76">
        <v>0</v>
      </c>
    </row>
    <row r="25" spans="1:16" ht="12.75" customHeight="1">
      <c r="A25" s="27">
        <f t="shared" si="4"/>
        <v>11</v>
      </c>
      <c r="B25" s="50" t="s">
        <v>141</v>
      </c>
      <c r="C25" s="92" t="s">
        <v>111</v>
      </c>
      <c r="D25" s="136">
        <v>233743</v>
      </c>
      <c r="E25" s="136">
        <v>-26763</v>
      </c>
      <c r="F25" s="136">
        <v>44389</v>
      </c>
      <c r="G25" s="137">
        <v>0</v>
      </c>
      <c r="H25" s="138">
        <f t="shared" si="2"/>
        <v>11461964</v>
      </c>
      <c r="I25" s="95"/>
      <c r="J25" s="139">
        <v>0</v>
      </c>
      <c r="K25" s="76">
        <f t="shared" si="3"/>
        <v>0</v>
      </c>
      <c r="L25" s="95"/>
      <c r="M25" s="139">
        <v>23200</v>
      </c>
      <c r="N25" s="139">
        <v>0</v>
      </c>
      <c r="O25" s="85" t="str">
        <f t="shared" si="0"/>
        <v>Sep-17</v>
      </c>
      <c r="P25" s="76">
        <v>0</v>
      </c>
    </row>
    <row r="26" spans="1:16" ht="12.75" customHeight="1">
      <c r="A26" s="27">
        <f t="shared" si="4"/>
        <v>12</v>
      </c>
      <c r="B26" s="50" t="s">
        <v>142</v>
      </c>
      <c r="C26" s="92" t="s">
        <v>111</v>
      </c>
      <c r="D26" s="136">
        <v>444793</v>
      </c>
      <c r="E26" s="136">
        <v>0</v>
      </c>
      <c r="F26" s="136">
        <v>60670</v>
      </c>
      <c r="G26" s="137">
        <v>0</v>
      </c>
      <c r="H26" s="138">
        <f t="shared" si="2"/>
        <v>11967427</v>
      </c>
      <c r="I26" s="95"/>
      <c r="J26" s="139">
        <v>0</v>
      </c>
      <c r="K26" s="76">
        <f t="shared" si="3"/>
        <v>0</v>
      </c>
      <c r="L26" s="95"/>
      <c r="M26" s="139">
        <v>47545</v>
      </c>
      <c r="N26" s="139">
        <v>0</v>
      </c>
      <c r="O26" s="85" t="str">
        <f t="shared" si="0"/>
        <v>Oct-17</v>
      </c>
      <c r="P26" s="76">
        <v>0</v>
      </c>
    </row>
    <row r="27" spans="1:16" ht="12.75" customHeight="1">
      <c r="A27" s="27">
        <f t="shared" si="4"/>
        <v>13</v>
      </c>
      <c r="B27" s="50" t="s">
        <v>143</v>
      </c>
      <c r="C27" s="92" t="s">
        <v>111</v>
      </c>
      <c r="D27" s="136">
        <v>525770</v>
      </c>
      <c r="E27" s="136">
        <v>0</v>
      </c>
      <c r="F27" s="136">
        <v>68573</v>
      </c>
      <c r="G27" s="137">
        <v>0</v>
      </c>
      <c r="H27" s="138">
        <f t="shared" si="2"/>
        <v>12561770</v>
      </c>
      <c r="I27" s="95"/>
      <c r="J27" s="139">
        <v>0</v>
      </c>
      <c r="K27" s="76">
        <f t="shared" si="3"/>
        <v>0</v>
      </c>
      <c r="L27" s="95"/>
      <c r="M27" s="139">
        <v>33047</v>
      </c>
      <c r="N27" s="139">
        <v>0</v>
      </c>
      <c r="O27" s="85" t="str">
        <f t="shared" si="0"/>
        <v>Nov-17</v>
      </c>
      <c r="P27" s="76">
        <v>0</v>
      </c>
    </row>
    <row r="28" spans="1:16" ht="12.75" customHeight="1">
      <c r="A28" s="27">
        <f t="shared" si="4"/>
        <v>14</v>
      </c>
      <c r="B28" s="50" t="s">
        <v>144</v>
      </c>
      <c r="C28" s="92" t="s">
        <v>111</v>
      </c>
      <c r="D28" s="136">
        <v>2482493</v>
      </c>
      <c r="E28" s="136">
        <v>-26763</v>
      </c>
      <c r="F28" s="136">
        <v>82850</v>
      </c>
      <c r="G28" s="137">
        <v>0</v>
      </c>
      <c r="H28" s="138">
        <f t="shared" si="2"/>
        <v>15100350</v>
      </c>
      <c r="I28" s="95"/>
      <c r="J28" s="139">
        <v>0</v>
      </c>
      <c r="K28" s="76">
        <f t="shared" si="3"/>
        <v>0</v>
      </c>
      <c r="L28" s="95"/>
      <c r="M28" s="139">
        <v>18362</v>
      </c>
      <c r="N28" s="139">
        <v>0</v>
      </c>
      <c r="O28" s="85" t="str">
        <f t="shared" si="0"/>
        <v>Dec-17</v>
      </c>
      <c r="P28" s="76">
        <v>0</v>
      </c>
    </row>
    <row r="29" spans="1:16" ht="12.75" customHeight="1">
      <c r="A29" s="27">
        <f t="shared" si="4"/>
        <v>15</v>
      </c>
      <c r="B29" s="50" t="s">
        <v>134</v>
      </c>
      <c r="C29" s="92" t="s">
        <v>111</v>
      </c>
      <c r="D29" s="136">
        <v>510525</v>
      </c>
      <c r="E29" s="136">
        <v>0</v>
      </c>
      <c r="F29" s="136">
        <v>91185</v>
      </c>
      <c r="G29" s="137">
        <v>0</v>
      </c>
      <c r="H29" s="138">
        <f t="shared" si="2"/>
        <v>15702060</v>
      </c>
      <c r="I29" s="95"/>
      <c r="J29" s="139">
        <v>0</v>
      </c>
      <c r="K29" s="76">
        <f t="shared" si="3"/>
        <v>0</v>
      </c>
      <c r="L29" s="95"/>
      <c r="M29" s="139">
        <v>18843</v>
      </c>
      <c r="N29" s="139">
        <v>0</v>
      </c>
      <c r="O29" s="85" t="str">
        <f t="shared" si="0"/>
        <v>Jan-18</v>
      </c>
      <c r="P29" s="76">
        <v>0</v>
      </c>
    </row>
    <row r="30" spans="1:16" ht="12.75" customHeight="1">
      <c r="A30" s="27">
        <f t="shared" si="4"/>
        <v>16</v>
      </c>
      <c r="B30" s="50" t="s">
        <v>145</v>
      </c>
      <c r="C30" s="92" t="s">
        <v>111</v>
      </c>
      <c r="D30" s="136">
        <v>89648</v>
      </c>
      <c r="E30" s="136">
        <v>0</v>
      </c>
      <c r="F30" s="136">
        <v>91534</v>
      </c>
      <c r="G30" s="137">
        <v>0</v>
      </c>
      <c r="H30" s="138">
        <f t="shared" si="2"/>
        <v>15883242</v>
      </c>
      <c r="I30" s="95"/>
      <c r="J30" s="139">
        <v>0</v>
      </c>
      <c r="K30" s="76">
        <f t="shared" si="3"/>
        <v>0</v>
      </c>
      <c r="L30" s="95"/>
      <c r="M30" s="139">
        <v>0</v>
      </c>
      <c r="N30" s="139">
        <v>0</v>
      </c>
      <c r="O30" s="85" t="str">
        <f t="shared" si="0"/>
        <v>Feb-18</v>
      </c>
      <c r="P30" s="76">
        <v>0</v>
      </c>
    </row>
    <row r="31" spans="1:16" ht="12.75" customHeight="1">
      <c r="A31" s="27">
        <f t="shared" si="4"/>
        <v>17</v>
      </c>
      <c r="B31" s="50" t="s">
        <v>146</v>
      </c>
      <c r="C31" s="92" t="s">
        <v>111</v>
      </c>
      <c r="D31" s="136">
        <v>396977</v>
      </c>
      <c r="E31" s="136">
        <v>-26763</v>
      </c>
      <c r="F31" s="136">
        <v>93696</v>
      </c>
      <c r="G31" s="137">
        <v>0</v>
      </c>
      <c r="H31" s="138">
        <f t="shared" si="2"/>
        <v>16347152</v>
      </c>
      <c r="I31" s="95"/>
      <c r="J31" s="139">
        <v>0</v>
      </c>
      <c r="K31" s="76">
        <f t="shared" si="3"/>
        <v>0</v>
      </c>
      <c r="L31" s="95"/>
      <c r="M31" s="139">
        <v>14037</v>
      </c>
      <c r="N31" s="139">
        <v>0</v>
      </c>
      <c r="O31" s="85" t="str">
        <f t="shared" si="0"/>
        <v>Mar-18</v>
      </c>
      <c r="P31" s="76">
        <v>0</v>
      </c>
    </row>
    <row r="32" spans="1:16" ht="12.75" customHeight="1">
      <c r="A32" s="27">
        <f t="shared" si="4"/>
        <v>18</v>
      </c>
      <c r="B32" s="50" t="s">
        <v>147</v>
      </c>
      <c r="C32" s="92" t="s">
        <v>111</v>
      </c>
      <c r="D32" s="139">
        <v>132294</v>
      </c>
      <c r="E32" s="139">
        <v>0</v>
      </c>
      <c r="F32" s="136">
        <v>111722</v>
      </c>
      <c r="G32" s="137">
        <v>0</v>
      </c>
      <c r="H32" s="138">
        <f t="shared" si="2"/>
        <v>16591168</v>
      </c>
      <c r="I32" s="95"/>
      <c r="J32" s="139">
        <v>173000</v>
      </c>
      <c r="K32" s="76">
        <f t="shared" si="3"/>
        <v>0</v>
      </c>
      <c r="L32" s="95"/>
      <c r="M32" s="139">
        <v>36260</v>
      </c>
      <c r="N32" s="139">
        <v>0</v>
      </c>
      <c r="O32" s="85" t="str">
        <f t="shared" si="0"/>
        <v>Apr-18</v>
      </c>
      <c r="P32" s="76">
        <v>0</v>
      </c>
    </row>
    <row r="33" spans="1:16" ht="12.75" customHeight="1">
      <c r="A33" s="27">
        <f t="shared" si="4"/>
        <v>19</v>
      </c>
      <c r="B33" s="50" t="s">
        <v>148</v>
      </c>
      <c r="C33" s="92" t="s">
        <v>111</v>
      </c>
      <c r="D33" s="136"/>
      <c r="E33" s="136">
        <v>0</v>
      </c>
      <c r="F33" s="136">
        <v>112480</v>
      </c>
      <c r="G33" s="137">
        <v>0</v>
      </c>
      <c r="H33" s="138">
        <f t="shared" si="2"/>
        <v>16703648</v>
      </c>
      <c r="I33" s="95"/>
      <c r="J33" s="139">
        <v>100234</v>
      </c>
      <c r="K33" s="76">
        <f t="shared" si="3"/>
        <v>0</v>
      </c>
      <c r="L33" s="95"/>
      <c r="M33" s="139">
        <v>88888</v>
      </c>
      <c r="N33" s="139">
        <v>0</v>
      </c>
      <c r="O33" s="85" t="str">
        <f t="shared" si="0"/>
        <v>May-18</v>
      </c>
      <c r="P33" s="76">
        <v>0</v>
      </c>
    </row>
    <row r="34" spans="1:16" ht="12.75" customHeight="1">
      <c r="A34" s="27">
        <f t="shared" si="4"/>
        <v>20</v>
      </c>
      <c r="B34" s="50" t="s">
        <v>149</v>
      </c>
      <c r="C34" s="92" t="s">
        <v>111</v>
      </c>
      <c r="D34" s="136"/>
      <c r="E34" s="140">
        <v>0</v>
      </c>
      <c r="F34" s="136">
        <v>111870</v>
      </c>
      <c r="G34" s="137">
        <v>-202486</v>
      </c>
      <c r="H34" s="138">
        <f t="shared" si="2"/>
        <v>16613032</v>
      </c>
      <c r="I34" s="95"/>
      <c r="J34" s="139">
        <v>150901</v>
      </c>
      <c r="K34" s="76">
        <f t="shared" si="3"/>
        <v>-173000</v>
      </c>
      <c r="L34" s="95"/>
      <c r="M34" s="139">
        <v>128843</v>
      </c>
      <c r="N34" s="139">
        <v>0</v>
      </c>
      <c r="O34" s="85" t="str">
        <f t="shared" si="0"/>
        <v>Jun-18</v>
      </c>
      <c r="P34" s="76">
        <f>K34+G34+N34</f>
        <v>-375486</v>
      </c>
    </row>
    <row r="35" spans="1:16" ht="12.75" customHeight="1">
      <c r="A35" s="27">
        <f t="shared" si="4"/>
        <v>21</v>
      </c>
      <c r="B35" s="50" t="s">
        <v>150</v>
      </c>
      <c r="C35" s="92" t="s">
        <v>111</v>
      </c>
      <c r="D35" s="136"/>
      <c r="E35" s="140">
        <v>0</v>
      </c>
      <c r="F35" s="136">
        <v>111255</v>
      </c>
      <c r="G35" s="137">
        <v>-202486</v>
      </c>
      <c r="H35" s="138">
        <f t="shared" si="2"/>
        <v>16521801</v>
      </c>
      <c r="I35" s="95"/>
      <c r="J35" s="139">
        <v>196585</v>
      </c>
      <c r="K35" s="76">
        <f t="shared" si="3"/>
        <v>-100234</v>
      </c>
      <c r="L35" s="95"/>
      <c r="M35" s="139">
        <v>16</v>
      </c>
      <c r="N35" s="139">
        <v>0</v>
      </c>
      <c r="O35" s="85" t="str">
        <f t="shared" si="0"/>
        <v>Jul-18</v>
      </c>
      <c r="P35" s="76">
        <f t="shared" ref="P35:P64" si="5">K35+G35+N35</f>
        <v>-302720</v>
      </c>
    </row>
    <row r="36" spans="1:16" ht="12.75" customHeight="1">
      <c r="A36" s="27">
        <f t="shared" si="4"/>
        <v>22</v>
      </c>
      <c r="B36" s="50" t="s">
        <v>151</v>
      </c>
      <c r="C36" s="92" t="s">
        <v>111</v>
      </c>
      <c r="D36" s="136"/>
      <c r="E36" s="140">
        <v>0</v>
      </c>
      <c r="F36" s="136">
        <v>110637</v>
      </c>
      <c r="G36" s="137">
        <v>-202486</v>
      </c>
      <c r="H36" s="138">
        <f t="shared" si="2"/>
        <v>16429952</v>
      </c>
      <c r="I36" s="95"/>
      <c r="J36" s="139">
        <v>321815</v>
      </c>
      <c r="K36" s="76">
        <f t="shared" si="3"/>
        <v>-150901</v>
      </c>
      <c r="L36" s="95"/>
      <c r="M36" s="139">
        <v>29844</v>
      </c>
      <c r="N36" s="139">
        <v>0</v>
      </c>
      <c r="O36" s="85" t="str">
        <f t="shared" si="0"/>
        <v>Aug-18</v>
      </c>
      <c r="P36" s="76">
        <f t="shared" si="5"/>
        <v>-353387</v>
      </c>
    </row>
    <row r="37" spans="1:16" ht="12.75" customHeight="1">
      <c r="A37" s="27">
        <f t="shared" si="4"/>
        <v>23</v>
      </c>
      <c r="B37" s="50" t="s">
        <v>152</v>
      </c>
      <c r="C37" s="92" t="s">
        <v>111</v>
      </c>
      <c r="D37" s="136"/>
      <c r="E37" s="140">
        <v>0</v>
      </c>
      <c r="F37" s="136">
        <v>110014</v>
      </c>
      <c r="G37" s="137">
        <v>-202486</v>
      </c>
      <c r="H37" s="138">
        <f t="shared" si="2"/>
        <v>16337480</v>
      </c>
      <c r="I37" s="95"/>
      <c r="J37" s="139">
        <v>275135</v>
      </c>
      <c r="K37" s="76">
        <f t="shared" si="3"/>
        <v>-196585</v>
      </c>
      <c r="L37" s="95"/>
      <c r="M37" s="139">
        <v>0</v>
      </c>
      <c r="N37" s="139">
        <v>0</v>
      </c>
      <c r="O37" s="85" t="str">
        <f t="shared" si="0"/>
        <v>Sep-18</v>
      </c>
      <c r="P37" s="76">
        <f t="shared" si="5"/>
        <v>-399071</v>
      </c>
    </row>
    <row r="38" spans="1:16" ht="12.75" customHeight="1">
      <c r="A38" s="27">
        <f t="shared" si="4"/>
        <v>24</v>
      </c>
      <c r="B38" s="50" t="s">
        <v>153</v>
      </c>
      <c r="C38" s="92" t="s">
        <v>111</v>
      </c>
      <c r="D38" s="136"/>
      <c r="E38" s="140">
        <v>0</v>
      </c>
      <c r="F38" s="136">
        <v>109387</v>
      </c>
      <c r="G38" s="137">
        <v>-202486</v>
      </c>
      <c r="H38" s="138">
        <f t="shared" si="2"/>
        <v>16244381</v>
      </c>
      <c r="I38" s="95"/>
      <c r="J38" s="139">
        <v>69886</v>
      </c>
      <c r="K38" s="76">
        <f t="shared" si="3"/>
        <v>-321815</v>
      </c>
      <c r="L38" s="95"/>
      <c r="M38" s="139">
        <v>0</v>
      </c>
      <c r="N38" s="139">
        <v>0</v>
      </c>
      <c r="O38" s="85" t="str">
        <f t="shared" si="0"/>
        <v>Oct-18</v>
      </c>
      <c r="P38" s="76">
        <f t="shared" si="5"/>
        <v>-524301</v>
      </c>
    </row>
    <row r="39" spans="1:16" ht="12.75" customHeight="1">
      <c r="A39" s="27">
        <f t="shared" si="4"/>
        <v>25</v>
      </c>
      <c r="B39" s="50" t="s">
        <v>154</v>
      </c>
      <c r="C39" s="92" t="s">
        <v>111</v>
      </c>
      <c r="D39" s="136"/>
      <c r="E39" s="140">
        <v>0</v>
      </c>
      <c r="F39" s="136">
        <v>108756</v>
      </c>
      <c r="G39" s="137">
        <v>-202486</v>
      </c>
      <c r="H39" s="138">
        <f t="shared" si="2"/>
        <v>16150651</v>
      </c>
      <c r="I39" s="95"/>
      <c r="J39" s="139">
        <v>238428</v>
      </c>
      <c r="K39" s="76">
        <f t="shared" si="3"/>
        <v>-275135</v>
      </c>
      <c r="L39" s="95"/>
      <c r="M39" s="139">
        <v>-2498</v>
      </c>
      <c r="N39" s="139">
        <v>0</v>
      </c>
      <c r="O39" s="85" t="str">
        <f t="shared" si="0"/>
        <v>Nov-18</v>
      </c>
      <c r="P39" s="76">
        <f t="shared" si="5"/>
        <v>-477621</v>
      </c>
    </row>
    <row r="40" spans="1:16" ht="12.75" customHeight="1">
      <c r="A40" s="27">
        <f t="shared" si="4"/>
        <v>26</v>
      </c>
      <c r="B40" s="50" t="s">
        <v>155</v>
      </c>
      <c r="C40" s="92" t="s">
        <v>111</v>
      </c>
      <c r="D40" s="136"/>
      <c r="E40" s="140">
        <v>0</v>
      </c>
      <c r="F40" s="136">
        <v>108121</v>
      </c>
      <c r="G40" s="137">
        <v>-202486</v>
      </c>
      <c r="H40" s="138">
        <f t="shared" si="2"/>
        <v>16056286</v>
      </c>
      <c r="I40" s="95"/>
      <c r="J40" s="139">
        <v>263037</v>
      </c>
      <c r="K40" s="76">
        <f t="shared" si="3"/>
        <v>-69886</v>
      </c>
      <c r="L40" s="95"/>
      <c r="M40" s="139">
        <v>0</v>
      </c>
      <c r="N40" s="139">
        <v>0</v>
      </c>
      <c r="O40" s="85" t="str">
        <f t="shared" si="0"/>
        <v>Dec-18</v>
      </c>
      <c r="P40" s="76">
        <f t="shared" si="5"/>
        <v>-272372</v>
      </c>
    </row>
    <row r="41" spans="1:16" ht="12.75" customHeight="1">
      <c r="A41" s="27">
        <f t="shared" si="4"/>
        <v>27</v>
      </c>
      <c r="B41" s="50" t="s">
        <v>156</v>
      </c>
      <c r="C41" s="92" t="s">
        <v>111</v>
      </c>
      <c r="D41" s="136"/>
      <c r="E41" s="140">
        <v>0</v>
      </c>
      <c r="F41" s="136">
        <v>107481</v>
      </c>
      <c r="G41" s="137">
        <v>-202486</v>
      </c>
      <c r="H41" s="138">
        <f t="shared" si="2"/>
        <v>15961281</v>
      </c>
      <c r="I41" s="95"/>
      <c r="J41" s="139">
        <v>177996</v>
      </c>
      <c r="K41" s="76">
        <f t="shared" si="3"/>
        <v>-238428</v>
      </c>
      <c r="L41" s="95"/>
      <c r="M41" s="139">
        <v>0</v>
      </c>
      <c r="N41" s="139">
        <v>0</v>
      </c>
      <c r="O41" s="85" t="str">
        <f t="shared" si="0"/>
        <v>Jan-19</v>
      </c>
      <c r="P41" s="76">
        <f t="shared" si="5"/>
        <v>-440914</v>
      </c>
    </row>
    <row r="42" spans="1:16" ht="12.75" customHeight="1">
      <c r="A42" s="27">
        <f t="shared" si="4"/>
        <v>28</v>
      </c>
      <c r="B42" s="50" t="s">
        <v>157</v>
      </c>
      <c r="C42" s="92" t="s">
        <v>111</v>
      </c>
      <c r="D42" s="136"/>
      <c r="E42" s="140">
        <v>0</v>
      </c>
      <c r="F42" s="136">
        <v>106837</v>
      </c>
      <c r="G42" s="137">
        <v>-202486</v>
      </c>
      <c r="H42" s="138">
        <f t="shared" si="2"/>
        <v>15865632</v>
      </c>
      <c r="I42" s="95"/>
      <c r="J42" s="139">
        <v>150851</v>
      </c>
      <c r="K42" s="76">
        <f t="shared" si="3"/>
        <v>-263037</v>
      </c>
      <c r="L42" s="95"/>
      <c r="M42" s="139">
        <v>0</v>
      </c>
      <c r="N42" s="139">
        <v>0</v>
      </c>
      <c r="O42" s="85" t="str">
        <f t="shared" si="0"/>
        <v>Feb-19</v>
      </c>
      <c r="P42" s="76">
        <f t="shared" si="5"/>
        <v>-465523</v>
      </c>
    </row>
    <row r="43" spans="1:16" ht="12.75" customHeight="1">
      <c r="A43" s="27">
        <f t="shared" si="4"/>
        <v>29</v>
      </c>
      <c r="B43" s="50" t="s">
        <v>158</v>
      </c>
      <c r="C43" s="92" t="s">
        <v>111</v>
      </c>
      <c r="D43" s="136"/>
      <c r="E43" s="140">
        <v>0</v>
      </c>
      <c r="F43" s="136">
        <v>106188</v>
      </c>
      <c r="G43" s="137">
        <v>-202486</v>
      </c>
      <c r="H43" s="138">
        <f t="shared" si="2"/>
        <v>15769334</v>
      </c>
      <c r="I43" s="95"/>
      <c r="J43" s="139">
        <v>408609</v>
      </c>
      <c r="K43" s="76">
        <f t="shared" si="3"/>
        <v>-177996</v>
      </c>
      <c r="L43" s="95"/>
      <c r="M43" s="139">
        <v>0</v>
      </c>
      <c r="N43" s="139">
        <v>0</v>
      </c>
      <c r="O43" s="85" t="str">
        <f t="shared" si="0"/>
        <v>Mar-19</v>
      </c>
      <c r="P43" s="76">
        <f t="shared" si="5"/>
        <v>-380482</v>
      </c>
    </row>
    <row r="44" spans="1:16" ht="12.75" customHeight="1">
      <c r="A44" s="27">
        <f t="shared" si="4"/>
        <v>30</v>
      </c>
      <c r="B44" s="50" t="s">
        <v>159</v>
      </c>
      <c r="C44" s="92" t="s">
        <v>111</v>
      </c>
      <c r="D44" s="136"/>
      <c r="E44" s="140">
        <v>0</v>
      </c>
      <c r="F44" s="136">
        <v>105535</v>
      </c>
      <c r="G44" s="137">
        <v>-202486</v>
      </c>
      <c r="H44" s="138">
        <f t="shared" si="2"/>
        <v>15672383</v>
      </c>
      <c r="I44" s="95"/>
      <c r="J44" s="139">
        <v>1588547</v>
      </c>
      <c r="K44" s="76">
        <f t="shared" si="3"/>
        <v>-150851</v>
      </c>
      <c r="L44" s="95"/>
      <c r="M44" s="139">
        <v>0</v>
      </c>
      <c r="N44" s="139">
        <v>0</v>
      </c>
      <c r="O44" s="85" t="str">
        <f t="shared" si="0"/>
        <v>Apr-19</v>
      </c>
      <c r="P44" s="76">
        <f t="shared" si="5"/>
        <v>-353337</v>
      </c>
    </row>
    <row r="45" spans="1:16" ht="12.75" customHeight="1">
      <c r="A45" s="27">
        <f t="shared" si="4"/>
        <v>31</v>
      </c>
      <c r="B45" s="50" t="s">
        <v>160</v>
      </c>
      <c r="C45" s="92" t="s">
        <v>111</v>
      </c>
      <c r="D45" s="136"/>
      <c r="E45" s="140">
        <v>0</v>
      </c>
      <c r="F45" s="136">
        <v>104878</v>
      </c>
      <c r="G45" s="137">
        <v>-202486</v>
      </c>
      <c r="H45" s="138">
        <f t="shared" si="2"/>
        <v>15574775</v>
      </c>
      <c r="I45" s="95"/>
      <c r="J45" s="139">
        <v>1641055</v>
      </c>
      <c r="K45" s="76">
        <f t="shared" si="3"/>
        <v>-408609</v>
      </c>
      <c r="L45" s="95"/>
      <c r="M45" s="139">
        <v>0</v>
      </c>
      <c r="N45" s="139">
        <v>0</v>
      </c>
      <c r="O45" s="85" t="str">
        <f t="shared" si="0"/>
        <v>May-19</v>
      </c>
      <c r="P45" s="76">
        <f t="shared" si="5"/>
        <v>-611095</v>
      </c>
    </row>
    <row r="46" spans="1:16" ht="12.75" customHeight="1">
      <c r="A46" s="27">
        <f t="shared" si="4"/>
        <v>32</v>
      </c>
      <c r="B46" s="50" t="s">
        <v>161</v>
      </c>
      <c r="C46" s="92" t="s">
        <v>111</v>
      </c>
      <c r="D46" s="136"/>
      <c r="E46" s="140">
        <v>0</v>
      </c>
      <c r="F46" s="136">
        <v>104216</v>
      </c>
      <c r="G46" s="137">
        <v>-202486</v>
      </c>
      <c r="H46" s="138">
        <f t="shared" si="2"/>
        <v>15476505</v>
      </c>
      <c r="I46" s="95"/>
      <c r="J46" s="139">
        <v>1423233</v>
      </c>
      <c r="K46" s="76">
        <f t="shared" si="3"/>
        <v>-1588547</v>
      </c>
      <c r="L46" s="95"/>
      <c r="M46" s="139">
        <v>0</v>
      </c>
      <c r="N46" s="139">
        <v>0</v>
      </c>
      <c r="O46" s="85" t="str">
        <f t="shared" si="0"/>
        <v>Jun-19</v>
      </c>
      <c r="P46" s="76">
        <f t="shared" si="5"/>
        <v>-1791033</v>
      </c>
    </row>
    <row r="47" spans="1:16" ht="12.75" customHeight="1">
      <c r="A47" s="27">
        <f t="shared" si="4"/>
        <v>33</v>
      </c>
      <c r="B47" s="50" t="s">
        <v>162</v>
      </c>
      <c r="C47" s="92" t="s">
        <v>111</v>
      </c>
      <c r="D47" s="136"/>
      <c r="E47" s="140">
        <v>0</v>
      </c>
      <c r="F47" s="136">
        <v>103550</v>
      </c>
      <c r="G47" s="137">
        <v>-202486</v>
      </c>
      <c r="H47" s="138">
        <f t="shared" si="2"/>
        <v>15377569</v>
      </c>
      <c r="I47" s="95"/>
      <c r="J47" s="139">
        <v>1368585</v>
      </c>
      <c r="K47" s="76">
        <f t="shared" si="3"/>
        <v>-1641055</v>
      </c>
      <c r="L47" s="95"/>
      <c r="M47" s="139">
        <v>0</v>
      </c>
      <c r="N47" s="139">
        <v>0</v>
      </c>
      <c r="O47" s="85" t="str">
        <f t="shared" ref="O47:O64" si="6">B47</f>
        <v>Jul-19</v>
      </c>
      <c r="P47" s="76">
        <f t="shared" si="5"/>
        <v>-1843541</v>
      </c>
    </row>
    <row r="48" spans="1:16" ht="12.75" customHeight="1">
      <c r="A48" s="27">
        <f t="shared" si="4"/>
        <v>34</v>
      </c>
      <c r="B48" s="50" t="s">
        <v>163</v>
      </c>
      <c r="C48" s="92" t="s">
        <v>111</v>
      </c>
      <c r="D48" s="136"/>
      <c r="E48" s="140">
        <v>0</v>
      </c>
      <c r="F48" s="136">
        <v>102880</v>
      </c>
      <c r="G48" s="137">
        <v>-202486</v>
      </c>
      <c r="H48" s="138">
        <f t="shared" si="2"/>
        <v>15277963</v>
      </c>
      <c r="I48" s="95"/>
      <c r="J48" s="139">
        <v>487759</v>
      </c>
      <c r="K48" s="76">
        <f t="shared" si="3"/>
        <v>-1423233</v>
      </c>
      <c r="L48" s="95"/>
      <c r="M48" s="139">
        <v>0</v>
      </c>
      <c r="N48" s="139">
        <v>0</v>
      </c>
      <c r="O48" s="85" t="str">
        <f t="shared" si="6"/>
        <v>Aug-19</v>
      </c>
      <c r="P48" s="76">
        <f t="shared" si="5"/>
        <v>-1625719</v>
      </c>
    </row>
    <row r="49" spans="1:16" ht="12.75" customHeight="1">
      <c r="A49" s="27">
        <f t="shared" si="4"/>
        <v>35</v>
      </c>
      <c r="B49" s="50" t="s">
        <v>164</v>
      </c>
      <c r="C49" s="92" t="s">
        <v>111</v>
      </c>
      <c r="D49" s="136"/>
      <c r="E49" s="140">
        <v>0</v>
      </c>
      <c r="F49" s="136">
        <v>102204</v>
      </c>
      <c r="G49" s="137">
        <v>-202486</v>
      </c>
      <c r="H49" s="138">
        <f t="shared" si="2"/>
        <v>15177681</v>
      </c>
      <c r="I49" s="95"/>
      <c r="J49" s="139">
        <v>47477</v>
      </c>
      <c r="K49" s="76">
        <f t="shared" si="3"/>
        <v>-1368585</v>
      </c>
      <c r="L49" s="95"/>
      <c r="M49" s="139">
        <v>0</v>
      </c>
      <c r="N49" s="139">
        <v>0</v>
      </c>
      <c r="O49" s="85" t="str">
        <f t="shared" si="6"/>
        <v>Sep-19</v>
      </c>
      <c r="P49" s="76">
        <f t="shared" si="5"/>
        <v>-1571071</v>
      </c>
    </row>
    <row r="50" spans="1:16" ht="12.75" customHeight="1">
      <c r="A50" s="27">
        <f t="shared" si="4"/>
        <v>36</v>
      </c>
      <c r="B50" s="50" t="s">
        <v>165</v>
      </c>
      <c r="C50" s="92" t="s">
        <v>111</v>
      </c>
      <c r="D50" s="136"/>
      <c r="E50" s="140">
        <v>0</v>
      </c>
      <c r="F50" s="136">
        <v>101524</v>
      </c>
      <c r="G50" s="137">
        <v>-202486</v>
      </c>
      <c r="H50" s="138">
        <f t="shared" si="2"/>
        <v>15076719</v>
      </c>
      <c r="I50" s="95"/>
      <c r="J50" s="139">
        <v>-18595</v>
      </c>
      <c r="K50" s="76">
        <f t="shared" si="3"/>
        <v>-487759</v>
      </c>
      <c r="L50" s="95"/>
      <c r="M50" s="139">
        <v>0</v>
      </c>
      <c r="N50" s="139">
        <v>0</v>
      </c>
      <c r="O50" s="85" t="str">
        <f t="shared" si="6"/>
        <v>Oct-19</v>
      </c>
      <c r="P50" s="76">
        <f t="shared" si="5"/>
        <v>-690245</v>
      </c>
    </row>
    <row r="51" spans="1:16" ht="12.75" customHeight="1">
      <c r="A51" s="27">
        <f t="shared" si="4"/>
        <v>37</v>
      </c>
      <c r="B51" s="50" t="s">
        <v>166</v>
      </c>
      <c r="C51" s="92" t="s">
        <v>111</v>
      </c>
      <c r="D51" s="136"/>
      <c r="E51" s="140">
        <v>0</v>
      </c>
      <c r="F51" s="136">
        <v>100840</v>
      </c>
      <c r="G51" s="137">
        <v>-202486</v>
      </c>
      <c r="H51" s="138">
        <f t="shared" si="2"/>
        <v>14975073</v>
      </c>
      <c r="I51" s="95"/>
      <c r="J51" s="139">
        <v>330375</v>
      </c>
      <c r="K51" s="76">
        <f t="shared" si="3"/>
        <v>-47477</v>
      </c>
      <c r="L51" s="95"/>
      <c r="M51" s="139">
        <v>0</v>
      </c>
      <c r="N51" s="139">
        <v>0</v>
      </c>
      <c r="O51" s="85" t="str">
        <f t="shared" si="6"/>
        <v>Nov-19</v>
      </c>
      <c r="P51" s="76">
        <f t="shared" si="5"/>
        <v>-249963</v>
      </c>
    </row>
    <row r="52" spans="1:16" ht="12.75" customHeight="1">
      <c r="A52" s="27">
        <f t="shared" si="4"/>
        <v>38</v>
      </c>
      <c r="B52" s="50" t="s">
        <v>167</v>
      </c>
      <c r="C52" s="92" t="s">
        <v>111</v>
      </c>
      <c r="D52" s="136"/>
      <c r="E52" s="140">
        <v>0</v>
      </c>
      <c r="F52" s="136">
        <v>100151</v>
      </c>
      <c r="G52" s="137">
        <v>-202486</v>
      </c>
      <c r="H52" s="138">
        <f t="shared" si="2"/>
        <v>14872738</v>
      </c>
      <c r="I52" s="95"/>
      <c r="J52" s="139">
        <v>121640</v>
      </c>
      <c r="K52" s="76">
        <f t="shared" si="3"/>
        <v>18595</v>
      </c>
      <c r="L52" s="95"/>
      <c r="M52" s="139">
        <v>0</v>
      </c>
      <c r="N52" s="139">
        <v>0</v>
      </c>
      <c r="O52" s="85" t="str">
        <f t="shared" si="6"/>
        <v>Dec-19</v>
      </c>
      <c r="P52" s="76">
        <f t="shared" si="5"/>
        <v>-183891</v>
      </c>
    </row>
    <row r="53" spans="1:16" ht="12.75" customHeight="1">
      <c r="A53" s="27">
        <f t="shared" si="4"/>
        <v>39</v>
      </c>
      <c r="B53" s="50" t="s">
        <v>168</v>
      </c>
      <c r="C53" s="92" t="s">
        <v>111</v>
      </c>
      <c r="D53" s="136"/>
      <c r="E53" s="140">
        <v>0</v>
      </c>
      <c r="F53" s="136">
        <v>99457</v>
      </c>
      <c r="G53" s="137">
        <v>-202486</v>
      </c>
      <c r="H53" s="138">
        <f t="shared" si="2"/>
        <v>14769709</v>
      </c>
      <c r="I53" s="95"/>
      <c r="J53" s="139">
        <v>77416</v>
      </c>
      <c r="K53" s="76">
        <f t="shared" si="3"/>
        <v>-330375</v>
      </c>
      <c r="L53" s="95"/>
      <c r="M53" s="139">
        <v>0</v>
      </c>
      <c r="N53" s="139">
        <v>0</v>
      </c>
      <c r="O53" s="85" t="str">
        <f t="shared" si="6"/>
        <v>Jan-20</v>
      </c>
      <c r="P53" s="76">
        <f t="shared" si="5"/>
        <v>-532861</v>
      </c>
    </row>
    <row r="54" spans="1:16" ht="12.75" customHeight="1">
      <c r="A54" s="27">
        <f t="shared" si="4"/>
        <v>40</v>
      </c>
      <c r="B54" s="50" t="s">
        <v>169</v>
      </c>
      <c r="C54" s="92" t="s">
        <v>111</v>
      </c>
      <c r="D54" s="136"/>
      <c r="E54" s="140">
        <v>0</v>
      </c>
      <c r="F54" s="136">
        <v>98759</v>
      </c>
      <c r="G54" s="137">
        <v>-202486</v>
      </c>
      <c r="H54" s="138">
        <f t="shared" si="2"/>
        <v>14665982</v>
      </c>
      <c r="I54" s="95"/>
      <c r="J54" s="139">
        <v>25184</v>
      </c>
      <c r="K54" s="76">
        <f t="shared" si="3"/>
        <v>-121640</v>
      </c>
      <c r="L54" s="95"/>
      <c r="M54" s="139">
        <v>0</v>
      </c>
      <c r="N54" s="139">
        <v>0</v>
      </c>
      <c r="O54" s="85" t="str">
        <f t="shared" si="6"/>
        <v>Feb-20</v>
      </c>
      <c r="P54" s="76">
        <f t="shared" si="5"/>
        <v>-324126</v>
      </c>
    </row>
    <row r="55" spans="1:16" ht="12.75" customHeight="1">
      <c r="A55" s="27">
        <f t="shared" si="4"/>
        <v>41</v>
      </c>
      <c r="B55" s="50" t="s">
        <v>170</v>
      </c>
      <c r="C55" s="92" t="s">
        <v>111</v>
      </c>
      <c r="D55" s="136"/>
      <c r="E55" s="140">
        <v>0</v>
      </c>
      <c r="F55" s="136">
        <v>98055</v>
      </c>
      <c r="G55" s="137">
        <v>-202486</v>
      </c>
      <c r="H55" s="138">
        <f t="shared" si="2"/>
        <v>14561551</v>
      </c>
      <c r="I55" s="95"/>
      <c r="J55" s="139">
        <v>27631</v>
      </c>
      <c r="K55" s="76">
        <f t="shared" si="3"/>
        <v>-77416</v>
      </c>
      <c r="L55" s="95"/>
      <c r="M55" s="139">
        <v>0</v>
      </c>
      <c r="N55" s="139">
        <v>0</v>
      </c>
      <c r="O55" s="85" t="str">
        <f t="shared" si="6"/>
        <v>Mar-20</v>
      </c>
      <c r="P55" s="76">
        <f t="shared" si="5"/>
        <v>-279902</v>
      </c>
    </row>
    <row r="56" spans="1:16" ht="12.75" customHeight="1">
      <c r="A56" s="27">
        <f t="shared" si="4"/>
        <v>42</v>
      </c>
      <c r="B56" s="50" t="s">
        <v>171</v>
      </c>
      <c r="C56" s="92" t="s">
        <v>111</v>
      </c>
      <c r="D56" s="136"/>
      <c r="E56" s="140">
        <v>0</v>
      </c>
      <c r="F56" s="136">
        <v>97347</v>
      </c>
      <c r="G56" s="137">
        <v>-202486</v>
      </c>
      <c r="H56" s="138">
        <f t="shared" si="2"/>
        <v>14456412</v>
      </c>
      <c r="I56" s="95"/>
      <c r="J56" s="139">
        <v>50807</v>
      </c>
      <c r="K56" s="76">
        <f t="shared" si="3"/>
        <v>-25184</v>
      </c>
      <c r="L56" s="95"/>
      <c r="M56" s="139">
        <v>0</v>
      </c>
      <c r="N56" s="139">
        <v>0</v>
      </c>
      <c r="O56" s="85" t="str">
        <f t="shared" si="6"/>
        <v>Apr-20</v>
      </c>
      <c r="P56" s="76">
        <f t="shared" si="5"/>
        <v>-227670</v>
      </c>
    </row>
    <row r="57" spans="1:16" ht="12.75" customHeight="1">
      <c r="A57" s="27">
        <f t="shared" si="4"/>
        <v>43</v>
      </c>
      <c r="B57" s="50" t="s">
        <v>172</v>
      </c>
      <c r="C57" s="92" t="s">
        <v>111</v>
      </c>
      <c r="D57" s="136"/>
      <c r="E57" s="140">
        <v>0</v>
      </c>
      <c r="F57" s="136">
        <v>96635</v>
      </c>
      <c r="G57" s="137">
        <v>-202486</v>
      </c>
      <c r="H57" s="138">
        <f t="shared" si="2"/>
        <v>14350561</v>
      </c>
      <c r="I57" s="95"/>
      <c r="J57" s="139">
        <v>82538</v>
      </c>
      <c r="K57" s="76">
        <f>-J55</f>
        <v>-27631</v>
      </c>
      <c r="L57" s="95"/>
      <c r="M57" s="139">
        <v>0</v>
      </c>
      <c r="N57" s="139">
        <v>0</v>
      </c>
      <c r="O57" s="85" t="str">
        <f t="shared" si="6"/>
        <v>May-20</v>
      </c>
      <c r="P57" s="76">
        <f t="shared" si="5"/>
        <v>-230117</v>
      </c>
    </row>
    <row r="58" spans="1:16" ht="12.75" customHeight="1">
      <c r="A58" s="27">
        <f t="shared" si="4"/>
        <v>44</v>
      </c>
      <c r="B58" s="50" t="s">
        <v>173</v>
      </c>
      <c r="C58" s="92" t="s">
        <v>111</v>
      </c>
      <c r="D58" s="136"/>
      <c r="E58" s="140">
        <v>0</v>
      </c>
      <c r="F58" s="136">
        <v>95917</v>
      </c>
      <c r="G58" s="137">
        <v>-202486</v>
      </c>
      <c r="H58" s="138">
        <f t="shared" si="2"/>
        <v>14243992</v>
      </c>
      <c r="I58" s="95"/>
      <c r="J58" s="139">
        <v>133817</v>
      </c>
      <c r="K58" s="76">
        <f t="shared" si="3"/>
        <v>-50807</v>
      </c>
      <c r="L58" s="95"/>
      <c r="M58" s="139">
        <v>0</v>
      </c>
      <c r="N58" s="139">
        <v>0</v>
      </c>
      <c r="O58" s="85" t="str">
        <f t="shared" si="6"/>
        <v>Jun-20</v>
      </c>
      <c r="P58" s="76">
        <f t="shared" si="5"/>
        <v>-253293</v>
      </c>
    </row>
    <row r="59" spans="1:16" ht="12.75" customHeight="1">
      <c r="A59" s="27">
        <f t="shared" si="4"/>
        <v>45</v>
      </c>
      <c r="B59" s="50" t="s">
        <v>174</v>
      </c>
      <c r="C59" s="92" t="s">
        <v>111</v>
      </c>
      <c r="D59" s="136"/>
      <c r="E59" s="140">
        <v>0</v>
      </c>
      <c r="F59" s="136">
        <v>95194</v>
      </c>
      <c r="G59" s="137">
        <v>-202486</v>
      </c>
      <c r="H59" s="138">
        <f t="shared" si="2"/>
        <v>14136700</v>
      </c>
      <c r="I59" s="95"/>
      <c r="J59" s="139">
        <v>127493</v>
      </c>
      <c r="K59" s="76">
        <f t="shared" si="3"/>
        <v>-82538</v>
      </c>
      <c r="L59" s="95"/>
      <c r="M59" s="139">
        <v>0</v>
      </c>
      <c r="N59" s="139">
        <v>0</v>
      </c>
      <c r="O59" s="85" t="str">
        <f t="shared" si="6"/>
        <v>Jul-20</v>
      </c>
      <c r="P59" s="76">
        <f t="shared" si="5"/>
        <v>-285024</v>
      </c>
    </row>
    <row r="60" spans="1:16" ht="12.75" customHeight="1">
      <c r="A60" s="27">
        <f t="shared" si="4"/>
        <v>46</v>
      </c>
      <c r="B60" s="50" t="s">
        <v>175</v>
      </c>
      <c r="C60" s="92" t="s">
        <v>111</v>
      </c>
      <c r="D60" s="136"/>
      <c r="E60" s="140">
        <v>0</v>
      </c>
      <c r="F60" s="136">
        <v>94467</v>
      </c>
      <c r="G60" s="137">
        <v>-202486</v>
      </c>
      <c r="H60" s="138">
        <f t="shared" si="2"/>
        <v>14028681</v>
      </c>
      <c r="I60" s="95"/>
      <c r="J60" s="139">
        <v>64152</v>
      </c>
      <c r="K60" s="76">
        <f t="shared" si="3"/>
        <v>-133817</v>
      </c>
      <c r="L60" s="95"/>
      <c r="M60" s="139">
        <v>0</v>
      </c>
      <c r="N60" s="139">
        <v>0</v>
      </c>
      <c r="O60" s="85" t="str">
        <f t="shared" si="6"/>
        <v>Aug-20</v>
      </c>
      <c r="P60" s="76">
        <f t="shared" si="5"/>
        <v>-336303</v>
      </c>
    </row>
    <row r="61" spans="1:16" ht="12.75" customHeight="1">
      <c r="A61" s="27">
        <f t="shared" si="4"/>
        <v>47</v>
      </c>
      <c r="B61" s="50" t="s">
        <v>176</v>
      </c>
      <c r="C61" s="92" t="s">
        <v>111</v>
      </c>
      <c r="D61" s="136"/>
      <c r="E61" s="140">
        <v>0</v>
      </c>
      <c r="F61" s="136">
        <v>93735</v>
      </c>
      <c r="G61" s="137">
        <v>-202486</v>
      </c>
      <c r="H61" s="138">
        <f t="shared" si="2"/>
        <v>13919930</v>
      </c>
      <c r="I61" s="95"/>
      <c r="J61" s="139">
        <v>127860</v>
      </c>
      <c r="K61" s="76">
        <f t="shared" si="3"/>
        <v>-127493</v>
      </c>
      <c r="L61" s="95"/>
      <c r="M61" s="139">
        <v>0</v>
      </c>
      <c r="N61" s="139">
        <v>0</v>
      </c>
      <c r="O61" s="85" t="str">
        <f t="shared" si="6"/>
        <v>Sep-20</v>
      </c>
      <c r="P61" s="76">
        <f t="shared" si="5"/>
        <v>-329979</v>
      </c>
    </row>
    <row r="62" spans="1:16" ht="12.75" customHeight="1">
      <c r="A62" s="27">
        <f t="shared" si="4"/>
        <v>48</v>
      </c>
      <c r="B62" s="50" t="s">
        <v>177</v>
      </c>
      <c r="C62" s="92" t="s">
        <v>111</v>
      </c>
      <c r="D62" s="136"/>
      <c r="E62" s="140">
        <v>0</v>
      </c>
      <c r="F62" s="136">
        <v>92997</v>
      </c>
      <c r="G62" s="137">
        <v>-202486</v>
      </c>
      <c r="H62" s="138">
        <f t="shared" si="2"/>
        <v>13810441</v>
      </c>
      <c r="I62" s="95"/>
      <c r="J62" s="139">
        <v>226553</v>
      </c>
      <c r="K62" s="76">
        <f>-J60</f>
        <v>-64152</v>
      </c>
      <c r="L62" s="95"/>
      <c r="M62" s="139">
        <v>0</v>
      </c>
      <c r="N62" s="139">
        <v>0</v>
      </c>
      <c r="O62" s="85" t="str">
        <f t="shared" si="6"/>
        <v>Oct-20</v>
      </c>
      <c r="P62" s="76">
        <f t="shared" si="5"/>
        <v>-266638</v>
      </c>
    </row>
    <row r="63" spans="1:16" ht="12.75" customHeight="1">
      <c r="A63" s="27">
        <f t="shared" si="4"/>
        <v>49</v>
      </c>
      <c r="B63" s="50" t="s">
        <v>178</v>
      </c>
      <c r="C63" s="92" t="s">
        <v>111</v>
      </c>
      <c r="D63" s="136"/>
      <c r="E63" s="140">
        <v>0</v>
      </c>
      <c r="F63" s="136">
        <v>92255</v>
      </c>
      <c r="G63" s="137">
        <v>-202486</v>
      </c>
      <c r="H63" s="138">
        <f t="shared" si="2"/>
        <v>13700210</v>
      </c>
      <c r="I63" s="95"/>
      <c r="J63" s="139">
        <v>423320</v>
      </c>
      <c r="K63" s="76">
        <f t="shared" si="3"/>
        <v>-127860</v>
      </c>
      <c r="L63" s="95"/>
      <c r="M63" s="139">
        <v>5465</v>
      </c>
      <c r="N63" s="139">
        <v>0</v>
      </c>
      <c r="O63" s="85" t="str">
        <f t="shared" si="6"/>
        <v>Nov-20</v>
      </c>
      <c r="P63" s="76">
        <f t="shared" si="5"/>
        <v>-330346</v>
      </c>
    </row>
    <row r="64" spans="1:16" ht="12.75" customHeight="1">
      <c r="A64" s="28">
        <f t="shared" si="4"/>
        <v>50</v>
      </c>
      <c r="B64" s="51" t="s">
        <v>179</v>
      </c>
      <c r="C64" s="93" t="s">
        <v>111</v>
      </c>
      <c r="D64" s="123"/>
      <c r="E64" s="124">
        <v>0</v>
      </c>
      <c r="F64" s="123">
        <v>91508</v>
      </c>
      <c r="G64" s="125">
        <v>-202486</v>
      </c>
      <c r="H64" s="126">
        <f t="shared" si="2"/>
        <v>13589232</v>
      </c>
      <c r="J64" s="35">
        <v>295353</v>
      </c>
      <c r="K64" s="127">
        <f t="shared" si="3"/>
        <v>-226553</v>
      </c>
      <c r="L64" s="77"/>
      <c r="M64" s="35">
        <v>17705</v>
      </c>
      <c r="N64" s="34">
        <v>0</v>
      </c>
      <c r="O64" s="85" t="str">
        <f t="shared" si="6"/>
        <v>Dec-20</v>
      </c>
      <c r="P64" s="127">
        <f t="shared" si="5"/>
        <v>-429039</v>
      </c>
    </row>
    <row r="65" spans="1:16" ht="12.75" customHeight="1">
      <c r="A65" s="153"/>
      <c r="B65" s="78"/>
      <c r="C65" s="79"/>
      <c r="D65" s="80"/>
      <c r="E65" s="81"/>
      <c r="F65" s="80"/>
      <c r="G65" s="107"/>
      <c r="H65" s="108"/>
      <c r="J65" s="82"/>
      <c r="K65" s="83"/>
      <c r="L65" s="84"/>
      <c r="M65" s="148"/>
      <c r="N65" s="148"/>
      <c r="O65" s="85"/>
      <c r="P65" s="83"/>
    </row>
    <row r="66" spans="1:16" ht="12.75" customHeight="1">
      <c r="A66" s="5"/>
      <c r="B66" s="78"/>
      <c r="C66" s="79"/>
      <c r="D66" s="80"/>
      <c r="E66" s="81"/>
      <c r="F66" s="80"/>
      <c r="G66" s="107"/>
      <c r="H66" s="108"/>
      <c r="J66" s="82"/>
      <c r="K66" s="83"/>
      <c r="L66" s="84"/>
      <c r="M66" s="84"/>
      <c r="N66" s="84"/>
      <c r="O66" s="85"/>
      <c r="P66" s="6" t="s">
        <v>293</v>
      </c>
    </row>
    <row r="67" spans="1:16" ht="12.75" customHeight="1">
      <c r="A67" s="5"/>
      <c r="B67" s="78"/>
      <c r="C67" s="79"/>
      <c r="D67" s="80"/>
      <c r="E67" s="81"/>
      <c r="F67" s="80"/>
      <c r="G67" s="107"/>
      <c r="H67" s="108"/>
      <c r="J67" s="82"/>
      <c r="K67" s="83"/>
      <c r="L67" s="84"/>
      <c r="M67" s="84"/>
      <c r="N67" s="84"/>
      <c r="O67" s="85"/>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306</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377</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4" t="s">
        <v>302</v>
      </c>
      <c r="E76" s="145"/>
      <c r="F76" s="145"/>
      <c r="G76" s="145"/>
      <c r="H76" s="146"/>
      <c r="J76" s="144" t="s">
        <v>307</v>
      </c>
      <c r="K76" s="146"/>
      <c r="M76" s="144" t="s">
        <v>311</v>
      </c>
      <c r="N76" s="147"/>
    </row>
    <row r="77" spans="1:16" ht="12.75" customHeight="1">
      <c r="A77" s="52"/>
      <c r="B77" s="223"/>
      <c r="C77" s="224"/>
      <c r="D77" s="52"/>
      <c r="E77" s="52"/>
      <c r="F77" s="52"/>
      <c r="G77" s="53" t="s">
        <v>287</v>
      </c>
      <c r="H77" s="52"/>
      <c r="I77" s="9"/>
      <c r="J77" s="104"/>
      <c r="K77" s="105" t="s">
        <v>287</v>
      </c>
      <c r="M77" s="30"/>
      <c r="N77" s="106" t="s">
        <v>287</v>
      </c>
      <c r="P77" s="105" t="s">
        <v>58</v>
      </c>
    </row>
    <row r="78" spans="1:16" ht="12.75" customHeight="1">
      <c r="A78" s="63" t="s">
        <v>123</v>
      </c>
      <c r="B78" s="64" t="s">
        <v>104</v>
      </c>
      <c r="C78" s="65"/>
      <c r="D78" s="63" t="s">
        <v>105</v>
      </c>
      <c r="E78" s="63" t="s">
        <v>106</v>
      </c>
      <c r="F78" s="63" t="s">
        <v>107</v>
      </c>
      <c r="G78" s="106" t="s">
        <v>288</v>
      </c>
      <c r="H78" s="63" t="s">
        <v>109</v>
      </c>
      <c r="I78" s="9"/>
      <c r="J78" s="63" t="s">
        <v>105</v>
      </c>
      <c r="K78" s="106" t="s">
        <v>289</v>
      </c>
      <c r="L78" s="142"/>
      <c r="M78" s="63" t="s">
        <v>105</v>
      </c>
      <c r="N78" s="106" t="s">
        <v>304</v>
      </c>
      <c r="P78" s="106" t="s">
        <v>108</v>
      </c>
    </row>
    <row r="79" spans="1:16" ht="12.75" customHeight="1">
      <c r="A79" s="48" t="s">
        <v>36</v>
      </c>
      <c r="B79" s="222" t="s">
        <v>9</v>
      </c>
      <c r="C79" s="222"/>
      <c r="D79" s="62" t="s">
        <v>10</v>
      </c>
      <c r="E79" s="62" t="s">
        <v>11</v>
      </c>
      <c r="F79" s="62" t="s">
        <v>12</v>
      </c>
      <c r="G79" s="62" t="s">
        <v>13</v>
      </c>
      <c r="H79" s="62" t="s">
        <v>14</v>
      </c>
      <c r="J79" s="62" t="s">
        <v>15</v>
      </c>
      <c r="K79" s="62" t="s">
        <v>16</v>
      </c>
      <c r="L79" s="58"/>
      <c r="M79" s="62" t="s">
        <v>17</v>
      </c>
      <c r="N79" s="62" t="s">
        <v>305</v>
      </c>
      <c r="P79" s="62" t="s">
        <v>308</v>
      </c>
    </row>
    <row r="80" spans="1:16" ht="12.75" customHeight="1">
      <c r="A80" s="27">
        <f>A64+1</f>
        <v>51</v>
      </c>
      <c r="B80" s="50" t="s">
        <v>180</v>
      </c>
      <c r="C80" s="92" t="s">
        <v>111</v>
      </c>
      <c r="D80" s="117"/>
      <c r="E80" s="122">
        <v>0</v>
      </c>
      <c r="F80" s="117">
        <v>90756</v>
      </c>
      <c r="G80" s="118">
        <v>-202486</v>
      </c>
      <c r="H80" s="121">
        <f>SUM(D80:G80)+H64</f>
        <v>13477502</v>
      </c>
      <c r="I80" s="77"/>
      <c r="J80" s="34">
        <v>80328</v>
      </c>
      <c r="K80" s="36">
        <f>-J63</f>
        <v>-423320</v>
      </c>
      <c r="L80" s="77"/>
      <c r="M80" s="117">
        <v>19334.400000000001</v>
      </c>
      <c r="N80" s="151">
        <v>0</v>
      </c>
      <c r="O80" s="85" t="str">
        <f t="shared" ref="O80:O111" si="7">B80</f>
        <v>Jan-21</v>
      </c>
      <c r="P80" s="36">
        <f t="shared" ref="P80:P128" si="8">K80+G80+N80</f>
        <v>-625806</v>
      </c>
    </row>
    <row r="81" spans="1:16" ht="12.75" customHeight="1">
      <c r="A81" s="27">
        <f t="shared" si="4"/>
        <v>52</v>
      </c>
      <c r="B81" s="50" t="s">
        <v>181</v>
      </c>
      <c r="C81" s="92" t="s">
        <v>111</v>
      </c>
      <c r="D81" s="136"/>
      <c r="E81" s="140">
        <v>0</v>
      </c>
      <c r="F81" s="136">
        <v>89998</v>
      </c>
      <c r="G81" s="137">
        <v>-202486</v>
      </c>
      <c r="H81" s="138">
        <f t="shared" si="2"/>
        <v>13365014</v>
      </c>
      <c r="I81" s="95"/>
      <c r="J81" s="139">
        <v>86810</v>
      </c>
      <c r="K81" s="76">
        <f>-J64</f>
        <v>-295353</v>
      </c>
      <c r="L81" s="95"/>
      <c r="M81" s="139">
        <v>4714.3500000000004</v>
      </c>
      <c r="N81" s="139">
        <v>0</v>
      </c>
      <c r="O81" s="85" t="str">
        <f t="shared" si="7"/>
        <v>Feb-21</v>
      </c>
      <c r="P81" s="76">
        <f t="shared" si="8"/>
        <v>-497839</v>
      </c>
    </row>
    <row r="82" spans="1:16" ht="12.75" customHeight="1">
      <c r="A82" s="27">
        <f t="shared" si="4"/>
        <v>53</v>
      </c>
      <c r="B82" s="50" t="s">
        <v>182</v>
      </c>
      <c r="C82" s="92" t="s">
        <v>111</v>
      </c>
      <c r="D82" s="136"/>
      <c r="E82" s="140">
        <v>0</v>
      </c>
      <c r="F82" s="136">
        <v>89235</v>
      </c>
      <c r="G82" s="137">
        <v>-202486</v>
      </c>
      <c r="H82" s="138">
        <f t="shared" si="2"/>
        <v>13251763</v>
      </c>
      <c r="I82" s="95"/>
      <c r="J82" s="139">
        <v>71335</v>
      </c>
      <c r="K82" s="76">
        <f t="shared" si="3"/>
        <v>-80328</v>
      </c>
      <c r="L82" s="95"/>
      <c r="M82" s="139">
        <v>20844.72</v>
      </c>
      <c r="N82" s="139">
        <v>0</v>
      </c>
      <c r="O82" s="85" t="str">
        <f t="shared" si="7"/>
        <v>Mar-21</v>
      </c>
      <c r="P82" s="76">
        <f t="shared" si="8"/>
        <v>-282814</v>
      </c>
    </row>
    <row r="83" spans="1:16" ht="12.75" customHeight="1">
      <c r="A83" s="27">
        <f t="shared" si="4"/>
        <v>54</v>
      </c>
      <c r="B83" s="50" t="s">
        <v>183</v>
      </c>
      <c r="C83" s="92" t="s">
        <v>111</v>
      </c>
      <c r="D83" s="136"/>
      <c r="E83" s="140">
        <v>0</v>
      </c>
      <c r="F83" s="136">
        <v>88468</v>
      </c>
      <c r="G83" s="137">
        <v>-202486</v>
      </c>
      <c r="H83" s="138">
        <f t="shared" si="2"/>
        <v>13137745</v>
      </c>
      <c r="I83" s="95"/>
      <c r="J83" s="139">
        <v>90503</v>
      </c>
      <c r="K83" s="76">
        <f t="shared" si="3"/>
        <v>-86810</v>
      </c>
      <c r="L83" s="95"/>
      <c r="M83" s="139">
        <v>23068.7</v>
      </c>
      <c r="N83" s="139">
        <v>0</v>
      </c>
      <c r="O83" s="85" t="str">
        <f t="shared" si="7"/>
        <v>Apr-21</v>
      </c>
      <c r="P83" s="76">
        <f t="shared" si="8"/>
        <v>-289296</v>
      </c>
    </row>
    <row r="84" spans="1:16" ht="12.75" customHeight="1">
      <c r="A84" s="27">
        <f t="shared" si="4"/>
        <v>55</v>
      </c>
      <c r="B84" s="50" t="s">
        <v>184</v>
      </c>
      <c r="C84" s="92" t="s">
        <v>111</v>
      </c>
      <c r="D84" s="136"/>
      <c r="E84" s="140">
        <v>0</v>
      </c>
      <c r="F84" s="136">
        <v>87695</v>
      </c>
      <c r="G84" s="137">
        <v>-202486</v>
      </c>
      <c r="H84" s="138">
        <f t="shared" si="2"/>
        <v>13022954</v>
      </c>
      <c r="I84" s="95"/>
      <c r="J84" s="139">
        <v>208821</v>
      </c>
      <c r="K84" s="76">
        <f t="shared" si="3"/>
        <v>-71335</v>
      </c>
      <c r="L84" s="95"/>
      <c r="M84" s="139">
        <v>11618.34</v>
      </c>
      <c r="N84" s="139">
        <v>0</v>
      </c>
      <c r="O84" s="85" t="str">
        <f t="shared" si="7"/>
        <v>May-21</v>
      </c>
      <c r="P84" s="76">
        <f t="shared" si="8"/>
        <v>-273821</v>
      </c>
    </row>
    <row r="85" spans="1:16" ht="12.75" customHeight="1">
      <c r="A85" s="27">
        <f t="shared" si="4"/>
        <v>56</v>
      </c>
      <c r="B85" s="50" t="s">
        <v>185</v>
      </c>
      <c r="C85" s="92" t="s">
        <v>111</v>
      </c>
      <c r="D85" s="136"/>
      <c r="E85" s="140">
        <v>0</v>
      </c>
      <c r="F85" s="136">
        <v>86916</v>
      </c>
      <c r="G85" s="137">
        <v>-202486</v>
      </c>
      <c r="H85" s="138">
        <f t="shared" si="2"/>
        <v>12907384</v>
      </c>
      <c r="I85" s="95"/>
      <c r="J85" s="139">
        <v>245017</v>
      </c>
      <c r="K85" s="76">
        <f t="shared" si="3"/>
        <v>-90503</v>
      </c>
      <c r="L85" s="95"/>
      <c r="M85" s="139">
        <v>10988.43</v>
      </c>
      <c r="N85" s="139">
        <v>0</v>
      </c>
      <c r="O85" s="85" t="str">
        <f t="shared" si="7"/>
        <v>Jun-21</v>
      </c>
      <c r="P85" s="76">
        <f t="shared" si="8"/>
        <v>-292989</v>
      </c>
    </row>
    <row r="86" spans="1:16" ht="12.75" customHeight="1">
      <c r="A86" s="27">
        <f t="shared" si="4"/>
        <v>57</v>
      </c>
      <c r="B86" s="50" t="s">
        <v>186</v>
      </c>
      <c r="C86" s="92" t="s">
        <v>111</v>
      </c>
      <c r="D86" s="136"/>
      <c r="E86" s="140">
        <v>0</v>
      </c>
      <c r="F86" s="136">
        <v>86133</v>
      </c>
      <c r="G86" s="137">
        <v>-202486</v>
      </c>
      <c r="H86" s="138">
        <f t="shared" si="2"/>
        <v>12791031</v>
      </c>
      <c r="I86" s="95"/>
      <c r="J86" s="139">
        <v>102270</v>
      </c>
      <c r="K86" s="76">
        <f t="shared" si="3"/>
        <v>-208821</v>
      </c>
      <c r="L86" s="95"/>
      <c r="M86" s="139">
        <v>0</v>
      </c>
      <c r="N86" s="139">
        <v>0</v>
      </c>
      <c r="O86" s="85" t="str">
        <f t="shared" si="7"/>
        <v>Jul-21</v>
      </c>
      <c r="P86" s="76">
        <f t="shared" si="8"/>
        <v>-411307</v>
      </c>
    </row>
    <row r="87" spans="1:16" ht="12.75" customHeight="1">
      <c r="A87" s="27">
        <f t="shared" si="4"/>
        <v>58</v>
      </c>
      <c r="B87" s="50" t="s">
        <v>187</v>
      </c>
      <c r="C87" s="92" t="s">
        <v>111</v>
      </c>
      <c r="D87" s="136"/>
      <c r="E87" s="140">
        <v>0</v>
      </c>
      <c r="F87" s="136">
        <v>85344</v>
      </c>
      <c r="G87" s="137">
        <v>-202486</v>
      </c>
      <c r="H87" s="138">
        <f t="shared" si="2"/>
        <v>12673889</v>
      </c>
      <c r="I87" s="95"/>
      <c r="J87" s="139">
        <v>0</v>
      </c>
      <c r="K87" s="76">
        <f t="shared" si="3"/>
        <v>-245017</v>
      </c>
      <c r="L87" s="95"/>
      <c r="M87" s="139">
        <v>144041.75</v>
      </c>
      <c r="N87" s="139">
        <v>0</v>
      </c>
      <c r="O87" s="85" t="str">
        <f t="shared" si="7"/>
        <v>Aug-21</v>
      </c>
      <c r="P87" s="76">
        <f t="shared" si="8"/>
        <v>-447503</v>
      </c>
    </row>
    <row r="88" spans="1:16" ht="12.75" customHeight="1">
      <c r="A88" s="27">
        <f t="shared" si="4"/>
        <v>59</v>
      </c>
      <c r="B88" s="50" t="s">
        <v>188</v>
      </c>
      <c r="C88" s="92" t="s">
        <v>111</v>
      </c>
      <c r="D88" s="136"/>
      <c r="E88" s="140">
        <v>0</v>
      </c>
      <c r="F88" s="136">
        <v>84550</v>
      </c>
      <c r="G88" s="137">
        <v>-202486</v>
      </c>
      <c r="H88" s="138">
        <f t="shared" si="2"/>
        <v>12555953</v>
      </c>
      <c r="I88" s="95"/>
      <c r="J88" s="139">
        <v>0</v>
      </c>
      <c r="K88" s="76">
        <f t="shared" si="3"/>
        <v>-102270</v>
      </c>
      <c r="L88" s="95"/>
      <c r="M88" s="139">
        <v>309799.59999999998</v>
      </c>
      <c r="N88" s="139">
        <v>0</v>
      </c>
      <c r="O88" s="85" t="str">
        <f t="shared" si="7"/>
        <v>Sep-21</v>
      </c>
      <c r="P88" s="76">
        <f t="shared" si="8"/>
        <v>-304756</v>
      </c>
    </row>
    <row r="89" spans="1:16" ht="12.75" customHeight="1">
      <c r="A89" s="27">
        <f t="shared" si="4"/>
        <v>60</v>
      </c>
      <c r="B89" s="50" t="s">
        <v>189</v>
      </c>
      <c r="C89" s="92" t="s">
        <v>111</v>
      </c>
      <c r="D89" s="136"/>
      <c r="E89" s="140">
        <v>0</v>
      </c>
      <c r="F89" s="136">
        <v>83750</v>
      </c>
      <c r="G89" s="137">
        <v>-202486</v>
      </c>
      <c r="H89" s="138">
        <f t="shared" si="2"/>
        <v>12437217</v>
      </c>
      <c r="I89" s="95"/>
      <c r="J89" s="139">
        <v>0</v>
      </c>
      <c r="K89" s="76">
        <f t="shared" si="3"/>
        <v>0</v>
      </c>
      <c r="L89" s="95"/>
      <c r="M89" s="139">
        <v>411865.06</v>
      </c>
      <c r="N89" s="139">
        <v>0</v>
      </c>
      <c r="O89" s="85" t="str">
        <f t="shared" si="7"/>
        <v>Oct-21</v>
      </c>
      <c r="P89" s="76">
        <f t="shared" si="8"/>
        <v>-202486</v>
      </c>
    </row>
    <row r="90" spans="1:16" ht="12.75" customHeight="1">
      <c r="A90" s="27">
        <f t="shared" si="4"/>
        <v>61</v>
      </c>
      <c r="B90" s="50" t="s">
        <v>190</v>
      </c>
      <c r="C90" s="92" t="s">
        <v>111</v>
      </c>
      <c r="D90" s="136"/>
      <c r="E90" s="140">
        <v>0</v>
      </c>
      <c r="F90" s="136">
        <v>82945</v>
      </c>
      <c r="G90" s="137">
        <v>-202486</v>
      </c>
      <c r="H90" s="138">
        <f t="shared" si="2"/>
        <v>12317676</v>
      </c>
      <c r="I90" s="95"/>
      <c r="J90" s="139">
        <v>0</v>
      </c>
      <c r="K90" s="76">
        <f t="shared" si="3"/>
        <v>0</v>
      </c>
      <c r="L90" s="95"/>
      <c r="M90" s="139">
        <v>388962.8</v>
      </c>
      <c r="N90" s="139">
        <v>0</v>
      </c>
      <c r="O90" s="85" t="str">
        <f t="shared" si="7"/>
        <v>Nov-21</v>
      </c>
      <c r="P90" s="76">
        <f t="shared" si="8"/>
        <v>-202486</v>
      </c>
    </row>
    <row r="91" spans="1:16" ht="12.75" customHeight="1">
      <c r="A91" s="27">
        <f t="shared" si="4"/>
        <v>62</v>
      </c>
      <c r="B91" s="50" t="s">
        <v>191</v>
      </c>
      <c r="C91" s="92" t="s">
        <v>111</v>
      </c>
      <c r="D91" s="136"/>
      <c r="E91" s="140">
        <v>0</v>
      </c>
      <c r="F91" s="136">
        <v>82135</v>
      </c>
      <c r="G91" s="137">
        <v>-202486</v>
      </c>
      <c r="H91" s="138">
        <f t="shared" si="2"/>
        <v>12197325</v>
      </c>
      <c r="I91" s="95"/>
      <c r="J91" s="139">
        <v>0</v>
      </c>
      <c r="K91" s="76">
        <f t="shared" si="3"/>
        <v>0</v>
      </c>
      <c r="L91" s="95"/>
      <c r="M91" s="139">
        <v>194124.2</v>
      </c>
      <c r="N91" s="139">
        <v>0</v>
      </c>
      <c r="O91" s="85" t="str">
        <f t="shared" si="7"/>
        <v>Dec-21</v>
      </c>
      <c r="P91" s="76">
        <f t="shared" si="8"/>
        <v>-202486</v>
      </c>
    </row>
    <row r="92" spans="1:16" ht="12.75" customHeight="1">
      <c r="A92" s="27">
        <f t="shared" si="4"/>
        <v>63</v>
      </c>
      <c r="B92" s="50" t="s">
        <v>192</v>
      </c>
      <c r="C92" s="92" t="s">
        <v>111</v>
      </c>
      <c r="D92" s="136"/>
      <c r="E92" s="140">
        <v>0</v>
      </c>
      <c r="F92" s="136">
        <v>81319</v>
      </c>
      <c r="G92" s="137">
        <v>-202486</v>
      </c>
      <c r="H92" s="138">
        <f t="shared" si="2"/>
        <v>12076158</v>
      </c>
      <c r="I92" s="95"/>
      <c r="J92" s="139">
        <v>0</v>
      </c>
      <c r="K92" s="76">
        <f t="shared" si="3"/>
        <v>0</v>
      </c>
      <c r="L92" s="95"/>
      <c r="M92" s="139">
        <v>105293.82</v>
      </c>
      <c r="N92" s="139">
        <v>0</v>
      </c>
      <c r="O92" s="85" t="str">
        <f t="shared" si="7"/>
        <v>Jan-22</v>
      </c>
      <c r="P92" s="76">
        <f t="shared" si="8"/>
        <v>-202486</v>
      </c>
    </row>
    <row r="93" spans="1:16" ht="12.75" customHeight="1">
      <c r="A93" s="27">
        <f t="shared" si="4"/>
        <v>64</v>
      </c>
      <c r="B93" s="50" t="s">
        <v>193</v>
      </c>
      <c r="C93" s="92" t="s">
        <v>111</v>
      </c>
      <c r="D93" s="136"/>
      <c r="E93" s="140">
        <v>0</v>
      </c>
      <c r="F93" s="136">
        <v>80498</v>
      </c>
      <c r="G93" s="137">
        <v>-202486</v>
      </c>
      <c r="H93" s="138">
        <f t="shared" si="2"/>
        <v>11954170</v>
      </c>
      <c r="I93" s="95"/>
      <c r="J93" s="139">
        <v>103920</v>
      </c>
      <c r="K93" s="76">
        <f t="shared" si="3"/>
        <v>0</v>
      </c>
      <c r="L93" s="95"/>
      <c r="M93" s="139">
        <v>27183.360000000001</v>
      </c>
      <c r="N93" s="139">
        <v>0</v>
      </c>
      <c r="O93" s="85" t="str">
        <f t="shared" si="7"/>
        <v>Feb-22</v>
      </c>
      <c r="P93" s="76">
        <f t="shared" si="8"/>
        <v>-202486</v>
      </c>
    </row>
    <row r="94" spans="1:16" ht="12.75" customHeight="1">
      <c r="A94" s="27">
        <f t="shared" si="4"/>
        <v>65</v>
      </c>
      <c r="B94" s="50" t="s">
        <v>194</v>
      </c>
      <c r="C94" s="92" t="s">
        <v>111</v>
      </c>
      <c r="D94" s="136"/>
      <c r="E94" s="140">
        <v>0</v>
      </c>
      <c r="F94" s="136">
        <v>79671</v>
      </c>
      <c r="G94" s="137">
        <v>-202486</v>
      </c>
      <c r="H94" s="138">
        <f t="shared" si="2"/>
        <v>11831355</v>
      </c>
      <c r="I94" s="95"/>
      <c r="J94" s="139">
        <v>131221</v>
      </c>
      <c r="K94" s="76">
        <f t="shared" si="3"/>
        <v>0</v>
      </c>
      <c r="L94" s="95"/>
      <c r="M94" s="139">
        <v>0</v>
      </c>
      <c r="N94" s="139">
        <v>0</v>
      </c>
      <c r="O94" s="85" t="str">
        <f t="shared" si="7"/>
        <v>Mar-22</v>
      </c>
      <c r="P94" s="76">
        <f t="shared" si="8"/>
        <v>-202486</v>
      </c>
    </row>
    <row r="95" spans="1:16" ht="12.75" customHeight="1">
      <c r="A95" s="27">
        <f t="shared" si="4"/>
        <v>66</v>
      </c>
      <c r="B95" s="50" t="s">
        <v>195</v>
      </c>
      <c r="C95" s="92" t="s">
        <v>111</v>
      </c>
      <c r="D95" s="136"/>
      <c r="E95" s="140">
        <v>0</v>
      </c>
      <c r="F95" s="136">
        <v>78838</v>
      </c>
      <c r="G95" s="137">
        <v>-202486</v>
      </c>
      <c r="H95" s="138">
        <f t="shared" si="2"/>
        <v>11707707</v>
      </c>
      <c r="I95" s="95"/>
      <c r="J95" s="139">
        <v>137219.47</v>
      </c>
      <c r="K95" s="76">
        <f t="shared" si="3"/>
        <v>-103920</v>
      </c>
      <c r="L95" s="95"/>
      <c r="M95" s="139">
        <v>0</v>
      </c>
      <c r="N95" s="139">
        <f>-ROUND(SUM(M80:M93,M15:M64)/12,0)</f>
        <v>-219095</v>
      </c>
      <c r="O95" s="85" t="str">
        <f t="shared" si="7"/>
        <v>Apr-22</v>
      </c>
      <c r="P95" s="76">
        <f t="shared" si="8"/>
        <v>-525501</v>
      </c>
    </row>
    <row r="96" spans="1:16" ht="12.75" customHeight="1">
      <c r="A96" s="27">
        <f t="shared" si="4"/>
        <v>67</v>
      </c>
      <c r="B96" s="50" t="s">
        <v>196</v>
      </c>
      <c r="C96" s="92" t="s">
        <v>111</v>
      </c>
      <c r="D96" s="136"/>
      <c r="E96" s="140">
        <v>0</v>
      </c>
      <c r="F96" s="136">
        <v>78000</v>
      </c>
      <c r="G96" s="137">
        <v>-202486</v>
      </c>
      <c r="H96" s="138">
        <f t="shared" ref="H96:H174" si="9">SUM(D96:G96)+H95</f>
        <v>11583221</v>
      </c>
      <c r="I96" s="95"/>
      <c r="J96" s="139">
        <v>354133.09</v>
      </c>
      <c r="K96" s="76">
        <f t="shared" si="3"/>
        <v>-131221</v>
      </c>
      <c r="L96" s="95"/>
      <c r="M96" s="139">
        <v>0</v>
      </c>
      <c r="N96" s="139">
        <f t="shared" ref="N96:N97" si="10">N95</f>
        <v>-219095</v>
      </c>
      <c r="O96" s="85" t="str">
        <f t="shared" si="7"/>
        <v>May-22</v>
      </c>
      <c r="P96" s="76">
        <f t="shared" si="8"/>
        <v>-552802</v>
      </c>
    </row>
    <row r="97" spans="1:16" ht="12.75" customHeight="1">
      <c r="A97" s="27">
        <f t="shared" si="4"/>
        <v>68</v>
      </c>
      <c r="B97" s="50" t="s">
        <v>197</v>
      </c>
      <c r="C97" s="92" t="s">
        <v>111</v>
      </c>
      <c r="D97" s="136"/>
      <c r="E97" s="140">
        <v>0</v>
      </c>
      <c r="F97" s="136">
        <v>77156</v>
      </c>
      <c r="G97" s="137">
        <v>-202486</v>
      </c>
      <c r="H97" s="138">
        <f t="shared" si="9"/>
        <v>11457891</v>
      </c>
      <c r="I97" s="95"/>
      <c r="J97" s="139">
        <v>173833</v>
      </c>
      <c r="K97" s="76">
        <f t="shared" ref="K97:K175" si="11">-J95</f>
        <v>-137219.47</v>
      </c>
      <c r="L97" s="95"/>
      <c r="M97" s="139">
        <v>0</v>
      </c>
      <c r="N97" s="139">
        <f t="shared" si="10"/>
        <v>-219095</v>
      </c>
      <c r="O97" s="85" t="str">
        <f t="shared" si="7"/>
        <v>Jun-22</v>
      </c>
      <c r="P97" s="76">
        <f t="shared" si="8"/>
        <v>-558800.47</v>
      </c>
    </row>
    <row r="98" spans="1:16" ht="12.75" customHeight="1">
      <c r="A98" s="27">
        <f t="shared" ref="A98:A176" si="12">A97+1</f>
        <v>69</v>
      </c>
      <c r="B98" s="50" t="s">
        <v>198</v>
      </c>
      <c r="C98" s="92" t="s">
        <v>111</v>
      </c>
      <c r="D98" s="136"/>
      <c r="E98" s="140">
        <v>0</v>
      </c>
      <c r="F98" s="136">
        <v>76306</v>
      </c>
      <c r="G98" s="137">
        <v>-202486</v>
      </c>
      <c r="H98" s="138">
        <f t="shared" si="9"/>
        <v>11331711</v>
      </c>
      <c r="I98" s="95"/>
      <c r="J98" s="166">
        <v>163275.45000000001</v>
      </c>
      <c r="K98" s="76">
        <f t="shared" si="11"/>
        <v>-354133.09</v>
      </c>
      <c r="L98" s="95"/>
      <c r="M98" s="139">
        <v>0</v>
      </c>
      <c r="N98" s="139">
        <f>N97-M96</f>
        <v>-219095</v>
      </c>
      <c r="O98" s="85" t="str">
        <f t="shared" si="7"/>
        <v>Jul-22</v>
      </c>
      <c r="P98" s="76">
        <f t="shared" si="8"/>
        <v>-775714.09000000008</v>
      </c>
    </row>
    <row r="99" spans="1:16" ht="12.75" customHeight="1">
      <c r="A99" s="27">
        <f t="shared" si="12"/>
        <v>70</v>
      </c>
      <c r="B99" s="50" t="s">
        <v>199</v>
      </c>
      <c r="C99" s="92" t="s">
        <v>111</v>
      </c>
      <c r="D99" s="136"/>
      <c r="E99" s="140">
        <v>0</v>
      </c>
      <c r="F99" s="136">
        <v>75451</v>
      </c>
      <c r="G99" s="137">
        <v>-202486</v>
      </c>
      <c r="H99" s="138">
        <f t="shared" si="9"/>
        <v>11204676</v>
      </c>
      <c r="I99" s="95"/>
      <c r="J99" s="139">
        <v>504873.41</v>
      </c>
      <c r="K99" s="76">
        <f t="shared" si="11"/>
        <v>-173833</v>
      </c>
      <c r="L99" s="95"/>
      <c r="M99" s="139">
        <v>0</v>
      </c>
      <c r="N99" s="139">
        <f t="shared" ref="N99:N106" si="13">N98-M97</f>
        <v>-219095</v>
      </c>
      <c r="O99" s="85" t="str">
        <f t="shared" si="7"/>
        <v>Aug-22</v>
      </c>
      <c r="P99" s="76">
        <f t="shared" si="8"/>
        <v>-595414</v>
      </c>
    </row>
    <row r="100" spans="1:16" ht="12.75" customHeight="1">
      <c r="A100" s="27">
        <f t="shared" si="12"/>
        <v>71</v>
      </c>
      <c r="B100" s="50" t="s">
        <v>200</v>
      </c>
      <c r="C100" s="92" t="s">
        <v>111</v>
      </c>
      <c r="D100" s="136"/>
      <c r="E100" s="140">
        <v>0</v>
      </c>
      <c r="F100" s="136">
        <v>74589</v>
      </c>
      <c r="G100" s="137">
        <v>-202486</v>
      </c>
      <c r="H100" s="138">
        <f t="shared" si="9"/>
        <v>11076779</v>
      </c>
      <c r="I100" s="95"/>
      <c r="J100" s="166">
        <v>5755077.7000000002</v>
      </c>
      <c r="K100" s="76">
        <f t="shared" si="11"/>
        <v>-163275.45000000001</v>
      </c>
      <c r="L100" s="95"/>
      <c r="M100" s="139">
        <v>0</v>
      </c>
      <c r="N100" s="139">
        <f t="shared" si="13"/>
        <v>-219095</v>
      </c>
      <c r="O100" s="85" t="str">
        <f t="shared" si="7"/>
        <v>Sep-22</v>
      </c>
      <c r="P100" s="76">
        <f t="shared" si="8"/>
        <v>-584856.44999999995</v>
      </c>
    </row>
    <row r="101" spans="1:16" ht="12.75" customHeight="1">
      <c r="A101" s="27">
        <f t="shared" si="12"/>
        <v>72</v>
      </c>
      <c r="B101" s="50" t="s">
        <v>201</v>
      </c>
      <c r="C101" s="92" t="s">
        <v>111</v>
      </c>
      <c r="D101" s="136"/>
      <c r="E101" s="140">
        <v>0</v>
      </c>
      <c r="F101" s="136">
        <v>73722</v>
      </c>
      <c r="G101" s="137">
        <v>-202486</v>
      </c>
      <c r="H101" s="138">
        <f t="shared" si="9"/>
        <v>10948015</v>
      </c>
      <c r="I101" s="95"/>
      <c r="J101" s="139">
        <v>1659808.08</v>
      </c>
      <c r="K101" s="76">
        <f t="shared" si="11"/>
        <v>-504873.41</v>
      </c>
      <c r="L101" s="95"/>
      <c r="M101" s="139">
        <v>0</v>
      </c>
      <c r="N101" s="139">
        <f t="shared" si="13"/>
        <v>-219095</v>
      </c>
      <c r="O101" s="85" t="str">
        <f t="shared" si="7"/>
        <v>Oct-22</v>
      </c>
      <c r="P101" s="76">
        <f t="shared" si="8"/>
        <v>-926454.40999999992</v>
      </c>
    </row>
    <row r="102" spans="1:16" ht="12.75" customHeight="1">
      <c r="A102" s="27">
        <f t="shared" si="12"/>
        <v>73</v>
      </c>
      <c r="B102" s="50" t="s">
        <v>202</v>
      </c>
      <c r="C102" s="92" t="s">
        <v>111</v>
      </c>
      <c r="D102" s="136"/>
      <c r="E102" s="140">
        <v>0</v>
      </c>
      <c r="F102" s="136">
        <v>72849</v>
      </c>
      <c r="G102" s="137">
        <v>-202486</v>
      </c>
      <c r="H102" s="138">
        <f t="shared" si="9"/>
        <v>10818378</v>
      </c>
      <c r="I102" s="95"/>
      <c r="J102" s="139">
        <v>1120717.8899999999</v>
      </c>
      <c r="K102" s="76">
        <f>-J100/6</f>
        <v>-959179.6166666667</v>
      </c>
      <c r="L102" s="95"/>
      <c r="M102" s="139">
        <v>0</v>
      </c>
      <c r="N102" s="139">
        <f t="shared" si="13"/>
        <v>-219095</v>
      </c>
      <c r="O102" s="85" t="str">
        <f t="shared" si="7"/>
        <v>Nov-22</v>
      </c>
      <c r="P102" s="76">
        <f t="shared" si="8"/>
        <v>-1380760.6166666667</v>
      </c>
    </row>
    <row r="103" spans="1:16" ht="12.75" customHeight="1">
      <c r="A103" s="27">
        <f t="shared" si="12"/>
        <v>74</v>
      </c>
      <c r="B103" s="50" t="s">
        <v>203</v>
      </c>
      <c r="C103" s="92" t="s">
        <v>111</v>
      </c>
      <c r="D103" s="136"/>
      <c r="E103" s="140">
        <v>0</v>
      </c>
      <c r="F103" s="136">
        <v>71971</v>
      </c>
      <c r="G103" s="137">
        <v>-202486</v>
      </c>
      <c r="H103" s="138">
        <f t="shared" si="9"/>
        <v>10687863</v>
      </c>
      <c r="I103" s="95"/>
      <c r="J103" s="139">
        <v>1312007</v>
      </c>
      <c r="K103" s="76">
        <f>(-J101/5)+(-$J$100/6)</f>
        <v>-1291141.2326666666</v>
      </c>
      <c r="L103" s="95"/>
      <c r="M103" s="139">
        <v>0</v>
      </c>
      <c r="N103" s="139">
        <f t="shared" si="13"/>
        <v>-219095</v>
      </c>
      <c r="O103" s="85" t="str">
        <f t="shared" si="7"/>
        <v>Dec-22</v>
      </c>
      <c r="P103" s="76">
        <f t="shared" si="8"/>
        <v>-1712722.2326666666</v>
      </c>
    </row>
    <row r="104" spans="1:16" ht="12.75" customHeight="1">
      <c r="A104" s="27">
        <f t="shared" si="12"/>
        <v>75</v>
      </c>
      <c r="B104" s="50" t="s">
        <v>204</v>
      </c>
      <c r="C104" s="92" t="s">
        <v>111</v>
      </c>
      <c r="D104" s="136"/>
      <c r="E104" s="140">
        <v>0</v>
      </c>
      <c r="F104" s="136">
        <v>71086</v>
      </c>
      <c r="G104" s="137">
        <v>-202486</v>
      </c>
      <c r="H104" s="138">
        <f t="shared" si="9"/>
        <v>10556463</v>
      </c>
      <c r="I104" s="95"/>
      <c r="J104" s="139">
        <v>316932</v>
      </c>
      <c r="K104" s="76">
        <f>(-$J$102/4)+(-$J$100/6)+(-$J$101/5)</f>
        <v>-1571320.7051666668</v>
      </c>
      <c r="L104" s="95"/>
      <c r="M104" s="139">
        <v>0</v>
      </c>
      <c r="N104" s="139">
        <f t="shared" si="13"/>
        <v>-219095</v>
      </c>
      <c r="O104" s="85" t="str">
        <f t="shared" si="7"/>
        <v>Jan-23</v>
      </c>
      <c r="P104" s="76">
        <f t="shared" si="8"/>
        <v>-1992901.7051666668</v>
      </c>
    </row>
    <row r="105" spans="1:16" ht="12.75" customHeight="1">
      <c r="A105" s="27">
        <f t="shared" si="12"/>
        <v>76</v>
      </c>
      <c r="B105" s="50" t="s">
        <v>205</v>
      </c>
      <c r="C105" s="92" t="s">
        <v>111</v>
      </c>
      <c r="D105" s="136"/>
      <c r="E105" s="140">
        <v>0</v>
      </c>
      <c r="F105" s="136">
        <v>70195</v>
      </c>
      <c r="G105" s="137">
        <v>-202486</v>
      </c>
      <c r="H105" s="138">
        <f t="shared" si="9"/>
        <v>10424172</v>
      </c>
      <c r="I105" s="95"/>
      <c r="J105" s="139">
        <v>359829</v>
      </c>
      <c r="K105" s="76">
        <f>(-$J$102/4)+(-$J$100/6)+(-$J$101/5)+(-$J$103/3)</f>
        <v>-2008656.3718333335</v>
      </c>
      <c r="L105" s="95"/>
      <c r="M105" s="139">
        <v>0</v>
      </c>
      <c r="N105" s="139">
        <f t="shared" si="13"/>
        <v>-219095</v>
      </c>
      <c r="O105" s="85" t="str">
        <f t="shared" si="7"/>
        <v>Feb-23</v>
      </c>
      <c r="P105" s="76">
        <f t="shared" si="8"/>
        <v>-2430237.3718333337</v>
      </c>
    </row>
    <row r="106" spans="1:16" ht="12.75" customHeight="1">
      <c r="A106" s="27">
        <f t="shared" si="12"/>
        <v>77</v>
      </c>
      <c r="B106" s="50" t="s">
        <v>206</v>
      </c>
      <c r="C106" s="92" t="s">
        <v>111</v>
      </c>
      <c r="D106" s="136"/>
      <c r="E106" s="140">
        <v>0</v>
      </c>
      <c r="F106" s="136">
        <v>69298</v>
      </c>
      <c r="G106" s="137">
        <v>-202486</v>
      </c>
      <c r="H106" s="138">
        <f t="shared" si="9"/>
        <v>10290984</v>
      </c>
      <c r="I106" s="95"/>
      <c r="J106" s="139">
        <v>361703</v>
      </c>
      <c r="K106" s="76">
        <f>(-$J$102/4)+(-$J$100/6)+(-$J$101/5)+(-$J$103/3)+(-J104)</f>
        <v>-2325588.3718333337</v>
      </c>
      <c r="L106" s="95"/>
      <c r="M106" s="139">
        <v>0</v>
      </c>
      <c r="N106" s="139">
        <f t="shared" si="13"/>
        <v>-219095</v>
      </c>
      <c r="O106" s="85" t="str">
        <f t="shared" si="7"/>
        <v>Mar-23</v>
      </c>
      <c r="P106" s="76">
        <f t="shared" si="8"/>
        <v>-2747169.3718333337</v>
      </c>
    </row>
    <row r="107" spans="1:16" ht="12.75" customHeight="1">
      <c r="A107" s="27">
        <f t="shared" si="12"/>
        <v>78</v>
      </c>
      <c r="B107" s="50" t="s">
        <v>207</v>
      </c>
      <c r="C107" s="92" t="s">
        <v>111</v>
      </c>
      <c r="D107" s="136"/>
      <c r="E107" s="140">
        <v>0</v>
      </c>
      <c r="F107" s="136">
        <v>68395</v>
      </c>
      <c r="G107" s="137">
        <v>-202486</v>
      </c>
      <c r="H107" s="138">
        <f t="shared" si="9"/>
        <v>10156893</v>
      </c>
      <c r="I107" s="95"/>
      <c r="J107" s="139">
        <v>1176581</v>
      </c>
      <c r="K107" s="76">
        <f>(-$J$102/4)+(-$J$100/6)+(-$J$101/5)+(-$J$103/3)+(-J105)</f>
        <v>-2368485.3718333337</v>
      </c>
      <c r="L107" s="95"/>
      <c r="M107" s="139">
        <v>0</v>
      </c>
      <c r="N107" s="139">
        <f>-M105</f>
        <v>0</v>
      </c>
      <c r="O107" s="85" t="str">
        <f t="shared" si="7"/>
        <v>Apr-23</v>
      </c>
      <c r="P107" s="76">
        <f t="shared" si="8"/>
        <v>-2570971.3718333337</v>
      </c>
    </row>
    <row r="108" spans="1:16" ht="12.75" customHeight="1">
      <c r="A108" s="27">
        <f t="shared" si="12"/>
        <v>79</v>
      </c>
      <c r="B108" s="50" t="s">
        <v>208</v>
      </c>
      <c r="C108" s="92" t="s">
        <v>111</v>
      </c>
      <c r="D108" s="136"/>
      <c r="E108" s="140">
        <v>0</v>
      </c>
      <c r="F108" s="136">
        <v>67486</v>
      </c>
      <c r="G108" s="137">
        <v>-202486</v>
      </c>
      <c r="H108" s="138">
        <f t="shared" si="9"/>
        <v>10021893</v>
      </c>
      <c r="I108" s="95"/>
      <c r="J108" s="139">
        <v>1401353</v>
      </c>
      <c r="K108" s="76">
        <f t="shared" si="11"/>
        <v>-361703</v>
      </c>
      <c r="L108" s="95"/>
      <c r="M108" s="139">
        <v>0</v>
      </c>
      <c r="N108" s="139">
        <f t="shared" ref="N108:N127" si="14">-M106</f>
        <v>0</v>
      </c>
      <c r="O108" s="85" t="str">
        <f t="shared" si="7"/>
        <v>May-23</v>
      </c>
      <c r="P108" s="76">
        <f t="shared" si="8"/>
        <v>-564189</v>
      </c>
    </row>
    <row r="109" spans="1:16" ht="12.75" customHeight="1">
      <c r="A109" s="27">
        <f t="shared" si="12"/>
        <v>80</v>
      </c>
      <c r="B109" s="50" t="s">
        <v>209</v>
      </c>
      <c r="C109" s="92" t="s">
        <v>111</v>
      </c>
      <c r="D109" s="136"/>
      <c r="E109" s="140">
        <v>0</v>
      </c>
      <c r="F109" s="136">
        <v>66571</v>
      </c>
      <c r="G109" s="137">
        <v>-202486</v>
      </c>
      <c r="H109" s="138">
        <f t="shared" si="9"/>
        <v>9885978</v>
      </c>
      <c r="I109" s="95"/>
      <c r="J109" s="139">
        <v>1123174</v>
      </c>
      <c r="K109" s="76">
        <f t="shared" si="11"/>
        <v>-1176581</v>
      </c>
      <c r="L109" s="95"/>
      <c r="M109" s="139">
        <v>0</v>
      </c>
      <c r="N109" s="139">
        <f t="shared" si="14"/>
        <v>0</v>
      </c>
      <c r="O109" s="85" t="str">
        <f t="shared" si="7"/>
        <v>Jun-23</v>
      </c>
      <c r="P109" s="76">
        <f t="shared" si="8"/>
        <v>-1379067</v>
      </c>
    </row>
    <row r="110" spans="1:16" ht="12.75" customHeight="1">
      <c r="A110" s="27">
        <f t="shared" si="12"/>
        <v>81</v>
      </c>
      <c r="B110" s="50" t="s">
        <v>210</v>
      </c>
      <c r="C110" s="92" t="s">
        <v>111</v>
      </c>
      <c r="D110" s="136"/>
      <c r="E110" s="140">
        <v>0</v>
      </c>
      <c r="F110" s="136">
        <v>65649</v>
      </c>
      <c r="G110" s="137">
        <v>-202486</v>
      </c>
      <c r="H110" s="138">
        <f t="shared" si="9"/>
        <v>9749141</v>
      </c>
      <c r="I110" s="95"/>
      <c r="J110" s="139">
        <v>1265429</v>
      </c>
      <c r="K110" s="76">
        <f t="shared" si="11"/>
        <v>-1401353</v>
      </c>
      <c r="L110" s="95"/>
      <c r="M110" s="139">
        <v>0</v>
      </c>
      <c r="N110" s="139">
        <f t="shared" si="14"/>
        <v>0</v>
      </c>
      <c r="O110" s="85" t="str">
        <f t="shared" si="7"/>
        <v>Jul-23</v>
      </c>
      <c r="P110" s="76">
        <f t="shared" si="8"/>
        <v>-1603839</v>
      </c>
    </row>
    <row r="111" spans="1:16" ht="12.75" customHeight="1">
      <c r="A111" s="27">
        <f t="shared" si="12"/>
        <v>82</v>
      </c>
      <c r="B111" s="50" t="s">
        <v>211</v>
      </c>
      <c r="C111" s="92" t="s">
        <v>111</v>
      </c>
      <c r="D111" s="136"/>
      <c r="E111" s="140">
        <v>0</v>
      </c>
      <c r="F111" s="136">
        <v>64722</v>
      </c>
      <c r="G111" s="137">
        <v>-202486</v>
      </c>
      <c r="H111" s="138">
        <f t="shared" si="9"/>
        <v>9611377</v>
      </c>
      <c r="I111" s="95"/>
      <c r="J111" s="139">
        <v>1085495</v>
      </c>
      <c r="K111" s="76">
        <f t="shared" si="11"/>
        <v>-1123174</v>
      </c>
      <c r="L111" s="95"/>
      <c r="M111" s="139">
        <v>0</v>
      </c>
      <c r="N111" s="139">
        <f t="shared" si="14"/>
        <v>0</v>
      </c>
      <c r="O111" s="85" t="str">
        <f t="shared" si="7"/>
        <v>Aug-23</v>
      </c>
      <c r="P111" s="76">
        <f t="shared" si="8"/>
        <v>-1325660</v>
      </c>
    </row>
    <row r="112" spans="1:16" ht="12.75" customHeight="1">
      <c r="A112" s="27">
        <f t="shared" si="12"/>
        <v>83</v>
      </c>
      <c r="B112" s="50" t="s">
        <v>212</v>
      </c>
      <c r="C112" s="92" t="s">
        <v>111</v>
      </c>
      <c r="D112" s="136"/>
      <c r="E112" s="140">
        <v>0</v>
      </c>
      <c r="F112" s="136">
        <v>63788</v>
      </c>
      <c r="G112" s="137">
        <v>-202486</v>
      </c>
      <c r="H112" s="138">
        <f t="shared" si="9"/>
        <v>9472679</v>
      </c>
      <c r="I112" s="95"/>
      <c r="J112" s="139">
        <v>2027776</v>
      </c>
      <c r="K112" s="76">
        <f t="shared" si="11"/>
        <v>-1265429</v>
      </c>
      <c r="L112" s="95"/>
      <c r="M112" s="139">
        <v>0</v>
      </c>
      <c r="N112" s="139">
        <f t="shared" si="14"/>
        <v>0</v>
      </c>
      <c r="O112" s="85" t="str">
        <f t="shared" ref="O112:O128" si="15">B112</f>
        <v>Sep-23</v>
      </c>
      <c r="P112" s="76">
        <f t="shared" si="8"/>
        <v>-1467915</v>
      </c>
    </row>
    <row r="113" spans="1:16" ht="12.75" customHeight="1">
      <c r="A113" s="27">
        <f t="shared" si="12"/>
        <v>84</v>
      </c>
      <c r="B113" s="50" t="s">
        <v>213</v>
      </c>
      <c r="C113" s="92" t="s">
        <v>111</v>
      </c>
      <c r="D113" s="136"/>
      <c r="E113" s="140">
        <v>0</v>
      </c>
      <c r="F113" s="136">
        <v>62847</v>
      </c>
      <c r="G113" s="137">
        <v>-202486</v>
      </c>
      <c r="H113" s="138">
        <f t="shared" si="9"/>
        <v>9333040</v>
      </c>
      <c r="I113" s="95"/>
      <c r="J113" s="139">
        <v>1464035</v>
      </c>
      <c r="K113" s="76">
        <f t="shared" si="11"/>
        <v>-1085495</v>
      </c>
      <c r="L113" s="95"/>
      <c r="M113" s="139">
        <v>0</v>
      </c>
      <c r="N113" s="139">
        <f t="shared" si="14"/>
        <v>0</v>
      </c>
      <c r="O113" s="85" t="str">
        <f t="shared" si="15"/>
        <v>Oct-23</v>
      </c>
      <c r="P113" s="76">
        <f t="shared" si="8"/>
        <v>-1287981</v>
      </c>
    </row>
    <row r="114" spans="1:16" ht="12.75" customHeight="1">
      <c r="A114" s="27">
        <f t="shared" si="12"/>
        <v>85</v>
      </c>
      <c r="B114" s="50" t="s">
        <v>214</v>
      </c>
      <c r="C114" s="92" t="s">
        <v>111</v>
      </c>
      <c r="D114" s="136"/>
      <c r="E114" s="140">
        <v>0</v>
      </c>
      <c r="F114" s="136">
        <v>61901</v>
      </c>
      <c r="G114" s="137">
        <v>-202486</v>
      </c>
      <c r="H114" s="138">
        <f t="shared" si="9"/>
        <v>9192455</v>
      </c>
      <c r="I114" s="95"/>
      <c r="J114" s="139">
        <v>1599238</v>
      </c>
      <c r="K114" s="76">
        <f t="shared" si="11"/>
        <v>-2027776</v>
      </c>
      <c r="L114" s="95"/>
      <c r="M114" s="139">
        <v>0</v>
      </c>
      <c r="N114" s="139">
        <f t="shared" si="14"/>
        <v>0</v>
      </c>
      <c r="O114" s="85" t="str">
        <f t="shared" si="15"/>
        <v>Nov-23</v>
      </c>
      <c r="P114" s="76">
        <f t="shared" si="8"/>
        <v>-2230262</v>
      </c>
    </row>
    <row r="115" spans="1:16" ht="12.75" customHeight="1">
      <c r="A115" s="27">
        <f t="shared" si="12"/>
        <v>86</v>
      </c>
      <c r="B115" s="50" t="s">
        <v>215</v>
      </c>
      <c r="C115" s="92" t="s">
        <v>111</v>
      </c>
      <c r="D115" s="136"/>
      <c r="E115" s="140">
        <v>0</v>
      </c>
      <c r="F115" s="136">
        <v>60948</v>
      </c>
      <c r="G115" s="137">
        <v>-202486</v>
      </c>
      <c r="H115" s="138">
        <f t="shared" si="9"/>
        <v>9050917</v>
      </c>
      <c r="I115" s="95"/>
      <c r="J115" s="139">
        <v>708309</v>
      </c>
      <c r="K115" s="76">
        <f t="shared" si="11"/>
        <v>-1464035</v>
      </c>
      <c r="L115" s="95"/>
      <c r="M115" s="139">
        <v>0</v>
      </c>
      <c r="N115" s="139">
        <f t="shared" si="14"/>
        <v>0</v>
      </c>
      <c r="O115" s="85" t="str">
        <f t="shared" si="15"/>
        <v>Dec-23</v>
      </c>
      <c r="P115" s="76">
        <f t="shared" si="8"/>
        <v>-1666521</v>
      </c>
    </row>
    <row r="116" spans="1:16" ht="12.75" customHeight="1">
      <c r="A116" s="27">
        <f t="shared" si="12"/>
        <v>87</v>
      </c>
      <c r="B116" s="50" t="s">
        <v>216</v>
      </c>
      <c r="C116" s="92" t="s">
        <v>111</v>
      </c>
      <c r="D116" s="136"/>
      <c r="E116" s="140">
        <v>0</v>
      </c>
      <c r="F116" s="136">
        <v>59988</v>
      </c>
      <c r="G116" s="137">
        <v>-202486</v>
      </c>
      <c r="H116" s="138">
        <f t="shared" si="9"/>
        <v>8908419</v>
      </c>
      <c r="I116" s="95"/>
      <c r="J116" s="139">
        <v>659598</v>
      </c>
      <c r="K116" s="76">
        <f t="shared" si="11"/>
        <v>-1599238</v>
      </c>
      <c r="L116" s="95"/>
      <c r="M116" s="139">
        <v>0</v>
      </c>
      <c r="N116" s="139">
        <f t="shared" si="14"/>
        <v>0</v>
      </c>
      <c r="O116" s="85" t="str">
        <f t="shared" si="15"/>
        <v>Jan-24</v>
      </c>
      <c r="P116" s="76">
        <f t="shared" si="8"/>
        <v>-1801724</v>
      </c>
    </row>
    <row r="117" spans="1:16" ht="12.75" customHeight="1">
      <c r="A117" s="27">
        <f t="shared" si="12"/>
        <v>88</v>
      </c>
      <c r="B117" s="50" t="s">
        <v>217</v>
      </c>
      <c r="C117" s="92" t="s">
        <v>111</v>
      </c>
      <c r="D117" s="136"/>
      <c r="E117" s="140">
        <v>0</v>
      </c>
      <c r="F117" s="136">
        <v>59022</v>
      </c>
      <c r="G117" s="137">
        <v>-202486</v>
      </c>
      <c r="H117" s="138">
        <f t="shared" si="9"/>
        <v>8764955</v>
      </c>
      <c r="I117" s="95"/>
      <c r="J117" s="139">
        <v>449420</v>
      </c>
      <c r="K117" s="76">
        <f t="shared" si="11"/>
        <v>-708309</v>
      </c>
      <c r="L117" s="95"/>
      <c r="M117" s="139">
        <v>0</v>
      </c>
      <c r="N117" s="139">
        <f t="shared" si="14"/>
        <v>0</v>
      </c>
      <c r="O117" s="85" t="str">
        <f t="shared" si="15"/>
        <v>Feb-24</v>
      </c>
      <c r="P117" s="76">
        <f t="shared" si="8"/>
        <v>-910795</v>
      </c>
    </row>
    <row r="118" spans="1:16" ht="12.75" customHeight="1">
      <c r="A118" s="27">
        <f t="shared" si="12"/>
        <v>89</v>
      </c>
      <c r="B118" s="50" t="s">
        <v>218</v>
      </c>
      <c r="C118" s="92" t="s">
        <v>111</v>
      </c>
      <c r="D118" s="136"/>
      <c r="E118" s="140">
        <v>0</v>
      </c>
      <c r="F118" s="136">
        <v>58049</v>
      </c>
      <c r="G118" s="137">
        <v>-202486</v>
      </c>
      <c r="H118" s="138">
        <f t="shared" si="9"/>
        <v>8620518</v>
      </c>
      <c r="I118" s="95"/>
      <c r="J118" s="139">
        <v>574395</v>
      </c>
      <c r="K118" s="76">
        <f t="shared" si="11"/>
        <v>-659598</v>
      </c>
      <c r="L118" s="95"/>
      <c r="M118" s="139">
        <v>0</v>
      </c>
      <c r="N118" s="139">
        <f t="shared" si="14"/>
        <v>0</v>
      </c>
      <c r="O118" s="85" t="str">
        <f t="shared" si="15"/>
        <v>Mar-24</v>
      </c>
      <c r="P118" s="76">
        <f t="shared" si="8"/>
        <v>-862084</v>
      </c>
    </row>
    <row r="119" spans="1:16" ht="12.75" customHeight="1">
      <c r="A119" s="27">
        <f t="shared" si="12"/>
        <v>90</v>
      </c>
      <c r="B119" s="50" t="s">
        <v>219</v>
      </c>
      <c r="C119" s="92" t="s">
        <v>111</v>
      </c>
      <c r="D119" s="136"/>
      <c r="E119" s="140">
        <v>0</v>
      </c>
      <c r="F119" s="136">
        <v>57070</v>
      </c>
      <c r="G119" s="137">
        <v>-202486</v>
      </c>
      <c r="H119" s="138">
        <f t="shared" si="9"/>
        <v>8475102</v>
      </c>
      <c r="I119" s="95"/>
      <c r="J119" s="139">
        <v>428821</v>
      </c>
      <c r="K119" s="76">
        <f t="shared" si="11"/>
        <v>-449420</v>
      </c>
      <c r="L119" s="95"/>
      <c r="M119" s="139">
        <v>0</v>
      </c>
      <c r="N119" s="139">
        <f t="shared" si="14"/>
        <v>0</v>
      </c>
      <c r="O119" s="85" t="str">
        <f t="shared" si="15"/>
        <v>Apr-24</v>
      </c>
      <c r="P119" s="76">
        <f t="shared" si="8"/>
        <v>-651906</v>
      </c>
    </row>
    <row r="120" spans="1:16" ht="12.75" customHeight="1">
      <c r="A120" s="27">
        <f t="shared" si="12"/>
        <v>91</v>
      </c>
      <c r="B120" s="50" t="s">
        <v>220</v>
      </c>
      <c r="C120" s="92" t="s">
        <v>111</v>
      </c>
      <c r="D120" s="136"/>
      <c r="E120" s="140">
        <v>0</v>
      </c>
      <c r="F120" s="136">
        <v>56084</v>
      </c>
      <c r="G120" s="137">
        <v>-202486</v>
      </c>
      <c r="H120" s="138">
        <f t="shared" si="9"/>
        <v>8328700</v>
      </c>
      <c r="I120" s="95"/>
      <c r="J120" s="139">
        <v>377358.6</v>
      </c>
      <c r="K120" s="76">
        <f t="shared" si="11"/>
        <v>-574395</v>
      </c>
      <c r="L120" s="95"/>
      <c r="M120" s="139">
        <v>0</v>
      </c>
      <c r="N120" s="139">
        <f t="shared" si="14"/>
        <v>0</v>
      </c>
      <c r="O120" s="85" t="str">
        <f t="shared" si="15"/>
        <v>May-24</v>
      </c>
      <c r="P120" s="76">
        <f t="shared" si="8"/>
        <v>-776881</v>
      </c>
    </row>
    <row r="121" spans="1:16" ht="12.75" customHeight="1">
      <c r="A121" s="27">
        <f t="shared" si="12"/>
        <v>92</v>
      </c>
      <c r="B121" s="50" t="s">
        <v>221</v>
      </c>
      <c r="C121" s="92" t="s">
        <v>111</v>
      </c>
      <c r="D121" s="136"/>
      <c r="E121" s="140">
        <v>0</v>
      </c>
      <c r="F121" s="136">
        <v>55092</v>
      </c>
      <c r="G121" s="137">
        <v>-202486</v>
      </c>
      <c r="H121" s="138">
        <f t="shared" si="9"/>
        <v>8181306</v>
      </c>
      <c r="I121" s="95"/>
      <c r="J121" s="139">
        <v>609051.43000000005</v>
      </c>
      <c r="K121" s="76">
        <f t="shared" si="11"/>
        <v>-428821</v>
      </c>
      <c r="L121" s="95"/>
      <c r="M121" s="139">
        <v>0</v>
      </c>
      <c r="N121" s="139">
        <f t="shared" si="14"/>
        <v>0</v>
      </c>
      <c r="O121" s="85" t="str">
        <f t="shared" si="15"/>
        <v>Jun-24</v>
      </c>
      <c r="P121" s="76">
        <f t="shared" si="8"/>
        <v>-631307</v>
      </c>
    </row>
    <row r="122" spans="1:16" ht="12.75" customHeight="1">
      <c r="A122" s="27">
        <f t="shared" si="12"/>
        <v>93</v>
      </c>
      <c r="B122" s="50" t="s">
        <v>222</v>
      </c>
      <c r="C122" s="92" t="s">
        <v>111</v>
      </c>
      <c r="D122" s="136"/>
      <c r="E122" s="140">
        <v>0</v>
      </c>
      <c r="F122" s="136">
        <v>54093</v>
      </c>
      <c r="G122" s="137">
        <v>-202486</v>
      </c>
      <c r="H122" s="138">
        <f t="shared" si="9"/>
        <v>8032913</v>
      </c>
      <c r="I122" s="95"/>
      <c r="J122" s="139">
        <v>572002</v>
      </c>
      <c r="K122" s="76">
        <f t="shared" si="11"/>
        <v>-377358.6</v>
      </c>
      <c r="L122" s="95"/>
      <c r="M122" s="139">
        <v>0</v>
      </c>
      <c r="N122" s="139">
        <f t="shared" si="14"/>
        <v>0</v>
      </c>
      <c r="O122" s="85" t="str">
        <f t="shared" si="15"/>
        <v>Jul-24</v>
      </c>
      <c r="P122" s="76">
        <f t="shared" si="8"/>
        <v>-579844.6</v>
      </c>
    </row>
    <row r="123" spans="1:16" ht="12.75" customHeight="1">
      <c r="A123" s="27">
        <f t="shared" si="12"/>
        <v>94</v>
      </c>
      <c r="B123" s="50" t="s">
        <v>223</v>
      </c>
      <c r="C123" s="92" t="s">
        <v>111</v>
      </c>
      <c r="D123" s="136"/>
      <c r="E123" s="140">
        <v>0</v>
      </c>
      <c r="F123" s="136">
        <v>53087</v>
      </c>
      <c r="G123" s="137">
        <v>-202486</v>
      </c>
      <c r="H123" s="138">
        <f t="shared" si="9"/>
        <v>7883514</v>
      </c>
      <c r="I123" s="95"/>
      <c r="J123" s="139">
        <v>518268</v>
      </c>
      <c r="K123" s="76">
        <f t="shared" si="11"/>
        <v>-609051.43000000005</v>
      </c>
      <c r="L123" s="95"/>
      <c r="M123" s="139">
        <v>0</v>
      </c>
      <c r="N123" s="139">
        <f t="shared" si="14"/>
        <v>0</v>
      </c>
      <c r="O123" s="85" t="str">
        <f t="shared" si="15"/>
        <v>Aug-24</v>
      </c>
      <c r="P123" s="76">
        <f t="shared" si="8"/>
        <v>-811537.43</v>
      </c>
    </row>
    <row r="124" spans="1:16" ht="12.75" customHeight="1">
      <c r="A124" s="27">
        <f t="shared" si="12"/>
        <v>95</v>
      </c>
      <c r="B124" s="50" t="s">
        <v>224</v>
      </c>
      <c r="C124" s="92" t="s">
        <v>111</v>
      </c>
      <c r="D124" s="136"/>
      <c r="E124" s="140">
        <v>0</v>
      </c>
      <c r="F124" s="136">
        <v>52074</v>
      </c>
      <c r="G124" s="137">
        <v>-202486</v>
      </c>
      <c r="H124" s="138">
        <f t="shared" si="9"/>
        <v>7733102</v>
      </c>
      <c r="I124" s="95"/>
      <c r="J124" s="139">
        <v>437515</v>
      </c>
      <c r="K124" s="76">
        <f t="shared" si="11"/>
        <v>-572002</v>
      </c>
      <c r="L124" s="95"/>
      <c r="M124" s="139">
        <v>0</v>
      </c>
      <c r="N124" s="139">
        <f t="shared" si="14"/>
        <v>0</v>
      </c>
      <c r="O124" s="85" t="str">
        <f t="shared" si="15"/>
        <v>Sep-24</v>
      </c>
      <c r="P124" s="76">
        <f t="shared" si="8"/>
        <v>-774488</v>
      </c>
    </row>
    <row r="125" spans="1:16" ht="12.75" customHeight="1">
      <c r="A125" s="27">
        <f t="shared" si="12"/>
        <v>96</v>
      </c>
      <c r="B125" s="50" t="s">
        <v>225</v>
      </c>
      <c r="C125" s="92" t="s">
        <v>111</v>
      </c>
      <c r="D125" s="136"/>
      <c r="E125" s="140">
        <v>0</v>
      </c>
      <c r="F125" s="136">
        <v>51054</v>
      </c>
      <c r="G125" s="137">
        <v>-202486</v>
      </c>
      <c r="H125" s="138">
        <f t="shared" si="9"/>
        <v>7581670</v>
      </c>
      <c r="I125" s="95"/>
      <c r="J125" s="139">
        <v>355836.08</v>
      </c>
      <c r="K125" s="76">
        <f t="shared" si="11"/>
        <v>-518268</v>
      </c>
      <c r="L125" s="95"/>
      <c r="M125" s="139">
        <v>0</v>
      </c>
      <c r="N125" s="139">
        <f t="shared" si="14"/>
        <v>0</v>
      </c>
      <c r="O125" s="85" t="str">
        <f t="shared" si="15"/>
        <v>Oct-24</v>
      </c>
      <c r="P125" s="76">
        <f t="shared" si="8"/>
        <v>-720754</v>
      </c>
    </row>
    <row r="126" spans="1:16" ht="12.75" customHeight="1">
      <c r="A126" s="27">
        <f t="shared" si="12"/>
        <v>97</v>
      </c>
      <c r="B126" s="50" t="s">
        <v>226</v>
      </c>
      <c r="C126" s="92" t="s">
        <v>111</v>
      </c>
      <c r="D126" s="136"/>
      <c r="E126" s="140">
        <v>0</v>
      </c>
      <c r="F126" s="136">
        <v>50027</v>
      </c>
      <c r="G126" s="137">
        <v>-202486</v>
      </c>
      <c r="H126" s="138">
        <f t="shared" si="9"/>
        <v>7429211</v>
      </c>
      <c r="I126" s="95"/>
      <c r="J126" s="139">
        <v>401711.04</v>
      </c>
      <c r="K126" s="76">
        <f t="shared" si="11"/>
        <v>-437515</v>
      </c>
      <c r="L126" s="95"/>
      <c r="M126" s="139">
        <v>0</v>
      </c>
      <c r="N126" s="139">
        <f t="shared" si="14"/>
        <v>0</v>
      </c>
      <c r="O126" s="85" t="str">
        <f t="shared" si="15"/>
        <v>Nov-24</v>
      </c>
      <c r="P126" s="76">
        <f t="shared" si="8"/>
        <v>-640001</v>
      </c>
    </row>
    <row r="127" spans="1:16" ht="12.75" customHeight="1">
      <c r="A127" s="27">
        <f t="shared" si="12"/>
        <v>98</v>
      </c>
      <c r="B127" s="50" t="s">
        <v>227</v>
      </c>
      <c r="C127" s="92" t="s">
        <v>111</v>
      </c>
      <c r="D127" s="136"/>
      <c r="E127" s="140">
        <v>0</v>
      </c>
      <c r="F127" s="136">
        <v>48994</v>
      </c>
      <c r="G127" s="137">
        <v>-202486</v>
      </c>
      <c r="H127" s="138">
        <f t="shared" si="9"/>
        <v>7275719</v>
      </c>
      <c r="I127" s="95"/>
      <c r="J127" s="139">
        <v>359774.89</v>
      </c>
      <c r="K127" s="76">
        <f t="shared" si="11"/>
        <v>-355836.08</v>
      </c>
      <c r="L127" s="95"/>
      <c r="M127" s="139">
        <v>0</v>
      </c>
      <c r="N127" s="139">
        <f t="shared" si="14"/>
        <v>0</v>
      </c>
      <c r="O127" s="85" t="str">
        <f t="shared" si="15"/>
        <v>Dec-24</v>
      </c>
      <c r="P127" s="76">
        <f t="shared" si="8"/>
        <v>-558322.08000000007</v>
      </c>
    </row>
    <row r="128" spans="1:16" ht="12.75" customHeight="1">
      <c r="A128" s="27">
        <f t="shared" si="12"/>
        <v>99</v>
      </c>
      <c r="B128" s="50" t="s">
        <v>228</v>
      </c>
      <c r="C128" s="92" t="s">
        <v>111</v>
      </c>
      <c r="D128" s="117"/>
      <c r="E128" s="122">
        <v>0</v>
      </c>
      <c r="F128" s="117">
        <v>47953</v>
      </c>
      <c r="G128" s="118">
        <v>-202486</v>
      </c>
      <c r="H128" s="121">
        <f t="shared" si="9"/>
        <v>7121186</v>
      </c>
      <c r="I128" s="77"/>
      <c r="J128" s="34">
        <v>370692.17</v>
      </c>
      <c r="K128" s="36">
        <f t="shared" si="11"/>
        <v>-401711.04</v>
      </c>
      <c r="L128" s="77"/>
      <c r="M128" s="34">
        <v>0</v>
      </c>
      <c r="N128" s="34">
        <f>-M126</f>
        <v>0</v>
      </c>
      <c r="O128" s="85" t="str">
        <f t="shared" si="15"/>
        <v>Jan-25</v>
      </c>
      <c r="P128" s="36">
        <f t="shared" si="8"/>
        <v>-604197.04</v>
      </c>
    </row>
    <row r="129" spans="1:16" ht="12.75" customHeight="1">
      <c r="A129" s="94"/>
      <c r="B129" s="86"/>
      <c r="C129" s="87"/>
      <c r="D129" s="88"/>
      <c r="E129" s="89"/>
      <c r="F129" s="88"/>
      <c r="G129" s="109"/>
      <c r="H129" s="110"/>
      <c r="J129" s="90"/>
      <c r="K129" s="91"/>
      <c r="L129" s="84"/>
      <c r="M129" s="149"/>
      <c r="N129" s="150"/>
      <c r="O129" s="85"/>
      <c r="P129" s="91"/>
    </row>
    <row r="130" spans="1:16" ht="12.75" customHeight="1">
      <c r="A130" s="5"/>
      <c r="B130" s="78"/>
      <c r="C130" s="79"/>
      <c r="D130" s="80"/>
      <c r="E130" s="81"/>
      <c r="F130" s="80"/>
      <c r="G130" s="107"/>
      <c r="H130" s="108"/>
      <c r="J130" s="82"/>
      <c r="K130" s="83"/>
      <c r="L130" s="84"/>
      <c r="M130" s="84"/>
      <c r="N130" s="84"/>
      <c r="O130" s="85"/>
      <c r="P130" s="6" t="s">
        <v>293</v>
      </c>
    </row>
    <row r="131" spans="1:16" ht="12.75" customHeight="1">
      <c r="A131" s="5"/>
      <c r="B131" s="78"/>
      <c r="C131" s="79"/>
      <c r="D131" s="80"/>
      <c r="E131" s="81"/>
      <c r="F131" s="80"/>
      <c r="G131" s="107"/>
      <c r="H131" s="108"/>
      <c r="J131" s="82"/>
      <c r="K131" s="83"/>
      <c r="L131" s="84"/>
      <c r="M131" s="84"/>
      <c r="N131" s="84"/>
      <c r="O131" s="85"/>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306</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377</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4" t="s">
        <v>302</v>
      </c>
      <c r="E140" s="145"/>
      <c r="F140" s="145"/>
      <c r="G140" s="145"/>
      <c r="H140" s="146"/>
      <c r="J140" s="144" t="s">
        <v>307</v>
      </c>
      <c r="K140" s="146"/>
      <c r="M140" s="144" t="s">
        <v>311</v>
      </c>
      <c r="N140" s="147"/>
    </row>
    <row r="141" spans="1:16" ht="12.75" customHeight="1">
      <c r="A141" s="52"/>
      <c r="B141" s="223"/>
      <c r="C141" s="224"/>
      <c r="D141" s="52"/>
      <c r="E141" s="52"/>
      <c r="F141" s="52"/>
      <c r="G141" s="53" t="s">
        <v>287</v>
      </c>
      <c r="H141" s="52"/>
      <c r="I141" s="9"/>
      <c r="J141" s="104"/>
      <c r="K141" s="105" t="s">
        <v>287</v>
      </c>
      <c r="M141" s="30"/>
      <c r="N141" s="106" t="s">
        <v>287</v>
      </c>
      <c r="P141" s="105" t="s">
        <v>58</v>
      </c>
    </row>
    <row r="142" spans="1:16" ht="12.75" customHeight="1">
      <c r="A142" s="63" t="s">
        <v>123</v>
      </c>
      <c r="B142" s="64" t="s">
        <v>104</v>
      </c>
      <c r="C142" s="65"/>
      <c r="D142" s="63" t="s">
        <v>105</v>
      </c>
      <c r="E142" s="63" t="s">
        <v>106</v>
      </c>
      <c r="F142" s="63" t="s">
        <v>107</v>
      </c>
      <c r="G142" s="106" t="s">
        <v>288</v>
      </c>
      <c r="H142" s="63" t="s">
        <v>109</v>
      </c>
      <c r="I142" s="9"/>
      <c r="J142" s="63" t="s">
        <v>105</v>
      </c>
      <c r="K142" s="106" t="s">
        <v>289</v>
      </c>
      <c r="L142" s="142"/>
      <c r="M142" s="63" t="s">
        <v>105</v>
      </c>
      <c r="N142" s="106" t="s">
        <v>304</v>
      </c>
      <c r="P142" s="106" t="s">
        <v>108</v>
      </c>
    </row>
    <row r="143" spans="1:16" ht="12.75" customHeight="1">
      <c r="A143" s="48" t="s">
        <v>36</v>
      </c>
      <c r="B143" s="222" t="s">
        <v>9</v>
      </c>
      <c r="C143" s="222"/>
      <c r="D143" s="62" t="s">
        <v>10</v>
      </c>
      <c r="E143" s="62" t="s">
        <v>11</v>
      </c>
      <c r="F143" s="62" t="s">
        <v>12</v>
      </c>
      <c r="G143" s="62" t="s">
        <v>13</v>
      </c>
      <c r="H143" s="62" t="s">
        <v>14</v>
      </c>
      <c r="J143" s="62" t="s">
        <v>15</v>
      </c>
      <c r="K143" s="62" t="s">
        <v>16</v>
      </c>
      <c r="L143" s="58"/>
      <c r="M143" s="62" t="s">
        <v>17</v>
      </c>
      <c r="N143" s="62" t="s">
        <v>305</v>
      </c>
      <c r="P143" s="62" t="s">
        <v>308</v>
      </c>
    </row>
    <row r="144" spans="1:16" ht="12.75" customHeight="1">
      <c r="A144" s="27">
        <f>A128+1</f>
        <v>100</v>
      </c>
      <c r="B144" s="50" t="s">
        <v>229</v>
      </c>
      <c r="C144" s="92" t="s">
        <v>111</v>
      </c>
      <c r="D144" s="117"/>
      <c r="E144" s="122">
        <v>0</v>
      </c>
      <c r="F144" s="117">
        <v>46906</v>
      </c>
      <c r="G144" s="118">
        <v>-202486</v>
      </c>
      <c r="H144" s="121">
        <f>SUM(D144:G144)+H128</f>
        <v>6965606</v>
      </c>
      <c r="I144" s="77"/>
      <c r="J144" s="34">
        <v>117683.7</v>
      </c>
      <c r="K144" s="36">
        <f>-J127</f>
        <v>-359774.89</v>
      </c>
      <c r="L144" s="77"/>
      <c r="M144" s="117">
        <v>0</v>
      </c>
      <c r="N144" s="151">
        <f>-M127</f>
        <v>0</v>
      </c>
      <c r="O144" s="85" t="str">
        <f t="shared" ref="O144:O183" si="16">B144</f>
        <v>Feb-25</v>
      </c>
      <c r="P144" s="36">
        <f t="shared" ref="P144:P183" si="17">K144+G144+N144</f>
        <v>-562260.89</v>
      </c>
    </row>
    <row r="145" spans="1:16" ht="12.75" customHeight="1">
      <c r="A145" s="27">
        <f t="shared" si="12"/>
        <v>101</v>
      </c>
      <c r="B145" s="50" t="s">
        <v>230</v>
      </c>
      <c r="C145" s="92" t="s">
        <v>111</v>
      </c>
      <c r="D145" s="136"/>
      <c r="E145" s="140">
        <v>0</v>
      </c>
      <c r="F145" s="136">
        <v>45851</v>
      </c>
      <c r="G145" s="137">
        <v>-202486</v>
      </c>
      <c r="H145" s="138">
        <f t="shared" si="9"/>
        <v>6808971</v>
      </c>
      <c r="I145" s="95"/>
      <c r="J145" s="139">
        <v>632551.73</v>
      </c>
      <c r="K145" s="76">
        <f>-J128</f>
        <v>-370692.17</v>
      </c>
      <c r="L145" s="95"/>
      <c r="M145" s="139">
        <v>0</v>
      </c>
      <c r="N145" s="76">
        <f>-M128</f>
        <v>0</v>
      </c>
      <c r="O145" s="85" t="str">
        <f t="shared" si="16"/>
        <v>Mar-25</v>
      </c>
      <c r="P145" s="76">
        <f t="shared" si="17"/>
        <v>-573178.16999999993</v>
      </c>
    </row>
    <row r="146" spans="1:16" ht="12.75" customHeight="1">
      <c r="A146" s="27">
        <f t="shared" si="12"/>
        <v>102</v>
      </c>
      <c r="B146" s="50" t="s">
        <v>231</v>
      </c>
      <c r="C146" s="92" t="s">
        <v>111</v>
      </c>
      <c r="D146" s="136"/>
      <c r="E146" s="140">
        <v>0</v>
      </c>
      <c r="F146" s="136">
        <v>44789</v>
      </c>
      <c r="G146" s="137">
        <v>-202486</v>
      </c>
      <c r="H146" s="138">
        <f t="shared" si="9"/>
        <v>6651274</v>
      </c>
      <c r="I146" s="95"/>
      <c r="J146" s="139">
        <v>387030.08199999999</v>
      </c>
      <c r="K146" s="76">
        <f t="shared" si="11"/>
        <v>-117683.7</v>
      </c>
      <c r="L146" s="95"/>
      <c r="M146" s="139">
        <v>0</v>
      </c>
      <c r="N146" s="76">
        <f>-M144</f>
        <v>0</v>
      </c>
      <c r="O146" s="85" t="str">
        <f t="shared" si="16"/>
        <v>Apr-25</v>
      </c>
      <c r="P146" s="76">
        <f t="shared" si="17"/>
        <v>-320169.7</v>
      </c>
    </row>
    <row r="147" spans="1:16" ht="12.75" customHeight="1">
      <c r="A147" s="27">
        <f t="shared" si="12"/>
        <v>103</v>
      </c>
      <c r="B147" s="50" t="s">
        <v>232</v>
      </c>
      <c r="C147" s="92" t="s">
        <v>111</v>
      </c>
      <c r="D147" s="136"/>
      <c r="E147" s="140">
        <v>0</v>
      </c>
      <c r="F147" s="136">
        <v>43720</v>
      </c>
      <c r="G147" s="137">
        <v>-202486</v>
      </c>
      <c r="H147" s="138">
        <f t="shared" si="9"/>
        <v>6492508</v>
      </c>
      <c r="I147" s="95"/>
      <c r="J147" s="139">
        <v>595042.91</v>
      </c>
      <c r="K147" s="76">
        <f t="shared" si="11"/>
        <v>-632551.73</v>
      </c>
      <c r="L147" s="95"/>
      <c r="M147" s="139">
        <v>0</v>
      </c>
      <c r="N147" s="76">
        <f t="shared" ref="N147:N183" si="18">-M145</f>
        <v>0</v>
      </c>
      <c r="O147" s="85" t="str">
        <f t="shared" si="16"/>
        <v>May-25</v>
      </c>
      <c r="P147" s="76">
        <f t="shared" si="17"/>
        <v>-835037.73</v>
      </c>
    </row>
    <row r="148" spans="1:16" ht="12.75" customHeight="1">
      <c r="A148" s="27">
        <f t="shared" si="12"/>
        <v>104</v>
      </c>
      <c r="B148" s="50" t="s">
        <v>233</v>
      </c>
      <c r="C148" s="92" t="s">
        <v>111</v>
      </c>
      <c r="D148" s="136"/>
      <c r="E148" s="140">
        <v>0</v>
      </c>
      <c r="F148" s="136">
        <v>42643</v>
      </c>
      <c r="G148" s="137">
        <v>-202486</v>
      </c>
      <c r="H148" s="138">
        <f t="shared" si="9"/>
        <v>6332665</v>
      </c>
      <c r="I148" s="95"/>
      <c r="J148" s="139">
        <v>0</v>
      </c>
      <c r="K148" s="76">
        <f t="shared" si="11"/>
        <v>-387030.08199999999</v>
      </c>
      <c r="L148" s="95"/>
      <c r="M148" s="139">
        <v>0</v>
      </c>
      <c r="N148" s="76">
        <f t="shared" si="18"/>
        <v>0</v>
      </c>
      <c r="O148" s="85" t="str">
        <f t="shared" si="16"/>
        <v>Jun-25</v>
      </c>
      <c r="P148" s="76">
        <f t="shared" si="17"/>
        <v>-589516.08199999994</v>
      </c>
    </row>
    <row r="149" spans="1:16" ht="12.75" customHeight="1">
      <c r="A149" s="27">
        <f t="shared" si="12"/>
        <v>105</v>
      </c>
      <c r="B149" s="50" t="s">
        <v>234</v>
      </c>
      <c r="C149" s="92" t="s">
        <v>111</v>
      </c>
      <c r="D149" s="136"/>
      <c r="E149" s="140">
        <v>0</v>
      </c>
      <c r="F149" s="136">
        <v>41560</v>
      </c>
      <c r="G149" s="137">
        <v>-202486</v>
      </c>
      <c r="H149" s="138">
        <f t="shared" si="9"/>
        <v>6171739</v>
      </c>
      <c r="I149" s="95"/>
      <c r="J149" s="139">
        <v>0</v>
      </c>
      <c r="K149" s="76">
        <f t="shared" si="11"/>
        <v>-595042.91</v>
      </c>
      <c r="L149" s="95"/>
      <c r="M149" s="139">
        <v>0</v>
      </c>
      <c r="N149" s="76">
        <f t="shared" si="18"/>
        <v>0</v>
      </c>
      <c r="O149" s="85" t="str">
        <f t="shared" si="16"/>
        <v>Jul-25</v>
      </c>
      <c r="P149" s="76">
        <f t="shared" si="17"/>
        <v>-797528.91</v>
      </c>
    </row>
    <row r="150" spans="1:16" ht="12.75" customHeight="1">
      <c r="A150" s="27">
        <f t="shared" si="12"/>
        <v>106</v>
      </c>
      <c r="B150" s="50" t="s">
        <v>235</v>
      </c>
      <c r="C150" s="92" t="s">
        <v>111</v>
      </c>
      <c r="D150" s="136"/>
      <c r="E150" s="140">
        <v>0</v>
      </c>
      <c r="F150" s="136">
        <v>40469</v>
      </c>
      <c r="G150" s="137">
        <v>-202486</v>
      </c>
      <c r="H150" s="138">
        <f t="shared" si="9"/>
        <v>6009722</v>
      </c>
      <c r="I150" s="95"/>
      <c r="J150" s="139">
        <v>0</v>
      </c>
      <c r="K150" s="76">
        <f t="shared" si="11"/>
        <v>0</v>
      </c>
      <c r="L150" s="95"/>
      <c r="M150" s="139">
        <v>0</v>
      </c>
      <c r="N150" s="76">
        <f t="shared" si="18"/>
        <v>0</v>
      </c>
      <c r="O150" s="85" t="str">
        <f t="shared" si="16"/>
        <v>Aug-25</v>
      </c>
      <c r="P150" s="76">
        <f t="shared" si="17"/>
        <v>-202486</v>
      </c>
    </row>
    <row r="151" spans="1:16" ht="12.75" customHeight="1">
      <c r="A151" s="27">
        <f t="shared" si="12"/>
        <v>107</v>
      </c>
      <c r="B151" s="50" t="s">
        <v>236</v>
      </c>
      <c r="C151" s="92" t="s">
        <v>111</v>
      </c>
      <c r="D151" s="136"/>
      <c r="E151" s="140">
        <v>0</v>
      </c>
      <c r="F151" s="136">
        <v>39370</v>
      </c>
      <c r="G151" s="137">
        <v>-202486</v>
      </c>
      <c r="H151" s="138">
        <f t="shared" si="9"/>
        <v>5846606</v>
      </c>
      <c r="I151" s="95"/>
      <c r="J151" s="139">
        <v>0</v>
      </c>
      <c r="K151" s="76">
        <f t="shared" si="11"/>
        <v>0</v>
      </c>
      <c r="L151" s="95"/>
      <c r="M151" s="139">
        <v>0</v>
      </c>
      <c r="N151" s="76">
        <f t="shared" si="18"/>
        <v>0</v>
      </c>
      <c r="O151" s="85" t="str">
        <f t="shared" si="16"/>
        <v>Sep-25</v>
      </c>
      <c r="P151" s="76">
        <f t="shared" si="17"/>
        <v>-202486</v>
      </c>
    </row>
    <row r="152" spans="1:16" ht="12.75" customHeight="1">
      <c r="A152" s="27">
        <f t="shared" si="12"/>
        <v>108</v>
      </c>
      <c r="B152" s="50" t="s">
        <v>237</v>
      </c>
      <c r="C152" s="92" t="s">
        <v>111</v>
      </c>
      <c r="D152" s="136"/>
      <c r="E152" s="140">
        <v>0</v>
      </c>
      <c r="F152" s="136">
        <v>38265</v>
      </c>
      <c r="G152" s="137">
        <v>-202486</v>
      </c>
      <c r="H152" s="138">
        <f t="shared" si="9"/>
        <v>5682385</v>
      </c>
      <c r="I152" s="95"/>
      <c r="J152" s="139">
        <v>0</v>
      </c>
      <c r="K152" s="76">
        <f t="shared" si="11"/>
        <v>0</v>
      </c>
      <c r="L152" s="95"/>
      <c r="M152" s="139">
        <v>0</v>
      </c>
      <c r="N152" s="76">
        <f t="shared" si="18"/>
        <v>0</v>
      </c>
      <c r="O152" s="85" t="str">
        <f t="shared" si="16"/>
        <v>Oct-25</v>
      </c>
      <c r="P152" s="76">
        <f t="shared" si="17"/>
        <v>-202486</v>
      </c>
    </row>
    <row r="153" spans="1:16" ht="12.75" customHeight="1">
      <c r="A153" s="27">
        <f t="shared" si="12"/>
        <v>109</v>
      </c>
      <c r="B153" s="50" t="s">
        <v>238</v>
      </c>
      <c r="C153" s="92" t="s">
        <v>111</v>
      </c>
      <c r="D153" s="136"/>
      <c r="E153" s="140">
        <v>0</v>
      </c>
      <c r="F153" s="136">
        <v>37151</v>
      </c>
      <c r="G153" s="137">
        <v>-202486</v>
      </c>
      <c r="H153" s="138">
        <f t="shared" si="9"/>
        <v>5517050</v>
      </c>
      <c r="I153" s="95"/>
      <c r="J153" s="139">
        <v>0</v>
      </c>
      <c r="K153" s="76">
        <f t="shared" si="11"/>
        <v>0</v>
      </c>
      <c r="L153" s="95"/>
      <c r="M153" s="139">
        <v>0</v>
      </c>
      <c r="N153" s="76">
        <f t="shared" si="18"/>
        <v>0</v>
      </c>
      <c r="O153" s="85" t="str">
        <f t="shared" si="16"/>
        <v>Nov-25</v>
      </c>
      <c r="P153" s="76">
        <f t="shared" si="17"/>
        <v>-202486</v>
      </c>
    </row>
    <row r="154" spans="1:16" ht="12.75" customHeight="1">
      <c r="A154" s="27">
        <f t="shared" si="12"/>
        <v>110</v>
      </c>
      <c r="B154" s="50" t="s">
        <v>239</v>
      </c>
      <c r="C154" s="92" t="s">
        <v>111</v>
      </c>
      <c r="D154" s="136"/>
      <c r="E154" s="140">
        <v>0</v>
      </c>
      <c r="F154" s="136">
        <v>36030</v>
      </c>
      <c r="G154" s="137">
        <v>-202486</v>
      </c>
      <c r="H154" s="138">
        <f t="shared" si="9"/>
        <v>5350594</v>
      </c>
      <c r="I154" s="95"/>
      <c r="J154" s="139">
        <v>0</v>
      </c>
      <c r="K154" s="76">
        <f t="shared" si="11"/>
        <v>0</v>
      </c>
      <c r="L154" s="95"/>
      <c r="M154" s="139">
        <v>0</v>
      </c>
      <c r="N154" s="76">
        <f t="shared" si="18"/>
        <v>0</v>
      </c>
      <c r="O154" s="85" t="str">
        <f t="shared" si="16"/>
        <v>Dec-25</v>
      </c>
      <c r="P154" s="76">
        <f t="shared" si="17"/>
        <v>-202486</v>
      </c>
    </row>
    <row r="155" spans="1:16" ht="12.75" customHeight="1">
      <c r="A155" s="27">
        <f t="shared" si="12"/>
        <v>111</v>
      </c>
      <c r="B155" s="50" t="s">
        <v>240</v>
      </c>
      <c r="C155" s="92" t="s">
        <v>111</v>
      </c>
      <c r="D155" s="136"/>
      <c r="E155" s="140">
        <v>0</v>
      </c>
      <c r="F155" s="136">
        <v>34902</v>
      </c>
      <c r="G155" s="137">
        <v>-202486</v>
      </c>
      <c r="H155" s="138">
        <f t="shared" si="9"/>
        <v>5183010</v>
      </c>
      <c r="I155" s="95"/>
      <c r="J155" s="139">
        <v>0</v>
      </c>
      <c r="K155" s="76">
        <f t="shared" si="11"/>
        <v>0</v>
      </c>
      <c r="L155" s="95"/>
      <c r="M155" s="139">
        <v>0</v>
      </c>
      <c r="N155" s="76">
        <f t="shared" si="18"/>
        <v>0</v>
      </c>
      <c r="O155" s="85" t="str">
        <f t="shared" si="16"/>
        <v>Jan-26</v>
      </c>
      <c r="P155" s="76">
        <f t="shared" si="17"/>
        <v>-202486</v>
      </c>
    </row>
    <row r="156" spans="1:16" ht="12.75" customHeight="1">
      <c r="A156" s="27">
        <f t="shared" si="12"/>
        <v>112</v>
      </c>
      <c r="B156" s="50" t="s">
        <v>241</v>
      </c>
      <c r="C156" s="92" t="s">
        <v>111</v>
      </c>
      <c r="D156" s="136"/>
      <c r="E156" s="140">
        <v>0</v>
      </c>
      <c r="F156" s="136">
        <v>33766</v>
      </c>
      <c r="G156" s="137">
        <v>-202486</v>
      </c>
      <c r="H156" s="138">
        <f t="shared" si="9"/>
        <v>5014290</v>
      </c>
      <c r="I156" s="95"/>
      <c r="J156" s="139">
        <v>0</v>
      </c>
      <c r="K156" s="76">
        <f t="shared" si="11"/>
        <v>0</v>
      </c>
      <c r="L156" s="95"/>
      <c r="M156" s="139">
        <v>0</v>
      </c>
      <c r="N156" s="76">
        <f t="shared" si="18"/>
        <v>0</v>
      </c>
      <c r="O156" s="85" t="str">
        <f t="shared" si="16"/>
        <v>Feb-26</v>
      </c>
      <c r="P156" s="76">
        <f t="shared" si="17"/>
        <v>-202486</v>
      </c>
    </row>
    <row r="157" spans="1:16" ht="12.75" customHeight="1">
      <c r="A157" s="27">
        <f t="shared" si="12"/>
        <v>113</v>
      </c>
      <c r="B157" s="50" t="s">
        <v>242</v>
      </c>
      <c r="C157" s="92" t="s">
        <v>111</v>
      </c>
      <c r="D157" s="136"/>
      <c r="E157" s="140">
        <v>0</v>
      </c>
      <c r="F157" s="136">
        <v>32622</v>
      </c>
      <c r="G157" s="137">
        <v>-202486</v>
      </c>
      <c r="H157" s="138">
        <f t="shared" si="9"/>
        <v>4844426</v>
      </c>
      <c r="I157" s="95"/>
      <c r="J157" s="139">
        <v>0</v>
      </c>
      <c r="K157" s="76">
        <f t="shared" si="11"/>
        <v>0</v>
      </c>
      <c r="L157" s="95"/>
      <c r="M157" s="139">
        <v>0</v>
      </c>
      <c r="N157" s="76">
        <f t="shared" si="18"/>
        <v>0</v>
      </c>
      <c r="O157" s="85" t="str">
        <f t="shared" si="16"/>
        <v>Mar-26</v>
      </c>
      <c r="P157" s="76">
        <f t="shared" si="17"/>
        <v>-202486</v>
      </c>
    </row>
    <row r="158" spans="1:16" ht="12.75" customHeight="1">
      <c r="A158" s="27">
        <f t="shared" si="12"/>
        <v>114</v>
      </c>
      <c r="B158" s="50" t="s">
        <v>243</v>
      </c>
      <c r="C158" s="92" t="s">
        <v>111</v>
      </c>
      <c r="D158" s="136"/>
      <c r="E158" s="140">
        <v>0</v>
      </c>
      <c r="F158" s="136">
        <v>31470</v>
      </c>
      <c r="G158" s="137">
        <v>-202486</v>
      </c>
      <c r="H158" s="138">
        <f t="shared" si="9"/>
        <v>4673410</v>
      </c>
      <c r="I158" s="95"/>
      <c r="J158" s="139">
        <v>0</v>
      </c>
      <c r="K158" s="76">
        <f t="shared" si="11"/>
        <v>0</v>
      </c>
      <c r="L158" s="95"/>
      <c r="M158" s="139">
        <v>0</v>
      </c>
      <c r="N158" s="76">
        <f t="shared" si="18"/>
        <v>0</v>
      </c>
      <c r="O158" s="85" t="str">
        <f t="shared" si="16"/>
        <v>Apr-26</v>
      </c>
      <c r="P158" s="76">
        <f t="shared" si="17"/>
        <v>-202486</v>
      </c>
    </row>
    <row r="159" spans="1:16" ht="12.75" customHeight="1">
      <c r="A159" s="27">
        <f t="shared" si="12"/>
        <v>115</v>
      </c>
      <c r="B159" s="50" t="s">
        <v>244</v>
      </c>
      <c r="C159" s="92" t="s">
        <v>111</v>
      </c>
      <c r="D159" s="136"/>
      <c r="E159" s="140">
        <v>0</v>
      </c>
      <c r="F159" s="136">
        <v>30311</v>
      </c>
      <c r="G159" s="137">
        <v>-202486</v>
      </c>
      <c r="H159" s="138">
        <f t="shared" si="9"/>
        <v>4501235</v>
      </c>
      <c r="I159" s="95"/>
      <c r="J159" s="139">
        <v>0</v>
      </c>
      <c r="K159" s="76">
        <f t="shared" si="11"/>
        <v>0</v>
      </c>
      <c r="L159" s="95"/>
      <c r="M159" s="139">
        <v>0</v>
      </c>
      <c r="N159" s="76">
        <f t="shared" si="18"/>
        <v>0</v>
      </c>
      <c r="O159" s="85" t="str">
        <f t="shared" si="16"/>
        <v>May-26</v>
      </c>
      <c r="P159" s="76">
        <f t="shared" si="17"/>
        <v>-202486</v>
      </c>
    </row>
    <row r="160" spans="1:16" ht="12.75" customHeight="1">
      <c r="A160" s="27">
        <f t="shared" si="12"/>
        <v>116</v>
      </c>
      <c r="B160" s="50" t="s">
        <v>245</v>
      </c>
      <c r="C160" s="92" t="s">
        <v>111</v>
      </c>
      <c r="D160" s="136"/>
      <c r="E160" s="140">
        <v>0</v>
      </c>
      <c r="F160" s="136">
        <v>29144</v>
      </c>
      <c r="G160" s="137">
        <v>-202486</v>
      </c>
      <c r="H160" s="138">
        <f t="shared" si="9"/>
        <v>4327893</v>
      </c>
      <c r="I160" s="95"/>
      <c r="J160" s="139">
        <v>0</v>
      </c>
      <c r="K160" s="76">
        <f t="shared" si="11"/>
        <v>0</v>
      </c>
      <c r="L160" s="95"/>
      <c r="M160" s="139">
        <v>0</v>
      </c>
      <c r="N160" s="76">
        <f t="shared" si="18"/>
        <v>0</v>
      </c>
      <c r="O160" s="85" t="str">
        <f t="shared" si="16"/>
        <v>Jun-26</v>
      </c>
      <c r="P160" s="76">
        <f t="shared" si="17"/>
        <v>-202486</v>
      </c>
    </row>
    <row r="161" spans="1:16" ht="12.75" customHeight="1">
      <c r="A161" s="27">
        <f t="shared" si="12"/>
        <v>117</v>
      </c>
      <c r="B161" s="50" t="s">
        <v>246</v>
      </c>
      <c r="C161" s="92" t="s">
        <v>111</v>
      </c>
      <c r="D161" s="136"/>
      <c r="E161" s="140">
        <v>0</v>
      </c>
      <c r="F161" s="136">
        <v>27968</v>
      </c>
      <c r="G161" s="137">
        <v>-202486</v>
      </c>
      <c r="H161" s="138">
        <f t="shared" si="9"/>
        <v>4153375</v>
      </c>
      <c r="I161" s="95"/>
      <c r="J161" s="139">
        <v>0</v>
      </c>
      <c r="K161" s="76">
        <f t="shared" si="11"/>
        <v>0</v>
      </c>
      <c r="L161" s="95"/>
      <c r="M161" s="139">
        <v>0</v>
      </c>
      <c r="N161" s="76">
        <f t="shared" si="18"/>
        <v>0</v>
      </c>
      <c r="O161" s="85" t="str">
        <f t="shared" si="16"/>
        <v>Jul-26</v>
      </c>
      <c r="P161" s="76">
        <f t="shared" si="17"/>
        <v>-202486</v>
      </c>
    </row>
    <row r="162" spans="1:16" ht="12.75" customHeight="1">
      <c r="A162" s="27">
        <f t="shared" si="12"/>
        <v>118</v>
      </c>
      <c r="B162" s="50" t="s">
        <v>247</v>
      </c>
      <c r="C162" s="92" t="s">
        <v>111</v>
      </c>
      <c r="D162" s="136"/>
      <c r="E162" s="140">
        <v>0</v>
      </c>
      <c r="F162" s="136">
        <v>26785</v>
      </c>
      <c r="G162" s="137">
        <v>-202486</v>
      </c>
      <c r="H162" s="138">
        <f t="shared" si="9"/>
        <v>3977674</v>
      </c>
      <c r="I162" s="95"/>
      <c r="J162" s="139">
        <v>0</v>
      </c>
      <c r="K162" s="76">
        <f t="shared" si="11"/>
        <v>0</v>
      </c>
      <c r="L162" s="95"/>
      <c r="M162" s="139">
        <v>0</v>
      </c>
      <c r="N162" s="76">
        <f t="shared" si="18"/>
        <v>0</v>
      </c>
      <c r="O162" s="85" t="str">
        <f t="shared" si="16"/>
        <v>Aug-26</v>
      </c>
      <c r="P162" s="76">
        <f t="shared" si="17"/>
        <v>-202486</v>
      </c>
    </row>
    <row r="163" spans="1:16" ht="12.75" customHeight="1">
      <c r="A163" s="27">
        <f t="shared" si="12"/>
        <v>119</v>
      </c>
      <c r="B163" s="50" t="s">
        <v>248</v>
      </c>
      <c r="C163" s="92" t="s">
        <v>111</v>
      </c>
      <c r="D163" s="136"/>
      <c r="E163" s="140">
        <v>0</v>
      </c>
      <c r="F163" s="136">
        <v>25594</v>
      </c>
      <c r="G163" s="137">
        <v>-202486</v>
      </c>
      <c r="H163" s="138">
        <f t="shared" si="9"/>
        <v>3800782</v>
      </c>
      <c r="I163" s="95"/>
      <c r="J163" s="139">
        <v>0</v>
      </c>
      <c r="K163" s="76">
        <f t="shared" si="11"/>
        <v>0</v>
      </c>
      <c r="L163" s="95"/>
      <c r="M163" s="139">
        <v>0</v>
      </c>
      <c r="N163" s="76">
        <f t="shared" si="18"/>
        <v>0</v>
      </c>
      <c r="O163" s="85" t="str">
        <f t="shared" si="16"/>
        <v>Sep-26</v>
      </c>
      <c r="P163" s="76">
        <f t="shared" si="17"/>
        <v>-202486</v>
      </c>
    </row>
    <row r="164" spans="1:16" ht="12.75" customHeight="1">
      <c r="A164" s="27">
        <f t="shared" si="12"/>
        <v>120</v>
      </c>
      <c r="B164" s="50" t="s">
        <v>249</v>
      </c>
      <c r="C164" s="92" t="s">
        <v>111</v>
      </c>
      <c r="D164" s="136"/>
      <c r="E164" s="140">
        <v>0</v>
      </c>
      <c r="F164" s="136">
        <v>24395</v>
      </c>
      <c r="G164" s="137">
        <v>-202486</v>
      </c>
      <c r="H164" s="138">
        <f t="shared" si="9"/>
        <v>3622691</v>
      </c>
      <c r="I164" s="95"/>
      <c r="J164" s="139">
        <v>0</v>
      </c>
      <c r="K164" s="76">
        <f t="shared" si="11"/>
        <v>0</v>
      </c>
      <c r="L164" s="95"/>
      <c r="M164" s="139">
        <v>0</v>
      </c>
      <c r="N164" s="76">
        <f t="shared" si="18"/>
        <v>0</v>
      </c>
      <c r="O164" s="85" t="str">
        <f t="shared" si="16"/>
        <v>Oct-26</v>
      </c>
      <c r="P164" s="76">
        <f t="shared" si="17"/>
        <v>-202486</v>
      </c>
    </row>
    <row r="165" spans="1:16" ht="12.75" customHeight="1">
      <c r="A165" s="27">
        <f t="shared" si="12"/>
        <v>121</v>
      </c>
      <c r="B165" s="50" t="s">
        <v>250</v>
      </c>
      <c r="C165" s="92" t="s">
        <v>111</v>
      </c>
      <c r="D165" s="136"/>
      <c r="E165" s="140">
        <v>0</v>
      </c>
      <c r="F165" s="136">
        <v>23188</v>
      </c>
      <c r="G165" s="137">
        <v>-202486</v>
      </c>
      <c r="H165" s="138">
        <f t="shared" si="9"/>
        <v>3443393</v>
      </c>
      <c r="I165" s="95"/>
      <c r="J165" s="139">
        <v>0</v>
      </c>
      <c r="K165" s="76">
        <f t="shared" si="11"/>
        <v>0</v>
      </c>
      <c r="L165" s="95"/>
      <c r="M165" s="139">
        <v>0</v>
      </c>
      <c r="N165" s="76">
        <f t="shared" si="18"/>
        <v>0</v>
      </c>
      <c r="O165" s="85" t="str">
        <f t="shared" si="16"/>
        <v>Nov-26</v>
      </c>
      <c r="P165" s="76">
        <f t="shared" si="17"/>
        <v>-202486</v>
      </c>
    </row>
    <row r="166" spans="1:16" ht="12.75" customHeight="1">
      <c r="A166" s="27">
        <f t="shared" si="12"/>
        <v>122</v>
      </c>
      <c r="B166" s="50" t="s">
        <v>251</v>
      </c>
      <c r="C166" s="92" t="s">
        <v>111</v>
      </c>
      <c r="D166" s="136"/>
      <c r="E166" s="140">
        <v>0</v>
      </c>
      <c r="F166" s="136">
        <v>21972</v>
      </c>
      <c r="G166" s="137">
        <v>-202486</v>
      </c>
      <c r="H166" s="138">
        <f t="shared" si="9"/>
        <v>3262879</v>
      </c>
      <c r="I166" s="95"/>
      <c r="J166" s="139">
        <v>0</v>
      </c>
      <c r="K166" s="76">
        <f t="shared" si="11"/>
        <v>0</v>
      </c>
      <c r="L166" s="95"/>
      <c r="M166" s="139">
        <v>0</v>
      </c>
      <c r="N166" s="76">
        <f t="shared" si="18"/>
        <v>0</v>
      </c>
      <c r="O166" s="85" t="str">
        <f t="shared" si="16"/>
        <v>Dec-26</v>
      </c>
      <c r="P166" s="76">
        <f t="shared" si="17"/>
        <v>-202486</v>
      </c>
    </row>
    <row r="167" spans="1:16" ht="12.75" customHeight="1">
      <c r="A167" s="27">
        <f t="shared" si="12"/>
        <v>123</v>
      </c>
      <c r="B167" s="50" t="s">
        <v>252</v>
      </c>
      <c r="C167" s="92" t="s">
        <v>111</v>
      </c>
      <c r="D167" s="136"/>
      <c r="E167" s="140">
        <v>0</v>
      </c>
      <c r="F167" s="136">
        <v>20748</v>
      </c>
      <c r="G167" s="137">
        <v>-202486</v>
      </c>
      <c r="H167" s="138">
        <f t="shared" si="9"/>
        <v>3081141</v>
      </c>
      <c r="I167" s="95"/>
      <c r="J167" s="139">
        <v>0</v>
      </c>
      <c r="K167" s="76">
        <f t="shared" si="11"/>
        <v>0</v>
      </c>
      <c r="L167" s="95"/>
      <c r="M167" s="139">
        <v>0</v>
      </c>
      <c r="N167" s="76">
        <f t="shared" si="18"/>
        <v>0</v>
      </c>
      <c r="O167" s="85" t="str">
        <f t="shared" si="16"/>
        <v>Jan-27</v>
      </c>
      <c r="P167" s="76">
        <f t="shared" si="17"/>
        <v>-202486</v>
      </c>
    </row>
    <row r="168" spans="1:16" ht="12.75" customHeight="1">
      <c r="A168" s="27">
        <f t="shared" si="12"/>
        <v>124</v>
      </c>
      <c r="B168" s="50" t="s">
        <v>253</v>
      </c>
      <c r="C168" s="92" t="s">
        <v>111</v>
      </c>
      <c r="D168" s="136"/>
      <c r="E168" s="140">
        <v>0</v>
      </c>
      <c r="F168" s="136">
        <v>19516</v>
      </c>
      <c r="G168" s="137">
        <v>-202486</v>
      </c>
      <c r="H168" s="138">
        <f t="shared" si="9"/>
        <v>2898171</v>
      </c>
      <c r="I168" s="95"/>
      <c r="J168" s="139">
        <v>0</v>
      </c>
      <c r="K168" s="76">
        <f t="shared" si="11"/>
        <v>0</v>
      </c>
      <c r="L168" s="95"/>
      <c r="M168" s="139">
        <v>0</v>
      </c>
      <c r="N168" s="76">
        <f t="shared" si="18"/>
        <v>0</v>
      </c>
      <c r="O168" s="85" t="str">
        <f t="shared" si="16"/>
        <v>Feb-27</v>
      </c>
      <c r="P168" s="76">
        <f t="shared" si="17"/>
        <v>-202486</v>
      </c>
    </row>
    <row r="169" spans="1:16" ht="12.75" customHeight="1">
      <c r="A169" s="27">
        <f t="shared" si="12"/>
        <v>125</v>
      </c>
      <c r="B169" s="50" t="s">
        <v>254</v>
      </c>
      <c r="C169" s="92" t="s">
        <v>111</v>
      </c>
      <c r="D169" s="136"/>
      <c r="E169" s="140">
        <v>0</v>
      </c>
      <c r="F169" s="136">
        <v>18276</v>
      </c>
      <c r="G169" s="137">
        <v>-202486</v>
      </c>
      <c r="H169" s="138">
        <f t="shared" si="9"/>
        <v>2713961</v>
      </c>
      <c r="I169" s="95"/>
      <c r="J169" s="139">
        <v>0</v>
      </c>
      <c r="K169" s="76">
        <f t="shared" si="11"/>
        <v>0</v>
      </c>
      <c r="L169" s="95"/>
      <c r="M169" s="139">
        <v>0</v>
      </c>
      <c r="N169" s="76">
        <f t="shared" si="18"/>
        <v>0</v>
      </c>
      <c r="O169" s="85" t="str">
        <f t="shared" si="16"/>
        <v>Mar-27</v>
      </c>
      <c r="P169" s="76">
        <f t="shared" si="17"/>
        <v>-202486</v>
      </c>
    </row>
    <row r="170" spans="1:16" ht="12.75" customHeight="1">
      <c r="A170" s="27">
        <f t="shared" si="12"/>
        <v>126</v>
      </c>
      <c r="B170" s="50" t="s">
        <v>255</v>
      </c>
      <c r="C170" s="92" t="s">
        <v>111</v>
      </c>
      <c r="D170" s="136"/>
      <c r="E170" s="140">
        <v>0</v>
      </c>
      <c r="F170" s="136">
        <v>17027</v>
      </c>
      <c r="G170" s="137">
        <v>-202486</v>
      </c>
      <c r="H170" s="138">
        <f t="shared" si="9"/>
        <v>2528502</v>
      </c>
      <c r="I170" s="95"/>
      <c r="J170" s="139">
        <v>0</v>
      </c>
      <c r="K170" s="76">
        <f t="shared" si="11"/>
        <v>0</v>
      </c>
      <c r="L170" s="95"/>
      <c r="M170" s="139">
        <v>0</v>
      </c>
      <c r="N170" s="76">
        <f t="shared" si="18"/>
        <v>0</v>
      </c>
      <c r="O170" s="85" t="str">
        <f t="shared" si="16"/>
        <v>Apr-27</v>
      </c>
      <c r="P170" s="76">
        <f t="shared" si="17"/>
        <v>-202486</v>
      </c>
    </row>
    <row r="171" spans="1:16" ht="12.75" customHeight="1">
      <c r="A171" s="27">
        <f t="shared" si="12"/>
        <v>127</v>
      </c>
      <c r="B171" s="50" t="s">
        <v>256</v>
      </c>
      <c r="C171" s="92" t="s">
        <v>111</v>
      </c>
      <c r="D171" s="136"/>
      <c r="E171" s="140">
        <v>0</v>
      </c>
      <c r="F171" s="136">
        <v>15769</v>
      </c>
      <c r="G171" s="137">
        <v>-202486</v>
      </c>
      <c r="H171" s="138">
        <f t="shared" si="9"/>
        <v>2341785</v>
      </c>
      <c r="I171" s="95"/>
      <c r="J171" s="139">
        <v>0</v>
      </c>
      <c r="K171" s="76">
        <f t="shared" si="11"/>
        <v>0</v>
      </c>
      <c r="L171" s="95"/>
      <c r="M171" s="139">
        <v>0</v>
      </c>
      <c r="N171" s="76">
        <f t="shared" si="18"/>
        <v>0</v>
      </c>
      <c r="O171" s="85" t="str">
        <f t="shared" si="16"/>
        <v>May-27</v>
      </c>
      <c r="P171" s="76">
        <f t="shared" si="17"/>
        <v>-202486</v>
      </c>
    </row>
    <row r="172" spans="1:16" ht="12.75" customHeight="1">
      <c r="A172" s="27">
        <f t="shared" si="12"/>
        <v>128</v>
      </c>
      <c r="B172" s="50" t="s">
        <v>257</v>
      </c>
      <c r="C172" s="92" t="s">
        <v>111</v>
      </c>
      <c r="D172" s="136"/>
      <c r="E172" s="140">
        <v>0</v>
      </c>
      <c r="F172" s="136">
        <v>14504</v>
      </c>
      <c r="G172" s="137">
        <v>-202486</v>
      </c>
      <c r="H172" s="138">
        <f t="shared" si="9"/>
        <v>2153803</v>
      </c>
      <c r="I172" s="95"/>
      <c r="J172" s="139">
        <v>0</v>
      </c>
      <c r="K172" s="76">
        <f t="shared" si="11"/>
        <v>0</v>
      </c>
      <c r="L172" s="95"/>
      <c r="M172" s="139">
        <v>0</v>
      </c>
      <c r="N172" s="76">
        <f t="shared" si="18"/>
        <v>0</v>
      </c>
      <c r="O172" s="85" t="str">
        <f t="shared" si="16"/>
        <v>Jun-27</v>
      </c>
      <c r="P172" s="76">
        <f t="shared" si="17"/>
        <v>-202486</v>
      </c>
    </row>
    <row r="173" spans="1:16" ht="12.75" customHeight="1">
      <c r="A173" s="27">
        <f t="shared" si="12"/>
        <v>129</v>
      </c>
      <c r="B173" s="50" t="s">
        <v>258</v>
      </c>
      <c r="C173" s="92" t="s">
        <v>111</v>
      </c>
      <c r="D173" s="136"/>
      <c r="E173" s="140">
        <v>0</v>
      </c>
      <c r="F173" s="136">
        <v>13229</v>
      </c>
      <c r="G173" s="137">
        <v>-202486</v>
      </c>
      <c r="H173" s="138">
        <f t="shared" si="9"/>
        <v>1964546</v>
      </c>
      <c r="I173" s="95"/>
      <c r="J173" s="139">
        <v>0</v>
      </c>
      <c r="K173" s="76">
        <f t="shared" si="11"/>
        <v>0</v>
      </c>
      <c r="L173" s="95"/>
      <c r="M173" s="139">
        <v>0</v>
      </c>
      <c r="N173" s="76">
        <f t="shared" si="18"/>
        <v>0</v>
      </c>
      <c r="O173" s="85" t="str">
        <f t="shared" si="16"/>
        <v>Jul-27</v>
      </c>
      <c r="P173" s="76">
        <f t="shared" si="17"/>
        <v>-202486</v>
      </c>
    </row>
    <row r="174" spans="1:16" ht="12.75" customHeight="1">
      <c r="A174" s="27">
        <f t="shared" si="12"/>
        <v>130</v>
      </c>
      <c r="B174" s="50" t="s">
        <v>259</v>
      </c>
      <c r="C174" s="92" t="s">
        <v>111</v>
      </c>
      <c r="D174" s="136"/>
      <c r="E174" s="140">
        <v>0</v>
      </c>
      <c r="F174" s="136">
        <v>11946</v>
      </c>
      <c r="G174" s="137">
        <v>-202486</v>
      </c>
      <c r="H174" s="138">
        <f t="shared" si="9"/>
        <v>1774006</v>
      </c>
      <c r="I174" s="95"/>
      <c r="J174" s="139">
        <v>0</v>
      </c>
      <c r="K174" s="76">
        <f t="shared" si="11"/>
        <v>0</v>
      </c>
      <c r="L174" s="95"/>
      <c r="M174" s="139">
        <v>0</v>
      </c>
      <c r="N174" s="76">
        <f t="shared" si="18"/>
        <v>0</v>
      </c>
      <c r="O174" s="85" t="str">
        <f t="shared" si="16"/>
        <v>Aug-27</v>
      </c>
      <c r="P174" s="76">
        <f t="shared" si="17"/>
        <v>-202486</v>
      </c>
    </row>
    <row r="175" spans="1:16" ht="12.75" customHeight="1">
      <c r="A175" s="27">
        <f t="shared" si="12"/>
        <v>131</v>
      </c>
      <c r="B175" s="50" t="s">
        <v>260</v>
      </c>
      <c r="C175" s="92" t="s">
        <v>111</v>
      </c>
      <c r="D175" s="136"/>
      <c r="E175" s="140">
        <v>0</v>
      </c>
      <c r="F175" s="136">
        <v>10654</v>
      </c>
      <c r="G175" s="137">
        <v>-202486</v>
      </c>
      <c r="H175" s="138">
        <f t="shared" ref="H175:H183" si="19">SUM(D175:G175)+H174</f>
        <v>1582174</v>
      </c>
      <c r="I175" s="95"/>
      <c r="J175" s="139">
        <v>0</v>
      </c>
      <c r="K175" s="76">
        <f t="shared" si="11"/>
        <v>0</v>
      </c>
      <c r="L175" s="95"/>
      <c r="M175" s="139">
        <v>0</v>
      </c>
      <c r="N175" s="76">
        <f t="shared" si="18"/>
        <v>0</v>
      </c>
      <c r="O175" s="85" t="str">
        <f t="shared" si="16"/>
        <v>Sep-27</v>
      </c>
      <c r="P175" s="76">
        <f t="shared" si="17"/>
        <v>-202486</v>
      </c>
    </row>
    <row r="176" spans="1:16" ht="12.75" customHeight="1">
      <c r="A176" s="27">
        <f t="shared" si="12"/>
        <v>132</v>
      </c>
      <c r="B176" s="50" t="s">
        <v>261</v>
      </c>
      <c r="C176" s="92" t="s">
        <v>111</v>
      </c>
      <c r="D176" s="136"/>
      <c r="E176" s="140">
        <v>0</v>
      </c>
      <c r="F176" s="136">
        <v>9354</v>
      </c>
      <c r="G176" s="137">
        <v>-202486</v>
      </c>
      <c r="H176" s="138">
        <f t="shared" si="19"/>
        <v>1389042</v>
      </c>
      <c r="I176" s="95"/>
      <c r="J176" s="139">
        <v>0</v>
      </c>
      <c r="K176" s="76">
        <f t="shared" ref="K176:K183" si="20">-J174</f>
        <v>0</v>
      </c>
      <c r="L176" s="95"/>
      <c r="M176" s="139">
        <v>0</v>
      </c>
      <c r="N176" s="76">
        <f t="shared" si="18"/>
        <v>0</v>
      </c>
      <c r="O176" s="85" t="str">
        <f t="shared" si="16"/>
        <v>Oct-27</v>
      </c>
      <c r="P176" s="76">
        <f t="shared" si="17"/>
        <v>-202486</v>
      </c>
    </row>
    <row r="177" spans="1:16" ht="12.75" customHeight="1">
      <c r="A177" s="27">
        <f t="shared" ref="A177:A183" si="21">A176+1</f>
        <v>133</v>
      </c>
      <c r="B177" s="50" t="s">
        <v>262</v>
      </c>
      <c r="C177" s="92" t="s">
        <v>111</v>
      </c>
      <c r="D177" s="136"/>
      <c r="E177" s="140">
        <v>0</v>
      </c>
      <c r="F177" s="136">
        <v>8045</v>
      </c>
      <c r="G177" s="137">
        <v>-202486</v>
      </c>
      <c r="H177" s="138">
        <f t="shared" si="19"/>
        <v>1194601</v>
      </c>
      <c r="I177" s="95"/>
      <c r="J177" s="139">
        <v>0</v>
      </c>
      <c r="K177" s="76">
        <f t="shared" si="20"/>
        <v>0</v>
      </c>
      <c r="L177" s="95"/>
      <c r="M177" s="139">
        <v>0</v>
      </c>
      <c r="N177" s="76">
        <f t="shared" si="18"/>
        <v>0</v>
      </c>
      <c r="O177" s="85" t="str">
        <f t="shared" si="16"/>
        <v>Nov-27</v>
      </c>
      <c r="P177" s="76">
        <f t="shared" si="17"/>
        <v>-202486</v>
      </c>
    </row>
    <row r="178" spans="1:16" ht="12.75" customHeight="1">
      <c r="A178" s="27">
        <f t="shared" si="21"/>
        <v>134</v>
      </c>
      <c r="B178" s="50" t="s">
        <v>263</v>
      </c>
      <c r="C178" s="92" t="s">
        <v>111</v>
      </c>
      <c r="D178" s="136"/>
      <c r="E178" s="140">
        <v>0</v>
      </c>
      <c r="F178" s="136">
        <v>6726</v>
      </c>
      <c r="G178" s="137">
        <v>-202486</v>
      </c>
      <c r="H178" s="138">
        <f t="shared" si="19"/>
        <v>998841</v>
      </c>
      <c r="I178" s="95"/>
      <c r="J178" s="139">
        <v>0</v>
      </c>
      <c r="K178" s="76">
        <f t="shared" si="20"/>
        <v>0</v>
      </c>
      <c r="L178" s="95"/>
      <c r="M178" s="139">
        <v>0</v>
      </c>
      <c r="N178" s="76">
        <f t="shared" si="18"/>
        <v>0</v>
      </c>
      <c r="O178" s="85" t="str">
        <f t="shared" si="16"/>
        <v>Dec-27</v>
      </c>
      <c r="P178" s="76">
        <f t="shared" si="17"/>
        <v>-202486</v>
      </c>
    </row>
    <row r="179" spans="1:16" ht="12.75" customHeight="1">
      <c r="A179" s="27">
        <f t="shared" si="21"/>
        <v>135</v>
      </c>
      <c r="B179" s="50" t="s">
        <v>264</v>
      </c>
      <c r="C179" s="92" t="s">
        <v>111</v>
      </c>
      <c r="D179" s="136"/>
      <c r="E179" s="140">
        <v>0</v>
      </c>
      <c r="F179" s="136">
        <v>5399</v>
      </c>
      <c r="G179" s="137">
        <v>-202486</v>
      </c>
      <c r="H179" s="138">
        <f t="shared" si="19"/>
        <v>801754</v>
      </c>
      <c r="I179" s="95"/>
      <c r="J179" s="139">
        <v>0</v>
      </c>
      <c r="K179" s="76">
        <f t="shared" si="20"/>
        <v>0</v>
      </c>
      <c r="L179" s="95"/>
      <c r="M179" s="139">
        <v>0</v>
      </c>
      <c r="N179" s="76">
        <f t="shared" si="18"/>
        <v>0</v>
      </c>
      <c r="O179" s="85" t="str">
        <f t="shared" si="16"/>
        <v>Jan-28</v>
      </c>
      <c r="P179" s="76">
        <f t="shared" si="17"/>
        <v>-202486</v>
      </c>
    </row>
    <row r="180" spans="1:16" ht="12.75" customHeight="1">
      <c r="A180" s="27">
        <f t="shared" si="21"/>
        <v>136</v>
      </c>
      <c r="B180" s="50" t="s">
        <v>265</v>
      </c>
      <c r="C180" s="92" t="s">
        <v>111</v>
      </c>
      <c r="D180" s="136"/>
      <c r="E180" s="140">
        <v>0</v>
      </c>
      <c r="F180" s="136">
        <v>4063</v>
      </c>
      <c r="G180" s="137">
        <v>-202486</v>
      </c>
      <c r="H180" s="138">
        <f t="shared" si="19"/>
        <v>603331</v>
      </c>
      <c r="I180" s="95"/>
      <c r="J180" s="139">
        <v>0</v>
      </c>
      <c r="K180" s="76">
        <f t="shared" si="20"/>
        <v>0</v>
      </c>
      <c r="L180" s="95"/>
      <c r="M180" s="139">
        <v>0</v>
      </c>
      <c r="N180" s="76">
        <f t="shared" si="18"/>
        <v>0</v>
      </c>
      <c r="O180" s="85" t="str">
        <f t="shared" si="16"/>
        <v>Feb-28</v>
      </c>
      <c r="P180" s="76">
        <f t="shared" si="17"/>
        <v>-202486</v>
      </c>
    </row>
    <row r="181" spans="1:16" ht="12.75" customHeight="1">
      <c r="A181" s="27">
        <f t="shared" si="21"/>
        <v>137</v>
      </c>
      <c r="B181" s="50" t="s">
        <v>266</v>
      </c>
      <c r="C181" s="92" t="s">
        <v>111</v>
      </c>
      <c r="D181" s="136"/>
      <c r="E181" s="140">
        <v>0</v>
      </c>
      <c r="F181" s="136">
        <v>2718</v>
      </c>
      <c r="G181" s="137">
        <v>-202486</v>
      </c>
      <c r="H181" s="138">
        <f t="shared" si="19"/>
        <v>403563</v>
      </c>
      <c r="I181" s="95"/>
      <c r="J181" s="139">
        <v>0</v>
      </c>
      <c r="K181" s="76">
        <f t="shared" si="20"/>
        <v>0</v>
      </c>
      <c r="L181" s="95"/>
      <c r="M181" s="139">
        <v>0</v>
      </c>
      <c r="N181" s="76">
        <f t="shared" si="18"/>
        <v>0</v>
      </c>
      <c r="O181" s="85" t="str">
        <f t="shared" si="16"/>
        <v>Mar-28</v>
      </c>
      <c r="P181" s="76">
        <f t="shared" si="17"/>
        <v>-202486</v>
      </c>
    </row>
    <row r="182" spans="1:16" ht="12.75" customHeight="1">
      <c r="A182" s="27">
        <f t="shared" si="21"/>
        <v>138</v>
      </c>
      <c r="B182" s="50" t="s">
        <v>267</v>
      </c>
      <c r="C182" s="92" t="s">
        <v>111</v>
      </c>
      <c r="D182" s="136"/>
      <c r="E182" s="140">
        <v>0</v>
      </c>
      <c r="F182" s="136">
        <v>1409</v>
      </c>
      <c r="G182" s="137">
        <v>-202486</v>
      </c>
      <c r="H182" s="138">
        <f t="shared" si="19"/>
        <v>202486</v>
      </c>
      <c r="I182" s="95"/>
      <c r="J182" s="139">
        <v>0</v>
      </c>
      <c r="K182" s="76">
        <f t="shared" si="20"/>
        <v>0</v>
      </c>
      <c r="L182" s="95"/>
      <c r="M182" s="139">
        <v>0</v>
      </c>
      <c r="N182" s="76">
        <f t="shared" si="18"/>
        <v>0</v>
      </c>
      <c r="O182" s="85" t="str">
        <f t="shared" si="16"/>
        <v>Apr-28</v>
      </c>
      <c r="P182" s="76">
        <f t="shared" si="17"/>
        <v>-202486</v>
      </c>
    </row>
    <row r="183" spans="1:16" ht="12.75" customHeight="1">
      <c r="A183" s="28">
        <f t="shared" si="21"/>
        <v>139</v>
      </c>
      <c r="B183" s="51" t="s">
        <v>268</v>
      </c>
      <c r="C183" s="93" t="s">
        <v>111</v>
      </c>
      <c r="D183" s="123"/>
      <c r="E183" s="124">
        <v>0</v>
      </c>
      <c r="F183" s="123">
        <v>0</v>
      </c>
      <c r="G183" s="125">
        <v>-202486</v>
      </c>
      <c r="H183" s="126">
        <f t="shared" si="19"/>
        <v>0</v>
      </c>
      <c r="I183" s="77"/>
      <c r="J183" s="34">
        <v>0</v>
      </c>
      <c r="K183" s="36">
        <f t="shared" si="20"/>
        <v>0</v>
      </c>
      <c r="L183" s="77"/>
      <c r="M183" s="34">
        <v>0</v>
      </c>
      <c r="N183" s="34">
        <f t="shared" si="18"/>
        <v>0</v>
      </c>
      <c r="O183" s="85" t="str">
        <f t="shared" si="16"/>
        <v>May-28</v>
      </c>
      <c r="P183" s="36">
        <f t="shared" si="17"/>
        <v>-202486</v>
      </c>
    </row>
    <row r="184" spans="1:16" ht="12.75" customHeight="1">
      <c r="D184" s="128">
        <f>SUM(D15:D183)</f>
        <v>16256244</v>
      </c>
      <c r="E184" s="129">
        <f>SUM(E15:E183)</f>
        <v>-1097279</v>
      </c>
      <c r="F184" s="129">
        <f>SUM(F15:F183)</f>
        <v>9139355</v>
      </c>
      <c r="G184" s="130">
        <f>SUM(G15:G183)</f>
        <v>-24298320</v>
      </c>
      <c r="H184" s="39"/>
      <c r="J184" s="129">
        <f t="shared" ref="J184:K184" si="22">SUM(J15:J183)</f>
        <v>44216452.722000003</v>
      </c>
      <c r="K184" s="129">
        <f t="shared" si="22"/>
        <v>-44216452.721999995</v>
      </c>
      <c r="L184" s="39"/>
      <c r="M184" s="129">
        <f t="shared" ref="M184:N184" si="23">SUM(M15:M183)</f>
        <v>2629138.5299999998</v>
      </c>
      <c r="N184" s="129">
        <f t="shared" si="23"/>
        <v>-2629140</v>
      </c>
      <c r="P184" s="129">
        <f>SUM(P15:P183)</f>
        <v>-71143912.722000003</v>
      </c>
    </row>
    <row r="185" spans="1:16" ht="12.75" customHeight="1">
      <c r="G185" s="111"/>
      <c r="M185" s="37"/>
      <c r="N185" s="38"/>
      <c r="P185" s="77"/>
    </row>
    <row r="186" spans="1:16" ht="12.75" customHeight="1">
      <c r="B186" s="43"/>
      <c r="E186" s="59"/>
      <c r="P186" s="77"/>
    </row>
    <row r="187" spans="1:16" ht="12.75" customHeight="1" thickBot="1">
      <c r="B187" s="43" t="s">
        <v>113</v>
      </c>
      <c r="P187" s="141">
        <v>-797529</v>
      </c>
    </row>
    <row r="188" spans="1:16" ht="12.75" customHeight="1" thickTop="1">
      <c r="B188" s="61"/>
      <c r="E188" s="60"/>
    </row>
    <row r="190" spans="1:16" ht="128.65" customHeight="1">
      <c r="B190" s="221" t="s">
        <v>312</v>
      </c>
      <c r="C190" s="221"/>
      <c r="D190" s="221"/>
      <c r="E190" s="221"/>
      <c r="F190" s="221"/>
      <c r="G190" s="221"/>
      <c r="H190" s="221"/>
      <c r="I190" s="221"/>
      <c r="J190" s="221"/>
      <c r="K190" s="221"/>
      <c r="L190" s="221"/>
      <c r="M190" s="221"/>
      <c r="N190" s="221"/>
      <c r="O190" s="221"/>
      <c r="P190" s="221"/>
    </row>
  </sheetData>
  <mergeCells count="7">
    <mergeCell ref="B190:P190"/>
    <mergeCell ref="B143:C143"/>
    <mergeCell ref="B12:C12"/>
    <mergeCell ref="B14:C14"/>
    <mergeCell ref="B77:C77"/>
    <mergeCell ref="B79:C79"/>
    <mergeCell ref="B141:C141"/>
  </mergeCells>
  <pageMargins left="0.5" right="0.5" top="1" bottom="0.75" header="0.4" footer="0.3"/>
  <pageSetup scale="51" fitToHeight="0" orientation="portrait" r:id="rId1"/>
  <headerFooter>
    <oddHeader>&amp;R&amp;"Times New Roman,Bold"KyPSC Case No. 2026-00041
STAFF-DR-02-001 Attachment 2
Page &amp;P of &amp;N</oddHeader>
  </headerFooter>
  <rowBreaks count="2" manualBreakCount="2">
    <brk id="65" max="15" man="1"/>
    <brk id="129" max="15"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B1:AU39"/>
  <sheetViews>
    <sheetView view="pageLayout" zoomScaleNormal="100" workbookViewId="0"/>
  </sheetViews>
  <sheetFormatPr defaultRowHeight="12.75"/>
  <cols>
    <col min="1" max="1" width="2.42578125" customWidth="1"/>
    <col min="2" max="3" width="14.5703125" customWidth="1"/>
    <col min="4" max="47" width="15.42578125" customWidth="1"/>
    <col min="56" max="56" width="10.5703125" customWidth="1"/>
  </cols>
  <sheetData>
    <row r="1" spans="2:7" ht="12.75" customHeight="1">
      <c r="G1" s="6" t="s">
        <v>81</v>
      </c>
    </row>
    <row r="2" spans="2:7" ht="12.75" customHeight="1"/>
    <row r="3" spans="2:7" ht="12.75" customHeight="1">
      <c r="B3" s="228" t="str">
        <f>Company</f>
        <v>DUKE ENERGY KENTUCKY, INC.</v>
      </c>
      <c r="C3" s="228"/>
      <c r="D3" s="228"/>
      <c r="E3" s="228"/>
      <c r="F3" s="228"/>
      <c r="G3" s="228"/>
    </row>
    <row r="4" spans="2:7" ht="12.75" customHeight="1">
      <c r="B4" s="228" t="str">
        <f>Title</f>
        <v>ENVIRONMENTAL SURCHARGE REPORT</v>
      </c>
      <c r="C4" s="228"/>
      <c r="D4" s="228"/>
      <c r="E4" s="228"/>
      <c r="F4" s="228"/>
      <c r="G4" s="228"/>
    </row>
    <row r="5" spans="2:7" ht="12.75" customHeight="1">
      <c r="B5" s="4"/>
      <c r="C5" s="4"/>
      <c r="D5" s="4"/>
      <c r="E5" s="4"/>
      <c r="F5" s="4"/>
      <c r="G5" s="4"/>
    </row>
    <row r="6" spans="2:7" ht="12.75" customHeight="1">
      <c r="B6" s="229" t="s">
        <v>24</v>
      </c>
      <c r="C6" s="229"/>
      <c r="D6" s="229"/>
      <c r="E6" s="229"/>
      <c r="F6" s="229"/>
      <c r="G6" s="229"/>
    </row>
    <row r="7" spans="2:7" ht="12.75" customHeight="1">
      <c r="B7" s="4"/>
      <c r="C7" s="4"/>
      <c r="D7" s="4"/>
      <c r="E7" s="4"/>
      <c r="F7" s="4"/>
      <c r="G7" s="4"/>
    </row>
    <row r="8" spans="2:7" ht="12.75" customHeight="1">
      <c r="B8" s="229" t="s">
        <v>377</v>
      </c>
      <c r="C8" s="229"/>
      <c r="D8" s="229"/>
      <c r="E8" s="229"/>
      <c r="F8" s="229"/>
      <c r="G8" s="229"/>
    </row>
    <row r="9" spans="2:7" ht="12.75" customHeight="1"/>
    <row r="10" spans="2:7" ht="12.75" customHeight="1"/>
    <row r="11" spans="2:7" ht="15" customHeight="1">
      <c r="B11" s="225" t="s">
        <v>129</v>
      </c>
      <c r="C11" s="226"/>
      <c r="D11" s="226"/>
      <c r="E11" s="226"/>
      <c r="F11" s="226"/>
      <c r="G11" s="227"/>
    </row>
    <row r="12" spans="2:7" ht="12.75" customHeight="1">
      <c r="B12" s="8"/>
      <c r="C12" s="5" t="s">
        <v>55</v>
      </c>
      <c r="D12" s="5" t="s">
        <v>82</v>
      </c>
      <c r="E12" s="5"/>
      <c r="F12" s="5"/>
      <c r="G12" s="22" t="s">
        <v>57</v>
      </c>
    </row>
    <row r="13" spans="2:7" ht="12.75" customHeight="1">
      <c r="B13" s="12"/>
      <c r="C13" s="24" t="s">
        <v>56</v>
      </c>
      <c r="D13" s="24" t="s">
        <v>323</v>
      </c>
      <c r="E13" s="24" t="s">
        <v>295</v>
      </c>
      <c r="F13" s="24" t="s">
        <v>86</v>
      </c>
      <c r="G13" s="25" t="s">
        <v>56</v>
      </c>
    </row>
    <row r="14" spans="2:7" ht="12.75" customHeight="1">
      <c r="B14" s="8"/>
      <c r="G14" s="11"/>
    </row>
    <row r="15" spans="2:7" ht="15" customHeight="1">
      <c r="B15" s="135" t="s">
        <v>313</v>
      </c>
      <c r="G15" s="11"/>
    </row>
    <row r="16" spans="2:7" ht="12.75" customHeight="1">
      <c r="B16" s="8" t="s">
        <v>83</v>
      </c>
      <c r="C16" s="182">
        <v>274242</v>
      </c>
      <c r="D16" s="182">
        <v>0</v>
      </c>
      <c r="E16" s="182">
        <v>81</v>
      </c>
      <c r="F16" s="182">
        <v>0</v>
      </c>
      <c r="G16" s="54">
        <f>C16+D16-E16-F16</f>
        <v>274161</v>
      </c>
    </row>
    <row r="17" spans="2:47" ht="12.75" customHeight="1">
      <c r="B17" s="8" t="s">
        <v>84</v>
      </c>
      <c r="C17" s="183">
        <v>16003.449999999999</v>
      </c>
      <c r="D17" s="37">
        <v>0</v>
      </c>
      <c r="E17" s="183">
        <v>4.8600000000000003</v>
      </c>
      <c r="F17" s="37">
        <v>0</v>
      </c>
      <c r="G17" s="133">
        <f>C17+D17-E17-F17</f>
        <v>15998.589999999998</v>
      </c>
      <c r="H17" s="168"/>
      <c r="I17" s="39"/>
      <c r="J17" s="39"/>
      <c r="K17" s="39"/>
      <c r="L17" s="39"/>
      <c r="M17" s="168"/>
      <c r="N17" s="39"/>
      <c r="O17" s="39"/>
      <c r="P17" s="39"/>
      <c r="Q17" s="39"/>
      <c r="R17" s="168"/>
      <c r="S17" s="39"/>
      <c r="T17" s="39"/>
      <c r="U17" s="39"/>
      <c r="V17" s="39"/>
      <c r="W17" s="168"/>
      <c r="X17" s="39"/>
      <c r="Y17" s="39"/>
      <c r="Z17" s="39"/>
      <c r="AA17" s="39"/>
      <c r="AB17" s="168"/>
      <c r="AC17" s="39"/>
      <c r="AD17" s="39"/>
      <c r="AE17" s="39"/>
      <c r="AF17" s="39"/>
      <c r="AG17" s="168"/>
      <c r="AH17" s="39"/>
      <c r="AI17" s="39"/>
      <c r="AJ17" s="39"/>
      <c r="AK17" s="39"/>
      <c r="AL17" s="168"/>
      <c r="AM17" s="39"/>
      <c r="AN17" s="39"/>
      <c r="AO17" s="39"/>
      <c r="AP17" s="39"/>
      <c r="AQ17" s="168"/>
      <c r="AR17" s="39"/>
      <c r="AS17" s="39"/>
      <c r="AT17" s="39"/>
      <c r="AU17" s="39"/>
    </row>
    <row r="18" spans="2:47" ht="12.75" customHeight="1">
      <c r="B18" s="8" t="s">
        <v>85</v>
      </c>
      <c r="C18" s="115">
        <f>IF(C16=0,0,ROUND(C17/C16,6))</f>
        <v>5.8354999999999997E-2</v>
      </c>
      <c r="D18" s="115">
        <f>IF(D16=0,0,ROUND(D17/D16,6))</f>
        <v>0</v>
      </c>
      <c r="E18" s="115">
        <f>IF(E16=0,0,ROUND(E17/E16,6))</f>
        <v>0.06</v>
      </c>
      <c r="F18" s="115">
        <f>IF(F16=0,0,ROUND(F17/F16,6))</f>
        <v>0</v>
      </c>
      <c r="G18" s="116">
        <f>IF(G16=0,0,ROUND(G17/G16,6))</f>
        <v>5.8354999999999997E-2</v>
      </c>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row>
    <row r="19" spans="2:47" ht="12.75" customHeight="1">
      <c r="B19" s="8"/>
      <c r="G19" s="11"/>
    </row>
    <row r="20" spans="2:47" ht="12.75" customHeight="1">
      <c r="B20" s="97" t="s">
        <v>314</v>
      </c>
      <c r="G20" s="11"/>
    </row>
    <row r="21" spans="2:47" ht="12.75" customHeight="1">
      <c r="B21" s="8" t="s">
        <v>83</v>
      </c>
      <c r="C21" s="182">
        <v>16040</v>
      </c>
      <c r="D21" s="182">
        <v>0</v>
      </c>
      <c r="E21" s="182">
        <v>95</v>
      </c>
      <c r="F21" s="182">
        <v>0</v>
      </c>
      <c r="G21" s="54">
        <f>C21+D21-E21-F21</f>
        <v>15945</v>
      </c>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row>
    <row r="22" spans="2:47" ht="12.75" customHeight="1">
      <c r="B22" s="8" t="s">
        <v>84</v>
      </c>
      <c r="C22" s="183">
        <v>1432.8500000000001</v>
      </c>
      <c r="D22" s="37">
        <v>0</v>
      </c>
      <c r="E22" s="183">
        <v>8.5499999999999989</v>
      </c>
      <c r="F22" s="37">
        <v>0</v>
      </c>
      <c r="G22" s="133">
        <f>C22+D22-E22-F22</f>
        <v>1424.3000000000002</v>
      </c>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row>
    <row r="23" spans="2:47" ht="12.75" customHeight="1">
      <c r="B23" s="8" t="s">
        <v>85</v>
      </c>
      <c r="C23" s="115">
        <f>IF(C21=0,0,ROUND(C22/C21,6))</f>
        <v>8.9330000000000007E-2</v>
      </c>
      <c r="D23" s="115">
        <f>IF(D21=0,0,ROUND(D22/D21,6))</f>
        <v>0</v>
      </c>
      <c r="E23" s="115">
        <f>IF(E21=0,0,ROUND(E22/E21,6))</f>
        <v>0.09</v>
      </c>
      <c r="F23" s="115">
        <f>IF(F21=0,0,ROUND(F22/F21,6))</f>
        <v>0</v>
      </c>
      <c r="G23" s="116">
        <f>IF(G21=0,0,ROUND(G22/G21,6))</f>
        <v>8.9326000000000003E-2</v>
      </c>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row>
    <row r="24" spans="2:47" ht="12.75" customHeight="1">
      <c r="B24" s="8"/>
      <c r="G24" s="11"/>
    </row>
    <row r="25" spans="2:47" ht="12.75" customHeight="1">
      <c r="B25" s="97" t="s">
        <v>315</v>
      </c>
      <c r="G25" s="11"/>
    </row>
    <row r="26" spans="2:47" ht="12.75" customHeight="1">
      <c r="B26" s="8" t="s">
        <v>83</v>
      </c>
      <c r="C26" s="182">
        <v>2733</v>
      </c>
      <c r="D26" s="182">
        <v>0</v>
      </c>
      <c r="E26" s="182">
        <v>95</v>
      </c>
      <c r="F26" s="182">
        <v>0</v>
      </c>
      <c r="G26" s="54">
        <f>C26+D26-E26-F26</f>
        <v>2638</v>
      </c>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row>
    <row r="27" spans="2:47" ht="12.75" customHeight="1">
      <c r="B27" s="8" t="s">
        <v>84</v>
      </c>
      <c r="C27" s="183">
        <v>42.26</v>
      </c>
      <c r="D27" s="37">
        <v>0</v>
      </c>
      <c r="E27" s="183">
        <v>8.07</v>
      </c>
      <c r="F27" s="37">
        <v>0</v>
      </c>
      <c r="G27" s="133">
        <f>C27+D27-E27-F27</f>
        <v>34.19</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row>
    <row r="28" spans="2:47" ht="12.75" customHeight="1">
      <c r="B28" s="8" t="s">
        <v>85</v>
      </c>
      <c r="C28" s="115">
        <f>IF(C26=0,0,ROUND(C27/C26,6))</f>
        <v>1.5462999999999999E-2</v>
      </c>
      <c r="D28" s="115">
        <f>IF(D26=0,0,ROUND(D27/D26,6))</f>
        <v>0</v>
      </c>
      <c r="E28" s="115">
        <f>IF(E26=0,0,ROUND(E27/E26,6))</f>
        <v>8.4946999999999995E-2</v>
      </c>
      <c r="F28" s="115">
        <f>IF(F26=0,0,ROUND(F27/F26,6))</f>
        <v>0</v>
      </c>
      <c r="G28" s="116">
        <f>IF(G26=0,0,ROUND(G27/G26,6))</f>
        <v>1.2961E-2</v>
      </c>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row>
    <row r="29" spans="2:47" ht="12.75" customHeight="1">
      <c r="B29" s="8"/>
      <c r="G29" s="11"/>
    </row>
    <row r="30" spans="2:47" ht="12.75" customHeight="1">
      <c r="B30" s="98" t="s">
        <v>117</v>
      </c>
      <c r="G30" s="11"/>
    </row>
    <row r="31" spans="2:47" ht="12.75" customHeight="1">
      <c r="B31" s="8" t="s">
        <v>83</v>
      </c>
      <c r="C31" s="99">
        <f>C16+C21+C26</f>
        <v>293015</v>
      </c>
      <c r="D31" s="99">
        <f t="shared" ref="D31:G32" si="0">D16+D21+D26</f>
        <v>0</v>
      </c>
      <c r="E31" s="99">
        <f>E16+E21+E26</f>
        <v>271</v>
      </c>
      <c r="F31" s="99">
        <f t="shared" si="0"/>
        <v>0</v>
      </c>
      <c r="G31" s="100">
        <f t="shared" si="0"/>
        <v>292744</v>
      </c>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row>
    <row r="32" spans="2:47" ht="12.75" customHeight="1">
      <c r="B32" s="12" t="s">
        <v>84</v>
      </c>
      <c r="C32" s="174">
        <f>C17+C22+C27</f>
        <v>17478.559999999998</v>
      </c>
      <c r="D32" s="131">
        <f t="shared" si="0"/>
        <v>0</v>
      </c>
      <c r="E32" s="174">
        <f>E17+E22+E27</f>
        <v>21.48</v>
      </c>
      <c r="F32" s="131">
        <v>0</v>
      </c>
      <c r="G32" s="134">
        <f>G17+G22+G27</f>
        <v>17457.079999999998</v>
      </c>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row>
    <row r="34" spans="2:7" ht="42.75" customHeight="1">
      <c r="B34" s="221" t="s">
        <v>294</v>
      </c>
      <c r="C34" s="221"/>
      <c r="D34" s="221"/>
      <c r="E34" s="221"/>
      <c r="F34" s="221"/>
      <c r="G34" s="221"/>
    </row>
    <row r="35" spans="2:7" ht="17.25" customHeight="1">
      <c r="B35" s="221"/>
      <c r="C35" s="221"/>
      <c r="D35" s="221"/>
      <c r="E35" s="221"/>
      <c r="F35" s="221"/>
      <c r="G35" s="221"/>
    </row>
    <row r="36" spans="2:7" ht="17.100000000000001" customHeight="1">
      <c r="B36" s="132"/>
      <c r="C36" s="132"/>
      <c r="D36" s="132"/>
      <c r="E36" s="132"/>
      <c r="F36" s="132"/>
      <c r="G36" s="132"/>
    </row>
    <row r="37" spans="2:7" ht="17.100000000000001" customHeight="1">
      <c r="B37" s="132"/>
      <c r="C37" s="178"/>
      <c r="D37" s="132"/>
      <c r="E37" s="132"/>
      <c r="F37" s="132"/>
      <c r="G37" s="132"/>
    </row>
    <row r="38" spans="2:7" ht="17.100000000000001" customHeight="1">
      <c r="B38" s="132"/>
      <c r="C38" s="177"/>
      <c r="D38" s="132"/>
      <c r="E38" s="132"/>
      <c r="F38" s="132"/>
      <c r="G38" s="132"/>
    </row>
    <row r="39" spans="2:7">
      <c r="B39" s="67"/>
      <c r="C39" s="179"/>
      <c r="D39" s="67"/>
      <c r="E39" s="67"/>
      <c r="F39" s="67"/>
      <c r="G39" s="67"/>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7" orientation="portrait" r:id="rId1"/>
  <headerFooter>
    <oddHeader>&amp;R&amp;"Times New Roman,Bold"KyPSC Case No. 2026-00041
STAFF-DR-02-001 Attachment 2
Page &amp;P of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J30"/>
  <sheetViews>
    <sheetView view="pageLayout" zoomScaleNormal="100" workbookViewId="0"/>
  </sheetViews>
  <sheetFormatPr defaultRowHeight="12.75"/>
  <cols>
    <col min="1" max="1" width="6.5703125" customWidth="1"/>
    <col min="2" max="2" width="1.5703125" customWidth="1"/>
    <col min="3" max="3" width="26.42578125" customWidth="1"/>
    <col min="4" max="4" width="1" customWidth="1"/>
    <col min="5" max="5" width="13.5703125" customWidth="1"/>
    <col min="6" max="6" width="1.42578125" customWidth="1"/>
    <col min="7" max="7" width="18.5703125" customWidth="1"/>
    <col min="8" max="8" width="2.28515625" customWidth="1"/>
    <col min="9" max="9" width="18.5703125" customWidth="1"/>
    <col min="10" max="10" width="11.5703125" bestFit="1" customWidth="1"/>
  </cols>
  <sheetData>
    <row r="1" spans="1:9" ht="12.75" customHeight="1">
      <c r="I1" s="6" t="s">
        <v>60</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103</v>
      </c>
      <c r="B6" s="4"/>
      <c r="C6" s="4"/>
      <c r="D6" s="4"/>
      <c r="E6" s="4"/>
      <c r="F6" s="4"/>
      <c r="G6" s="4"/>
      <c r="H6" s="4"/>
      <c r="I6" s="4"/>
    </row>
    <row r="7" spans="1:9" ht="12.75" customHeight="1">
      <c r="A7" s="4"/>
      <c r="B7" s="4"/>
      <c r="C7" s="4"/>
      <c r="D7" s="4"/>
      <c r="E7" s="4"/>
      <c r="F7" s="4"/>
      <c r="G7" s="4"/>
      <c r="H7" s="4"/>
      <c r="I7" s="4"/>
    </row>
    <row r="8" spans="1:9" ht="12.75" customHeight="1">
      <c r="A8" s="4" t="s">
        <v>377</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123</v>
      </c>
      <c r="C11" s="42"/>
      <c r="D11" s="42"/>
      <c r="E11" s="42" t="s">
        <v>61</v>
      </c>
      <c r="F11" s="42"/>
      <c r="G11" s="42" t="s">
        <v>125</v>
      </c>
      <c r="H11" s="42"/>
      <c r="I11" s="42"/>
    </row>
    <row r="12" spans="1:9" ht="14.25" customHeight="1">
      <c r="A12" s="44" t="s">
        <v>36</v>
      </c>
      <c r="B12" s="40"/>
      <c r="C12" s="44" t="s">
        <v>124</v>
      </c>
      <c r="D12" s="42"/>
      <c r="E12" s="44" t="s">
        <v>62</v>
      </c>
      <c r="F12" s="42"/>
      <c r="G12" s="44" t="s">
        <v>63</v>
      </c>
      <c r="H12" s="42"/>
      <c r="I12" s="44" t="s">
        <v>58</v>
      </c>
    </row>
    <row r="13" spans="1:9" ht="12.75" customHeight="1"/>
    <row r="14" spans="1:9" ht="12.75" customHeight="1">
      <c r="A14" s="5">
        <v>1</v>
      </c>
      <c r="B14" s="5"/>
      <c r="C14" t="s">
        <v>102</v>
      </c>
      <c r="E14" s="5">
        <v>502020</v>
      </c>
      <c r="G14" s="169">
        <v>42695</v>
      </c>
      <c r="H14" s="77"/>
      <c r="I14" s="77">
        <f>G14</f>
        <v>42695</v>
      </c>
    </row>
    <row r="15" spans="1:9" ht="12.75" customHeight="1">
      <c r="A15" s="5">
        <f>A14+1</f>
        <v>2</v>
      </c>
      <c r="B15" s="5"/>
      <c r="C15" t="s">
        <v>290</v>
      </c>
      <c r="E15" s="5">
        <v>502040</v>
      </c>
      <c r="G15" s="170">
        <v>2230354</v>
      </c>
      <c r="H15" s="172"/>
      <c r="I15" s="95">
        <f t="shared" ref="I15:I18" si="0">G15</f>
        <v>2230354</v>
      </c>
    </row>
    <row r="16" spans="1:9" ht="12.75" customHeight="1">
      <c r="A16" s="5">
        <f t="shared" ref="A16" si="1">A15+1</f>
        <v>3</v>
      </c>
      <c r="B16" s="5"/>
      <c r="C16" t="s">
        <v>291</v>
      </c>
      <c r="E16" s="5">
        <v>502040</v>
      </c>
      <c r="G16" s="170">
        <v>96857</v>
      </c>
      <c r="H16" s="95"/>
      <c r="I16" s="95">
        <f t="shared" si="0"/>
        <v>96857</v>
      </c>
    </row>
    <row r="17" spans="1:10" ht="12.75" customHeight="1">
      <c r="A17" s="5">
        <v>4</v>
      </c>
      <c r="B17" s="5"/>
      <c r="C17" t="s">
        <v>316</v>
      </c>
      <c r="E17" s="5">
        <v>502100</v>
      </c>
      <c r="G17" s="175">
        <v>0</v>
      </c>
      <c r="H17" s="95"/>
      <c r="I17" s="95">
        <f t="shared" si="0"/>
        <v>0</v>
      </c>
    </row>
    <row r="18" spans="1:10" ht="12.75" customHeight="1">
      <c r="A18" s="5">
        <v>5</v>
      </c>
      <c r="C18" t="s">
        <v>322</v>
      </c>
      <c r="E18" s="5">
        <v>502100</v>
      </c>
      <c r="G18" s="175">
        <v>28768</v>
      </c>
      <c r="H18" s="95"/>
      <c r="I18" s="95">
        <f t="shared" si="0"/>
        <v>28768</v>
      </c>
    </row>
    <row r="19" spans="1:10" ht="13.5" customHeight="1"/>
    <row r="20" spans="1:10" ht="13.5" customHeight="1" thickBot="1">
      <c r="A20" s="5">
        <v>6</v>
      </c>
      <c r="C20" t="s">
        <v>58</v>
      </c>
      <c r="E20" s="5"/>
      <c r="G20" s="96">
        <f>SUM(G14:G18)</f>
        <v>2398674</v>
      </c>
      <c r="H20" s="77"/>
      <c r="I20" s="96">
        <f>SUM(I14:I18)</f>
        <v>2398674</v>
      </c>
    </row>
    <row r="21" spans="1:10" ht="12.75" customHeight="1" thickTop="1">
      <c r="E21" s="5"/>
    </row>
    <row r="22" spans="1:10" ht="12.75" customHeight="1">
      <c r="E22" s="5"/>
    </row>
    <row r="23" spans="1:10" s="15" customFormat="1" ht="15.75">
      <c r="A23" s="43"/>
      <c r="C23" s="67"/>
      <c r="D23" s="180"/>
      <c r="E23" s="180"/>
      <c r="F23" s="180"/>
      <c r="G23" s="180"/>
      <c r="H23" s="180"/>
      <c r="I23" s="180"/>
    </row>
    <row r="30" spans="1:10">
      <c r="J30" s="173"/>
    </row>
  </sheetData>
  <printOptions horizontalCentered="1"/>
  <pageMargins left="1" right="0.5" top="1" bottom="1" header="0.3" footer="0.3"/>
  <pageSetup orientation="portrait" r:id="rId1"/>
  <headerFooter>
    <oddHeader>&amp;R&amp;"Times New Roman,Bold"KyPSC Case No. 2026-00041
STAFF-DR-02-001 Attachment 2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pageSetUpPr fitToPage="1"/>
  </sheetPr>
  <dimension ref="A1:J71"/>
  <sheetViews>
    <sheetView view="pageLayout" zoomScaleNormal="100" workbookViewId="0"/>
  </sheetViews>
  <sheetFormatPr defaultRowHeight="12.75"/>
  <cols>
    <col min="1" max="1" width="1.42578125" customWidth="1"/>
    <col min="2" max="2" width="6.5703125" customWidth="1"/>
    <col min="3" max="3" width="1.5703125" customWidth="1"/>
    <col min="4" max="4" width="69.5703125" customWidth="1"/>
    <col min="5" max="5" width="3.42578125" customWidth="1"/>
    <col min="6" max="6" width="26.7109375" customWidth="1"/>
    <col min="7" max="7" width="4" customWidth="1"/>
    <col min="8" max="8" width="22.42578125" customWidth="1"/>
    <col min="9" max="9" width="21.5703125" customWidth="1"/>
  </cols>
  <sheetData>
    <row r="1" spans="1:9" ht="12.75" customHeight="1">
      <c r="I1" s="6" t="s">
        <v>324</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325</v>
      </c>
      <c r="C6" s="4"/>
      <c r="D6" s="4"/>
      <c r="E6" s="4"/>
      <c r="F6" s="4"/>
      <c r="G6" s="4"/>
      <c r="H6" s="4"/>
      <c r="I6" s="4"/>
    </row>
    <row r="7" spans="1:9" ht="12.75" customHeight="1">
      <c r="B7" s="4"/>
      <c r="C7" s="4"/>
      <c r="D7" s="4"/>
      <c r="E7" s="4"/>
      <c r="F7" s="4"/>
      <c r="G7" s="4"/>
      <c r="H7" s="4"/>
      <c r="I7" s="4"/>
    </row>
    <row r="8" spans="1:9" ht="12.75" customHeight="1">
      <c r="A8" s="4"/>
      <c r="B8" s="4" t="s">
        <v>377</v>
      </c>
      <c r="C8" s="4"/>
      <c r="D8" s="4"/>
      <c r="E8" s="4"/>
      <c r="F8" s="4"/>
      <c r="G8" s="4"/>
      <c r="H8" s="4"/>
      <c r="I8" s="4"/>
    </row>
    <row r="9" spans="1:9" ht="12.75" customHeight="1"/>
    <row r="10" spans="1:9" ht="12.75" customHeight="1"/>
    <row r="11" spans="1:9" ht="12.75" customHeight="1">
      <c r="B11" s="42" t="s">
        <v>123</v>
      </c>
      <c r="H11" s="42" t="s">
        <v>8</v>
      </c>
    </row>
    <row r="12" spans="1:9" ht="14.25" customHeight="1">
      <c r="B12" s="184" t="s">
        <v>36</v>
      </c>
      <c r="C12" s="40"/>
      <c r="D12" s="185" t="s">
        <v>326</v>
      </c>
      <c r="F12" s="44" t="s">
        <v>25</v>
      </c>
      <c r="H12" s="44" t="s">
        <v>327</v>
      </c>
    </row>
    <row r="13" spans="1:9" ht="12.75" customHeight="1">
      <c r="H13" s="2"/>
    </row>
    <row r="14" spans="1:9" ht="12.75" customHeight="1">
      <c r="B14" s="9">
        <f>MAX(B$13:B13)+1</f>
        <v>1</v>
      </c>
      <c r="C14" s="9"/>
      <c r="D14" t="s">
        <v>328</v>
      </c>
      <c r="F14" s="5" t="s">
        <v>329</v>
      </c>
      <c r="G14" s="9"/>
      <c r="H14" s="77">
        <f>'FORM 2.00'!F28</f>
        <v>51080923</v>
      </c>
      <c r="I14" s="43"/>
    </row>
    <row r="15" spans="1:9" ht="12.75" customHeight="1">
      <c r="B15" s="9"/>
      <c r="C15" s="9"/>
      <c r="F15" s="5"/>
      <c r="G15" s="9"/>
      <c r="H15" s="77"/>
    </row>
    <row r="16" spans="1:9" ht="12.75" customHeight="1">
      <c r="B16" s="9">
        <f>MAX(B$13:B15)+1</f>
        <v>2</v>
      </c>
      <c r="C16" s="9"/>
      <c r="D16" s="43" t="s">
        <v>330</v>
      </c>
      <c r="F16" s="9" t="s">
        <v>331</v>
      </c>
      <c r="G16" s="9"/>
      <c r="H16" s="77">
        <f>ROUND(H14/12,0)</f>
        <v>4256744</v>
      </c>
      <c r="I16" s="43"/>
    </row>
    <row r="17" spans="2:8" ht="12.75" customHeight="1">
      <c r="B17" s="9"/>
      <c r="C17" s="9"/>
      <c r="D17" s="43"/>
      <c r="F17" s="5"/>
      <c r="G17" s="9"/>
      <c r="H17" s="39"/>
    </row>
    <row r="18" spans="2:8" ht="12.75" customHeight="1">
      <c r="B18" s="9">
        <f>MAX(B$13:B17)+1</f>
        <v>3</v>
      </c>
      <c r="C18" s="9"/>
      <c r="D18" t="s">
        <v>332</v>
      </c>
      <c r="F18" s="5" t="s">
        <v>333</v>
      </c>
      <c r="G18" s="9"/>
      <c r="H18" s="186">
        <f>'FORM 1.20'!G16</f>
        <v>8.8220000000000007E-2</v>
      </c>
    </row>
    <row r="19" spans="2:8" ht="12.75" customHeight="1">
      <c r="B19" s="9"/>
      <c r="C19" s="9"/>
      <c r="F19" s="5"/>
      <c r="G19" s="9"/>
      <c r="H19" s="187"/>
    </row>
    <row r="20" spans="2:8" ht="12.75" customHeight="1">
      <c r="B20" s="9">
        <f>MAX(B$13:B19)+1</f>
        <v>4</v>
      </c>
      <c r="C20" s="9"/>
      <c r="D20" t="s">
        <v>334</v>
      </c>
      <c r="F20" s="9" t="s">
        <v>335</v>
      </c>
      <c r="G20" s="9"/>
      <c r="H20" s="77">
        <f>ROUND(H16*H18,0)</f>
        <v>375530</v>
      </c>
    </row>
    <row r="21" spans="2:8" ht="12.75" customHeight="1">
      <c r="B21" s="9"/>
      <c r="C21" s="9"/>
      <c r="F21" s="5"/>
      <c r="G21" s="9"/>
      <c r="H21" s="77"/>
    </row>
    <row r="22" spans="2:8" ht="12.75" customHeight="1">
      <c r="B22" s="9">
        <f>MAX(B$13:B21)+1</f>
        <v>5</v>
      </c>
      <c r="C22" s="9"/>
      <c r="D22" t="s">
        <v>336</v>
      </c>
      <c r="F22" s="5" t="s">
        <v>329</v>
      </c>
      <c r="G22" s="9" t="s">
        <v>337</v>
      </c>
      <c r="H22" s="77">
        <f>'FORM 2.00'!F38</f>
        <v>3483811</v>
      </c>
    </row>
    <row r="23" spans="2:8" ht="12.75" customHeight="1">
      <c r="B23" s="9"/>
      <c r="C23" s="9"/>
      <c r="F23" s="5"/>
      <c r="G23" s="9"/>
      <c r="H23" s="188"/>
    </row>
    <row r="24" spans="2:8" ht="12.75" customHeight="1">
      <c r="B24" s="9">
        <f>MAX(B$13:B23)+1</f>
        <v>6</v>
      </c>
      <c r="C24" s="9"/>
      <c r="D24" s="43" t="s">
        <v>338</v>
      </c>
      <c r="F24" s="5" t="s">
        <v>329</v>
      </c>
      <c r="G24" s="9" t="s">
        <v>339</v>
      </c>
      <c r="H24" s="102">
        <f>'FORM 2.00'!F45</f>
        <v>0</v>
      </c>
    </row>
    <row r="25" spans="2:8" ht="12.75" customHeight="1">
      <c r="B25" s="5"/>
      <c r="C25" s="5"/>
      <c r="H25" s="39"/>
    </row>
    <row r="26" spans="2:8" ht="12.75" customHeight="1">
      <c r="B26" s="9">
        <f>MAX(B$13:B25)+1</f>
        <v>7</v>
      </c>
      <c r="C26" s="9"/>
      <c r="D26" s="43" t="s">
        <v>340</v>
      </c>
      <c r="F26" s="9" t="s">
        <v>341</v>
      </c>
      <c r="G26" s="9"/>
      <c r="H26" s="77">
        <f>H20+H22-H24</f>
        <v>3859341</v>
      </c>
    </row>
    <row r="27" spans="2:8" ht="12.75" customHeight="1"/>
    <row r="28" spans="2:8" ht="12.75" customHeight="1">
      <c r="B28" s="9">
        <f>MAX(B$13:B27)+1</f>
        <v>8</v>
      </c>
      <c r="C28" s="9"/>
      <c r="D28" t="s">
        <v>342</v>
      </c>
      <c r="F28" s="189" t="s">
        <v>343</v>
      </c>
      <c r="G28" s="9"/>
      <c r="H28" s="190">
        <f>I62</f>
        <v>0.9839</v>
      </c>
    </row>
    <row r="29" spans="2:8" ht="12.75" customHeight="1">
      <c r="B29" s="5"/>
      <c r="C29" s="5"/>
    </row>
    <row r="30" spans="2:8" ht="12.75" customHeight="1">
      <c r="B30" s="9">
        <f>MAX(B$13:B29)+1</f>
        <v>9</v>
      </c>
      <c r="C30" s="9"/>
      <c r="D30" t="s">
        <v>344</v>
      </c>
      <c r="F30" s="5" t="s">
        <v>345</v>
      </c>
      <c r="G30" s="9"/>
      <c r="H30" s="77">
        <f>ROUND(H26*H28,0)</f>
        <v>3797206</v>
      </c>
    </row>
    <row r="31" spans="2:8" ht="12.75" customHeight="1">
      <c r="B31" s="5"/>
      <c r="C31" s="5"/>
      <c r="H31" s="39"/>
    </row>
    <row r="32" spans="2:8" ht="12.75" customHeight="1">
      <c r="B32" s="9">
        <f>MAX(B$13:B31)+1</f>
        <v>10</v>
      </c>
      <c r="C32" s="5"/>
      <c r="D32" t="s">
        <v>346</v>
      </c>
      <c r="F32" s="189" t="s">
        <v>347</v>
      </c>
      <c r="G32" s="9" t="s">
        <v>337</v>
      </c>
      <c r="H32" s="37">
        <v>0</v>
      </c>
    </row>
    <row r="33" spans="2:10" ht="12.75" customHeight="1">
      <c r="B33" s="9">
        <v>10.5</v>
      </c>
      <c r="C33" s="5"/>
      <c r="D33" t="s">
        <v>348</v>
      </c>
      <c r="F33" s="189" t="s">
        <v>375</v>
      </c>
      <c r="G33" s="9" t="s">
        <v>337</v>
      </c>
      <c r="H33" s="37">
        <f>12990+8205</f>
        <v>21195</v>
      </c>
    </row>
    <row r="34" spans="2:10" ht="12.75" customHeight="1">
      <c r="B34" s="5"/>
      <c r="C34" s="5"/>
      <c r="H34" s="39"/>
    </row>
    <row r="35" spans="2:10" ht="12.75" customHeight="1">
      <c r="B35" s="9">
        <f>MAX(B$13:B32)+1</f>
        <v>11</v>
      </c>
      <c r="C35" s="9"/>
      <c r="D35" t="s">
        <v>349</v>
      </c>
      <c r="F35" s="5" t="s">
        <v>329</v>
      </c>
      <c r="G35" s="9" t="s">
        <v>337</v>
      </c>
      <c r="H35" s="77">
        <f>'FORM 2.00'!F51</f>
        <v>28411.000000000698</v>
      </c>
      <c r="J35" s="191"/>
    </row>
    <row r="36" spans="2:10" ht="12.75" customHeight="1">
      <c r="B36" s="5"/>
      <c r="C36" s="5"/>
      <c r="H36" s="77"/>
    </row>
    <row r="37" spans="2:10" ht="12.75" customHeight="1">
      <c r="B37" s="9">
        <f>MAX(B$13:B35)+1</f>
        <v>12</v>
      </c>
      <c r="C37" s="5"/>
      <c r="D37" t="s">
        <v>350</v>
      </c>
      <c r="G37" s="9" t="s">
        <v>339</v>
      </c>
      <c r="H37" s="176">
        <f>22535632/12</f>
        <v>1877969.3333333333</v>
      </c>
    </row>
    <row r="38" spans="2:10" ht="12.75" customHeight="1">
      <c r="B38" s="5"/>
      <c r="C38" s="5"/>
      <c r="G38" s="9"/>
      <c r="H38" s="77"/>
    </row>
    <row r="39" spans="2:10" ht="13.5" customHeight="1" thickBot="1">
      <c r="B39" s="9">
        <f>MAX(B$13:B37)+1</f>
        <v>13</v>
      </c>
      <c r="C39" s="9"/>
      <c r="D39" s="43" t="s">
        <v>351</v>
      </c>
      <c r="F39" s="5" t="s">
        <v>352</v>
      </c>
      <c r="H39" s="96">
        <f>H30+H32+H33+H35-H37</f>
        <v>1968842.6666666677</v>
      </c>
    </row>
    <row r="40" spans="2:10" ht="13.5" customHeight="1" thickTop="1">
      <c r="B40" s="5"/>
      <c r="C40" s="5"/>
      <c r="H40" s="77"/>
    </row>
    <row r="41" spans="2:10" ht="13.5" customHeight="1" thickBot="1">
      <c r="B41" s="9">
        <f>MAX(B$13:B39)+1</f>
        <v>14</v>
      </c>
      <c r="C41" s="5"/>
      <c r="D41" t="s">
        <v>353</v>
      </c>
      <c r="F41" s="9" t="s">
        <v>354</v>
      </c>
      <c r="H41" s="96">
        <f>H26-H30</f>
        <v>62135</v>
      </c>
    </row>
    <row r="42" spans="2:10" ht="13.5" customHeight="1" thickTop="1">
      <c r="B42" s="5"/>
      <c r="C42" s="5"/>
      <c r="F42" s="9"/>
      <c r="H42" s="77"/>
    </row>
    <row r="43" spans="2:10" ht="12.75" customHeight="1">
      <c r="B43" s="5"/>
      <c r="C43" s="5"/>
    </row>
    <row r="44" spans="2:10" ht="12.75" customHeight="1">
      <c r="B44" s="192" t="s">
        <v>355</v>
      </c>
      <c r="C44" s="192"/>
      <c r="D44" s="1"/>
    </row>
    <row r="45" spans="2:10" ht="12.75" customHeight="1">
      <c r="B45" s="193"/>
      <c r="C45" s="153"/>
      <c r="D45" s="194"/>
      <c r="E45" s="194"/>
      <c r="F45" s="194"/>
      <c r="G45" s="194"/>
      <c r="H45" s="195"/>
      <c r="I45" s="196"/>
    </row>
    <row r="46" spans="2:10" ht="12.75" customHeight="1">
      <c r="B46" s="10"/>
      <c r="C46" s="5"/>
      <c r="H46" s="14" t="s">
        <v>80</v>
      </c>
      <c r="I46" s="197" t="s">
        <v>356</v>
      </c>
    </row>
    <row r="47" spans="2:10" ht="12.75" customHeight="1">
      <c r="B47" s="10"/>
      <c r="C47" s="5"/>
      <c r="H47" s="5" t="s">
        <v>357</v>
      </c>
      <c r="I47" s="22" t="s">
        <v>358</v>
      </c>
    </row>
    <row r="48" spans="2:10" ht="12.75" customHeight="1">
      <c r="B48" s="10"/>
      <c r="C48" s="5"/>
      <c r="H48" s="17"/>
      <c r="I48" s="198"/>
    </row>
    <row r="49" spans="2:9" ht="12.75" customHeight="1">
      <c r="B49" s="199">
        <f>MAX(B$13:B45)+1</f>
        <v>15</v>
      </c>
      <c r="C49" s="9"/>
      <c r="D49" t="s">
        <v>359</v>
      </c>
      <c r="F49" s="5" t="s">
        <v>360</v>
      </c>
      <c r="H49" s="200">
        <f>'FORM 3.00'!H36</f>
        <v>0.42830000000000001</v>
      </c>
      <c r="I49" s="201">
        <f>'FORM 3.00'!H64</f>
        <v>0.57169999999999999</v>
      </c>
    </row>
    <row r="50" spans="2:9" ht="12.75" customHeight="1">
      <c r="B50" s="10"/>
      <c r="C50" s="5"/>
      <c r="H50" s="17"/>
      <c r="I50" s="198"/>
    </row>
    <row r="51" spans="2:9" ht="13.35" customHeight="1">
      <c r="B51" s="199">
        <f>MAX(B$13:B50)+1</f>
        <v>16</v>
      </c>
      <c r="C51" s="9"/>
      <c r="D51" t="s">
        <v>361</v>
      </c>
      <c r="F51" s="9" t="s">
        <v>362</v>
      </c>
      <c r="H51" s="77">
        <f>ROUND(H39*H49,0)</f>
        <v>843255</v>
      </c>
      <c r="I51" s="202">
        <f>H39-H51</f>
        <v>1125587.6666666677</v>
      </c>
    </row>
    <row r="52" spans="2:9" ht="12.75" customHeight="1">
      <c r="B52" s="10"/>
      <c r="C52" s="5"/>
      <c r="H52" s="203"/>
      <c r="I52" s="204"/>
    </row>
    <row r="53" spans="2:9" ht="12.75" customHeight="1">
      <c r="B53" s="199">
        <f>MAX(B$13:B52)+1</f>
        <v>17</v>
      </c>
      <c r="C53" s="5"/>
      <c r="D53" s="18" t="s">
        <v>363</v>
      </c>
      <c r="H53" s="203"/>
      <c r="I53" s="204"/>
    </row>
    <row r="54" spans="2:9" ht="15" customHeight="1">
      <c r="B54" s="205"/>
      <c r="C54" s="9"/>
      <c r="D54" s="206" t="s">
        <v>364</v>
      </c>
      <c r="E54" s="207"/>
      <c r="F54" s="208" t="s">
        <v>360</v>
      </c>
      <c r="G54" s="58"/>
      <c r="H54" s="209">
        <f>'FORM 3.00'!H32</f>
        <v>15518335</v>
      </c>
      <c r="I54" s="204"/>
    </row>
    <row r="55" spans="2:9" ht="27.6" customHeight="1">
      <c r="B55" s="199"/>
      <c r="C55" s="9"/>
      <c r="D55" s="206" t="s">
        <v>365</v>
      </c>
      <c r="E55" s="207"/>
      <c r="F55" s="208" t="s">
        <v>360</v>
      </c>
      <c r="G55" s="58"/>
      <c r="H55" s="209"/>
      <c r="I55" s="210">
        <f>'FORM 3.00'!I60</f>
        <v>13159076</v>
      </c>
    </row>
    <row r="56" spans="2:9" ht="12.75" customHeight="1">
      <c r="B56" s="10"/>
      <c r="C56" s="5"/>
      <c r="I56" s="11"/>
    </row>
    <row r="57" spans="2:9" ht="12.75" customHeight="1">
      <c r="B57" s="199">
        <f>MAX(B$13:B56)+1</f>
        <v>18</v>
      </c>
      <c r="C57" s="9"/>
      <c r="D57" t="s">
        <v>366</v>
      </c>
      <c r="F57" s="9" t="s">
        <v>367</v>
      </c>
      <c r="G57" s="9"/>
      <c r="H57" s="56">
        <f>IF(H54=0,0,ROUND(H51/H54,4))</f>
        <v>5.4300000000000001E-2</v>
      </c>
      <c r="I57" s="201">
        <f>IF(I55=0,0,ROUND(I51/I55,4))</f>
        <v>8.5500000000000007E-2</v>
      </c>
    </row>
    <row r="58" spans="2:9" ht="12.75" customHeight="1">
      <c r="B58" s="12"/>
      <c r="C58" s="211"/>
      <c r="D58" s="211"/>
      <c r="E58" s="211"/>
      <c r="F58" s="211"/>
      <c r="G58" s="211"/>
      <c r="H58" s="211"/>
      <c r="I58" s="13"/>
    </row>
    <row r="59" spans="2:9" ht="12.75" customHeight="1"/>
    <row r="60" spans="2:9" ht="12.75" customHeight="1">
      <c r="B60" s="192" t="s">
        <v>368</v>
      </c>
    </row>
    <row r="61" spans="2:9" ht="12.75" customHeight="1">
      <c r="B61" s="212"/>
      <c r="C61" s="194"/>
      <c r="D61" s="194"/>
      <c r="E61" s="194"/>
      <c r="F61" s="194"/>
      <c r="G61" s="194"/>
      <c r="H61" s="194"/>
      <c r="I61" s="213"/>
    </row>
    <row r="62" spans="2:9" ht="12.75" customHeight="1">
      <c r="B62" s="199">
        <f>MAX(B$13:B61)+1</f>
        <v>19</v>
      </c>
      <c r="D62" t="s">
        <v>369</v>
      </c>
      <c r="F62" s="5" t="s">
        <v>360</v>
      </c>
      <c r="H62" s="38">
        <f>'FORM 3.00'!H34</f>
        <v>36231848</v>
      </c>
      <c r="I62" s="201">
        <f>ROUND(H62/$H$66,4)</f>
        <v>0.9839</v>
      </c>
    </row>
    <row r="63" spans="2:9" ht="12.75" customHeight="1">
      <c r="B63" s="10"/>
      <c r="F63" s="5"/>
      <c r="H63" s="37"/>
      <c r="I63" s="11"/>
    </row>
    <row r="64" spans="2:9" ht="12.75" customHeight="1">
      <c r="B64" s="199">
        <f>MAX(B$13:B63)+1</f>
        <v>20</v>
      </c>
      <c r="D64" t="s">
        <v>370</v>
      </c>
      <c r="F64" s="5" t="s">
        <v>371</v>
      </c>
      <c r="H64" s="38">
        <v>593323</v>
      </c>
      <c r="I64" s="214">
        <f>I66-I62</f>
        <v>1.6100000000000003E-2</v>
      </c>
    </row>
    <row r="65" spans="2:9" ht="12.75" customHeight="1">
      <c r="B65" s="10"/>
      <c r="H65" s="77"/>
      <c r="I65" s="11"/>
    </row>
    <row r="66" spans="2:9" ht="12.75" customHeight="1">
      <c r="B66" s="199">
        <f>MAX(B$13:B65)+1</f>
        <v>21</v>
      </c>
      <c r="D66" t="s">
        <v>372</v>
      </c>
      <c r="F66" s="5" t="s">
        <v>373</v>
      </c>
      <c r="H66" s="77">
        <f>H62+H64</f>
        <v>36825171</v>
      </c>
      <c r="I66" s="201">
        <f>ROUND(H66/$H$66,4)</f>
        <v>1</v>
      </c>
    </row>
    <row r="67" spans="2:9" ht="12.75" customHeight="1">
      <c r="B67" s="23"/>
      <c r="C67" s="211"/>
      <c r="D67" s="211"/>
      <c r="E67" s="211"/>
      <c r="F67" s="211"/>
      <c r="G67" s="211"/>
      <c r="H67" s="211"/>
      <c r="I67" s="13"/>
    </row>
    <row r="68" spans="2:9" ht="12.75" customHeight="1"/>
    <row r="69" spans="2:9" ht="12.75" customHeight="1">
      <c r="B69" s="215"/>
      <c r="C69" s="215"/>
      <c r="D69" s="215"/>
      <c r="E69" s="215"/>
      <c r="F69" s="216"/>
      <c r="G69" s="215"/>
      <c r="H69" s="215"/>
      <c r="I69" s="215"/>
    </row>
    <row r="70" spans="2:9" ht="12.75" customHeight="1">
      <c r="D70" t="s">
        <v>374</v>
      </c>
    </row>
    <row r="71" spans="2:9">
      <c r="D71" t="s">
        <v>376</v>
      </c>
    </row>
  </sheetData>
  <printOptions horizontalCentered="1"/>
  <pageMargins left="1" right="0.5" top="1" bottom="1" header="0.3" footer="0.3"/>
  <pageSetup scale="57" orientation="portrait" r:id="rId1"/>
  <headerFooter>
    <oddHeader>&amp;R&amp;"Times New Roman,Bold"KyPSC Case No. 2026-00041
STAFF-DR-02-001 Attachment 2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B1:I64"/>
  <sheetViews>
    <sheetView tabSelected="1" view="pageLayout" zoomScaleNormal="100" workbookViewId="0"/>
  </sheetViews>
  <sheetFormatPr defaultRowHeight="12.75"/>
  <cols>
    <col min="1" max="1" width="2" customWidth="1"/>
    <col min="2" max="2" width="12.5703125" customWidth="1"/>
    <col min="3" max="8" width="14.5703125" customWidth="1"/>
    <col min="9" max="9" width="14.42578125" customWidth="1"/>
  </cols>
  <sheetData>
    <row r="1" spans="2:9" ht="12.75" customHeight="1">
      <c r="I1" s="6" t="s">
        <v>64</v>
      </c>
    </row>
    <row r="2" spans="2:9" ht="12.75" customHeight="1"/>
    <row r="3" spans="2:9" ht="12.75" customHeight="1">
      <c r="B3" s="3" t="s">
        <v>0</v>
      </c>
      <c r="C3" s="3"/>
      <c r="D3" s="4"/>
      <c r="E3" s="4"/>
      <c r="F3" s="4"/>
      <c r="G3" s="4"/>
      <c r="H3" s="4"/>
    </row>
    <row r="4" spans="2:9" ht="12.75" customHeight="1">
      <c r="B4" s="3" t="s">
        <v>1</v>
      </c>
      <c r="C4" s="3"/>
      <c r="D4" s="4"/>
      <c r="E4" s="4"/>
      <c r="F4" s="4"/>
      <c r="G4" s="4"/>
      <c r="H4" s="4"/>
    </row>
    <row r="5" spans="2:9" ht="12.75" customHeight="1">
      <c r="B5" s="4"/>
      <c r="C5" s="4"/>
      <c r="D5" s="4"/>
      <c r="E5" s="4"/>
      <c r="F5" s="4"/>
      <c r="G5" s="4"/>
      <c r="H5" s="4"/>
    </row>
    <row r="6" spans="2:9" ht="12.75" customHeight="1">
      <c r="B6" s="4" t="s">
        <v>65</v>
      </c>
      <c r="C6" s="4"/>
      <c r="D6" s="4"/>
      <c r="E6" s="4"/>
      <c r="F6" s="4"/>
      <c r="G6" s="4"/>
      <c r="H6" s="4"/>
    </row>
    <row r="7" spans="2:9" ht="12.75" customHeight="1">
      <c r="B7" s="4"/>
      <c r="C7" s="4"/>
      <c r="D7" s="4"/>
      <c r="E7" s="4"/>
      <c r="F7" s="4"/>
      <c r="G7" s="4"/>
      <c r="H7" s="4"/>
    </row>
    <row r="8" spans="2:9" ht="12.75" customHeight="1">
      <c r="B8" s="4" t="s">
        <v>377</v>
      </c>
      <c r="C8" s="4"/>
      <c r="D8" s="4"/>
      <c r="E8" s="4"/>
      <c r="F8" s="4"/>
      <c r="G8" s="4"/>
      <c r="H8" s="4"/>
    </row>
    <row r="9" spans="2:9" ht="12.75" customHeight="1">
      <c r="B9" s="15"/>
    </row>
    <row r="10" spans="2:9" ht="12.75" customHeight="1"/>
    <row r="11" spans="2:9" ht="12.75" customHeight="1">
      <c r="B11" s="154" t="s">
        <v>67</v>
      </c>
      <c r="C11" s="155"/>
      <c r="D11" s="155"/>
      <c r="E11" s="155"/>
      <c r="F11" s="155"/>
      <c r="G11" s="217"/>
      <c r="H11" s="156"/>
    </row>
    <row r="12" spans="2:9" ht="12.75" customHeight="1">
      <c r="B12" s="20" t="s">
        <v>9</v>
      </c>
      <c r="C12" s="20" t="s">
        <v>10</v>
      </c>
      <c r="D12" s="20" t="s">
        <v>11</v>
      </c>
      <c r="E12" s="20" t="s">
        <v>12</v>
      </c>
      <c r="F12" s="20" t="s">
        <v>13</v>
      </c>
      <c r="G12" s="20" t="s">
        <v>14</v>
      </c>
      <c r="H12" s="20" t="s">
        <v>15</v>
      </c>
    </row>
    <row r="13" spans="2:9" ht="12.75" customHeight="1">
      <c r="B13" s="218"/>
      <c r="C13" s="218"/>
      <c r="D13" s="218"/>
      <c r="E13" s="218"/>
      <c r="F13" s="218"/>
      <c r="G13" s="218"/>
      <c r="H13" s="218" t="s">
        <v>58</v>
      </c>
    </row>
    <row r="14" spans="2:9" ht="12.75" customHeight="1">
      <c r="B14" s="27"/>
      <c r="C14" s="27"/>
      <c r="D14" s="27"/>
      <c r="E14" s="27"/>
      <c r="F14" s="27" t="s">
        <v>69</v>
      </c>
      <c r="G14" s="27" t="s">
        <v>378</v>
      </c>
      <c r="H14" s="27" t="s">
        <v>42</v>
      </c>
    </row>
    <row r="15" spans="2:9" ht="12.75" customHeight="1">
      <c r="B15" s="27"/>
      <c r="C15" s="27" t="s">
        <v>58</v>
      </c>
      <c r="D15" s="27"/>
      <c r="E15" s="27"/>
      <c r="F15" s="27" t="s">
        <v>379</v>
      </c>
      <c r="G15" s="27" t="s">
        <v>379</v>
      </c>
      <c r="H15" s="27" t="s">
        <v>8</v>
      </c>
    </row>
    <row r="16" spans="2:9" ht="12.75" customHeight="1">
      <c r="B16" s="28" t="s">
        <v>66</v>
      </c>
      <c r="C16" s="28" t="s">
        <v>70</v>
      </c>
      <c r="D16" s="28"/>
      <c r="E16" s="28"/>
      <c r="F16" s="28" t="s">
        <v>72</v>
      </c>
      <c r="G16" s="28" t="s">
        <v>70</v>
      </c>
      <c r="H16" s="28" t="s">
        <v>70</v>
      </c>
    </row>
    <row r="17" spans="2:9" ht="12.75" customHeight="1">
      <c r="B17" s="20"/>
      <c r="C17" s="20"/>
      <c r="D17" s="20"/>
      <c r="E17" s="20"/>
      <c r="F17" s="20"/>
      <c r="G17" s="20"/>
      <c r="H17" s="20" t="s">
        <v>380</v>
      </c>
    </row>
    <row r="18" spans="2:9" ht="12.75" customHeight="1">
      <c r="B18" s="29"/>
      <c r="C18" s="29"/>
      <c r="D18" s="29"/>
      <c r="E18" s="29"/>
      <c r="F18" s="29"/>
      <c r="G18" s="219"/>
      <c r="H18" s="29"/>
    </row>
    <row r="19" spans="2:9" ht="12.75" customHeight="1">
      <c r="B19" s="157">
        <v>45444</v>
      </c>
      <c r="C19" s="36">
        <v>15251945</v>
      </c>
      <c r="D19" s="34"/>
      <c r="E19" s="34"/>
      <c r="F19" s="36">
        <v>0</v>
      </c>
      <c r="G19" s="36">
        <v>1156958</v>
      </c>
      <c r="H19" s="36">
        <f>C19-F19-G19</f>
        <v>14094987</v>
      </c>
    </row>
    <row r="20" spans="2:9" ht="12.75" customHeight="1">
      <c r="B20" s="157">
        <v>45474</v>
      </c>
      <c r="C20" s="76">
        <v>22160893</v>
      </c>
      <c r="D20" s="34"/>
      <c r="E20" s="34"/>
      <c r="F20" s="76">
        <v>0</v>
      </c>
      <c r="G20" s="76">
        <v>1182501</v>
      </c>
      <c r="H20" s="76">
        <f t="shared" ref="H20:H30" si="0">C20-F20-G20</f>
        <v>20978392</v>
      </c>
    </row>
    <row r="21" spans="2:9" ht="12.75" customHeight="1">
      <c r="B21" s="157">
        <v>45505</v>
      </c>
      <c r="C21" s="76">
        <v>20008034</v>
      </c>
      <c r="D21" s="34"/>
      <c r="E21" s="34"/>
      <c r="F21" s="76">
        <v>0</v>
      </c>
      <c r="G21" s="76">
        <v>2556799</v>
      </c>
      <c r="H21" s="76">
        <f t="shared" si="0"/>
        <v>17451235</v>
      </c>
    </row>
    <row r="22" spans="2:9" ht="12.75" customHeight="1">
      <c r="B22" s="157">
        <v>45536</v>
      </c>
      <c r="C22" s="76">
        <v>15589349</v>
      </c>
      <c r="D22" s="34"/>
      <c r="E22" s="34"/>
      <c r="F22" s="76">
        <v>0</v>
      </c>
      <c r="G22" s="76">
        <v>1385573</v>
      </c>
      <c r="H22" s="76">
        <f t="shared" si="0"/>
        <v>14203776</v>
      </c>
    </row>
    <row r="23" spans="2:9" ht="12.75" customHeight="1">
      <c r="B23" s="157">
        <v>45566</v>
      </c>
      <c r="C23" s="76">
        <v>13558166</v>
      </c>
      <c r="D23" s="34"/>
      <c r="E23" s="34"/>
      <c r="F23" s="76">
        <v>0</v>
      </c>
      <c r="G23" s="76">
        <v>1078260</v>
      </c>
      <c r="H23" s="76">
        <f t="shared" si="0"/>
        <v>12479906</v>
      </c>
    </row>
    <row r="24" spans="2:9" ht="12.75" customHeight="1">
      <c r="B24" s="157">
        <v>45597</v>
      </c>
      <c r="C24" s="76">
        <v>11983827</v>
      </c>
      <c r="D24" s="34"/>
      <c r="E24" s="34"/>
      <c r="F24" s="76">
        <v>0</v>
      </c>
      <c r="G24" s="76">
        <v>701074</v>
      </c>
      <c r="H24" s="76">
        <f t="shared" si="0"/>
        <v>11282753</v>
      </c>
    </row>
    <row r="25" spans="2:9" ht="12.75" customHeight="1">
      <c r="B25" s="157">
        <v>45627</v>
      </c>
      <c r="C25" s="76">
        <v>16310679</v>
      </c>
      <c r="D25" s="34"/>
      <c r="E25" s="34"/>
      <c r="F25" s="76">
        <v>2559060</v>
      </c>
      <c r="G25" s="76">
        <v>-168959</v>
      </c>
      <c r="H25" s="76">
        <f t="shared" si="0"/>
        <v>13920578</v>
      </c>
    </row>
    <row r="26" spans="2:9" ht="12.75" customHeight="1">
      <c r="B26" s="157">
        <v>45658</v>
      </c>
      <c r="C26" s="76">
        <v>22948277</v>
      </c>
      <c r="D26" s="34"/>
      <c r="E26" s="34"/>
      <c r="F26" s="76">
        <v>1003698</v>
      </c>
      <c r="G26" s="76">
        <v>702169</v>
      </c>
      <c r="H26" s="76">
        <f t="shared" si="0"/>
        <v>21242410</v>
      </c>
    </row>
    <row r="27" spans="2:9" ht="12.75" customHeight="1">
      <c r="B27" s="157">
        <v>45689</v>
      </c>
      <c r="C27" s="76">
        <v>20691407</v>
      </c>
      <c r="D27" s="34"/>
      <c r="E27" s="34"/>
      <c r="F27" s="76">
        <v>923815</v>
      </c>
      <c r="G27" s="76">
        <v>1017719</v>
      </c>
      <c r="H27" s="76">
        <f t="shared" si="0"/>
        <v>18749873</v>
      </c>
    </row>
    <row r="28" spans="2:9" ht="12.75" customHeight="1">
      <c r="B28" s="157">
        <v>45717</v>
      </c>
      <c r="C28" s="76">
        <v>18908350</v>
      </c>
      <c r="D28" s="34"/>
      <c r="E28" s="34"/>
      <c r="F28" s="76">
        <v>845481</v>
      </c>
      <c r="G28" s="76">
        <v>1005540</v>
      </c>
      <c r="H28" s="76">
        <f t="shared" si="0"/>
        <v>17057329</v>
      </c>
    </row>
    <row r="29" spans="2:9" ht="12.75" customHeight="1">
      <c r="B29" s="157">
        <v>45748</v>
      </c>
      <c r="C29" s="76">
        <v>13538623</v>
      </c>
      <c r="D29" s="34"/>
      <c r="E29" s="34"/>
      <c r="F29" s="76">
        <v>662769</v>
      </c>
      <c r="G29" s="76">
        <v>443969</v>
      </c>
      <c r="H29" s="76">
        <f t="shared" si="0"/>
        <v>12431885</v>
      </c>
    </row>
    <row r="30" spans="2:9" ht="12.75" customHeight="1">
      <c r="B30" s="157">
        <v>45778</v>
      </c>
      <c r="C30" s="36">
        <v>13481415</v>
      </c>
      <c r="D30" s="34"/>
      <c r="E30" s="34"/>
      <c r="F30" s="36">
        <v>696052</v>
      </c>
      <c r="G30" s="36">
        <v>458466</v>
      </c>
      <c r="H30" s="36">
        <f t="shared" si="0"/>
        <v>12326897</v>
      </c>
      <c r="I30" s="77"/>
    </row>
    <row r="31" spans="2:9" ht="12.75" customHeight="1">
      <c r="B31" s="158"/>
      <c r="C31" s="159"/>
      <c r="D31" s="159"/>
      <c r="E31" s="159"/>
      <c r="F31" s="159"/>
      <c r="G31" s="220"/>
      <c r="H31" s="160"/>
    </row>
    <row r="32" spans="2:9" ht="26.1" customHeight="1">
      <c r="B32" s="233" t="s">
        <v>74</v>
      </c>
      <c r="C32" s="234"/>
      <c r="D32" s="234"/>
      <c r="E32" s="234"/>
      <c r="F32" s="234"/>
      <c r="G32" s="235"/>
      <c r="H32" s="161">
        <f>ROUND(AVERAGE(H19:H30),0)</f>
        <v>15518335</v>
      </c>
      <c r="I32" s="37"/>
    </row>
    <row r="33" spans="2:9" ht="12.75" customHeight="1">
      <c r="B33" s="8"/>
      <c r="C33" s="37"/>
      <c r="D33" s="37"/>
      <c r="E33" s="38"/>
      <c r="F33" s="37"/>
      <c r="G33" s="37"/>
      <c r="H33" s="162"/>
      <c r="I33" s="37"/>
    </row>
    <row r="34" spans="2:9" ht="26.1" customHeight="1">
      <c r="B34" s="230" t="s">
        <v>75</v>
      </c>
      <c r="C34" s="231"/>
      <c r="D34" s="231"/>
      <c r="E34" s="231"/>
      <c r="F34" s="231"/>
      <c r="G34" s="232"/>
      <c r="H34" s="161">
        <f>H32+H60</f>
        <v>36231848</v>
      </c>
      <c r="I34" s="37"/>
    </row>
    <row r="35" spans="2:9" ht="12.75" customHeight="1">
      <c r="B35" s="8"/>
      <c r="C35" s="37"/>
      <c r="D35" s="37"/>
      <c r="E35" s="38"/>
      <c r="F35" s="37"/>
      <c r="G35" s="37"/>
      <c r="H35" s="162"/>
      <c r="I35" s="37"/>
    </row>
    <row r="36" spans="2:9" ht="26.1" customHeight="1">
      <c r="B36" s="230" t="s">
        <v>76</v>
      </c>
      <c r="C36" s="231"/>
      <c r="D36" s="231"/>
      <c r="E36" s="231"/>
      <c r="F36" s="231"/>
      <c r="G36" s="232"/>
      <c r="H36" s="163">
        <f>IF(H34=0,0,ROUND(H32/H34,4))</f>
        <v>0.42830000000000001</v>
      </c>
      <c r="I36" s="37"/>
    </row>
    <row r="37" spans="2:9" ht="12.75" customHeight="1"/>
    <row r="38" spans="2:9" ht="12.75" customHeight="1"/>
    <row r="39" spans="2:9" ht="12.75" customHeight="1">
      <c r="B39" s="154" t="s">
        <v>77</v>
      </c>
      <c r="C39" s="155"/>
      <c r="D39" s="155"/>
      <c r="E39" s="155"/>
      <c r="F39" s="155"/>
      <c r="G39" s="217"/>
      <c r="H39" s="155"/>
      <c r="I39" s="164"/>
    </row>
    <row r="40" spans="2:9" ht="12.75" customHeight="1">
      <c r="B40" s="165" t="s">
        <v>9</v>
      </c>
      <c r="C40" s="165" t="s">
        <v>10</v>
      </c>
      <c r="D40" s="165" t="s">
        <v>11</v>
      </c>
      <c r="E40" s="165" t="s">
        <v>12</v>
      </c>
      <c r="F40" s="165" t="s">
        <v>13</v>
      </c>
      <c r="G40" s="165" t="s">
        <v>14</v>
      </c>
      <c r="H40" s="165" t="s">
        <v>15</v>
      </c>
      <c r="I40" s="165" t="s">
        <v>16</v>
      </c>
    </row>
    <row r="41" spans="2:9" ht="12.75" customHeight="1">
      <c r="B41" s="218"/>
      <c r="C41" s="218"/>
      <c r="D41" s="218"/>
      <c r="E41" s="218"/>
      <c r="F41" s="218"/>
      <c r="G41" s="218"/>
      <c r="H41" s="218" t="s">
        <v>58</v>
      </c>
      <c r="I41" s="11"/>
    </row>
    <row r="42" spans="2:9" ht="12.75" customHeight="1">
      <c r="B42" s="27"/>
      <c r="C42" s="27"/>
      <c r="D42" s="27" t="s">
        <v>69</v>
      </c>
      <c r="E42" s="27" t="s">
        <v>71</v>
      </c>
      <c r="F42" s="27" t="s">
        <v>69</v>
      </c>
      <c r="G42" s="27" t="s">
        <v>378</v>
      </c>
      <c r="H42" s="27" t="s">
        <v>42</v>
      </c>
      <c r="I42" s="27" t="s">
        <v>58</v>
      </c>
    </row>
    <row r="43" spans="2:9" ht="12.75" customHeight="1">
      <c r="B43" s="27"/>
      <c r="C43" s="27" t="s">
        <v>58</v>
      </c>
      <c r="D43" s="27" t="s">
        <v>71</v>
      </c>
      <c r="E43" s="27" t="s">
        <v>73</v>
      </c>
      <c r="F43" s="27" t="s">
        <v>379</v>
      </c>
      <c r="G43" s="27" t="s">
        <v>379</v>
      </c>
      <c r="H43" s="27" t="s">
        <v>8</v>
      </c>
      <c r="I43" s="27" t="s">
        <v>68</v>
      </c>
    </row>
    <row r="44" spans="2:9" ht="12.75" customHeight="1">
      <c r="B44" s="28" t="s">
        <v>66</v>
      </c>
      <c r="C44" s="28" t="s">
        <v>70</v>
      </c>
      <c r="D44" s="28" t="s">
        <v>72</v>
      </c>
      <c r="E44" s="28" t="s">
        <v>70</v>
      </c>
      <c r="F44" s="28" t="s">
        <v>72</v>
      </c>
      <c r="G44" s="28" t="s">
        <v>70</v>
      </c>
      <c r="H44" s="28" t="s">
        <v>70</v>
      </c>
      <c r="I44" s="27" t="s">
        <v>70</v>
      </c>
    </row>
    <row r="45" spans="2:9" ht="12.75" customHeight="1">
      <c r="B45" s="20"/>
      <c r="C45" s="20"/>
      <c r="D45" s="20"/>
      <c r="E45" s="20"/>
      <c r="F45" s="20"/>
      <c r="G45" s="20"/>
      <c r="H45" s="20" t="s">
        <v>380</v>
      </c>
      <c r="I45" s="20" t="s">
        <v>381</v>
      </c>
    </row>
    <row r="46" spans="2:9" ht="12.75" customHeight="1">
      <c r="B46" s="29"/>
      <c r="C46" s="29"/>
      <c r="D46" s="29"/>
      <c r="E46" s="29"/>
      <c r="F46" s="29"/>
      <c r="G46" s="219"/>
      <c r="H46" s="29"/>
      <c r="I46" s="11"/>
    </row>
    <row r="47" spans="2:9" ht="12.75" customHeight="1">
      <c r="B47" s="157">
        <v>45444</v>
      </c>
      <c r="C47" s="36">
        <v>19066365</v>
      </c>
      <c r="D47" s="36">
        <v>6587313</v>
      </c>
      <c r="E47" s="36">
        <v>-260393</v>
      </c>
      <c r="F47" s="36">
        <v>0</v>
      </c>
      <c r="G47" s="36">
        <v>1555809</v>
      </c>
      <c r="H47" s="36">
        <f>C47-F47-G47</f>
        <v>17510556</v>
      </c>
      <c r="I47" s="36">
        <f>H47-D47-E47</f>
        <v>11183636</v>
      </c>
    </row>
    <row r="48" spans="2:9" ht="12.75" customHeight="1">
      <c r="B48" s="157">
        <v>45474</v>
      </c>
      <c r="C48" s="76">
        <v>28723175</v>
      </c>
      <c r="D48" s="76">
        <v>8667649</v>
      </c>
      <c r="E48" s="76">
        <v>2235354</v>
      </c>
      <c r="F48" s="76">
        <v>0</v>
      </c>
      <c r="G48" s="76">
        <v>1574393</v>
      </c>
      <c r="H48" s="76">
        <f t="shared" ref="H48:H58" si="1">C48-F48-G48</f>
        <v>27148782</v>
      </c>
      <c r="I48" s="76">
        <f t="shared" ref="I48:I57" si="2">H48-D48-E48</f>
        <v>16245779</v>
      </c>
    </row>
    <row r="49" spans="2:9" ht="12.75" customHeight="1">
      <c r="B49" s="157">
        <v>45505</v>
      </c>
      <c r="C49" s="76">
        <v>26791023</v>
      </c>
      <c r="D49" s="76">
        <v>8613980</v>
      </c>
      <c r="E49" s="76">
        <v>-544014</v>
      </c>
      <c r="F49" s="76">
        <v>0</v>
      </c>
      <c r="G49" s="76">
        <v>3324650</v>
      </c>
      <c r="H49" s="76">
        <f t="shared" si="1"/>
        <v>23466373</v>
      </c>
      <c r="I49" s="76">
        <f t="shared" si="2"/>
        <v>15396407</v>
      </c>
    </row>
    <row r="50" spans="2:9" ht="12.75" customHeight="1">
      <c r="B50" s="157">
        <v>45536</v>
      </c>
      <c r="C50" s="76">
        <v>20501351</v>
      </c>
      <c r="D50" s="76">
        <v>7531250</v>
      </c>
      <c r="E50" s="76">
        <v>-425642</v>
      </c>
      <c r="F50" s="76">
        <v>0</v>
      </c>
      <c r="G50" s="76">
        <v>1783697</v>
      </c>
      <c r="H50" s="76">
        <f t="shared" si="1"/>
        <v>18717654</v>
      </c>
      <c r="I50" s="76">
        <f t="shared" si="2"/>
        <v>11612046</v>
      </c>
    </row>
    <row r="51" spans="2:9" ht="12.75" customHeight="1">
      <c r="B51" s="157">
        <v>45566</v>
      </c>
      <c r="C51" s="76">
        <v>20790697</v>
      </c>
      <c r="D51" s="76">
        <v>6516212</v>
      </c>
      <c r="E51" s="76">
        <v>-94360</v>
      </c>
      <c r="F51" s="76">
        <v>0</v>
      </c>
      <c r="G51" s="76">
        <v>1682716</v>
      </c>
      <c r="H51" s="76">
        <f t="shared" si="1"/>
        <v>19107981</v>
      </c>
      <c r="I51" s="76">
        <f t="shared" si="2"/>
        <v>12686129</v>
      </c>
    </row>
    <row r="52" spans="2:9" ht="12.75" customHeight="1">
      <c r="B52" s="157">
        <v>45597</v>
      </c>
      <c r="C52" s="76">
        <v>20813647</v>
      </c>
      <c r="D52" s="76">
        <v>6690917</v>
      </c>
      <c r="E52" s="76">
        <v>-289956</v>
      </c>
      <c r="F52" s="76">
        <v>0</v>
      </c>
      <c r="G52" s="76">
        <v>1310336</v>
      </c>
      <c r="H52" s="76">
        <f t="shared" si="1"/>
        <v>19503311</v>
      </c>
      <c r="I52" s="76">
        <f t="shared" si="2"/>
        <v>13102350</v>
      </c>
    </row>
    <row r="53" spans="2:9" ht="12.75" customHeight="1">
      <c r="B53" s="157">
        <v>45627</v>
      </c>
      <c r="C53" s="76">
        <v>20544754</v>
      </c>
      <c r="D53" s="76">
        <v>6460309</v>
      </c>
      <c r="E53" s="76">
        <v>515996</v>
      </c>
      <c r="F53" s="76">
        <v>1196878</v>
      </c>
      <c r="G53" s="76">
        <v>-79022</v>
      </c>
      <c r="H53" s="76">
        <f t="shared" si="1"/>
        <v>19426898</v>
      </c>
      <c r="I53" s="76">
        <f t="shared" si="2"/>
        <v>12450593</v>
      </c>
    </row>
    <row r="54" spans="2:9" ht="12.75" customHeight="1">
      <c r="B54" s="157">
        <v>45658</v>
      </c>
      <c r="C54" s="76">
        <v>22861257</v>
      </c>
      <c r="D54" s="76">
        <v>6782470</v>
      </c>
      <c r="E54" s="76">
        <v>1491444</v>
      </c>
      <c r="F54" s="76">
        <v>874271</v>
      </c>
      <c r="G54" s="76">
        <v>611624</v>
      </c>
      <c r="H54" s="76">
        <f t="shared" si="1"/>
        <v>21375362</v>
      </c>
      <c r="I54" s="76">
        <f t="shared" si="2"/>
        <v>13101448</v>
      </c>
    </row>
    <row r="55" spans="2:9" ht="12.75" customHeight="1">
      <c r="B55" s="157">
        <v>45689</v>
      </c>
      <c r="C55" s="76">
        <v>22128048</v>
      </c>
      <c r="D55" s="76">
        <v>6728285</v>
      </c>
      <c r="E55" s="76">
        <v>665261</v>
      </c>
      <c r="F55" s="76">
        <v>954155</v>
      </c>
      <c r="G55" s="76">
        <v>1051142</v>
      </c>
      <c r="H55" s="76">
        <f t="shared" si="1"/>
        <v>20122751</v>
      </c>
      <c r="I55" s="76">
        <f t="shared" si="2"/>
        <v>12729205</v>
      </c>
    </row>
    <row r="56" spans="2:9" ht="12.75" customHeight="1">
      <c r="B56" s="157">
        <v>45717</v>
      </c>
      <c r="C56" s="76">
        <v>23805333</v>
      </c>
      <c r="D56" s="76">
        <v>6461047</v>
      </c>
      <c r="E56" s="76">
        <v>1863620</v>
      </c>
      <c r="F56" s="76">
        <v>1032489</v>
      </c>
      <c r="G56" s="76">
        <v>1227950</v>
      </c>
      <c r="H56" s="76">
        <f t="shared" si="1"/>
        <v>21544894</v>
      </c>
      <c r="I56" s="76">
        <f t="shared" si="2"/>
        <v>13220227</v>
      </c>
    </row>
    <row r="57" spans="2:9" ht="12.75" customHeight="1">
      <c r="B57" s="157">
        <v>45748</v>
      </c>
      <c r="C57" s="76">
        <v>22162764</v>
      </c>
      <c r="D57" s="76">
        <v>6675344</v>
      </c>
      <c r="E57" s="76">
        <v>268271</v>
      </c>
      <c r="F57" s="76">
        <v>1215199</v>
      </c>
      <c r="G57" s="76">
        <v>814024</v>
      </c>
      <c r="H57" s="76">
        <f t="shared" si="1"/>
        <v>20133541</v>
      </c>
      <c r="I57" s="76">
        <f t="shared" si="2"/>
        <v>13189926</v>
      </c>
    </row>
    <row r="58" spans="2:9" ht="12.75" customHeight="1">
      <c r="B58" s="157">
        <v>45778</v>
      </c>
      <c r="C58" s="36">
        <v>22464464</v>
      </c>
      <c r="D58" s="36">
        <v>6708508</v>
      </c>
      <c r="E58" s="36">
        <v>804389</v>
      </c>
      <c r="F58" s="36">
        <v>1181917</v>
      </c>
      <c r="G58" s="36">
        <v>778490</v>
      </c>
      <c r="H58" s="36">
        <f t="shared" si="1"/>
        <v>20504057</v>
      </c>
      <c r="I58" s="36">
        <f>H58-D58-E58</f>
        <v>12991160</v>
      </c>
    </row>
    <row r="59" spans="2:9" ht="12.75" customHeight="1">
      <c r="B59" s="154"/>
      <c r="C59" s="155"/>
      <c r="D59" s="155"/>
      <c r="E59" s="155"/>
      <c r="F59" s="155"/>
      <c r="G59" s="217"/>
      <c r="H59" s="155"/>
      <c r="I59" s="164"/>
    </row>
    <row r="60" spans="2:9" ht="26.1" customHeight="1">
      <c r="B60" s="230" t="s">
        <v>78</v>
      </c>
      <c r="C60" s="231"/>
      <c r="D60" s="231"/>
      <c r="E60" s="231"/>
      <c r="F60" s="231"/>
      <c r="G60" s="232"/>
      <c r="H60" s="161">
        <f>ROUND(AVERAGE(H47:H58),0)</f>
        <v>20713513</v>
      </c>
      <c r="I60" s="161">
        <f>ROUND(AVERAGE(I47:I58),0)</f>
        <v>13159076</v>
      </c>
    </row>
    <row r="61" spans="2:9" ht="12.75" customHeight="1">
      <c r="B61" s="154"/>
      <c r="C61" s="217"/>
      <c r="D61" s="217"/>
      <c r="E61" s="217"/>
      <c r="F61" s="217"/>
      <c r="G61" s="217"/>
      <c r="H61" s="155"/>
      <c r="I61" s="164"/>
    </row>
    <row r="62" spans="2:9" ht="26.1" customHeight="1">
      <c r="B62" s="230" t="s">
        <v>75</v>
      </c>
      <c r="C62" s="231"/>
      <c r="D62" s="231"/>
      <c r="E62" s="231"/>
      <c r="F62" s="231"/>
      <c r="G62" s="232"/>
      <c r="H62" s="161">
        <f>H32+H60</f>
        <v>36231848</v>
      </c>
      <c r="I62" s="11"/>
    </row>
    <row r="63" spans="2:9" ht="12.75" customHeight="1">
      <c r="B63" s="154"/>
      <c r="C63" s="217"/>
      <c r="D63" s="217"/>
      <c r="E63" s="217"/>
      <c r="F63" s="217"/>
      <c r="G63" s="217"/>
      <c r="H63" s="155"/>
      <c r="I63" s="164"/>
    </row>
    <row r="64" spans="2:9" ht="26.1" customHeight="1">
      <c r="B64" s="230" t="s">
        <v>79</v>
      </c>
      <c r="C64" s="231"/>
      <c r="D64" s="231"/>
      <c r="E64" s="231"/>
      <c r="F64" s="231"/>
      <c r="G64" s="232"/>
      <c r="H64" s="163">
        <f>IF(H62=0,0,ROUND(H60/H62,4))</f>
        <v>0.57169999999999999</v>
      </c>
      <c r="I64" s="13"/>
    </row>
  </sheetData>
  <mergeCells count="6">
    <mergeCell ref="B64:G64"/>
    <mergeCell ref="B32:G32"/>
    <mergeCell ref="B34:G34"/>
    <mergeCell ref="B36:G36"/>
    <mergeCell ref="B60:G60"/>
    <mergeCell ref="B62:G62"/>
  </mergeCells>
  <printOptions horizontalCentered="1"/>
  <pageMargins left="1" right="0.5" top="1" bottom="1" header="0.3" footer="0.3"/>
  <pageSetup scale="74" orientation="portrait" r:id="rId1"/>
  <headerFooter>
    <oddHeader>&amp;R&amp;"Times New Roman,Bold"KyPSC Case No. 2026-00041
STAFF-DR-02-001 Attachment 2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2612a682-5ffb-4b9c-9555-017618935178">L.Miller</Witnes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A817A66D50944281B39F7EC6EA570C" ma:contentTypeVersion="4" ma:contentTypeDescription="Create a new document." ma:contentTypeScope="" ma:versionID="f8b318a7acf29d66cc22af427460970c">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E5A6B8-9143-48D2-B6A8-CE1F752D6DD4}">
  <ds:schemaRefs>
    <ds:schemaRef ds:uri="2612a682-5ffb-4b9c-9555-017618935178"/>
    <ds:schemaRef ds:uri="http://www.w3.org/XML/1998/namespace"/>
    <ds:schemaRef ds:uri="http://purl.org/dc/elements/1.1/"/>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3c9d8c27-8a6d-4d9e-a15e-ef5d28c114af"/>
    <ds:schemaRef ds:uri="http://schemas.microsoft.com/office/2006/metadata/properties"/>
  </ds:schemaRefs>
</ds:datastoreItem>
</file>

<file path=customXml/itemProps2.xml><?xml version="1.0" encoding="utf-8"?>
<ds:datastoreItem xmlns:ds="http://schemas.openxmlformats.org/officeDocument/2006/customXml" ds:itemID="{A5276461-2046-49B2-AD8E-FC1903EA8189}">
  <ds:schemaRefs>
    <ds:schemaRef ds:uri="http://schemas.microsoft.com/sharepoint/v3/contenttype/forms"/>
  </ds:schemaRefs>
</ds:datastoreItem>
</file>

<file path=customXml/itemProps3.xml><?xml version="1.0" encoding="utf-8"?>
<ds:datastoreItem xmlns:ds="http://schemas.openxmlformats.org/officeDocument/2006/customXml" ds:itemID="{4BD32578-711F-4D6A-A8B2-8311EF6E5C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1.20</vt:lpstr>
      <vt:lpstr>FORM 2.00</vt:lpstr>
      <vt:lpstr>FORM 2.10</vt:lpstr>
      <vt:lpstr>FORM 2.20</vt:lpstr>
      <vt:lpstr>FORM 2.30</vt:lpstr>
      <vt:lpstr>FORM 2.50</vt:lpstr>
      <vt:lpstr>FORM 1.10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3.00 rev - 052025 DEK ESM Filing for 072025</dc:subject>
  <dc:creator>Czupik, Ted Jr</dc:creator>
  <cp:lastModifiedBy>Barlow, Charlene</cp:lastModifiedBy>
  <cp:lastPrinted>2026-05-28T16:19:31Z</cp:lastPrinted>
  <dcterms:created xsi:type="dcterms:W3CDTF">2017-05-31T14:52:58Z</dcterms:created>
  <dcterms:modified xsi:type="dcterms:W3CDTF">2026-05-28T16:19:37Z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0x01010040A817A66D50944281B39F7EC6EA570C</vt:lpwstr>
  </property>
  <property fmtid="{D5CDD505-2E9C-101B-9397-08002B2CF9AE}" pid="4" name="MSIP_Label_bc2b7c3b-0c05-491c-ab0d-8653210c78a4_Enabled">
    <vt:lpwstr>true</vt:lpwstr>
  </property>
  <property fmtid="{D5CDD505-2E9C-101B-9397-08002B2CF9AE}" pid="5" name="MSIP_Label_bc2b7c3b-0c05-491c-ab0d-8653210c78a4_SetDate">
    <vt:lpwstr>2026-05-21T21:05:23Z</vt:lpwstr>
  </property>
  <property fmtid="{D5CDD505-2E9C-101B-9397-08002B2CF9AE}" pid="6" name="MSIP_Label_bc2b7c3b-0c05-491c-ab0d-8653210c78a4_Method">
    <vt:lpwstr>Privileged</vt:lpwstr>
  </property>
  <property fmtid="{D5CDD505-2E9C-101B-9397-08002B2CF9AE}" pid="7" name="MSIP_Label_bc2b7c3b-0c05-491c-ab0d-8653210c78a4_Name">
    <vt:lpwstr>PUBLIC – NO MARKING</vt:lpwstr>
  </property>
  <property fmtid="{D5CDD505-2E9C-101B-9397-08002B2CF9AE}" pid="8" name="MSIP_Label_bc2b7c3b-0c05-491c-ab0d-8653210c78a4_SiteId">
    <vt:lpwstr>2ede383a-7e1f-4357-a846-85886b2c0c4d</vt:lpwstr>
  </property>
  <property fmtid="{D5CDD505-2E9C-101B-9397-08002B2CF9AE}" pid="9" name="MSIP_Label_bc2b7c3b-0c05-491c-ab0d-8653210c78a4_ActionId">
    <vt:lpwstr>9e97785a-6b31-44e2-8618-f6c867417fb2</vt:lpwstr>
  </property>
  <property fmtid="{D5CDD505-2E9C-101B-9397-08002B2CF9AE}" pid="10" name="MSIP_Label_bc2b7c3b-0c05-491c-ab0d-8653210c78a4_ContentBits">
    <vt:lpwstr>0</vt:lpwstr>
  </property>
  <property fmtid="{D5CDD505-2E9C-101B-9397-08002B2CF9AE}" pid="11" name="MSIP_Label_bc2b7c3b-0c05-491c-ab0d-8653210c78a4_Tag">
    <vt:lpwstr>10, 0, 1, 1</vt:lpwstr>
  </property>
</Properties>
</file>