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18595\Desktop\KRWA\Black Mountain\Application\"/>
    </mc:Choice>
  </mc:AlternateContent>
  <xr:revisionPtr revIDLastSave="0" documentId="13_ncr:1_{0EF68575-A30C-4228-8B01-EA43F493BBCF}" xr6:coauthVersionLast="47" xr6:coauthVersionMax="47" xr10:uidLastSave="{00000000-0000-0000-0000-000000000000}"/>
  <bookViews>
    <workbookView xWindow="28680" yWindow="270" windowWidth="25440" windowHeight="15270" activeTab="3" xr2:uid="{00000000-000D-0000-FFFF-FFFF00000000}"/>
  </bookViews>
  <sheets>
    <sheet name="SAO" sheetId="6" r:id="rId1"/>
    <sheet name="References" sheetId="59" r:id="rId2"/>
    <sheet name="Revenue Requirement" sheetId="58" r:id="rId3"/>
    <sheet name="Wages" sheetId="55" r:id="rId4"/>
    <sheet name="Pur Water" sheetId="60" r:id="rId5"/>
    <sheet name="Medical" sheetId="40" r:id="rId6"/>
    <sheet name="Depreciation" sheetId="51" r:id="rId7"/>
    <sheet name="Debt Service" sheetId="50" r:id="rId8"/>
    <sheet name="Capital" sheetId="56" r:id="rId9"/>
    <sheet name="Water Loss" sheetId="54" r:id="rId10"/>
    <sheet name="Rates ORM" sheetId="2" r:id="rId11"/>
    <sheet name="Bills OR" sheetId="42" r:id="rId12"/>
    <sheet name="Bills with Surcharge OR" sheetId="57" r:id="rId13"/>
    <sheet name="ExBA" sheetId="52" r:id="rId14"/>
    <sheet name="PrBA" sheetId="61" r:id="rId15"/>
  </sheets>
  <definedNames>
    <definedName name="AHV">#REF!</definedName>
    <definedName name="_xlnm.Print_Area" localSheetId="11">'Bills OR'!$B$2:$I$28</definedName>
    <definedName name="_xlnm.Print_Area" localSheetId="12">'Bills with Surcharge OR'!$B$2:$I$28</definedName>
    <definedName name="_xlnm.Print_Area" localSheetId="7">'Debt Service'!$A$1:$O$35</definedName>
    <definedName name="_xlnm.Print_Area" localSheetId="6">Depreciation!$A$1:$L$47</definedName>
    <definedName name="_xlnm.Print_Area" localSheetId="13">ExBA!$A$2:$H$24</definedName>
    <definedName name="_xlnm.Print_Area" localSheetId="10">'Rates ORM'!$A$1:$K$28</definedName>
    <definedName name="_xlnm.Print_Area" localSheetId="2">'Revenue Requirement'!$A$1:$G$26</definedName>
    <definedName name="_xlnm.Print_Area" localSheetId="0">SAO!$A$1:$G$49</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57" l="1"/>
  <c r="P10" i="57"/>
  <c r="E26" i="6"/>
  <c r="E28" i="6"/>
  <c r="I32" i="55"/>
  <c r="I27" i="55"/>
  <c r="G54" i="6" l="1"/>
  <c r="G18" i="58"/>
  <c r="G56" i="6" s="1"/>
  <c r="M29" i="50"/>
  <c r="J30" i="55" l="1"/>
  <c r="E51" i="57"/>
  <c r="E57" i="57"/>
  <c r="E56" i="57"/>
  <c r="E55" i="57"/>
  <c r="E54" i="57"/>
  <c r="E53" i="57"/>
  <c r="E52" i="57"/>
  <c r="E50" i="57"/>
  <c r="E49" i="57"/>
  <c r="E48" i="57"/>
  <c r="E47" i="57"/>
  <c r="E46" i="57"/>
  <c r="E45" i="57"/>
  <c r="E44" i="57"/>
  <c r="E43" i="57"/>
  <c r="E42" i="57"/>
  <c r="E25" i="57"/>
  <c r="E24" i="57"/>
  <c r="E23" i="57"/>
  <c r="E22" i="57"/>
  <c r="E21" i="57"/>
  <c r="E20" i="57"/>
  <c r="E19" i="57"/>
  <c r="E18" i="57"/>
  <c r="E17" i="57"/>
  <c r="E16" i="57"/>
  <c r="E15" i="57"/>
  <c r="E14" i="57"/>
  <c r="E13" i="57"/>
  <c r="E12" i="57"/>
  <c r="E11" i="57"/>
  <c r="E10" i="57"/>
  <c r="E54" i="42"/>
  <c r="E53" i="42"/>
  <c r="E52" i="42"/>
  <c r="E51" i="42"/>
  <c r="E50" i="42"/>
  <c r="E49" i="42"/>
  <c r="E48" i="42"/>
  <c r="E47" i="42"/>
  <c r="E46" i="42"/>
  <c r="E45" i="42"/>
  <c r="E44" i="42"/>
  <c r="E43" i="42"/>
  <c r="E42" i="42"/>
  <c r="E41" i="42"/>
  <c r="E40" i="42"/>
  <c r="E39" i="42"/>
  <c r="E25" i="42"/>
  <c r="E24" i="42"/>
  <c r="E23" i="42"/>
  <c r="E22" i="42"/>
  <c r="E21" i="42"/>
  <c r="E20" i="42"/>
  <c r="E19" i="42"/>
  <c r="E18" i="42"/>
  <c r="E17" i="42"/>
  <c r="E16" i="42"/>
  <c r="E15" i="42"/>
  <c r="E14" i="42"/>
  <c r="E13" i="42"/>
  <c r="E12" i="42"/>
  <c r="F23" i="52" l="1"/>
  <c r="F22" i="52"/>
  <c r="E78" i="61" l="1"/>
  <c r="D78" i="61"/>
  <c r="C78" i="61"/>
  <c r="E77" i="61"/>
  <c r="D77" i="61"/>
  <c r="C77" i="61"/>
  <c r="E76" i="61"/>
  <c r="D76" i="61"/>
  <c r="C76" i="61"/>
  <c r="E62" i="61"/>
  <c r="D62" i="61"/>
  <c r="C62" i="61"/>
  <c r="E61" i="61"/>
  <c r="D61" i="61"/>
  <c r="C61" i="61"/>
  <c r="E60" i="61"/>
  <c r="D60" i="61"/>
  <c r="C60" i="61"/>
  <c r="C63" i="61" s="1"/>
  <c r="L44" i="61"/>
  <c r="D44" i="61"/>
  <c r="O43" i="61"/>
  <c r="O44" i="61" s="1"/>
  <c r="N43" i="61"/>
  <c r="N44" i="61" s="1"/>
  <c r="M43" i="61"/>
  <c r="M44" i="61" s="1"/>
  <c r="L43" i="61"/>
  <c r="K43" i="61"/>
  <c r="K44" i="61" s="1"/>
  <c r="J43" i="61"/>
  <c r="J44" i="61" s="1"/>
  <c r="I43" i="61"/>
  <c r="I44" i="61" s="1"/>
  <c r="H43" i="61"/>
  <c r="H44" i="61" s="1"/>
  <c r="G43" i="61"/>
  <c r="G44" i="61" s="1"/>
  <c r="F43" i="61"/>
  <c r="F44" i="61" s="1"/>
  <c r="E43" i="61"/>
  <c r="E44" i="61" s="1"/>
  <c r="D43" i="61"/>
  <c r="P42" i="61"/>
  <c r="G38" i="61"/>
  <c r="O37" i="61"/>
  <c r="O38" i="61" s="1"/>
  <c r="N37" i="61"/>
  <c r="N38" i="61" s="1"/>
  <c r="M37" i="61"/>
  <c r="M38" i="61" s="1"/>
  <c r="L37" i="61"/>
  <c r="L38" i="61" s="1"/>
  <c r="K37" i="61"/>
  <c r="K38" i="61" s="1"/>
  <c r="J37" i="61"/>
  <c r="J38" i="61" s="1"/>
  <c r="I37" i="61"/>
  <c r="I38" i="61" s="1"/>
  <c r="H37" i="61"/>
  <c r="H38" i="61" s="1"/>
  <c r="G37" i="61"/>
  <c r="F37" i="61"/>
  <c r="F38" i="61" s="1"/>
  <c r="E37" i="61"/>
  <c r="E38" i="61" s="1"/>
  <c r="D37" i="61"/>
  <c r="D38" i="61" s="1"/>
  <c r="P36" i="61"/>
  <c r="D16" i="61" s="1"/>
  <c r="F33" i="61"/>
  <c r="O32" i="61"/>
  <c r="O33" i="61" s="1"/>
  <c r="N32" i="61"/>
  <c r="N33" i="61" s="1"/>
  <c r="M32" i="61"/>
  <c r="M33" i="61" s="1"/>
  <c r="L32" i="61"/>
  <c r="L33" i="61" s="1"/>
  <c r="K32" i="61"/>
  <c r="K33" i="61" s="1"/>
  <c r="J32" i="61"/>
  <c r="J33" i="61" s="1"/>
  <c r="I32" i="61"/>
  <c r="I33" i="61" s="1"/>
  <c r="H32" i="61"/>
  <c r="H33" i="61" s="1"/>
  <c r="G32" i="61"/>
  <c r="G33" i="61" s="1"/>
  <c r="F32" i="61"/>
  <c r="E32" i="61"/>
  <c r="E33" i="61" s="1"/>
  <c r="D32" i="61"/>
  <c r="D33" i="61" s="1"/>
  <c r="P31" i="61"/>
  <c r="E16" i="61" s="1"/>
  <c r="P7" i="61"/>
  <c r="H6" i="61" s="1"/>
  <c r="D63" i="61" l="1"/>
  <c r="C79" i="61"/>
  <c r="D79" i="61"/>
  <c r="E79" i="61"/>
  <c r="E63" i="61"/>
  <c r="E18" i="61"/>
  <c r="F16" i="61"/>
  <c r="P33" i="61"/>
  <c r="P37" i="61"/>
  <c r="D17" i="61" s="1"/>
  <c r="F17" i="61" s="1"/>
  <c r="P43" i="61"/>
  <c r="P32" i="61"/>
  <c r="E17" i="61" s="1"/>
  <c r="G17" i="61" s="1"/>
  <c r="G18" i="61" s="1"/>
  <c r="E23" i="61" s="1"/>
  <c r="H17" i="61" l="1"/>
  <c r="D18" i="61"/>
  <c r="D22" i="61" s="1"/>
  <c r="F18" i="61"/>
  <c r="E22" i="61" s="1"/>
  <c r="E24" i="61" s="1"/>
  <c r="G5" i="61" s="1"/>
  <c r="H16" i="61"/>
  <c r="H18" i="61" s="1"/>
  <c r="D24" i="61" l="1"/>
  <c r="F5" i="61" s="1"/>
  <c r="O10" i="60" l="1"/>
  <c r="O12" i="60" s="1"/>
  <c r="J15" i="60" s="1"/>
  <c r="E27" i="6" s="1"/>
  <c r="G27" i="6" s="1"/>
  <c r="O9" i="60"/>
  <c r="O8" i="60"/>
  <c r="O7" i="60"/>
  <c r="O6" i="60"/>
  <c r="G10" i="60"/>
  <c r="G9" i="60"/>
  <c r="G8" i="60"/>
  <c r="G7" i="60"/>
  <c r="G6" i="60"/>
  <c r="B32" i="55" l="1"/>
  <c r="G44" i="6"/>
  <c r="C27" i="40" l="1"/>
  <c r="K22" i="50"/>
  <c r="I22" i="50"/>
  <c r="G22" i="50"/>
  <c r="E22" i="50"/>
  <c r="C22" i="50"/>
  <c r="M13" i="50"/>
  <c r="M18" i="50"/>
  <c r="M15" i="50"/>
  <c r="M14" i="50"/>
  <c r="M16" i="50"/>
  <c r="M17" i="50"/>
  <c r="L19" i="50"/>
  <c r="L22" i="50" s="1"/>
  <c r="J19" i="50"/>
  <c r="J22" i="50" s="1"/>
  <c r="H19" i="50"/>
  <c r="H22" i="50" s="1"/>
  <c r="F19" i="50"/>
  <c r="F22" i="50" s="1"/>
  <c r="D19" i="50"/>
  <c r="M19" i="50" l="1"/>
  <c r="M22" i="50" s="1"/>
  <c r="D22" i="50"/>
  <c r="J10" i="51"/>
  <c r="J23" i="51"/>
  <c r="K23" i="51" s="1"/>
  <c r="K22" i="51"/>
  <c r="I15" i="55" l="1"/>
  <c r="H8" i="52" l="1"/>
  <c r="H9" i="52"/>
  <c r="C20" i="40"/>
  <c r="F20" i="40"/>
  <c r="C14" i="40"/>
  <c r="C6" i="40"/>
  <c r="C7" i="40"/>
  <c r="E7" i="40" s="1"/>
  <c r="F7" i="40" s="1"/>
  <c r="G22" i="58"/>
  <c r="G60" i="6" s="1"/>
  <c r="G7" i="40" l="1"/>
  <c r="G20" i="40"/>
  <c r="G21" i="40" s="1"/>
  <c r="D62" i="52"/>
  <c r="E61" i="52"/>
  <c r="C61" i="52"/>
  <c r="E79" i="52"/>
  <c r="C79" i="52"/>
  <c r="E62" i="52"/>
  <c r="C62" i="52"/>
  <c r="C78" i="52"/>
  <c r="E78" i="52"/>
  <c r="D78" i="52"/>
  <c r="E77" i="52"/>
  <c r="C77" i="52"/>
  <c r="D77" i="52"/>
  <c r="D79" i="52" s="1"/>
  <c r="E76" i="52"/>
  <c r="D76" i="52"/>
  <c r="C76" i="52"/>
  <c r="E60" i="52"/>
  <c r="D60" i="52"/>
  <c r="C60" i="52"/>
  <c r="E63" i="52" l="1"/>
  <c r="C63" i="52"/>
  <c r="D61" i="52"/>
  <c r="D63" i="52" s="1"/>
  <c r="P7" i="52" l="1"/>
  <c r="H6" i="52" s="1"/>
  <c r="C5" i="56" l="1"/>
  <c r="E21" i="6" s="1"/>
  <c r="H18" i="55"/>
  <c r="G18" i="55"/>
  <c r="I18" i="55" s="1"/>
  <c r="H17" i="55"/>
  <c r="G17" i="55"/>
  <c r="I17" i="55" s="1"/>
  <c r="H16" i="55"/>
  <c r="G16" i="55"/>
  <c r="H14" i="55"/>
  <c r="G14" i="55"/>
  <c r="H13" i="55"/>
  <c r="G13" i="55"/>
  <c r="I13" i="55" s="1"/>
  <c r="O37" i="52"/>
  <c r="O38" i="52" s="1"/>
  <c r="O43" i="52"/>
  <c r="N37" i="52"/>
  <c r="N38" i="52" s="1"/>
  <c r="N43" i="52"/>
  <c r="N44" i="52" s="1"/>
  <c r="M37" i="52"/>
  <c r="M38" i="52" s="1"/>
  <c r="M43" i="52"/>
  <c r="L37" i="52"/>
  <c r="L43" i="52"/>
  <c r="L44" i="52" s="1"/>
  <c r="K37" i="52"/>
  <c r="K38" i="52" s="1"/>
  <c r="K43" i="52"/>
  <c r="K44" i="52" s="1"/>
  <c r="J37" i="52"/>
  <c r="J38" i="52" s="1"/>
  <c r="J43" i="52"/>
  <c r="I37" i="52"/>
  <c r="I43" i="52"/>
  <c r="H43" i="52"/>
  <c r="H44" i="52" s="1"/>
  <c r="H37" i="52"/>
  <c r="H38" i="52" s="1"/>
  <c r="G43" i="52"/>
  <c r="G44" i="52" s="1"/>
  <c r="G37" i="52"/>
  <c r="F43" i="52"/>
  <c r="F44" i="52" s="1"/>
  <c r="F37" i="52"/>
  <c r="F38" i="52" s="1"/>
  <c r="E37" i="52"/>
  <c r="E43" i="52"/>
  <c r="E16" i="52"/>
  <c r="P42" i="52"/>
  <c r="P36" i="52"/>
  <c r="D16" i="52" s="1"/>
  <c r="P31" i="52"/>
  <c r="O32" i="52"/>
  <c r="O33" i="52" s="1"/>
  <c r="N32" i="52"/>
  <c r="N33" i="52" s="1"/>
  <c r="M32" i="52"/>
  <c r="M33" i="52" s="1"/>
  <c r="L32" i="52"/>
  <c r="L33" i="52" s="1"/>
  <c r="K32" i="52"/>
  <c r="K33" i="52" s="1"/>
  <c r="J32" i="52"/>
  <c r="J33" i="52" s="1"/>
  <c r="P33" i="52" s="1"/>
  <c r="I32" i="52"/>
  <c r="H32" i="52"/>
  <c r="H33" i="52" s="1"/>
  <c r="G32" i="52"/>
  <c r="F32" i="52"/>
  <c r="F33" i="52"/>
  <c r="D37" i="52"/>
  <c r="D38" i="52" s="1"/>
  <c r="O44" i="52"/>
  <c r="M44" i="52"/>
  <c r="J44" i="52"/>
  <c r="I44" i="52"/>
  <c r="E44" i="52"/>
  <c r="D43" i="52"/>
  <c r="D44" i="52" s="1"/>
  <c r="E32" i="52"/>
  <c r="E33" i="52" s="1"/>
  <c r="L38" i="52"/>
  <c r="I38" i="52"/>
  <c r="G38" i="52"/>
  <c r="E38" i="52"/>
  <c r="I33" i="52"/>
  <c r="G33" i="52"/>
  <c r="D32" i="52"/>
  <c r="D33" i="52" s="1"/>
  <c r="E11" i="42"/>
  <c r="E10" i="42"/>
  <c r="P32" i="52" l="1"/>
  <c r="E17" i="52" s="1"/>
  <c r="I14" i="55"/>
  <c r="I16" i="55"/>
  <c r="P43" i="52"/>
  <c r="P37" i="52"/>
  <c r="D17" i="52" s="1"/>
  <c r="G13" i="6" l="1"/>
  <c r="G9" i="6"/>
  <c r="G6" i="58" l="1"/>
  <c r="G20" i="58"/>
  <c r="G58" i="6" s="1"/>
  <c r="J33" i="50"/>
  <c r="H33" i="50"/>
  <c r="F33" i="50"/>
  <c r="D33" i="50"/>
  <c r="F14" i="40" l="1"/>
  <c r="G14" i="40" s="1"/>
  <c r="G14" i="6"/>
  <c r="G7" i="58" s="1"/>
  <c r="G21" i="58" s="1"/>
  <c r="G59" i="6" s="1"/>
  <c r="G15" i="40" l="1"/>
  <c r="G12" i="55" l="1"/>
  <c r="H12" i="55"/>
  <c r="H11" i="55"/>
  <c r="G11" i="55"/>
  <c r="I11" i="55" s="1"/>
  <c r="H10" i="55"/>
  <c r="G10" i="55"/>
  <c r="I10" i="55" s="1"/>
  <c r="H9" i="55"/>
  <c r="G9" i="55"/>
  <c r="I12" i="55" l="1"/>
  <c r="I9" i="55"/>
  <c r="F6" i="40"/>
  <c r="G6" i="40" s="1"/>
  <c r="G8" i="40" s="1"/>
  <c r="C26" i="40" s="1"/>
  <c r="C28" i="40" s="1"/>
  <c r="E25" i="6" s="1"/>
  <c r="G5" i="55" l="1"/>
  <c r="H6" i="55"/>
  <c r="G8" i="55"/>
  <c r="H7" i="55"/>
  <c r="D20" i="55"/>
  <c r="H19" i="55"/>
  <c r="G19" i="55"/>
  <c r="J27" i="51"/>
  <c r="G7" i="55" l="1"/>
  <c r="I7" i="55" s="1"/>
  <c r="H5" i="55"/>
  <c r="I5" i="55" s="1"/>
  <c r="H8" i="55"/>
  <c r="I8" i="55" s="1"/>
  <c r="I19" i="55"/>
  <c r="H20" i="55" l="1"/>
  <c r="F16" i="52"/>
  <c r="H16" i="52" s="1"/>
  <c r="F17" i="52"/>
  <c r="G33" i="6"/>
  <c r="G10" i="6"/>
  <c r="B32" i="54"/>
  <c r="B31" i="54"/>
  <c r="B30" i="54"/>
  <c r="D18" i="52" l="1"/>
  <c r="D22" i="52" s="1"/>
  <c r="G22" i="52" s="1"/>
  <c r="E18" i="52"/>
  <c r="F18" i="52"/>
  <c r="G17" i="52"/>
  <c r="B33" i="54"/>
  <c r="G32" i="6"/>
  <c r="G31" i="6"/>
  <c r="D24" i="52" l="1"/>
  <c r="F5" i="52" s="1"/>
  <c r="D37" i="54" s="1"/>
  <c r="E22" i="52"/>
  <c r="H17" i="52"/>
  <c r="H18" i="52" s="1"/>
  <c r="G18" i="52"/>
  <c r="A32" i="54"/>
  <c r="A31" i="54"/>
  <c r="A30" i="54"/>
  <c r="E23" i="52" l="1"/>
  <c r="G23" i="52" s="1"/>
  <c r="F44" i="51"/>
  <c r="J19" i="51"/>
  <c r="J18" i="51"/>
  <c r="J42" i="51"/>
  <c r="E24" i="52" l="1"/>
  <c r="G5" i="52" s="1"/>
  <c r="K42" i="51"/>
  <c r="C6" i="56"/>
  <c r="E30" i="6" s="1"/>
  <c r="I28" i="55"/>
  <c r="G6" i="55"/>
  <c r="C21" i="54"/>
  <c r="C14" i="54"/>
  <c r="C4" i="54"/>
  <c r="G20" i="55" l="1"/>
  <c r="I6" i="55"/>
  <c r="I20" i="55" s="1"/>
  <c r="D25" i="54"/>
  <c r="D27" i="54" s="1"/>
  <c r="C22" i="54"/>
  <c r="D30" i="54" l="1"/>
  <c r="D31" i="54"/>
  <c r="D32" i="54"/>
  <c r="I22" i="55" l="1"/>
  <c r="G25" i="6"/>
  <c r="D33" i="54"/>
  <c r="H44" i="51"/>
  <c r="J41" i="51"/>
  <c r="J38" i="51"/>
  <c r="K38" i="51" s="1"/>
  <c r="J35" i="51"/>
  <c r="J34" i="51"/>
  <c r="K34" i="51" s="1"/>
  <c r="J33" i="51"/>
  <c r="J32" i="51"/>
  <c r="J31" i="51"/>
  <c r="J30" i="51"/>
  <c r="J29" i="51"/>
  <c r="K29" i="51" s="1"/>
  <c r="J28" i="51"/>
  <c r="K28" i="51" s="1"/>
  <c r="K27" i="51"/>
  <c r="J24" i="51"/>
  <c r="K24" i="51" s="1"/>
  <c r="J15" i="51"/>
  <c r="J14" i="51"/>
  <c r="J13" i="51"/>
  <c r="J12" i="51"/>
  <c r="J11" i="51"/>
  <c r="K11" i="51" s="1"/>
  <c r="K10" i="51"/>
  <c r="L33" i="50"/>
  <c r="M33" i="50" s="1"/>
  <c r="M35" i="50" s="1"/>
  <c r="K30" i="51" l="1"/>
  <c r="D36" i="54"/>
  <c r="D38" i="54" s="1"/>
  <c r="I34" i="55"/>
  <c r="K44" i="51"/>
  <c r="E43" i="6" s="1"/>
  <c r="G43" i="6" s="1"/>
  <c r="J44" i="51"/>
  <c r="M25" i="50"/>
  <c r="G3" i="58" s="1"/>
  <c r="E45" i="6" l="1"/>
  <c r="I36" i="55"/>
  <c r="H26" i="2"/>
  <c r="I26" i="2" s="1"/>
  <c r="I30" i="55"/>
  <c r="E20" i="6" s="1"/>
  <c r="E40" i="6" s="1"/>
  <c r="M27" i="50"/>
  <c r="G4" i="58" s="1"/>
  <c r="G46" i="6" l="1"/>
  <c r="P27" i="50"/>
  <c r="G39" i="6"/>
  <c r="G38" i="6"/>
  <c r="G37" i="6"/>
  <c r="G36" i="6"/>
  <c r="G35" i="6"/>
  <c r="G34" i="6"/>
  <c r="G30" i="6"/>
  <c r="G29" i="6"/>
  <c r="G28" i="6"/>
  <c r="G23" i="6"/>
  <c r="G22" i="6" l="1"/>
  <c r="G15" i="6"/>
  <c r="D40" i="6" l="1"/>
  <c r="D47" i="6" s="1"/>
  <c r="G40" i="6" l="1"/>
  <c r="G47" i="6" s="1"/>
  <c r="G15" i="58" l="1"/>
  <c r="G2" i="58"/>
  <c r="G5" i="58" s="1"/>
  <c r="G9" i="58" s="1"/>
  <c r="G17" i="58" l="1"/>
  <c r="I16" i="58" s="1"/>
  <c r="G53" i="6"/>
  <c r="G24" i="52"/>
  <c r="G19" i="58" l="1"/>
  <c r="G55" i="6"/>
  <c r="H5" i="52"/>
  <c r="H7" i="52" s="1"/>
  <c r="H11" i="52" s="1"/>
  <c r="G23" i="58" l="1"/>
  <c r="G57" i="6"/>
  <c r="L11" i="52"/>
  <c r="E8" i="6"/>
  <c r="G24" i="58"/>
  <c r="G62" i="6" s="1"/>
  <c r="G10" i="58"/>
  <c r="G11" i="58" s="1"/>
  <c r="J11" i="61" l="1"/>
  <c r="G61" i="6"/>
  <c r="G12" i="58"/>
  <c r="G25" i="58" l="1"/>
  <c r="G8" i="6"/>
  <c r="D16" i="6"/>
  <c r="D49" i="6" s="1"/>
  <c r="G26" i="58" l="1"/>
  <c r="G64" i="6" s="1"/>
  <c r="G63" i="6"/>
  <c r="F18" i="2"/>
  <c r="F22" i="2"/>
  <c r="G16" i="6"/>
  <c r="G49" i="6" s="1"/>
  <c r="H15" i="2"/>
  <c r="I15" i="2" s="1"/>
  <c r="F19" i="2" l="1"/>
  <c r="H19" i="2" s="1"/>
  <c r="I19" i="2" s="1"/>
  <c r="F14" i="2"/>
  <c r="F13" i="2"/>
  <c r="F18" i="57" s="1"/>
  <c r="G18" i="57" s="1"/>
  <c r="H18" i="57" s="1"/>
  <c r="F44" i="42"/>
  <c r="G44" i="42" s="1"/>
  <c r="H44" i="42" s="1"/>
  <c r="F41" i="42"/>
  <c r="G41" i="42" s="1"/>
  <c r="H41" i="42" s="1"/>
  <c r="F43" i="42"/>
  <c r="G43" i="42" s="1"/>
  <c r="H43" i="42" s="1"/>
  <c r="F13" i="57"/>
  <c r="G13" i="57" s="1"/>
  <c r="H13" i="57" s="1"/>
  <c r="F48" i="42"/>
  <c r="G48" i="42" s="1"/>
  <c r="H48" i="42" s="1"/>
  <c r="F51" i="42"/>
  <c r="G51" i="42" s="1"/>
  <c r="H51" i="42" s="1"/>
  <c r="F11" i="42"/>
  <c r="G11" i="42" s="1"/>
  <c r="H11" i="42" s="1"/>
  <c r="F21" i="57"/>
  <c r="G21" i="57" s="1"/>
  <c r="H21" i="57" s="1"/>
  <c r="F14" i="42"/>
  <c r="G14" i="42" s="1"/>
  <c r="H14" i="42" s="1"/>
  <c r="F15" i="57"/>
  <c r="G15" i="57" s="1"/>
  <c r="H15" i="57" s="1"/>
  <c r="F23" i="57"/>
  <c r="G23" i="57" s="1"/>
  <c r="H23" i="57" s="1"/>
  <c r="F22" i="61"/>
  <c r="G22" i="61" s="1"/>
  <c r="F52" i="42"/>
  <c r="G52" i="42" s="1"/>
  <c r="H52" i="42" s="1"/>
  <c r="F50" i="42"/>
  <c r="G50" i="42" s="1"/>
  <c r="H50" i="42" s="1"/>
  <c r="F25" i="57"/>
  <c r="G25" i="57" s="1"/>
  <c r="H25" i="57" s="1"/>
  <c r="F22" i="57"/>
  <c r="G22" i="57" s="1"/>
  <c r="H22" i="57" s="1"/>
  <c r="F46" i="42"/>
  <c r="G46" i="42" s="1"/>
  <c r="H46" i="42" s="1"/>
  <c r="F25" i="42"/>
  <c r="G25" i="42" s="1"/>
  <c r="H25" i="42" s="1"/>
  <c r="F28" i="61"/>
  <c r="H22" i="2"/>
  <c r="I22" i="2" s="1"/>
  <c r="F42" i="57"/>
  <c r="G42" i="57" s="1"/>
  <c r="H42" i="57" s="1"/>
  <c r="F54" i="57"/>
  <c r="G54" i="57" s="1"/>
  <c r="H54" i="57" s="1"/>
  <c r="F57" i="57"/>
  <c r="G57" i="57" s="1"/>
  <c r="H57" i="57" s="1"/>
  <c r="F53" i="57"/>
  <c r="G53" i="57" s="1"/>
  <c r="H53" i="57" s="1"/>
  <c r="F44" i="57"/>
  <c r="F50" i="57"/>
  <c r="G50" i="57" s="1"/>
  <c r="H50" i="57" s="1"/>
  <c r="F49" i="57"/>
  <c r="G49" i="57" s="1"/>
  <c r="H49" i="57" s="1"/>
  <c r="F45" i="57"/>
  <c r="G45" i="57" s="1"/>
  <c r="H45" i="57" s="1"/>
  <c r="F48" i="57"/>
  <c r="G48" i="57" s="1"/>
  <c r="H48" i="57" s="1"/>
  <c r="F52" i="57"/>
  <c r="G52" i="57" s="1"/>
  <c r="H52" i="57" s="1"/>
  <c r="F47" i="57"/>
  <c r="G47" i="57" s="1"/>
  <c r="H47" i="57" s="1"/>
  <c r="F46" i="57"/>
  <c r="G46" i="57" s="1"/>
  <c r="H46" i="57" s="1"/>
  <c r="F51" i="57"/>
  <c r="G51" i="57" s="1"/>
  <c r="H51" i="57" s="1"/>
  <c r="H18" i="2"/>
  <c r="I18" i="2" s="1"/>
  <c r="F56" i="57"/>
  <c r="G56" i="57" s="1"/>
  <c r="H56" i="57" s="1"/>
  <c r="F43" i="57"/>
  <c r="G43" i="57" s="1"/>
  <c r="H43" i="57" s="1"/>
  <c r="F55" i="57"/>
  <c r="G55" i="57" s="1"/>
  <c r="H55" i="57" s="1"/>
  <c r="F23" i="61"/>
  <c r="G23" i="61" s="1"/>
  <c r="H14" i="2"/>
  <c r="I14" i="2" s="1"/>
  <c r="F10" i="57"/>
  <c r="G10" i="57" s="1"/>
  <c r="H10" i="57" s="1"/>
  <c r="H25" i="2"/>
  <c r="I25" i="2" s="1"/>
  <c r="G44" i="57" l="1"/>
  <c r="H44" i="57" s="1"/>
  <c r="Q11" i="57"/>
  <c r="R11" i="57" s="1"/>
  <c r="S11" i="57" s="1"/>
  <c r="F17" i="57"/>
  <c r="G17" i="57" s="1"/>
  <c r="H17" i="57" s="1"/>
  <c r="F16" i="57"/>
  <c r="G16" i="57" s="1"/>
  <c r="H16" i="57" s="1"/>
  <c r="F12" i="57"/>
  <c r="H13" i="2"/>
  <c r="I13" i="2" s="1"/>
  <c r="F19" i="57"/>
  <c r="G19" i="57" s="1"/>
  <c r="H19" i="57" s="1"/>
  <c r="F42" i="42"/>
  <c r="G42" i="42" s="1"/>
  <c r="H42" i="42" s="1"/>
  <c r="F17" i="42"/>
  <c r="G17" i="42" s="1"/>
  <c r="H17" i="42" s="1"/>
  <c r="F20" i="57"/>
  <c r="G20" i="57" s="1"/>
  <c r="H20" i="57" s="1"/>
  <c r="F18" i="42"/>
  <c r="G18" i="42" s="1"/>
  <c r="H18" i="42" s="1"/>
  <c r="F13" i="42"/>
  <c r="G13" i="42" s="1"/>
  <c r="H13" i="42" s="1"/>
  <c r="F20" i="42"/>
  <c r="G20" i="42" s="1"/>
  <c r="H20" i="42" s="1"/>
  <c r="F24" i="42"/>
  <c r="G24" i="42" s="1"/>
  <c r="H24" i="42" s="1"/>
  <c r="F40" i="42"/>
  <c r="G40" i="42" s="1"/>
  <c r="H40" i="42" s="1"/>
  <c r="F45" i="42"/>
  <c r="G45" i="42" s="1"/>
  <c r="H45" i="42" s="1"/>
  <c r="F24" i="57"/>
  <c r="G24" i="57" s="1"/>
  <c r="H24" i="57" s="1"/>
  <c r="F16" i="42"/>
  <c r="G16" i="42" s="1"/>
  <c r="H16" i="42" s="1"/>
  <c r="F15" i="42"/>
  <c r="G15" i="42" s="1"/>
  <c r="H15" i="42" s="1"/>
  <c r="F11" i="57"/>
  <c r="G11" i="57" s="1"/>
  <c r="H11" i="57" s="1"/>
  <c r="F14" i="57"/>
  <c r="G14" i="57" s="1"/>
  <c r="H14" i="57" s="1"/>
  <c r="F22" i="42"/>
  <c r="G22" i="42" s="1"/>
  <c r="H22" i="42" s="1"/>
  <c r="F39" i="42"/>
  <c r="G39" i="42" s="1"/>
  <c r="H39" i="42" s="1"/>
  <c r="F49" i="42"/>
  <c r="G49" i="42" s="1"/>
  <c r="H49" i="42" s="1"/>
  <c r="F23" i="42"/>
  <c r="G23" i="42" s="1"/>
  <c r="H23" i="42" s="1"/>
  <c r="F10" i="42"/>
  <c r="G10" i="42" s="1"/>
  <c r="H10" i="42" s="1"/>
  <c r="F21" i="42"/>
  <c r="G21" i="42" s="1"/>
  <c r="H21" i="42" s="1"/>
  <c r="F19" i="42"/>
  <c r="G19" i="42" s="1"/>
  <c r="H19" i="42" s="1"/>
  <c r="F47" i="42"/>
  <c r="G47" i="42" s="1"/>
  <c r="H47" i="42" s="1"/>
  <c r="F54" i="42"/>
  <c r="G54" i="42" s="1"/>
  <c r="H54" i="42" s="1"/>
  <c r="F12" i="42"/>
  <c r="G12" i="42" s="1"/>
  <c r="H12" i="42" s="1"/>
  <c r="F53" i="42"/>
  <c r="G53" i="42" s="1"/>
  <c r="H53" i="42" s="1"/>
  <c r="G24" i="61"/>
  <c r="H5" i="61" s="1"/>
  <c r="H7" i="61" s="1"/>
  <c r="H11" i="61" s="1"/>
  <c r="K11" i="61" s="1"/>
  <c r="L11" i="61" s="1"/>
  <c r="G12" i="57" l="1"/>
  <c r="H12" i="57" s="1"/>
  <c r="Q10" i="57"/>
  <c r="R10" i="57" s="1"/>
  <c r="S10" i="57" s="1"/>
</calcChain>
</file>

<file path=xl/sharedStrings.xml><?xml version="1.0" encoding="utf-8"?>
<sst xmlns="http://schemas.openxmlformats.org/spreadsheetml/2006/main" count="861" uniqueCount="415">
  <si>
    <t>Total Operating Expenses</t>
  </si>
  <si>
    <t>Taxes Other Than Income</t>
  </si>
  <si>
    <t>Salaries and Wages - Employees</t>
  </si>
  <si>
    <t>Salaries and Wages - Officers</t>
  </si>
  <si>
    <t>Employee Pensions and Benefits</t>
  </si>
  <si>
    <t>Purchased Water</t>
  </si>
  <si>
    <t>Purchased Power</t>
  </si>
  <si>
    <t>Materials and Supplies</t>
  </si>
  <si>
    <t>Miscellaneous Expenses</t>
  </si>
  <si>
    <t>Transportation Expenses</t>
  </si>
  <si>
    <t>Proposed</t>
  </si>
  <si>
    <t>Total</t>
  </si>
  <si>
    <t>Gallons</t>
  </si>
  <si>
    <t>Operating Revenues</t>
  </si>
  <si>
    <t>Sales for Resale</t>
  </si>
  <si>
    <t>Other Water Revenues:</t>
  </si>
  <si>
    <t>Misc. Service Revenues</t>
  </si>
  <si>
    <t>Total Operating Revenues</t>
  </si>
  <si>
    <t>Operating Expenses</t>
  </si>
  <si>
    <t>Depreciation Expense</t>
  </si>
  <si>
    <t>Plus:</t>
  </si>
  <si>
    <t>Less:</t>
  </si>
  <si>
    <t>Existing</t>
  </si>
  <si>
    <t>Change</t>
  </si>
  <si>
    <t>1"</t>
  </si>
  <si>
    <t>2"</t>
  </si>
  <si>
    <t>Table A</t>
  </si>
  <si>
    <t>SCHEDULE OF ADJUSTED OPERATIONS</t>
  </si>
  <si>
    <t>Test Year</t>
  </si>
  <si>
    <t>Adjustments</t>
  </si>
  <si>
    <t>Ref.</t>
  </si>
  <si>
    <t>Proforma</t>
  </si>
  <si>
    <t>Operation and Maintenance</t>
  </si>
  <si>
    <t>Total Operation and Mnt. Expenses</t>
  </si>
  <si>
    <t>Total Utility Operating Income</t>
  </si>
  <si>
    <t>Pro Forma Operating Expenses</t>
  </si>
  <si>
    <t>Adjustment</t>
  </si>
  <si>
    <t>Forfeited Discounts</t>
  </si>
  <si>
    <t>DEPRECIATION EXPENSE ADJUSTMENTS</t>
  </si>
  <si>
    <t>Depreciation</t>
  </si>
  <si>
    <t>Date in</t>
  </si>
  <si>
    <t>Original</t>
  </si>
  <si>
    <t>Expense</t>
  </si>
  <si>
    <t>Service</t>
  </si>
  <si>
    <t>Life</t>
  </si>
  <si>
    <t>Depr. Exp.</t>
  </si>
  <si>
    <t>CURRENT AND PROPOSED RATES</t>
  </si>
  <si>
    <t>Private Fire Protection</t>
  </si>
  <si>
    <t>Other Water Revenues</t>
  </si>
  <si>
    <t>Rental of Building/Real Property</t>
  </si>
  <si>
    <t>Insurance - Other</t>
  </si>
  <si>
    <t>Revenue Required From Sales of Water</t>
  </si>
  <si>
    <t>Revenue from Sales with Present Rates</t>
  </si>
  <si>
    <t>Total Revenue Requirement</t>
  </si>
  <si>
    <t>Required Revenue Increase</t>
  </si>
  <si>
    <t>Percent Increase</t>
  </si>
  <si>
    <t>Meter</t>
  </si>
  <si>
    <t>Difference</t>
  </si>
  <si>
    <t>Bill</t>
  </si>
  <si>
    <t>Percentage</t>
  </si>
  <si>
    <t>Size</t>
  </si>
  <si>
    <t>5/8 x 3/4"</t>
  </si>
  <si>
    <t>TOTALS</t>
  </si>
  <si>
    <t>per Month*</t>
  </si>
  <si>
    <t>* Highlighted usage represents the average residential bill.</t>
  </si>
  <si>
    <t>Chemicals</t>
  </si>
  <si>
    <t>Salaries &amp; Wages and Associated Adjustments</t>
  </si>
  <si>
    <t>Pro Forma</t>
  </si>
  <si>
    <t xml:space="preserve">Pro Forma </t>
  </si>
  <si>
    <t>Employee</t>
  </si>
  <si>
    <t>Reg. Hrs</t>
  </si>
  <si>
    <t>O. T. Hours</t>
  </si>
  <si>
    <t>Reg. Wages</t>
  </si>
  <si>
    <t>O. T. Wages</t>
  </si>
  <si>
    <t>Wages</t>
  </si>
  <si>
    <t>Pro Forma Salaries &amp; Wages Expense</t>
  </si>
  <si>
    <t>Less: Test Year Salaries &amp; Wages Exp</t>
  </si>
  <si>
    <t>Pro Forma Salaries &amp; Wages Adj'mt</t>
  </si>
  <si>
    <t xml:space="preserve"> </t>
  </si>
  <si>
    <t>Times: 7.65 Percent FICA Rate</t>
  </si>
  <si>
    <t>Pro Forma Payroll Taxes</t>
  </si>
  <si>
    <t>Payroll Tax Adjustment</t>
  </si>
  <si>
    <t>Average Annual Principal and Interest Payments</t>
  </si>
  <si>
    <t>Additional Working Capital</t>
  </si>
  <si>
    <t>Table B</t>
  </si>
  <si>
    <t>DEBT SERVICE SCHDULE</t>
  </si>
  <si>
    <t>Interest</t>
  </si>
  <si>
    <t>Principal</t>
  </si>
  <si>
    <t>&amp; Fees</t>
  </si>
  <si>
    <t>Average Annual Principal &amp; Interest</t>
  </si>
  <si>
    <t>Average Annual Coverage</t>
  </si>
  <si>
    <t>General Plant</t>
  </si>
  <si>
    <t>Pumping Plant</t>
  </si>
  <si>
    <t>Transmission &amp; Distribution Plant</t>
  </si>
  <si>
    <t>Transportation Equipment</t>
  </si>
  <si>
    <t>Water Treatment Plant</t>
  </si>
  <si>
    <t>Asset</t>
  </si>
  <si>
    <t>Structures &amp; Improvements</t>
  </si>
  <si>
    <t>Office Furniture &amp; Equipment</t>
  </si>
  <si>
    <t>Power Operated Equipment</t>
  </si>
  <si>
    <t>Tools, Shop, &amp; Garage Equipment</t>
  </si>
  <si>
    <t>Tank Repairs &amp; Painting</t>
  </si>
  <si>
    <t>Telemetry</t>
  </si>
  <si>
    <t>Pumping Equipment</t>
  </si>
  <si>
    <t>Hydrants</t>
  </si>
  <si>
    <t>Transmission &amp; Distribution Mains</t>
  </si>
  <si>
    <t>Meter Installations</t>
  </si>
  <si>
    <t>Meter Change-outs</t>
  </si>
  <si>
    <t>Pump Equipment</t>
  </si>
  <si>
    <t>Tank Fence</t>
  </si>
  <si>
    <t>Services</t>
  </si>
  <si>
    <t>Reservoirs &amp; Tanks</t>
  </si>
  <si>
    <t>Tank Painting &amp; Repairs</t>
  </si>
  <si>
    <t>Entire Group</t>
  </si>
  <si>
    <t xml:space="preserve">              *  Includes only costs associated with assets that contributed to depreciation expense in the test year.</t>
  </si>
  <si>
    <t>Cost *</t>
  </si>
  <si>
    <t>Reported</t>
  </si>
  <si>
    <t>varies</t>
  </si>
  <si>
    <t>Water Loss Adjustment</t>
  </si>
  <si>
    <t>Sold</t>
  </si>
  <si>
    <t>Uses:</t>
  </si>
  <si>
    <t xml:space="preserve">  water loss percentage</t>
  </si>
  <si>
    <t xml:space="preserve">  allowable in rates</t>
  </si>
  <si>
    <t xml:space="preserve">  adjustment percentage</t>
  </si>
  <si>
    <t>Produced</t>
  </si>
  <si>
    <t>Purchased</t>
  </si>
  <si>
    <t>Total Produced and Purchased</t>
  </si>
  <si>
    <t>Total Other Water Used</t>
  </si>
  <si>
    <t>Losses:</t>
  </si>
  <si>
    <t xml:space="preserve">   WTP</t>
  </si>
  <si>
    <t xml:space="preserve">   Flushing</t>
  </si>
  <si>
    <t xml:space="preserve">   Fire</t>
  </si>
  <si>
    <t xml:space="preserve">   Other</t>
  </si>
  <si>
    <t xml:space="preserve">   Line Leaks</t>
  </si>
  <si>
    <t xml:space="preserve">   Unknown</t>
  </si>
  <si>
    <t>Total Losses:</t>
  </si>
  <si>
    <t>Sold, Used, and Lost</t>
  </si>
  <si>
    <t>Total Gross Wages</t>
  </si>
  <si>
    <t>Gross Wages for Full Time Employees CERS Eligible</t>
  </si>
  <si>
    <t xml:space="preserve">Materials </t>
  </si>
  <si>
    <t>New Meter Fees Collected</t>
  </si>
  <si>
    <t>DISTRICT'S</t>
  </si>
  <si>
    <t>EMPLOYEE</t>
  </si>
  <si>
    <t xml:space="preserve">WATER DIST </t>
  </si>
  <si>
    <t>ANNUAL</t>
  </si>
  <si>
    <t>PREMIUM</t>
  </si>
  <si>
    <t>CONTRIB</t>
  </si>
  <si>
    <t>CONTRIB %</t>
  </si>
  <si>
    <t>Structures and Improvements</t>
  </si>
  <si>
    <t>Water Treatment Equipment</t>
  </si>
  <si>
    <t>Source of Supply Plant</t>
  </si>
  <si>
    <t>Collecting &amp; Impounding Reservoirs</t>
  </si>
  <si>
    <t>Supply Mains</t>
  </si>
  <si>
    <t>``</t>
  </si>
  <si>
    <t>Pension</t>
  </si>
  <si>
    <t>Eligible</t>
  </si>
  <si>
    <t>Total Adjustment</t>
  </si>
  <si>
    <t>CURRENT AND PROPOSED BILLS</t>
  </si>
  <si>
    <t>/ Number of Bills</t>
  </si>
  <si>
    <t>Contractual Services - Accounting</t>
  </si>
  <si>
    <t xml:space="preserve">   Tank Overflows</t>
  </si>
  <si>
    <t xml:space="preserve">   Line Breaks</t>
  </si>
  <si>
    <t>Summary</t>
  </si>
  <si>
    <t>Customer Class</t>
  </si>
  <si>
    <t># of Bills</t>
  </si>
  <si>
    <t>Gallons Sold</t>
  </si>
  <si>
    <t>Revenue</t>
  </si>
  <si>
    <t>First</t>
  </si>
  <si>
    <t>Over</t>
  </si>
  <si>
    <t>Usage</t>
  </si>
  <si>
    <t>Bills</t>
  </si>
  <si>
    <t>REVENUE BY RATE INCREMENT</t>
  </si>
  <si>
    <t xml:space="preserve">Rate </t>
  </si>
  <si>
    <t>Less Adjustments</t>
  </si>
  <si>
    <t>Costs Subject to Water Loss Adjustment</t>
  </si>
  <si>
    <t>Computation of Water Loss Surcharge</t>
  </si>
  <si>
    <t>Net Retail</t>
  </si>
  <si>
    <t>Adjustment to SAO Billed Retail Revenues</t>
  </si>
  <si>
    <t>Computation of Adjustment:</t>
  </si>
  <si>
    <t>Monthly Water Rates:</t>
  </si>
  <si>
    <t>Minimum Bill</t>
  </si>
  <si>
    <t>All Over</t>
  </si>
  <si>
    <t>Block</t>
  </si>
  <si>
    <t>Second</t>
  </si>
  <si>
    <t>CONSUMPTION BY RATE INCREMENT</t>
  </si>
  <si>
    <t>No</t>
  </si>
  <si>
    <t>Contractual Labor and Materials Adjustment for New Service Installations</t>
  </si>
  <si>
    <t>Reference</t>
  </si>
  <si>
    <t>Black Mountain Utility District</t>
  </si>
  <si>
    <t>BLACK MOUNTAIN UTILITY DISTRICT</t>
  </si>
  <si>
    <t>Division 1</t>
  </si>
  <si>
    <t>Division 2</t>
  </si>
  <si>
    <t>Wholesale Rate and Leak Adjustment Rate</t>
  </si>
  <si>
    <t>All Gallons</t>
  </si>
  <si>
    <t>2,000 Gallons</t>
  </si>
  <si>
    <t>Per Connection</t>
  </si>
  <si>
    <t>various</t>
  </si>
  <si>
    <t>Adjust to allowed depreciable lives.</t>
  </si>
  <si>
    <t>Tab Depreciation Cell K44</t>
  </si>
  <si>
    <t>Adjust reported revenues to current billing analysis.</t>
  </si>
  <si>
    <t>Single</t>
  </si>
  <si>
    <t>NUMBER OF PARTICIPANTS</t>
  </si>
  <si>
    <t>Tab Medical Cell C18</t>
  </si>
  <si>
    <t>Bill**</t>
  </si>
  <si>
    <t>Medical and Dental Insurance Adjustment</t>
  </si>
  <si>
    <t>MEDICAL INSURANCE</t>
  </si>
  <si>
    <t>TOTAL MEDICAL INSURANCE</t>
  </si>
  <si>
    <t>DENTAL INSURANCE</t>
  </si>
  <si>
    <t>TOTAL DENTAL INSURANCE</t>
  </si>
  <si>
    <t>KIA F209-10</t>
  </si>
  <si>
    <t>RD 91-01</t>
  </si>
  <si>
    <t>RD 91-02</t>
  </si>
  <si>
    <t>RD 91-05</t>
  </si>
  <si>
    <t>RD 91-10</t>
  </si>
  <si>
    <t>RD 91-12</t>
  </si>
  <si>
    <t>RD-91-08</t>
  </si>
  <si>
    <t xml:space="preserve"> REVENUE REQUIREMENTS USING OPERATING RATIO METHOD </t>
  </si>
  <si>
    <t>Divided by:  Operating Ratio</t>
  </si>
  <si>
    <t xml:space="preserve">  Subtotal</t>
  </si>
  <si>
    <t>Interest Expense</t>
  </si>
  <si>
    <t>REVENUE REQUIREMENTS USING DEBT SERVICE COVERAGE METHOD</t>
  </si>
  <si>
    <t>Interest Only</t>
  </si>
  <si>
    <t>TABLE C USING DEBT SERVICE COVERAGE METHOD</t>
  </si>
  <si>
    <t>CURRENT AND PROPOSED BILLS WITH WATER LOSS SURCHARGE</t>
  </si>
  <si>
    <t>A</t>
  </si>
  <si>
    <t>B</t>
  </si>
  <si>
    <t>C</t>
  </si>
  <si>
    <t>D</t>
  </si>
  <si>
    <t>E</t>
  </si>
  <si>
    <t>F</t>
  </si>
  <si>
    <t>G</t>
  </si>
  <si>
    <t>H</t>
  </si>
  <si>
    <t>I</t>
  </si>
  <si>
    <t>Average annual debt service over next five years.</t>
  </si>
  <si>
    <t>Twenty percent of average annual debt service.</t>
  </si>
  <si>
    <t>Tab Debt Service Cell M25</t>
  </si>
  <si>
    <t>Tab Debt Service Cell M27</t>
  </si>
  <si>
    <t>J</t>
  </si>
  <si>
    <t>K</t>
  </si>
  <si>
    <t>Adjust payroll taxes to reflect changes in employees.</t>
  </si>
  <si>
    <t>Adjust to allowable water loss.</t>
  </si>
  <si>
    <t>Tab Water Loss Cell D29</t>
  </si>
  <si>
    <t>Tab Water Loss Cell D30</t>
  </si>
  <si>
    <t xml:space="preserve">Labor </t>
  </si>
  <si>
    <t>Adjust labor portion of tapping fees.</t>
  </si>
  <si>
    <t>Tab Capital Cell C5</t>
  </si>
  <si>
    <t>Adjust materials portion of tapping fees.</t>
  </si>
  <si>
    <t>Tab Capital Cell C6</t>
  </si>
  <si>
    <t>Tab SAO Cell D20</t>
  </si>
  <si>
    <t>Retail Rates</t>
  </si>
  <si>
    <t>Per Bill</t>
  </si>
  <si>
    <t>APPENDIX A</t>
  </si>
  <si>
    <t>Miscellaneous Service Revenues</t>
  </si>
  <si>
    <t>BLACK MOUNTAIN UTILITY DISTRICT DIVISION 1</t>
  </si>
  <si>
    <t>BLACK MOUNTAIN UTILITY DISTRICT DIVISION 2</t>
  </si>
  <si>
    <t>Bill***</t>
  </si>
  <si>
    <t>*** Proposed Bill includes temporary forty-eight month Water Loss Surcharge of $7.91.</t>
  </si>
  <si>
    <t>wastewater plant</t>
  </si>
  <si>
    <t>2024</t>
  </si>
  <si>
    <t>Sales to Residential Customers</t>
  </si>
  <si>
    <t>Sales to Commercial Customers</t>
  </si>
  <si>
    <t>Contractual Services - legal</t>
  </si>
  <si>
    <t>Contractual Services - Water Testiing</t>
  </si>
  <si>
    <t>Insurance - Workers Comp</t>
  </si>
  <si>
    <t>Advertising</t>
  </si>
  <si>
    <t>Jan</t>
  </si>
  <si>
    <t>Feb</t>
  </si>
  <si>
    <t>Mar</t>
  </si>
  <si>
    <t>Apr</t>
  </si>
  <si>
    <t>May</t>
  </si>
  <si>
    <t>Jun</t>
  </si>
  <si>
    <t>Jul</t>
  </si>
  <si>
    <t>Aug</t>
  </si>
  <si>
    <t>Sep</t>
  </si>
  <si>
    <t>Oct</t>
  </si>
  <si>
    <t>Nov</t>
  </si>
  <si>
    <t>Dec</t>
  </si>
  <si>
    <t>USAGE</t>
  </si>
  <si>
    <t>Customers</t>
  </si>
  <si>
    <t>Service mths</t>
  </si>
  <si>
    <t>Salary</t>
  </si>
  <si>
    <t>Misread</t>
  </si>
  <si>
    <t>Leak Adjustment</t>
  </si>
  <si>
    <t>Water Adjustment</t>
  </si>
  <si>
    <t>CY 2027</t>
  </si>
  <si>
    <t>CY 2028</t>
  </si>
  <si>
    <t>CY 2029</t>
  </si>
  <si>
    <t>CY 2030</t>
  </si>
  <si>
    <t>Loan</t>
  </si>
  <si>
    <t>Case</t>
  </si>
  <si>
    <t>Less: District's 2024 Annual Premium</t>
  </si>
  <si>
    <t>Info from 2022-275</t>
  </si>
  <si>
    <t>Monthly Debt Surcharge</t>
  </si>
  <si>
    <t>January</t>
  </si>
  <si>
    <t>February</t>
  </si>
  <si>
    <t>March</t>
  </si>
  <si>
    <t>April</t>
  </si>
  <si>
    <t>June</t>
  </si>
  <si>
    <t>July</t>
  </si>
  <si>
    <t>August</t>
  </si>
  <si>
    <t>September</t>
  </si>
  <si>
    <t>October</t>
  </si>
  <si>
    <t>November</t>
  </si>
  <si>
    <t>December</t>
  </si>
  <si>
    <t>$</t>
  </si>
  <si>
    <t>Count</t>
  </si>
  <si>
    <t>MONTHLY BILLING PERIOD REPORTS</t>
  </si>
  <si>
    <t>Debt Service Surcharge</t>
  </si>
  <si>
    <t>Water Loss Reddution Surcharge</t>
  </si>
  <si>
    <t>Wholesale &amp; Leak Adjustment Rate</t>
  </si>
  <si>
    <t>2024 Adjustments Report   (7/24/25 email Rural water.pdf)</t>
  </si>
  <si>
    <t>Rural WATER.pdf</t>
  </si>
  <si>
    <t>Interest Income</t>
  </si>
  <si>
    <t>2024 AR pg.20</t>
  </si>
  <si>
    <t>Dues $5 / subscriber</t>
  </si>
  <si>
    <t>VISION INSURANCE</t>
  </si>
  <si>
    <t>Total Employer Medical Premium</t>
  </si>
  <si>
    <t>Amortization Expense</t>
  </si>
  <si>
    <t>Commissioners</t>
  </si>
  <si>
    <t>Adjust wages to reflect staff changes and increase in employee wage rates.</t>
  </si>
  <si>
    <t>Wages tab Cell H30</t>
  </si>
  <si>
    <t>Tab ExBA Cell H10</t>
  </si>
  <si>
    <t>5 year Average Interest Only</t>
  </si>
  <si>
    <t>OFFICE CLERK</t>
  </si>
  <si>
    <t>ASSISTANT HEAD OFFICE CLERK</t>
  </si>
  <si>
    <t>MANAGER</t>
  </si>
  <si>
    <t>FIELD WORKER</t>
  </si>
  <si>
    <t>EQUIP OPERATOR /FIELD WORKER</t>
  </si>
  <si>
    <t>REFRENCES</t>
  </si>
  <si>
    <t>A.</t>
  </si>
  <si>
    <t>B.</t>
  </si>
  <si>
    <t>C.</t>
  </si>
  <si>
    <t>E.</t>
  </si>
  <si>
    <t>F.</t>
  </si>
  <si>
    <t>G.</t>
  </si>
  <si>
    <t>H.</t>
  </si>
  <si>
    <t>I.</t>
  </si>
  <si>
    <t>J.</t>
  </si>
  <si>
    <t>K.</t>
  </si>
  <si>
    <t xml:space="preserve">Revenue requirement is computed using the Operating Ratio Method. This method is used when systems have little or no debt. </t>
  </si>
  <si>
    <t>Do not recieve pay or benefits</t>
  </si>
  <si>
    <t>Less: 2024 Payroll Taxes</t>
  </si>
  <si>
    <t>Tab Wages Cell I36</t>
  </si>
  <si>
    <t xml:space="preserve">2024 Annual Report pg. 45 </t>
  </si>
  <si>
    <t>Note: $27,780 includes (util. reg. assessment $2,721.46)</t>
  </si>
  <si>
    <t>1/23/26 email</t>
  </si>
  <si>
    <t xml:space="preserve">Misclassified miscellaneous equipment (331 account) </t>
  </si>
  <si>
    <t>Organizational Cost</t>
  </si>
  <si>
    <t>CY 2031</t>
  </si>
  <si>
    <t>CY 2027 - 2031</t>
  </si>
  <si>
    <t>Monthly Water Loss Reduction Surcharge Amount</t>
  </si>
  <si>
    <t>Rate case Expense amortized over 3 years($9,335/3=$3,112)</t>
  </si>
  <si>
    <t xml:space="preserve">Recovery of Rate Case Expense of $9,335 amortized over a three year period (9,335/3yrs=$3,112). </t>
  </si>
  <si>
    <t>The PSC requires adjustments to a water utility's depreciation expense when asset lives fall outside the ranges recommended by NARUC in its publication titled "Depreciation Practices for small utilities".  Adjustments are included to bring asset lives to the midpoint of the recommended ranges. BMUD total depreciation expense was decreased by $53,709 . See Table A.</t>
  </si>
  <si>
    <t>Pro Forma Salaries and Wages Expense plus Commissioers</t>
  </si>
  <si>
    <t>Eff. 9/19/13</t>
  </si>
  <si>
    <t>Purchase</t>
  </si>
  <si>
    <t>Eff. 2/8/26</t>
  </si>
  <si>
    <t>BILLS</t>
  </si>
  <si>
    <t>GALLONS</t>
  </si>
  <si>
    <t>RATE</t>
  </si>
  <si>
    <t>Water expense</t>
  </si>
  <si>
    <t>FIRST</t>
  </si>
  <si>
    <t>NEXT</t>
  </si>
  <si>
    <t>OVER</t>
  </si>
  <si>
    <t>TOTAL</t>
  </si>
  <si>
    <t>BMUD WATER PURCHASES FROM CITY OF HARLAN BY RATE INCREMENT</t>
  </si>
  <si>
    <t>PURCHASE WATER EXPENSE INCREASE</t>
  </si>
  <si>
    <t>Increase in wholesale rate from City of Harlan</t>
  </si>
  <si>
    <t>Tab Pur Water Cell J 15</t>
  </si>
  <si>
    <t>Per Gallon</t>
  </si>
  <si>
    <t>RR Water Sales</t>
  </si>
  <si>
    <t>** Includes Monthly Debt Surcharge of $4.26.</t>
  </si>
  <si>
    <t>Water Loss Reduction Surcharge*</t>
  </si>
  <si>
    <t>** Existing Bill includes monthly debt surcharge of $4.26 and temporary forty-eight month Water Loss Surcharge of $7.91.</t>
  </si>
  <si>
    <t>*** Proposed Bill includes monthly surcharge of $4.26 and temporary forty-eight month Water Loss Surcharge of $7.91.</t>
  </si>
  <si>
    <t>BILLING ANALYSIS WITH 2024 USAGE AND CURRENT RATES</t>
  </si>
  <si>
    <t>BILLING ANALYSIS WITH 2024 USAGE AND PROPOSED RATES</t>
  </si>
  <si>
    <t>Hourly Wage Rate</t>
  </si>
  <si>
    <t>Adjust medical insurance to 2025 employer premium.</t>
  </si>
  <si>
    <t>TABLE D USING OPERATING RATIO METHOD</t>
  </si>
  <si>
    <t>Less 2024 PSC Annual Report</t>
  </si>
  <si>
    <t>Increase to metered sales revenues due to PWA rate increase effective Feb. 8, 2026, in Case No 2026-00025.</t>
  </si>
  <si>
    <t>Total Metered Retail Sales</t>
  </si>
  <si>
    <t>Total Revenue from Water Sales</t>
  </si>
  <si>
    <t>The utility's test year water loss was 33.84 percent. The PSC's maximum allowable loss for rate-making purposes is 15.0 percent. Therefore, the expenses for purchased water and purchased power above the 15 percent limit is not allowed in the rate base and must be deducted. Purchased Water expense was decreased by $184,746 and purchased power expense was decreased by $24,447.</t>
  </si>
  <si>
    <t>The 2024 Depreciation schedule included misclassified miscellanious equipment reducing depreciation expense by $12,909.</t>
  </si>
  <si>
    <t>Increased in payroll taxes by $4,176 due to increase in wages.</t>
  </si>
  <si>
    <t>Water</t>
  </si>
  <si>
    <t>Loss</t>
  </si>
  <si>
    <t>Annual</t>
  </si>
  <si>
    <t>Report</t>
  </si>
  <si>
    <t>Tab Debt Service Cell M29</t>
  </si>
  <si>
    <t>BLACK MOUNTAIN UTILITY DISTRICT DIIVISION  1</t>
  </si>
  <si>
    <t>5-Year Average Interest &amp; fees Only</t>
  </si>
  <si>
    <t>5-Year Average annual interest over next five years.</t>
  </si>
  <si>
    <t>10 new taps in 2024 at $1,000 each</t>
  </si>
  <si>
    <t>Source Colby 2/11/26 email</t>
  </si>
  <si>
    <t>The utility collected $10,000 in tapping fees in 2024. These taps were installed by the utility and were recorded as labor and material expenses.  Labor expense has been reduced by $3,000 or 30% of the tapping fees while materials and supplies expense has been reduced by $7,000 or 70% of the tapping fees.</t>
  </si>
  <si>
    <t>*On October 9, 2023 the Final Order in case 2022-00275 approved WLRS for 48 months until October 9, 2027 or $319,316 collected.</t>
  </si>
  <si>
    <t>Decrease Health Dental and Vision insurance by $16,747 to 2025 premiums for employees.</t>
  </si>
  <si>
    <t>Since 2024, there have been increases to individual wage rates and employee turnover, resulting in an increase to wages of $52,326.</t>
  </si>
  <si>
    <t>The City of Harlan increased its wholesale rate to BMUD by 15%.  Resulting in an increase in Purchased water expense of $92,263</t>
  </si>
  <si>
    <t>15%  increase</t>
  </si>
  <si>
    <t>Current Rates              Effective 2/8/26</t>
  </si>
  <si>
    <t>Average Customer</t>
  </si>
  <si>
    <t>Using 4,000 gallons</t>
  </si>
  <si>
    <t>Division 1 *</t>
  </si>
  <si>
    <t>Division 2  **</t>
  </si>
  <si>
    <t>**Division 2 bills include monthly WLRS of $7.91.</t>
  </si>
  <si>
    <t xml:space="preserve">* Division 1 bills include monthly Debt service surcharge of  $4.26 and WLRS of $7.91 </t>
  </si>
  <si>
    <t>Kyle Howard</t>
  </si>
  <si>
    <t>Jacob Napier</t>
  </si>
  <si>
    <t>Jace Howard</t>
  </si>
  <si>
    <t>Kyle Clark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</si>
</sst>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 #,##0.0_);_(* \(#,##0.0\);_(* &quot;-&quot;??_);_(@_)"/>
    <numFmt numFmtId="168" formatCode="mm/dd/yy;@"/>
    <numFmt numFmtId="169" formatCode="_([$$-409]* #,##0_);_([$$-409]* \(#,##0\);_([$$-409]* &quot;-&quot;??_);_(@_)"/>
    <numFmt numFmtId="170" formatCode="[$$-409]#,##0"/>
    <numFmt numFmtId="171" formatCode="_(&quot;$&quot;* #,##0.00000_);_(&quot;$&quot;* \(#,##0.00000\);_(&quot;$&quot;* &quot;-&quot;??_);_(@_)"/>
    <numFmt numFmtId="172" formatCode="0.0000%"/>
    <numFmt numFmtId="173" formatCode="0_);\(0\)"/>
    <numFmt numFmtId="174" formatCode="0.0000"/>
  </numFmts>
  <fonts count="34"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2"/>
      <name val="Arial"/>
      <family val="2"/>
    </font>
    <font>
      <sz val="11"/>
      <name val="Calibri"/>
      <family val="2"/>
      <scheme val="minor"/>
    </font>
    <font>
      <b/>
      <sz val="14"/>
      <name val="Calibri"/>
      <family val="2"/>
      <scheme val="minor"/>
    </font>
    <font>
      <b/>
      <u/>
      <sz val="14"/>
      <name val="Calibri"/>
      <family val="2"/>
      <scheme val="minor"/>
    </font>
    <font>
      <u/>
      <sz val="11"/>
      <name val="Calibri"/>
      <family val="2"/>
      <scheme val="minor"/>
    </font>
    <font>
      <b/>
      <sz val="11"/>
      <name val="Calibri"/>
      <family val="2"/>
      <scheme val="minor"/>
    </font>
    <font>
      <b/>
      <u/>
      <sz val="11"/>
      <name val="Calibri"/>
      <family val="2"/>
      <scheme val="minor"/>
    </font>
    <font>
      <u val="singleAccounting"/>
      <sz val="11"/>
      <name val="Calibri"/>
      <family val="2"/>
      <scheme val="minor"/>
    </font>
    <font>
      <b/>
      <u val="singleAccounting"/>
      <sz val="11"/>
      <name val="Calibri"/>
      <family val="2"/>
      <scheme val="minor"/>
    </font>
    <font>
      <b/>
      <sz val="12"/>
      <name val="Calibri"/>
      <family val="2"/>
      <scheme val="minor"/>
    </font>
    <font>
      <sz val="8"/>
      <color rgb="FFFF0000"/>
      <name val="Calibri"/>
      <family val="2"/>
      <scheme val="minor"/>
    </font>
    <font>
      <b/>
      <sz val="11"/>
      <color rgb="FFFF0000"/>
      <name val="Calibri"/>
      <family val="2"/>
      <scheme val="minor"/>
    </font>
    <font>
      <b/>
      <sz val="8"/>
      <color rgb="FF00B050"/>
      <name val="Calibri"/>
      <family val="2"/>
      <scheme val="minor"/>
    </font>
    <font>
      <sz val="11"/>
      <color theme="1"/>
      <name val="Calibri"/>
      <family val="2"/>
      <scheme val="minor"/>
    </font>
    <font>
      <b/>
      <sz val="11"/>
      <color rgb="FF00B050"/>
      <name val="Calibri"/>
      <family val="2"/>
      <scheme val="minor"/>
    </font>
    <font>
      <sz val="8"/>
      <name val="Calibri"/>
      <family val="2"/>
      <scheme val="minor"/>
    </font>
    <font>
      <b/>
      <u/>
      <sz val="11"/>
      <color rgb="FFC00000"/>
      <name val="Calibri"/>
      <family val="2"/>
      <scheme val="minor"/>
    </font>
    <font>
      <u/>
      <sz val="11"/>
      <color theme="1"/>
      <name val="Calibri"/>
      <family val="2"/>
      <scheme val="minor"/>
    </font>
    <font>
      <b/>
      <u/>
      <sz val="16"/>
      <name val="Calibri"/>
      <family val="2"/>
      <scheme val="minor"/>
    </font>
    <font>
      <sz val="12"/>
      <name val="Calibri"/>
      <family val="2"/>
      <scheme val="minor"/>
    </font>
    <font>
      <sz val="11"/>
      <name val="Arial"/>
      <family val="2"/>
    </font>
    <font>
      <sz val="11"/>
      <name val="Calibri"/>
      <family val="2"/>
    </font>
    <font>
      <b/>
      <i/>
      <sz val="14"/>
      <name val="Calibri"/>
      <family val="2"/>
      <scheme val="minor"/>
    </font>
    <font>
      <sz val="8"/>
      <name val="Arial"/>
      <family val="2"/>
    </font>
    <font>
      <b/>
      <sz val="10"/>
      <color theme="1"/>
      <name val="Calibri"/>
      <family val="2"/>
      <scheme val="minor"/>
    </font>
    <font>
      <b/>
      <sz val="14"/>
      <name val="Arial"/>
      <family val="2"/>
    </font>
    <font>
      <sz val="14"/>
      <name val="Arial"/>
      <family val="2"/>
    </font>
    <font>
      <sz val="11"/>
      <color rgb="FFFF0000"/>
      <name val="Calibri"/>
      <family val="2"/>
      <scheme val="minor"/>
    </font>
    <font>
      <b/>
      <sz val="16"/>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s>
  <cellStyleXfs count="12">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18" fillId="0" borderId="0"/>
    <xf numFmtId="43" fontId="18" fillId="0" borderId="0" applyFont="0" applyFill="0" applyBorder="0" applyAlignment="0" applyProtection="0"/>
    <xf numFmtId="44" fontId="18" fillId="0" borderId="0" applyFont="0" applyFill="0" applyBorder="0" applyAlignment="0" applyProtection="0"/>
    <xf numFmtId="0" fontId="1" fillId="0" borderId="0"/>
  </cellStyleXfs>
  <cellXfs count="430">
    <xf numFmtId="0" fontId="0" fillId="0" borderId="0" xfId="0"/>
    <xf numFmtId="0" fontId="6" fillId="0" borderId="0" xfId="0" applyFont="1"/>
    <xf numFmtId="165" fontId="6" fillId="0" borderId="0" xfId="0" applyNumberFormat="1" applyFont="1"/>
    <xf numFmtId="3" fontId="6" fillId="0" borderId="0" xfId="0" applyNumberFormat="1" applyFont="1"/>
    <xf numFmtId="0" fontId="0" fillId="0" borderId="6" xfId="0" applyBorder="1"/>
    <xf numFmtId="165" fontId="6" fillId="0" borderId="1" xfId="1" applyNumberFormat="1" applyFont="1" applyBorder="1"/>
    <xf numFmtId="165" fontId="6" fillId="0" borderId="0" xfId="1" applyNumberFormat="1" applyFont="1" applyBorder="1"/>
    <xf numFmtId="165" fontId="6" fillId="0" borderId="0" xfId="1" applyNumberFormat="1" applyFont="1"/>
    <xf numFmtId="165" fontId="6" fillId="0" borderId="3" xfId="1" applyNumberFormat="1" applyFont="1" applyBorder="1"/>
    <xf numFmtId="165" fontId="6" fillId="0" borderId="2" xfId="1" applyNumberFormat="1" applyFont="1" applyBorder="1"/>
    <xf numFmtId="165" fontId="6" fillId="0" borderId="4" xfId="1" applyNumberFormat="1" applyFont="1" applyBorder="1"/>
    <xf numFmtId="165" fontId="6" fillId="0" borderId="7" xfId="1" applyNumberFormat="1" applyFont="1" applyBorder="1"/>
    <xf numFmtId="165" fontId="6" fillId="0" borderId="8" xfId="1" applyNumberFormat="1" applyFont="1" applyBorder="1"/>
    <xf numFmtId="165" fontId="6" fillId="0" borderId="5" xfId="1" applyNumberFormat="1" applyFont="1" applyBorder="1"/>
    <xf numFmtId="165" fontId="6" fillId="0" borderId="6" xfId="1" applyNumberFormat="1" applyFont="1" applyBorder="1"/>
    <xf numFmtId="43" fontId="6" fillId="0" borderId="0" xfId="1" applyFont="1"/>
    <xf numFmtId="165" fontId="12" fillId="0" borderId="0" xfId="1" applyNumberFormat="1" applyFont="1" applyBorder="1" applyAlignment="1">
      <alignment horizontal="center"/>
    </xf>
    <xf numFmtId="43" fontId="6" fillId="0" borderId="0" xfId="1" applyFont="1" applyBorder="1"/>
    <xf numFmtId="165" fontId="6" fillId="0" borderId="0" xfId="5" applyNumberFormat="1" applyFont="1"/>
    <xf numFmtId="3" fontId="6" fillId="0" borderId="0" xfId="0" applyNumberFormat="1" applyFont="1" applyAlignment="1">
      <alignment horizontal="right"/>
    </xf>
    <xf numFmtId="165" fontId="6" fillId="0" borderId="7" xfId="5" applyNumberFormat="1" applyFont="1" applyBorder="1"/>
    <xf numFmtId="0" fontId="6" fillId="0" borderId="0" xfId="0" applyFont="1" applyAlignment="1">
      <alignment horizontal="center"/>
    </xf>
    <xf numFmtId="0" fontId="6" fillId="0" borderId="0" xfId="0" applyFont="1" applyAlignment="1">
      <alignment horizontal="right"/>
    </xf>
    <xf numFmtId="165" fontId="6" fillId="0" borderId="0" xfId="5" applyNumberFormat="1" applyFont="1" applyBorder="1"/>
    <xf numFmtId="167" fontId="11" fillId="0" borderId="0" xfId="5" applyNumberFormat="1" applyFont="1" applyBorder="1" applyAlignment="1">
      <alignment horizontal="center"/>
    </xf>
    <xf numFmtId="43" fontId="6" fillId="0" borderId="0" xfId="1" applyFont="1" applyBorder="1" applyAlignment="1"/>
    <xf numFmtId="44" fontId="6" fillId="0" borderId="0" xfId="2" applyFont="1" applyBorder="1" applyAlignment="1"/>
    <xf numFmtId="44" fontId="6" fillId="0" borderId="0" xfId="2" applyFont="1" applyBorder="1" applyAlignment="1">
      <alignment vertical="center"/>
    </xf>
    <xf numFmtId="165" fontId="6" fillId="0" borderId="1" xfId="0" applyNumberFormat="1" applyFont="1" applyBorder="1"/>
    <xf numFmtId="164" fontId="6" fillId="0" borderId="0" xfId="6" applyNumberFormat="1" applyFont="1"/>
    <xf numFmtId="165" fontId="9" fillId="0" borderId="0" xfId="1" applyNumberFormat="1" applyFont="1"/>
    <xf numFmtId="165" fontId="12" fillId="0" borderId="8" xfId="1" applyNumberFormat="1" applyFont="1" applyBorder="1" applyAlignment="1">
      <alignment horizontal="center"/>
    </xf>
    <xf numFmtId="3" fontId="7" fillId="0" borderId="0" xfId="0" applyNumberFormat="1" applyFont="1" applyAlignment="1">
      <alignment horizontal="center" vertical="center"/>
    </xf>
    <xf numFmtId="3" fontId="14" fillId="0" borderId="0" xfId="0" applyNumberFormat="1" applyFont="1" applyAlignment="1">
      <alignment horizontal="center" vertical="center"/>
    </xf>
    <xf numFmtId="3" fontId="14" fillId="0" borderId="8" xfId="0" applyNumberFormat="1" applyFont="1" applyBorder="1" applyAlignment="1">
      <alignment horizontal="center" vertical="center"/>
    </xf>
    <xf numFmtId="43" fontId="6" fillId="0" borderId="8" xfId="1" quotePrefix="1" applyFont="1" applyBorder="1" applyAlignment="1">
      <alignment horizontal="center"/>
    </xf>
    <xf numFmtId="0" fontId="6" fillId="0" borderId="8" xfId="0" applyFont="1" applyBorder="1" applyAlignment="1">
      <alignment horizontal="center"/>
    </xf>
    <xf numFmtId="43" fontId="6" fillId="0" borderId="1" xfId="1" applyFont="1" applyBorder="1"/>
    <xf numFmtId="166" fontId="6" fillId="0" borderId="8" xfId="3" applyNumberFormat="1" applyFont="1" applyBorder="1"/>
    <xf numFmtId="165" fontId="6" fillId="2" borderId="0" xfId="1" applyNumberFormat="1" applyFont="1" applyFill="1" applyBorder="1"/>
    <xf numFmtId="43" fontId="6" fillId="2" borderId="8" xfId="1" quotePrefix="1" applyFont="1" applyFill="1" applyBorder="1" applyAlignment="1">
      <alignment horizontal="center"/>
    </xf>
    <xf numFmtId="43" fontId="6" fillId="2" borderId="0" xfId="1" applyFont="1" applyFill="1" applyBorder="1"/>
    <xf numFmtId="166" fontId="6" fillId="2" borderId="8" xfId="3" applyNumberFormat="1" applyFont="1" applyFill="1" applyBorder="1"/>
    <xf numFmtId="165" fontId="16" fillId="0" borderId="0" xfId="1" applyNumberFormat="1" applyFont="1"/>
    <xf numFmtId="0" fontId="22" fillId="0" borderId="0" xfId="0" applyFont="1" applyAlignment="1">
      <alignment horizontal="center"/>
    </xf>
    <xf numFmtId="10" fontId="6" fillId="0" borderId="0" xfId="0" applyNumberFormat="1" applyFont="1"/>
    <xf numFmtId="44" fontId="6" fillId="0" borderId="0" xfId="2" applyFont="1" applyBorder="1"/>
    <xf numFmtId="165" fontId="6" fillId="0" borderId="0" xfId="5" quotePrefix="1" applyNumberFormat="1" applyFont="1"/>
    <xf numFmtId="0" fontId="6" fillId="0" borderId="7" xfId="0" applyFont="1" applyBorder="1"/>
    <xf numFmtId="165" fontId="19" fillId="0" borderId="0" xfId="1" applyNumberFormat="1" applyFont="1"/>
    <xf numFmtId="165" fontId="6" fillId="0" borderId="0" xfId="1" applyNumberFormat="1" applyFont="1" applyAlignment="1">
      <alignment horizontal="centerContinuous" vertical="center"/>
    </xf>
    <xf numFmtId="165" fontId="6" fillId="0" borderId="0" xfId="1" applyNumberFormat="1" applyFont="1" applyAlignment="1">
      <alignment vertical="center"/>
    </xf>
    <xf numFmtId="165" fontId="11" fillId="0" borderId="0" xfId="1" applyNumberFormat="1" applyFont="1" applyAlignment="1">
      <alignment horizontal="center" vertical="center"/>
    </xf>
    <xf numFmtId="165" fontId="9" fillId="0" borderId="0" xfId="1" applyNumberFormat="1" applyFont="1" applyAlignment="1">
      <alignment vertical="center"/>
    </xf>
    <xf numFmtId="165" fontId="6" fillId="0" borderId="0" xfId="1" applyNumberFormat="1" applyFont="1" applyAlignment="1">
      <alignment horizontal="center" vertical="center"/>
    </xf>
    <xf numFmtId="165" fontId="15" fillId="0" borderId="0" xfId="1" applyNumberFormat="1" applyFont="1" applyAlignment="1">
      <alignment vertical="center"/>
    </xf>
    <xf numFmtId="165" fontId="17" fillId="0" borderId="0" xfId="1" applyNumberFormat="1" applyFont="1" applyAlignment="1">
      <alignment vertical="center"/>
    </xf>
    <xf numFmtId="165" fontId="20" fillId="0" borderId="0" xfId="1" applyNumberFormat="1" applyFont="1" applyAlignment="1">
      <alignment vertical="center"/>
    </xf>
    <xf numFmtId="165" fontId="10" fillId="0" borderId="0" xfId="1" applyNumberFormat="1" applyFont="1" applyAlignment="1">
      <alignment vertical="center"/>
    </xf>
    <xf numFmtId="165" fontId="6" fillId="0" borderId="0" xfId="1" applyNumberFormat="1" applyFont="1" applyAlignment="1">
      <alignment horizontal="center"/>
    </xf>
    <xf numFmtId="165" fontId="15" fillId="0" borderId="0" xfId="1" applyNumberFormat="1" applyFont="1" applyAlignment="1">
      <alignment horizontal="left"/>
    </xf>
    <xf numFmtId="165" fontId="15" fillId="0" borderId="0" xfId="1" applyNumberFormat="1" applyFont="1" applyAlignment="1">
      <alignment horizontal="center"/>
    </xf>
    <xf numFmtId="165" fontId="13" fillId="0" borderId="0" xfId="1" quotePrefix="1" applyNumberFormat="1" applyFont="1" applyAlignment="1">
      <alignment horizontal="center" vertical="center"/>
    </xf>
    <xf numFmtId="165" fontId="13" fillId="0" borderId="0" xfId="1" applyNumberFormat="1" applyFont="1" applyAlignment="1">
      <alignment horizontal="center" vertical="center"/>
    </xf>
    <xf numFmtId="165" fontId="6" fillId="0" borderId="0" xfId="1" applyNumberFormat="1" applyFont="1" applyAlignment="1"/>
    <xf numFmtId="165" fontId="13" fillId="0" borderId="0" xfId="1" applyNumberFormat="1" applyFont="1" applyAlignment="1">
      <alignment vertical="center"/>
    </xf>
    <xf numFmtId="165" fontId="6" fillId="0" borderId="6" xfId="5" applyNumberFormat="1" applyFont="1" applyBorder="1"/>
    <xf numFmtId="165" fontId="6" fillId="0" borderId="0" xfId="5" applyNumberFormat="1" applyFont="1" applyBorder="1" applyAlignment="1">
      <alignment horizontal="center"/>
    </xf>
    <xf numFmtId="10" fontId="6" fillId="0" borderId="0" xfId="3" applyNumberFormat="1" applyFont="1" applyBorder="1"/>
    <xf numFmtId="10" fontId="6" fillId="2" borderId="0" xfId="3" applyNumberFormat="1" applyFont="1" applyFill="1" applyBorder="1"/>
    <xf numFmtId="165" fontId="6" fillId="0" borderId="8" xfId="5" applyNumberFormat="1" applyFont="1" applyBorder="1"/>
    <xf numFmtId="165" fontId="10" fillId="0" borderId="7" xfId="5" applyNumberFormat="1" applyFont="1" applyBorder="1" applyAlignment="1">
      <alignment horizontal="center"/>
    </xf>
    <xf numFmtId="165" fontId="6" fillId="0" borderId="0" xfId="1" applyNumberFormat="1" applyFont="1" applyBorder="1" applyAlignment="1">
      <alignment vertical="center"/>
    </xf>
    <xf numFmtId="165" fontId="12" fillId="0" borderId="0" xfId="1" applyNumberFormat="1" applyFont="1" applyBorder="1" applyAlignment="1">
      <alignment vertical="center"/>
    </xf>
    <xf numFmtId="165" fontId="6" fillId="0" borderId="0" xfId="1" applyNumberFormat="1" applyFont="1" applyBorder="1" applyAlignment="1">
      <alignment horizontal="center" vertical="center"/>
    </xf>
    <xf numFmtId="165" fontId="12" fillId="0" borderId="0" xfId="1" applyNumberFormat="1" applyFont="1" applyAlignment="1">
      <alignment vertical="center"/>
    </xf>
    <xf numFmtId="165" fontId="6" fillId="0" borderId="3" xfId="5" applyNumberFormat="1" applyFont="1" applyBorder="1"/>
    <xf numFmtId="165" fontId="6" fillId="0" borderId="2" xfId="5" applyNumberFormat="1" applyFont="1" applyBorder="1"/>
    <xf numFmtId="165" fontId="6" fillId="0" borderId="4" xfId="5" applyNumberFormat="1" applyFont="1" applyBorder="1"/>
    <xf numFmtId="165" fontId="7" fillId="0" borderId="7" xfId="5" applyNumberFormat="1" applyFont="1" applyBorder="1" applyAlignment="1">
      <alignment horizontal="centerContinuous"/>
    </xf>
    <xf numFmtId="165" fontId="10" fillId="0" borderId="0" xfId="5" applyNumberFormat="1" applyFont="1" applyAlignment="1">
      <alignment horizontal="centerContinuous"/>
    </xf>
    <xf numFmtId="165" fontId="8" fillId="0" borderId="7" xfId="5" applyNumberFormat="1" applyFont="1" applyBorder="1" applyAlignment="1">
      <alignment horizontal="centerContinuous"/>
    </xf>
    <xf numFmtId="165" fontId="11" fillId="0" borderId="0" xfId="5" applyNumberFormat="1" applyFont="1" applyAlignment="1">
      <alignment horizontal="centerContinuous"/>
    </xf>
    <xf numFmtId="3" fontId="14" fillId="0" borderId="7" xfId="0" applyNumberFormat="1" applyFont="1" applyBorder="1" applyAlignment="1">
      <alignment horizontal="centerContinuous" vertical="center"/>
    </xf>
    <xf numFmtId="165" fontId="24" fillId="0" borderId="7" xfId="5" applyNumberFormat="1" applyFont="1" applyBorder="1" applyAlignment="1">
      <alignment horizontal="centerContinuous"/>
    </xf>
    <xf numFmtId="165" fontId="6" fillId="0" borderId="0" xfId="5" applyNumberFormat="1" applyFont="1" applyAlignment="1">
      <alignment horizontal="centerContinuous"/>
    </xf>
    <xf numFmtId="165" fontId="6" fillId="0" borderId="7" xfId="5" applyNumberFormat="1" applyFont="1" applyBorder="1" applyAlignment="1">
      <alignment horizontal="centerContinuous"/>
    </xf>
    <xf numFmtId="165" fontId="6" fillId="0" borderId="9" xfId="5" applyNumberFormat="1" applyFont="1" applyBorder="1" applyAlignment="1">
      <alignment horizontal="left"/>
    </xf>
    <xf numFmtId="165" fontId="6" fillId="0" borderId="3" xfId="5" applyNumberFormat="1" applyFont="1" applyBorder="1" applyAlignment="1">
      <alignment horizontal="left"/>
    </xf>
    <xf numFmtId="165" fontId="6" fillId="0" borderId="2" xfId="5" applyNumberFormat="1" applyFont="1" applyBorder="1" applyAlignment="1">
      <alignment horizontal="left"/>
    </xf>
    <xf numFmtId="165" fontId="6" fillId="0" borderId="4" xfId="5" applyNumberFormat="1" applyFont="1" applyBorder="1" applyAlignment="1">
      <alignment horizontal="left"/>
    </xf>
    <xf numFmtId="165" fontId="6" fillId="0" borderId="10" xfId="5" applyNumberFormat="1" applyFont="1" applyBorder="1"/>
    <xf numFmtId="165" fontId="13" fillId="0" borderId="0" xfId="5" applyNumberFormat="1" applyFont="1" applyAlignment="1">
      <alignment horizontal="center" vertical="center"/>
    </xf>
    <xf numFmtId="165" fontId="10" fillId="0" borderId="8" xfId="5" applyNumberFormat="1" applyFont="1" applyBorder="1" applyAlignment="1">
      <alignment horizontal="center" vertical="center"/>
    </xf>
    <xf numFmtId="165" fontId="10" fillId="0" borderId="0" xfId="5" applyNumberFormat="1" applyFont="1" applyAlignment="1">
      <alignment horizontal="center" vertical="center"/>
    </xf>
    <xf numFmtId="165" fontId="13" fillId="0" borderId="8" xfId="5" applyNumberFormat="1" applyFont="1" applyBorder="1" applyAlignment="1">
      <alignment horizontal="center" vertical="center"/>
    </xf>
    <xf numFmtId="165" fontId="13" fillId="0" borderId="0" xfId="5" applyNumberFormat="1" applyFont="1" applyBorder="1" applyAlignment="1">
      <alignment horizontal="center" vertical="center"/>
    </xf>
    <xf numFmtId="165" fontId="6" fillId="0" borderId="10" xfId="5" applyNumberFormat="1" applyFont="1" applyBorder="1" applyAlignment="1">
      <alignment horizontal="left"/>
    </xf>
    <xf numFmtId="165" fontId="6" fillId="0" borderId="7" xfId="5" applyNumberFormat="1" applyFont="1" applyBorder="1" applyAlignment="1">
      <alignment horizontal="center"/>
    </xf>
    <xf numFmtId="165" fontId="6" fillId="0" borderId="0" xfId="5" applyNumberFormat="1" applyFont="1" applyAlignment="1">
      <alignment horizontal="center"/>
    </xf>
    <xf numFmtId="165" fontId="6" fillId="0" borderId="8" xfId="5" applyNumberFormat="1" applyFont="1" applyBorder="1" applyAlignment="1">
      <alignment horizontal="center"/>
    </xf>
    <xf numFmtId="165" fontId="6" fillId="0" borderId="0" xfId="5" quotePrefix="1" applyNumberFormat="1" applyFont="1" applyBorder="1" applyAlignment="1">
      <alignment horizontal="center"/>
    </xf>
    <xf numFmtId="165" fontId="10" fillId="0" borderId="7" xfId="5" quotePrefix="1" applyNumberFormat="1" applyFont="1" applyBorder="1" applyAlignment="1">
      <alignment horizontal="left"/>
    </xf>
    <xf numFmtId="164" fontId="10" fillId="0" borderId="0" xfId="6" quotePrefix="1" applyNumberFormat="1" applyFont="1" applyBorder="1" applyAlignment="1">
      <alignment horizontal="left"/>
    </xf>
    <xf numFmtId="165" fontId="10" fillId="0" borderId="11" xfId="5" applyNumberFormat="1" applyFont="1" applyBorder="1" applyAlignment="1">
      <alignment horizontal="right"/>
    </xf>
    <xf numFmtId="165" fontId="10" fillId="0" borderId="5" xfId="5" applyNumberFormat="1" applyFont="1" applyBorder="1" applyAlignment="1">
      <alignment horizontal="right"/>
    </xf>
    <xf numFmtId="165" fontId="10" fillId="0" borderId="1" xfId="5" applyNumberFormat="1" applyFont="1" applyBorder="1" applyAlignment="1">
      <alignment horizontal="right"/>
    </xf>
    <xf numFmtId="165" fontId="10" fillId="0" borderId="6" xfId="5" applyNumberFormat="1" applyFont="1" applyBorder="1" applyAlignment="1">
      <alignment horizontal="right"/>
    </xf>
    <xf numFmtId="165" fontId="10" fillId="0" borderId="8" xfId="5" applyNumberFormat="1" applyFont="1" applyBorder="1" applyAlignment="1">
      <alignment horizontal="right"/>
    </xf>
    <xf numFmtId="165" fontId="10" fillId="0" borderId="7" xfId="5" applyNumberFormat="1" applyFont="1" applyBorder="1" applyAlignment="1">
      <alignment horizontal="right"/>
    </xf>
    <xf numFmtId="165" fontId="10" fillId="0" borderId="0" xfId="5" applyNumberFormat="1" applyFont="1" applyAlignment="1">
      <alignment horizontal="right"/>
    </xf>
    <xf numFmtId="165" fontId="10" fillId="0" borderId="2" xfId="5" applyNumberFormat="1" applyFont="1" applyBorder="1" applyAlignment="1">
      <alignment horizontal="right"/>
    </xf>
    <xf numFmtId="165" fontId="10" fillId="0" borderId="7" xfId="5" applyNumberFormat="1" applyFont="1" applyBorder="1"/>
    <xf numFmtId="164" fontId="10" fillId="0" borderId="0" xfId="6" applyNumberFormat="1" applyFont="1"/>
    <xf numFmtId="165" fontId="10" fillId="0" borderId="0" xfId="5" applyNumberFormat="1" applyFont="1"/>
    <xf numFmtId="165" fontId="10" fillId="0" borderId="0" xfId="5" applyNumberFormat="1" applyFont="1" applyBorder="1"/>
    <xf numFmtId="164" fontId="10" fillId="0" borderId="0" xfId="6" applyNumberFormat="1" applyFont="1" applyBorder="1"/>
    <xf numFmtId="165" fontId="6" fillId="0" borderId="5" xfId="5" applyNumberFormat="1" applyFont="1" applyBorder="1" applyAlignment="1">
      <alignment horizontal="center"/>
    </xf>
    <xf numFmtId="165" fontId="6" fillId="0" borderId="1" xfId="5" applyNumberFormat="1" applyFont="1" applyBorder="1" applyAlignment="1">
      <alignment horizontal="center"/>
    </xf>
    <xf numFmtId="0" fontId="6" fillId="0" borderId="3" xfId="0" applyFont="1" applyBorder="1"/>
    <xf numFmtId="0" fontId="6" fillId="0" borderId="5" xfId="0" applyFont="1" applyBorder="1"/>
    <xf numFmtId="3" fontId="6" fillId="0" borderId="2" xfId="0" applyNumberFormat="1" applyFont="1" applyBorder="1"/>
    <xf numFmtId="3" fontId="10" fillId="0" borderId="0" xfId="0" applyNumberFormat="1" applyFont="1" applyAlignment="1">
      <alignment horizontal="center"/>
    </xf>
    <xf numFmtId="3" fontId="11" fillId="0" borderId="0" xfId="0" applyNumberFormat="1" applyFont="1" applyAlignment="1">
      <alignment horizontal="center"/>
    </xf>
    <xf numFmtId="3" fontId="11" fillId="0" borderId="0" xfId="0" applyNumberFormat="1" applyFont="1"/>
    <xf numFmtId="3" fontId="10" fillId="0" borderId="0" xfId="0" applyNumberFormat="1" applyFont="1"/>
    <xf numFmtId="3" fontId="6" fillId="0" borderId="1" xfId="0" applyNumberFormat="1" applyFont="1" applyBorder="1"/>
    <xf numFmtId="44" fontId="13" fillId="0" borderId="0" xfId="0" applyNumberFormat="1" applyFont="1" applyAlignment="1">
      <alignment horizontal="center"/>
    </xf>
    <xf numFmtId="168" fontId="6" fillId="0" borderId="0" xfId="0" applyNumberFormat="1" applyFont="1" applyAlignment="1">
      <alignment horizontal="center"/>
    </xf>
    <xf numFmtId="167" fontId="6" fillId="0" borderId="0" xfId="5" applyNumberFormat="1" applyFont="1" applyAlignment="1"/>
    <xf numFmtId="167" fontId="6" fillId="0" borderId="2" xfId="5" applyNumberFormat="1" applyFont="1" applyBorder="1"/>
    <xf numFmtId="167" fontId="6" fillId="0" borderId="0" xfId="5" applyNumberFormat="1" applyFont="1" applyBorder="1" applyAlignment="1"/>
    <xf numFmtId="167" fontId="6" fillId="0" borderId="0" xfId="5" applyNumberFormat="1" applyFont="1" applyBorder="1" applyAlignment="1">
      <alignment horizontal="center"/>
    </xf>
    <xf numFmtId="167" fontId="16" fillId="0" borderId="0" xfId="5" applyNumberFormat="1" applyFont="1" applyBorder="1" applyAlignment="1"/>
    <xf numFmtId="170" fontId="6" fillId="0" borderId="0" xfId="0" applyNumberFormat="1" applyFont="1"/>
    <xf numFmtId="169" fontId="10" fillId="0" borderId="0" xfId="0" applyNumberFormat="1" applyFont="1"/>
    <xf numFmtId="167" fontId="6" fillId="0" borderId="0" xfId="5" quotePrefix="1" applyNumberFormat="1" applyFont="1" applyBorder="1" applyAlignment="1">
      <alignment horizontal="center"/>
    </xf>
    <xf numFmtId="3" fontId="6" fillId="0" borderId="4" xfId="0" applyNumberFormat="1" applyFont="1" applyBorder="1"/>
    <xf numFmtId="3" fontId="6" fillId="0" borderId="8" xfId="0" applyNumberFormat="1" applyFont="1" applyBorder="1"/>
    <xf numFmtId="3" fontId="6" fillId="0" borderId="6" xfId="0" applyNumberFormat="1" applyFont="1" applyBorder="1"/>
    <xf numFmtId="3" fontId="6" fillId="0" borderId="7" xfId="0" applyNumberFormat="1" applyFont="1" applyBorder="1"/>
    <xf numFmtId="4" fontId="6" fillId="0" borderId="7" xfId="0" applyNumberFormat="1" applyFont="1" applyBorder="1"/>
    <xf numFmtId="0" fontId="6" fillId="0" borderId="0" xfId="0" applyFont="1" applyAlignment="1">
      <alignment vertical="top"/>
    </xf>
    <xf numFmtId="0" fontId="25" fillId="0" borderId="0" xfId="0" applyFont="1"/>
    <xf numFmtId="165" fontId="25" fillId="0" borderId="0" xfId="1" applyNumberFormat="1" applyFont="1"/>
    <xf numFmtId="43" fontId="6" fillId="0" borderId="0" xfId="1" applyFont="1" applyAlignment="1">
      <alignment horizontal="right"/>
    </xf>
    <xf numFmtId="10" fontId="6" fillId="0" borderId="1" xfId="3" applyNumberFormat="1" applyFont="1" applyBorder="1"/>
    <xf numFmtId="165" fontId="6" fillId="0" borderId="0" xfId="5" applyNumberFormat="1" applyFont="1" applyBorder="1" applyAlignment="1">
      <alignment horizontal="right"/>
    </xf>
    <xf numFmtId="165" fontId="6" fillId="0" borderId="0" xfId="1" applyNumberFormat="1" applyFont="1" applyFill="1" applyAlignment="1">
      <alignment vertical="center"/>
    </xf>
    <xf numFmtId="6" fontId="6" fillId="0" borderId="0" xfId="0" applyNumberFormat="1" applyFont="1"/>
    <xf numFmtId="9" fontId="6" fillId="0" borderId="0" xfId="0" applyNumberFormat="1" applyFont="1"/>
    <xf numFmtId="165" fontId="6" fillId="0" borderId="0" xfId="9" applyNumberFormat="1" applyFont="1" applyFill="1" applyBorder="1"/>
    <xf numFmtId="165" fontId="12" fillId="0" borderId="0" xfId="9" applyNumberFormat="1" applyFont="1" applyFill="1" applyBorder="1"/>
    <xf numFmtId="43" fontId="6" fillId="0" borderId="0" xfId="1" applyFont="1" applyFill="1" applyBorder="1"/>
    <xf numFmtId="166" fontId="6" fillId="0" borderId="0" xfId="3" applyNumberFormat="1" applyFont="1" applyFill="1" applyBorder="1"/>
    <xf numFmtId="44" fontId="6" fillId="0" borderId="0" xfId="0" applyNumberFormat="1" applyFont="1"/>
    <xf numFmtId="44" fontId="6" fillId="0" borderId="0" xfId="0" applyNumberFormat="1" applyFont="1" applyAlignment="1">
      <alignment horizontal="right"/>
    </xf>
    <xf numFmtId="9" fontId="6" fillId="0" borderId="0" xfId="0" applyNumberFormat="1" applyFont="1" applyAlignment="1">
      <alignment horizontal="right"/>
    </xf>
    <xf numFmtId="9" fontId="6" fillId="0" borderId="0" xfId="3" applyFont="1" applyFill="1" applyBorder="1" applyAlignment="1">
      <alignment horizontal="right"/>
    </xf>
    <xf numFmtId="44" fontId="21" fillId="0" borderId="0" xfId="0" applyNumberFormat="1" applyFont="1" applyAlignment="1">
      <alignment horizontal="right"/>
    </xf>
    <xf numFmtId="44" fontId="6" fillId="0" borderId="0" xfId="10" applyFont="1" applyFill="1" applyBorder="1" applyAlignment="1">
      <alignment horizontal="right"/>
    </xf>
    <xf numFmtId="44" fontId="6" fillId="0" borderId="1" xfId="0" applyNumberFormat="1" applyFont="1" applyBorder="1" applyAlignment="1">
      <alignment horizontal="right"/>
    </xf>
    <xf numFmtId="166" fontId="6" fillId="0" borderId="0" xfId="3" applyNumberFormat="1" applyFont="1" applyFill="1" applyBorder="1" applyAlignment="1">
      <alignment horizontal="right"/>
    </xf>
    <xf numFmtId="166" fontId="10" fillId="0" borderId="0" xfId="3" applyNumberFormat="1" applyFont="1" applyFill="1" applyBorder="1" applyAlignment="1">
      <alignment horizontal="right"/>
    </xf>
    <xf numFmtId="9" fontId="22" fillId="0" borderId="0" xfId="4" applyNumberFormat="1" applyFont="1" applyAlignment="1">
      <alignment horizontal="right"/>
    </xf>
    <xf numFmtId="9" fontId="6" fillId="0" borderId="0" xfId="9" applyNumberFormat="1" applyFont="1" applyFill="1" applyBorder="1" applyAlignment="1">
      <alignment horizontal="right"/>
    </xf>
    <xf numFmtId="9" fontId="12" fillId="0" borderId="0" xfId="9" applyNumberFormat="1" applyFont="1" applyFill="1" applyBorder="1" applyAlignment="1">
      <alignment horizontal="right"/>
    </xf>
    <xf numFmtId="9" fontId="22" fillId="0" borderId="0" xfId="3" applyFont="1" applyFill="1" applyBorder="1" applyAlignment="1">
      <alignment horizontal="right"/>
    </xf>
    <xf numFmtId="44" fontId="3" fillId="0" borderId="0" xfId="0" applyNumberFormat="1" applyFont="1" applyAlignment="1">
      <alignment horizontal="right"/>
    </xf>
    <xf numFmtId="44" fontId="6" fillId="0" borderId="0" xfId="3" applyNumberFormat="1" applyFont="1" applyFill="1" applyBorder="1" applyAlignment="1">
      <alignment horizontal="right"/>
    </xf>
    <xf numFmtId="44" fontId="22" fillId="0" borderId="0" xfId="0" applyNumberFormat="1" applyFont="1" applyAlignment="1">
      <alignment horizontal="right"/>
    </xf>
    <xf numFmtId="44" fontId="6" fillId="0" borderId="0" xfId="9" applyNumberFormat="1" applyFont="1" applyFill="1" applyBorder="1" applyAlignment="1">
      <alignment horizontal="right"/>
    </xf>
    <xf numFmtId="44" fontId="12" fillId="0" borderId="0" xfId="9" applyNumberFormat="1" applyFont="1" applyFill="1" applyBorder="1" applyAlignment="1">
      <alignment horizontal="right"/>
    </xf>
    <xf numFmtId="3" fontId="6" fillId="0" borderId="2" xfId="0" applyNumberFormat="1" applyFont="1" applyBorder="1" applyAlignment="1">
      <alignment horizontal="right"/>
    </xf>
    <xf numFmtId="3" fontId="11" fillId="0" borderId="0" xfId="0" applyNumberFormat="1" applyFont="1" applyAlignment="1">
      <alignment horizontal="right"/>
    </xf>
    <xf numFmtId="165" fontId="6" fillId="0" borderId="0" xfId="0" applyNumberFormat="1" applyFont="1" applyAlignment="1">
      <alignment horizontal="right"/>
    </xf>
    <xf numFmtId="0" fontId="0" fillId="0" borderId="0" xfId="0" applyAlignment="1">
      <alignment horizontal="right"/>
    </xf>
    <xf numFmtId="169" fontId="10" fillId="0" borderId="0" xfId="0" applyNumberFormat="1" applyFont="1" applyAlignment="1">
      <alignment horizontal="right"/>
    </xf>
    <xf numFmtId="167" fontId="6" fillId="0" borderId="1" xfId="5" applyNumberFormat="1" applyFont="1" applyBorder="1" applyAlignment="1">
      <alignment horizontal="right"/>
    </xf>
    <xf numFmtId="167" fontId="6" fillId="0" borderId="0" xfId="5" applyNumberFormat="1" applyFont="1" applyBorder="1" applyAlignment="1">
      <alignment horizontal="right"/>
    </xf>
    <xf numFmtId="164" fontId="6" fillId="0" borderId="0" xfId="0" applyNumberFormat="1" applyFont="1" applyAlignment="1">
      <alignment horizontal="right"/>
    </xf>
    <xf numFmtId="164" fontId="6" fillId="0" borderId="2" xfId="0" applyNumberFormat="1" applyFont="1" applyBorder="1" applyAlignment="1">
      <alignment horizontal="right"/>
    </xf>
    <xf numFmtId="164" fontId="10" fillId="0" borderId="0" xfId="0" applyNumberFormat="1" applyFont="1" applyAlignment="1">
      <alignment horizontal="center"/>
    </xf>
    <xf numFmtId="164" fontId="11" fillId="0" borderId="0" xfId="0" applyNumberFormat="1" applyFont="1" applyAlignment="1">
      <alignment horizontal="center"/>
    </xf>
    <xf numFmtId="164" fontId="11" fillId="0" borderId="0" xfId="0" applyNumberFormat="1" applyFont="1" applyAlignment="1">
      <alignment horizontal="right"/>
    </xf>
    <xf numFmtId="164" fontId="6" fillId="0" borderId="0" xfId="5" applyNumberFormat="1" applyFont="1" applyBorder="1" applyAlignment="1">
      <alignment horizontal="right"/>
    </xf>
    <xf numFmtId="164" fontId="6" fillId="0" borderId="1" xfId="0" applyNumberFormat="1" applyFont="1" applyBorder="1" applyAlignment="1">
      <alignment horizontal="right"/>
    </xf>
    <xf numFmtId="164" fontId="12" fillId="0" borderId="0" xfId="0" applyNumberFormat="1" applyFont="1" applyAlignment="1">
      <alignment horizontal="right"/>
    </xf>
    <xf numFmtId="10" fontId="6" fillId="0" borderId="0" xfId="3" applyNumberFormat="1" applyFont="1" applyBorder="1" applyAlignment="1"/>
    <xf numFmtId="43" fontId="6" fillId="0" borderId="0" xfId="1" applyFont="1" applyBorder="1" applyAlignment="1">
      <alignment vertical="center"/>
    </xf>
    <xf numFmtId="44" fontId="6" fillId="0" borderId="0" xfId="1" applyNumberFormat="1" applyFont="1"/>
    <xf numFmtId="44" fontId="6" fillId="0" borderId="0" xfId="1" applyNumberFormat="1" applyFont="1" applyBorder="1"/>
    <xf numFmtId="44" fontId="6" fillId="0" borderId="1" xfId="0" applyNumberFormat="1" applyFont="1" applyBorder="1"/>
    <xf numFmtId="43" fontId="6" fillId="0" borderId="5" xfId="1" applyFont="1" applyFill="1" applyBorder="1"/>
    <xf numFmtId="0" fontId="6" fillId="0" borderId="1" xfId="0" applyFont="1" applyBorder="1" applyAlignment="1">
      <alignment horizontal="center" vertical="center"/>
    </xf>
    <xf numFmtId="0" fontId="6" fillId="0" borderId="0" xfId="0" applyFont="1" applyAlignment="1">
      <alignment horizontal="center" vertical="center"/>
    </xf>
    <xf numFmtId="165" fontId="6" fillId="0" borderId="0" xfId="0" applyNumberFormat="1" applyFont="1" applyAlignment="1">
      <alignment horizontal="center" vertical="center"/>
    </xf>
    <xf numFmtId="165" fontId="6" fillId="0" borderId="1" xfId="1" applyNumberFormat="1" applyFont="1" applyBorder="1" applyAlignment="1">
      <alignment horizontal="center" vertical="center"/>
    </xf>
    <xf numFmtId="44" fontId="6" fillId="0" borderId="0" xfId="2" applyFont="1"/>
    <xf numFmtId="164" fontId="6" fillId="0" borderId="0" xfId="2" applyNumberFormat="1" applyFont="1"/>
    <xf numFmtId="164" fontId="6" fillId="0" borderId="0" xfId="1" applyNumberFormat="1" applyFont="1" applyAlignment="1">
      <alignment horizontal="center" vertical="center"/>
    </xf>
    <xf numFmtId="164" fontId="6" fillId="0" borderId="0" xfId="1" applyNumberFormat="1" applyFont="1" applyAlignment="1">
      <alignment horizontal="right" vertical="center"/>
    </xf>
    <xf numFmtId="165" fontId="6" fillId="0" borderId="1" xfId="0" applyNumberFormat="1" applyFont="1" applyBorder="1" applyAlignment="1">
      <alignment horizontal="center" vertical="center"/>
    </xf>
    <xf numFmtId="164" fontId="6" fillId="0" borderId="0" xfId="1" applyNumberFormat="1" applyFont="1"/>
    <xf numFmtId="164" fontId="6" fillId="0" borderId="1" xfId="1" applyNumberFormat="1" applyFont="1" applyBorder="1"/>
    <xf numFmtId="10" fontId="6" fillId="0" borderId="0" xfId="3" applyNumberFormat="1" applyFont="1" applyAlignment="1">
      <alignment vertical="top"/>
    </xf>
    <xf numFmtId="164" fontId="6" fillId="0" borderId="0" xfId="0" applyNumberFormat="1" applyFont="1"/>
    <xf numFmtId="10" fontId="6" fillId="0" borderId="0" xfId="3" applyNumberFormat="1" applyFont="1" applyBorder="1" applyAlignment="1">
      <alignment horizontal="center"/>
    </xf>
    <xf numFmtId="0" fontId="6" fillId="0" borderId="0" xfId="0" applyFont="1" applyAlignment="1">
      <alignment wrapText="1"/>
    </xf>
    <xf numFmtId="44" fontId="6" fillId="0" borderId="0" xfId="0" applyNumberFormat="1" applyFont="1" applyAlignment="1">
      <alignment horizontal="right" wrapText="1"/>
    </xf>
    <xf numFmtId="166" fontId="6" fillId="0" borderId="0" xfId="3" applyNumberFormat="1" applyFont="1" applyFill="1" applyBorder="1" applyAlignment="1">
      <alignment horizontal="right" wrapText="1"/>
    </xf>
    <xf numFmtId="9" fontId="6" fillId="0" borderId="0" xfId="0" applyNumberFormat="1" applyFont="1" applyAlignment="1">
      <alignment horizontal="right" wrapText="1"/>
    </xf>
    <xf numFmtId="9" fontId="6" fillId="0" borderId="0" xfId="3" applyFont="1" applyFill="1" applyBorder="1" applyAlignment="1">
      <alignment horizontal="right" wrapText="1"/>
    </xf>
    <xf numFmtId="44" fontId="6" fillId="0" borderId="0" xfId="0" applyNumberFormat="1" applyFont="1" applyAlignment="1">
      <alignment wrapText="1"/>
    </xf>
    <xf numFmtId="43" fontId="6" fillId="0" borderId="1" xfId="1" applyFont="1" applyFill="1" applyBorder="1"/>
    <xf numFmtId="165" fontId="6" fillId="0" borderId="0" xfId="1" applyNumberFormat="1" applyFont="1" applyFill="1"/>
    <xf numFmtId="165" fontId="6" fillId="0" borderId="2" xfId="1" applyNumberFormat="1" applyFont="1" applyFill="1" applyBorder="1"/>
    <xf numFmtId="165" fontId="6" fillId="0" borderId="1" xfId="1" applyNumberFormat="1" applyFont="1" applyFill="1" applyBorder="1"/>
    <xf numFmtId="3" fontId="14" fillId="0" borderId="7" xfId="0" applyNumberFormat="1" applyFont="1" applyBorder="1" applyAlignment="1">
      <alignment horizontal="center" vertical="center"/>
    </xf>
    <xf numFmtId="165" fontId="12" fillId="0" borderId="7" xfId="1" applyNumberFormat="1" applyFont="1" applyFill="1" applyBorder="1" applyAlignment="1">
      <alignment horizontal="center"/>
    </xf>
    <xf numFmtId="43" fontId="6" fillId="0" borderId="7" xfId="1" applyFont="1" applyFill="1" applyBorder="1"/>
    <xf numFmtId="165" fontId="12" fillId="0" borderId="0" xfId="1" applyNumberFormat="1" applyFont="1" applyFill="1" applyBorder="1" applyAlignment="1">
      <alignment horizontal="center"/>
    </xf>
    <xf numFmtId="43" fontId="6" fillId="2" borderId="7" xfId="1" applyFont="1" applyFill="1" applyBorder="1"/>
    <xf numFmtId="43" fontId="6" fillId="0" borderId="15" xfId="1" applyFont="1" applyBorder="1" applyAlignment="1"/>
    <xf numFmtId="43" fontId="6" fillId="0" borderId="16" xfId="1" applyFont="1" applyBorder="1" applyAlignment="1"/>
    <xf numFmtId="43" fontId="12" fillId="0" borderId="16" xfId="1" applyFont="1" applyBorder="1" applyAlignment="1">
      <alignment horizontal="center"/>
    </xf>
    <xf numFmtId="43" fontId="6" fillId="0" borderId="15" xfId="1" applyFont="1" applyBorder="1" applyAlignment="1">
      <alignment horizontal="right"/>
    </xf>
    <xf numFmtId="44" fontId="6" fillId="0" borderId="16" xfId="2" applyFont="1" applyBorder="1" applyAlignment="1"/>
    <xf numFmtId="43" fontId="6" fillId="0" borderId="17" xfId="1" applyFont="1" applyBorder="1" applyAlignment="1"/>
    <xf numFmtId="43" fontId="6" fillId="0" borderId="18" xfId="1" applyFont="1" applyBorder="1" applyAlignment="1"/>
    <xf numFmtId="10" fontId="6" fillId="0" borderId="18" xfId="3" applyNumberFormat="1" applyFont="1" applyBorder="1" applyAlignment="1">
      <alignment horizontal="center"/>
    </xf>
    <xf numFmtId="43" fontId="6" fillId="0" borderId="19" xfId="1" applyFont="1" applyBorder="1" applyAlignment="1"/>
    <xf numFmtId="0" fontId="6" fillId="0" borderId="0" xfId="0" applyFont="1" applyAlignment="1">
      <alignment horizontal="center" vertical="top"/>
    </xf>
    <xf numFmtId="0" fontId="6" fillId="0" borderId="0" xfId="0" applyFont="1" applyAlignment="1">
      <alignment horizontal="left"/>
    </xf>
    <xf numFmtId="171" fontId="6" fillId="0" borderId="0" xfId="2" applyNumberFormat="1" applyFont="1"/>
    <xf numFmtId="0" fontId="6" fillId="0" borderId="1" xfId="0" applyFont="1" applyBorder="1" applyAlignment="1">
      <alignment horizontal="right"/>
    </xf>
    <xf numFmtId="164" fontId="6" fillId="0" borderId="1" xfId="2" applyNumberFormat="1" applyFont="1" applyBorder="1"/>
    <xf numFmtId="171" fontId="6" fillId="0" borderId="0" xfId="2" applyNumberFormat="1" applyFont="1" applyBorder="1"/>
    <xf numFmtId="164" fontId="6" fillId="0" borderId="1" xfId="1" applyNumberFormat="1" applyFont="1" applyFill="1" applyBorder="1" applyAlignment="1">
      <alignment horizontal="right" vertical="center"/>
    </xf>
    <xf numFmtId="43" fontId="6" fillId="0" borderId="15" xfId="1" applyFont="1" applyFill="1" applyBorder="1" applyAlignment="1">
      <alignment horizontal="right"/>
    </xf>
    <xf numFmtId="43" fontId="6" fillId="0" borderId="0" xfId="1" applyFont="1" applyFill="1" applyBorder="1" applyAlignment="1">
      <alignment horizontal="right"/>
    </xf>
    <xf numFmtId="44" fontId="6" fillId="0" borderId="0" xfId="2" applyFont="1" applyFill="1" applyBorder="1" applyAlignment="1"/>
    <xf numFmtId="44" fontId="6" fillId="0" borderId="0" xfId="2" applyFont="1" applyFill="1" applyBorder="1" applyAlignment="1">
      <alignment vertical="center"/>
    </xf>
    <xf numFmtId="10" fontId="6" fillId="0" borderId="0" xfId="3" applyNumberFormat="1" applyFont="1" applyFill="1" applyBorder="1" applyAlignment="1">
      <alignment horizontal="center"/>
    </xf>
    <xf numFmtId="44" fontId="6" fillId="0" borderId="16" xfId="2" applyFont="1" applyFill="1" applyBorder="1" applyAlignment="1"/>
    <xf numFmtId="171" fontId="6" fillId="0" borderId="0" xfId="2" applyNumberFormat="1" applyFont="1" applyFill="1" applyBorder="1" applyAlignment="1"/>
    <xf numFmtId="0" fontId="6" fillId="0" borderId="0" xfId="0" quotePrefix="1" applyFont="1" applyAlignment="1">
      <alignment horizontal="center"/>
    </xf>
    <xf numFmtId="44" fontId="2" fillId="0" borderId="0" xfId="0" applyNumberFormat="1" applyFont="1" applyAlignment="1">
      <alignment horizontal="right"/>
    </xf>
    <xf numFmtId="0" fontId="6" fillId="0" borderId="0" xfId="1" applyNumberFormat="1" applyFont="1" applyAlignment="1">
      <alignment horizontal="left"/>
    </xf>
    <xf numFmtId="0" fontId="13" fillId="0" borderId="0" xfId="1" applyNumberFormat="1" applyFont="1" applyAlignment="1">
      <alignment horizontal="left"/>
    </xf>
    <xf numFmtId="43" fontId="12" fillId="0" borderId="0" xfId="1" applyFont="1" applyBorder="1" applyAlignment="1"/>
    <xf numFmtId="164" fontId="6" fillId="0" borderId="0" xfId="2" applyNumberFormat="1" applyFont="1" applyBorder="1"/>
    <xf numFmtId="164" fontId="6" fillId="0" borderId="0" xfId="2" applyNumberFormat="1" applyFont="1" applyAlignment="1">
      <alignment horizontal="center" vertical="center"/>
    </xf>
    <xf numFmtId="43" fontId="6" fillId="0" borderId="0" xfId="1" applyFont="1" applyAlignment="1">
      <alignment vertical="center"/>
    </xf>
    <xf numFmtId="43" fontId="6" fillId="0" borderId="1" xfId="1" applyFont="1" applyBorder="1" applyAlignment="1">
      <alignment horizontal="right" vertical="center"/>
    </xf>
    <xf numFmtId="43" fontId="6" fillId="0" borderId="1" xfId="1" applyFont="1" applyBorder="1" applyAlignment="1">
      <alignment horizontal="right"/>
    </xf>
    <xf numFmtId="43" fontId="6" fillId="0" borderId="0" xfId="1" applyFont="1" applyAlignment="1">
      <alignment horizontal="right" vertical="center"/>
    </xf>
    <xf numFmtId="43" fontId="6" fillId="0" borderId="1" xfId="1" applyFont="1" applyBorder="1" applyAlignment="1">
      <alignment horizontal="right" indent="1"/>
    </xf>
    <xf numFmtId="43" fontId="6" fillId="0" borderId="0" xfId="1" applyFont="1" applyFill="1" applyBorder="1" applyAlignment="1">
      <alignment horizontal="center"/>
    </xf>
    <xf numFmtId="0" fontId="6" fillId="0" borderId="0" xfId="0" applyFont="1" applyAlignment="1">
      <alignment horizontal="center" wrapText="1"/>
    </xf>
    <xf numFmtId="166" fontId="6" fillId="0" borderId="0" xfId="3" applyNumberFormat="1" applyFont="1" applyFill="1" applyBorder="1" applyAlignment="1">
      <alignment horizontal="center"/>
    </xf>
    <xf numFmtId="0" fontId="6" fillId="0" borderId="0" xfId="1" applyNumberFormat="1" applyFont="1" applyFill="1" applyBorder="1"/>
    <xf numFmtId="0" fontId="26" fillId="0" borderId="0" xfId="0" applyFont="1"/>
    <xf numFmtId="165" fontId="6" fillId="0" borderId="0" xfId="1" applyNumberFormat="1" applyFont="1" applyFill="1" applyBorder="1" applyAlignment="1">
      <alignment vertical="center"/>
    </xf>
    <xf numFmtId="164" fontId="6" fillId="0" borderId="0" xfId="1" applyNumberFormat="1" applyFont="1" applyBorder="1" applyAlignment="1">
      <alignment horizontal="right" vertical="center"/>
    </xf>
    <xf numFmtId="0" fontId="6" fillId="0" borderId="0" xfId="1" applyNumberFormat="1" applyFont="1"/>
    <xf numFmtId="165" fontId="10" fillId="0" borderId="0" xfId="1" applyNumberFormat="1" applyFont="1"/>
    <xf numFmtId="3" fontId="7" fillId="0" borderId="15" xfId="0" applyNumberFormat="1" applyFont="1" applyBorder="1" applyAlignment="1">
      <alignment horizontal="center" vertical="center"/>
    </xf>
    <xf numFmtId="3" fontId="7" fillId="0" borderId="16" xfId="0" applyNumberFormat="1" applyFont="1" applyBorder="1" applyAlignment="1">
      <alignment horizontal="center" vertical="center"/>
    </xf>
    <xf numFmtId="43" fontId="7" fillId="0" borderId="15" xfId="1" applyFont="1" applyBorder="1" applyAlignment="1">
      <alignment horizontal="center"/>
    </xf>
    <xf numFmtId="43" fontId="7" fillId="0" borderId="0" xfId="1" applyFont="1" applyBorder="1" applyAlignment="1">
      <alignment horizontal="center"/>
    </xf>
    <xf numFmtId="43" fontId="7" fillId="0" borderId="16" xfId="1" applyFont="1" applyBorder="1" applyAlignment="1">
      <alignment horizontal="center"/>
    </xf>
    <xf numFmtId="43" fontId="27" fillId="0" borderId="15" xfId="1" applyFont="1" applyFill="1" applyBorder="1" applyAlignment="1">
      <alignment horizontal="center"/>
    </xf>
    <xf numFmtId="43" fontId="27" fillId="0" borderId="16" xfId="1" applyFont="1" applyFill="1" applyBorder="1" applyAlignment="1">
      <alignment horizontal="center"/>
    </xf>
    <xf numFmtId="165" fontId="6" fillId="0" borderId="0" xfId="1" applyNumberFormat="1" applyFont="1" applyAlignment="1">
      <alignment horizontal="left"/>
    </xf>
    <xf numFmtId="165" fontId="26" fillId="0" borderId="0" xfId="1" applyNumberFormat="1" applyFont="1"/>
    <xf numFmtId="172" fontId="6" fillId="0" borderId="0" xfId="0" applyNumberFormat="1" applyFont="1"/>
    <xf numFmtId="0" fontId="9" fillId="0" borderId="0" xfId="0" applyFont="1"/>
    <xf numFmtId="165" fontId="9" fillId="0" borderId="0" xfId="1" quotePrefix="1" applyNumberFormat="1" applyFont="1" applyAlignment="1">
      <alignment horizontal="center"/>
    </xf>
    <xf numFmtId="165" fontId="12" fillId="0" borderId="0" xfId="1" applyNumberFormat="1" applyFont="1" applyFill="1" applyBorder="1" applyAlignment="1">
      <alignment vertical="center"/>
    </xf>
    <xf numFmtId="165" fontId="6" fillId="0" borderId="0" xfId="1" quotePrefix="1" applyNumberFormat="1" applyFont="1" applyAlignment="1">
      <alignment horizontal="center" vertical="center"/>
    </xf>
    <xf numFmtId="165" fontId="6" fillId="0" borderId="1" xfId="0" applyNumberFormat="1" applyFont="1" applyBorder="1" applyAlignment="1">
      <alignment horizontal="center"/>
    </xf>
    <xf numFmtId="0" fontId="11" fillId="0" borderId="0" xfId="0" applyFont="1" applyAlignment="1">
      <alignment horizontal="center" vertical="center"/>
    </xf>
    <xf numFmtId="165" fontId="6" fillId="0" borderId="0" xfId="0" applyNumberFormat="1" applyFont="1" applyAlignment="1">
      <alignment vertical="top"/>
    </xf>
    <xf numFmtId="0" fontId="6" fillId="0" borderId="1" xfId="0" applyFont="1" applyBorder="1" applyAlignment="1">
      <alignment vertical="top"/>
    </xf>
    <xf numFmtId="165" fontId="6" fillId="0" borderId="1" xfId="0" applyNumberFormat="1" applyFont="1" applyBorder="1" applyAlignment="1">
      <alignment vertical="top"/>
    </xf>
    <xf numFmtId="0" fontId="6" fillId="3" borderId="0" xfId="0" applyFont="1" applyFill="1"/>
    <xf numFmtId="165" fontId="12" fillId="0" borderId="0" xfId="5" applyNumberFormat="1" applyFont="1" applyAlignment="1">
      <alignment horizontal="center"/>
    </xf>
    <xf numFmtId="165" fontId="12" fillId="0" borderId="0" xfId="5" applyNumberFormat="1" applyFont="1" applyFill="1" applyBorder="1" applyAlignment="1">
      <alignment horizontal="center"/>
    </xf>
    <xf numFmtId="165" fontId="6" fillId="3" borderId="0" xfId="5" applyNumberFormat="1" applyFont="1" applyFill="1"/>
    <xf numFmtId="6" fontId="6" fillId="3" borderId="0" xfId="0" applyNumberFormat="1" applyFont="1" applyFill="1"/>
    <xf numFmtId="43" fontId="6" fillId="0" borderId="0" xfId="1" applyFont="1" applyAlignment="1">
      <alignment vertical="top"/>
    </xf>
    <xf numFmtId="165" fontId="6" fillId="0" borderId="0" xfId="1" applyNumberFormat="1" applyFont="1" applyAlignment="1">
      <alignment vertical="top"/>
    </xf>
    <xf numFmtId="0" fontId="10" fillId="0" borderId="0" xfId="0" applyFont="1" applyAlignment="1">
      <alignment horizontal="center" vertical="top"/>
    </xf>
    <xf numFmtId="165" fontId="6" fillId="0" borderId="1" xfId="1" applyNumberFormat="1" applyFont="1" applyBorder="1" applyAlignment="1">
      <alignment vertical="top"/>
    </xf>
    <xf numFmtId="165" fontId="6" fillId="0" borderId="1" xfId="1" applyNumberFormat="1" applyFont="1" applyBorder="1" applyAlignment="1">
      <alignment horizontal="center"/>
    </xf>
    <xf numFmtId="0" fontId="6" fillId="0" borderId="0" xfId="0" applyFont="1" applyAlignment="1">
      <alignment horizontal="left" vertical="center"/>
    </xf>
    <xf numFmtId="171" fontId="6" fillId="0" borderId="0" xfId="2" applyNumberFormat="1" applyFont="1" applyAlignment="1">
      <alignment horizontal="center" vertical="center"/>
    </xf>
    <xf numFmtId="43" fontId="6" fillId="0" borderId="1" xfId="1" applyFont="1" applyBorder="1" applyAlignment="1">
      <alignment vertical="top"/>
    </xf>
    <xf numFmtId="43" fontId="6" fillId="0" borderId="0" xfId="0" applyNumberFormat="1" applyFont="1" applyAlignment="1">
      <alignment vertical="top"/>
    </xf>
    <xf numFmtId="43" fontId="6" fillId="3" borderId="0" xfId="1" applyFont="1" applyFill="1" applyAlignment="1">
      <alignment vertical="top"/>
    </xf>
    <xf numFmtId="165" fontId="6" fillId="3" borderId="0" xfId="1" applyNumberFormat="1" applyFont="1" applyFill="1" applyAlignment="1">
      <alignment vertical="top"/>
    </xf>
    <xf numFmtId="165" fontId="6" fillId="4" borderId="0" xfId="5" applyNumberFormat="1" applyFont="1" applyFill="1" applyAlignment="1">
      <alignment vertical="center"/>
    </xf>
    <xf numFmtId="165" fontId="6" fillId="0" borderId="0" xfId="5" applyNumberFormat="1" applyFont="1" applyAlignment="1">
      <alignment vertical="center"/>
    </xf>
    <xf numFmtId="0" fontId="11" fillId="0" borderId="0" xfId="0" applyFont="1"/>
    <xf numFmtId="164" fontId="6" fillId="0" borderId="0" xfId="1" applyNumberFormat="1" applyFont="1" applyFill="1" applyBorder="1" applyAlignment="1">
      <alignment horizontal="right" vertical="center"/>
    </xf>
    <xf numFmtId="173" fontId="6" fillId="0" borderId="0" xfId="1" applyNumberFormat="1" applyFont="1" applyAlignment="1">
      <alignment horizontal="center"/>
    </xf>
    <xf numFmtId="0" fontId="29" fillId="0" borderId="0" xfId="11" applyFont="1" applyAlignment="1">
      <alignment horizontal="center" vertical="center"/>
    </xf>
    <xf numFmtId="165" fontId="12" fillId="0" borderId="0" xfId="1" applyNumberFormat="1" applyFont="1" applyFill="1" applyBorder="1"/>
    <xf numFmtId="165" fontId="6" fillId="0" borderId="0" xfId="1" applyNumberFormat="1" applyFont="1" applyFill="1" applyBorder="1"/>
    <xf numFmtId="165" fontId="12" fillId="0" borderId="0" xfId="1" applyNumberFormat="1" applyFont="1" applyFill="1"/>
    <xf numFmtId="10" fontId="6" fillId="0" borderId="0" xfId="3" applyNumberFormat="1" applyFont="1" applyFill="1"/>
    <xf numFmtId="9" fontId="9" fillId="0" borderId="0" xfId="3" applyFont="1" applyFill="1" applyAlignment="1">
      <alignment vertical="center"/>
    </xf>
    <xf numFmtId="0" fontId="0" fillId="0" borderId="0" xfId="0" applyAlignment="1">
      <alignment horizontal="center" vertical="top"/>
    </xf>
    <xf numFmtId="0" fontId="30" fillId="0" borderId="0" xfId="0" applyFont="1" applyAlignment="1">
      <alignment horizontal="center" wrapText="1"/>
    </xf>
    <xf numFmtId="0" fontId="31" fillId="0" borderId="0" xfId="0" applyFont="1" applyAlignment="1">
      <alignment horizontal="center" wrapText="1"/>
    </xf>
    <xf numFmtId="0" fontId="0" fillId="0" borderId="0" xfId="0" applyAlignment="1">
      <alignment horizontal="center"/>
    </xf>
    <xf numFmtId="0" fontId="0" fillId="0" borderId="8" xfId="0" applyBorder="1"/>
    <xf numFmtId="165" fontId="6" fillId="0" borderId="10" xfId="5" applyNumberFormat="1" applyFont="1" applyFill="1" applyBorder="1" applyAlignment="1">
      <alignment horizontal="left"/>
    </xf>
    <xf numFmtId="165" fontId="6" fillId="0" borderId="7" xfId="5" applyNumberFormat="1" applyFont="1" applyFill="1" applyBorder="1" applyAlignment="1">
      <alignment horizontal="center"/>
    </xf>
    <xf numFmtId="165" fontId="6" fillId="0" borderId="8" xfId="5" applyNumberFormat="1" applyFont="1" applyFill="1" applyBorder="1" applyAlignment="1">
      <alignment horizontal="center"/>
    </xf>
    <xf numFmtId="165" fontId="6" fillId="0" borderId="0" xfId="5" applyNumberFormat="1" applyFont="1" applyFill="1" applyBorder="1" applyAlignment="1">
      <alignment horizontal="center"/>
    </xf>
    <xf numFmtId="165" fontId="24" fillId="0" borderId="8" xfId="1" applyNumberFormat="1" applyFont="1" applyBorder="1"/>
    <xf numFmtId="165" fontId="10" fillId="0" borderId="10" xfId="5" quotePrefix="1" applyNumberFormat="1" applyFont="1" applyBorder="1" applyAlignment="1">
      <alignment horizontal="left"/>
    </xf>
    <xf numFmtId="165" fontId="0" fillId="0" borderId="0" xfId="0" applyNumberFormat="1"/>
    <xf numFmtId="164" fontId="6" fillId="0" borderId="0" xfId="1" applyNumberFormat="1" applyFont="1" applyFill="1"/>
    <xf numFmtId="165" fontId="26" fillId="0" borderId="0" xfId="1" applyNumberFormat="1" applyFont="1" applyFill="1"/>
    <xf numFmtId="44" fontId="6" fillId="0" borderId="0" xfId="1" applyNumberFormat="1" applyFont="1" applyFill="1" applyBorder="1"/>
    <xf numFmtId="44" fontId="26" fillId="0" borderId="1" xfId="0" applyNumberFormat="1" applyFont="1" applyBorder="1"/>
    <xf numFmtId="44" fontId="26" fillId="0" borderId="20" xfId="0" applyNumberFormat="1" applyFont="1" applyBorder="1"/>
    <xf numFmtId="44" fontId="6" fillId="0" borderId="21" xfId="0" applyNumberFormat="1" applyFont="1" applyBorder="1"/>
    <xf numFmtId="0" fontId="6" fillId="0" borderId="1" xfId="0" applyFont="1" applyBorder="1"/>
    <xf numFmtId="165" fontId="0" fillId="0" borderId="0" xfId="1" applyNumberFormat="1" applyFont="1"/>
    <xf numFmtId="165" fontId="0" fillId="0" borderId="1" xfId="1" applyNumberFormat="1" applyFont="1" applyBorder="1"/>
    <xf numFmtId="44" fontId="0" fillId="0" borderId="0" xfId="2" applyFont="1"/>
    <xf numFmtId="43" fontId="0" fillId="0" borderId="0" xfId="0" applyNumberFormat="1"/>
    <xf numFmtId="44" fontId="0" fillId="0" borderId="0" xfId="0" applyNumberFormat="1"/>
    <xf numFmtId="0" fontId="0" fillId="0" borderId="1" xfId="0" applyBorder="1" applyAlignment="1">
      <alignment horizontal="center"/>
    </xf>
    <xf numFmtId="0" fontId="0" fillId="0" borderId="1" xfId="0" applyBorder="1"/>
    <xf numFmtId="164" fontId="0" fillId="0" borderId="0" xfId="0" applyNumberFormat="1"/>
    <xf numFmtId="165" fontId="0" fillId="2" borderId="0" xfId="1" applyNumberFormat="1" applyFont="1" applyFill="1"/>
    <xf numFmtId="14" fontId="6" fillId="0" borderId="0" xfId="0" applyNumberFormat="1" applyFont="1" applyAlignment="1">
      <alignment horizontal="center"/>
    </xf>
    <xf numFmtId="171" fontId="6" fillId="0" borderId="0" xfId="2" applyNumberFormat="1" applyFont="1" applyFill="1" applyBorder="1" applyAlignment="1">
      <alignment vertical="center"/>
    </xf>
    <xf numFmtId="0" fontId="6" fillId="0" borderId="1" xfId="0" applyFont="1" applyBorder="1" applyAlignment="1">
      <alignment horizontal="center"/>
    </xf>
    <xf numFmtId="43" fontId="6" fillId="0" borderId="1" xfId="1" applyFont="1" applyBorder="1" applyAlignment="1">
      <alignment horizontal="center"/>
    </xf>
    <xf numFmtId="171" fontId="6" fillId="0" borderId="0" xfId="2" quotePrefix="1" applyNumberFormat="1" applyFont="1" applyFill="1" applyBorder="1" applyAlignment="1">
      <alignment vertical="center"/>
    </xf>
    <xf numFmtId="0" fontId="6" fillId="3" borderId="0" xfId="0" applyFont="1" applyFill="1" applyAlignment="1">
      <alignment vertical="top"/>
    </xf>
    <xf numFmtId="44" fontId="6" fillId="3" borderId="0" xfId="2" applyFont="1" applyFill="1"/>
    <xf numFmtId="44" fontId="6" fillId="3" borderId="0" xfId="0" applyNumberFormat="1" applyFont="1" applyFill="1"/>
    <xf numFmtId="10" fontId="6" fillId="3" borderId="0" xfId="3" applyNumberFormat="1" applyFont="1" applyFill="1" applyAlignment="1">
      <alignment vertical="top"/>
    </xf>
    <xf numFmtId="43" fontId="32" fillId="0" borderId="0" xfId="1" applyFont="1" applyFill="1" applyBorder="1"/>
    <xf numFmtId="10" fontId="32" fillId="0" borderId="0" xfId="3" applyNumberFormat="1" applyFont="1" applyFill="1" applyBorder="1"/>
    <xf numFmtId="43" fontId="6" fillId="0" borderId="0" xfId="1" applyFont="1" applyAlignment="1">
      <alignment horizontal="center"/>
    </xf>
    <xf numFmtId="43" fontId="6" fillId="0" borderId="0" xfId="1" applyFont="1" applyFill="1"/>
    <xf numFmtId="43" fontId="12" fillId="0" borderId="1" xfId="1" applyFont="1" applyFill="1" applyBorder="1"/>
    <xf numFmtId="0" fontId="6" fillId="0" borderId="0" xfId="1" applyNumberFormat="1" applyFont="1" applyFill="1" applyAlignment="1">
      <alignment horizontal="left"/>
    </xf>
    <xf numFmtId="0" fontId="4" fillId="4" borderId="22" xfId="0" applyFont="1" applyFill="1" applyBorder="1" applyAlignment="1">
      <alignment horizontal="center" vertical="top"/>
    </xf>
    <xf numFmtId="0" fontId="4" fillId="4" borderId="22" xfId="0" applyFont="1" applyFill="1" applyBorder="1" applyAlignment="1">
      <alignment vertical="top" wrapText="1"/>
    </xf>
    <xf numFmtId="0" fontId="4" fillId="0" borderId="22" xfId="0" applyFont="1" applyBorder="1" applyAlignment="1">
      <alignment horizontal="center" vertical="top"/>
    </xf>
    <xf numFmtId="0" fontId="4" fillId="0" borderId="22" xfId="0" applyFont="1" applyBorder="1" applyAlignment="1">
      <alignment wrapText="1"/>
    </xf>
    <xf numFmtId="0" fontId="0" fillId="0" borderId="22" xfId="0" applyBorder="1" applyAlignment="1">
      <alignment horizontal="center" vertical="top"/>
    </xf>
    <xf numFmtId="0" fontId="0" fillId="0" borderId="22" xfId="0" applyBorder="1" applyAlignment="1">
      <alignment wrapText="1"/>
    </xf>
    <xf numFmtId="174" fontId="25" fillId="0" borderId="0" xfId="0" applyNumberFormat="1" applyFont="1"/>
    <xf numFmtId="0" fontId="25" fillId="0" borderId="0" xfId="0" applyFont="1" applyAlignment="1">
      <alignment horizontal="center"/>
    </xf>
    <xf numFmtId="10" fontId="6" fillId="0" borderId="0" xfId="3" applyNumberFormat="1" applyFont="1"/>
    <xf numFmtId="165" fontId="26" fillId="0" borderId="0" xfId="0" applyNumberFormat="1" applyFont="1"/>
    <xf numFmtId="167" fontId="6" fillId="0" borderId="0" xfId="5" applyNumberFormat="1" applyFont="1" applyFill="1" applyBorder="1" applyAlignment="1"/>
    <xf numFmtId="43" fontId="12" fillId="0" borderId="0" xfId="1" applyFont="1" applyBorder="1" applyAlignment="1">
      <alignment horizontal="right"/>
    </xf>
    <xf numFmtId="43" fontId="12" fillId="0" borderId="0" xfId="1" applyFont="1" applyFill="1" applyBorder="1" applyAlignment="1">
      <alignment horizontal="right"/>
    </xf>
    <xf numFmtId="10" fontId="6" fillId="0" borderId="0" xfId="3" applyNumberFormat="1" applyFont="1" applyFill="1" applyBorder="1"/>
    <xf numFmtId="165" fontId="6" fillId="0" borderId="6" xfId="5" applyNumberFormat="1" applyFont="1" applyBorder="1" applyAlignment="1">
      <alignment horizontal="center"/>
    </xf>
    <xf numFmtId="0" fontId="24" fillId="0" borderId="1" xfId="0" applyFont="1" applyBorder="1"/>
    <xf numFmtId="165" fontId="24" fillId="0" borderId="6" xfId="1" applyNumberFormat="1" applyFont="1" applyBorder="1"/>
    <xf numFmtId="165" fontId="6" fillId="0" borderId="1" xfId="5" quotePrefix="1" applyNumberFormat="1" applyFont="1" applyBorder="1" applyAlignment="1">
      <alignment horizontal="center"/>
    </xf>
    <xf numFmtId="0" fontId="10" fillId="0" borderId="0" xfId="0" applyFont="1"/>
    <xf numFmtId="165" fontId="7" fillId="0" borderId="0" xfId="1" applyNumberFormat="1" applyFont="1" applyAlignment="1">
      <alignment horizontal="center" vertical="center"/>
    </xf>
    <xf numFmtId="165" fontId="14" fillId="0" borderId="0" xfId="1" applyNumberFormat="1" applyFont="1" applyAlignment="1">
      <alignment horizontal="center" vertical="center"/>
    </xf>
    <xf numFmtId="0" fontId="0" fillId="0" borderId="0" xfId="0" applyAlignment="1">
      <alignment horizontal="center" vertical="center"/>
    </xf>
    <xf numFmtId="165" fontId="7" fillId="0" borderId="0" xfId="1" applyNumberFormat="1" applyFont="1" applyAlignment="1">
      <alignment horizontal="center"/>
    </xf>
    <xf numFmtId="0" fontId="0" fillId="0" borderId="1" xfId="0" applyBorder="1" applyAlignment="1">
      <alignment horizontal="center"/>
    </xf>
    <xf numFmtId="0" fontId="0" fillId="0" borderId="0" xfId="0" applyAlignment="1">
      <alignment horizontal="center"/>
    </xf>
    <xf numFmtId="3" fontId="7" fillId="0" borderId="0" xfId="0" applyNumberFormat="1" applyFont="1" applyAlignment="1">
      <alignment horizontal="center"/>
    </xf>
    <xf numFmtId="3" fontId="8" fillId="0" borderId="0" xfId="0" applyNumberFormat="1" applyFont="1" applyAlignment="1">
      <alignment horizontal="center"/>
    </xf>
    <xf numFmtId="3" fontId="14" fillId="0" borderId="0" xfId="0" applyNumberFormat="1" applyFont="1" applyAlignment="1">
      <alignment horizontal="center" vertical="center"/>
    </xf>
    <xf numFmtId="167" fontId="11" fillId="0" borderId="0" xfId="5" applyNumberFormat="1" applyFont="1" applyBorder="1" applyAlignment="1">
      <alignment horizontal="center"/>
    </xf>
    <xf numFmtId="165" fontId="13" fillId="0" borderId="7" xfId="5" applyNumberFormat="1" applyFont="1" applyBorder="1" applyAlignment="1">
      <alignment horizontal="center" vertical="center"/>
    </xf>
    <xf numFmtId="165" fontId="13" fillId="0" borderId="8" xfId="5" applyNumberFormat="1" applyFont="1" applyBorder="1" applyAlignment="1">
      <alignment horizontal="center" vertical="center"/>
    </xf>
    <xf numFmtId="43" fontId="27" fillId="0" borderId="15" xfId="1" applyFont="1" applyFill="1" applyBorder="1" applyAlignment="1">
      <alignment horizontal="center"/>
    </xf>
    <xf numFmtId="43" fontId="27" fillId="0" borderId="0" xfId="1" applyFont="1" applyFill="1" applyBorder="1" applyAlignment="1">
      <alignment horizontal="center"/>
    </xf>
    <xf numFmtId="43" fontId="27" fillId="0" borderId="16" xfId="1" applyFont="1" applyFill="1" applyBorder="1" applyAlignment="1">
      <alignment horizontal="center"/>
    </xf>
    <xf numFmtId="3" fontId="27" fillId="0" borderId="15" xfId="0" applyNumberFormat="1" applyFont="1" applyBorder="1" applyAlignment="1">
      <alignment horizontal="center" vertical="center"/>
    </xf>
    <xf numFmtId="3" fontId="27" fillId="0" borderId="0" xfId="0" applyNumberFormat="1" applyFont="1" applyAlignment="1">
      <alignment horizontal="center" vertical="center"/>
    </xf>
    <xf numFmtId="3" fontId="27" fillId="0" borderId="16" xfId="0" applyNumberFormat="1" applyFont="1" applyBorder="1" applyAlignment="1">
      <alignment horizontal="center" vertical="center"/>
    </xf>
    <xf numFmtId="43" fontId="7" fillId="0" borderId="15" xfId="1" applyFont="1" applyBorder="1" applyAlignment="1">
      <alignment horizontal="center"/>
    </xf>
    <xf numFmtId="43" fontId="7" fillId="0" borderId="0" xfId="1" applyFont="1" applyBorder="1" applyAlignment="1">
      <alignment horizontal="center"/>
    </xf>
    <xf numFmtId="43" fontId="7" fillId="0" borderId="16" xfId="1" applyFont="1" applyBorder="1" applyAlignment="1">
      <alignment horizontal="center"/>
    </xf>
    <xf numFmtId="49" fontId="6" fillId="0" borderId="1" xfId="1" applyNumberFormat="1" applyFont="1" applyBorder="1" applyAlignment="1">
      <alignment horizontal="center" vertical="top" wrapText="1"/>
    </xf>
    <xf numFmtId="43" fontId="6" fillId="0" borderId="1" xfId="1" applyFont="1" applyBorder="1" applyAlignment="1">
      <alignment horizontal="center"/>
    </xf>
    <xf numFmtId="0" fontId="4" fillId="0" borderId="1" xfId="0" applyFont="1" applyBorder="1" applyAlignment="1">
      <alignment horizontal="center"/>
    </xf>
    <xf numFmtId="43" fontId="6" fillId="0" borderId="23" xfId="1" applyFont="1" applyFill="1" applyBorder="1" applyAlignment="1">
      <alignment horizontal="center" wrapText="1"/>
    </xf>
    <xf numFmtId="43" fontId="6" fillId="0" borderId="1" xfId="1" applyFont="1" applyFill="1" applyBorder="1" applyAlignment="1">
      <alignment horizontal="center" wrapText="1"/>
    </xf>
    <xf numFmtId="43" fontId="33" fillId="0" borderId="12" xfId="1" applyFont="1" applyBorder="1" applyAlignment="1">
      <alignment horizontal="center"/>
    </xf>
    <xf numFmtId="43" fontId="33" fillId="0" borderId="13" xfId="1" applyFont="1" applyBorder="1" applyAlignment="1">
      <alignment horizontal="center"/>
    </xf>
    <xf numFmtId="43" fontId="33" fillId="0" borderId="14" xfId="1" applyFont="1" applyBorder="1" applyAlignment="1">
      <alignment horizontal="center"/>
    </xf>
    <xf numFmtId="3" fontId="23" fillId="0" borderId="15" xfId="0" applyNumberFormat="1" applyFont="1" applyBorder="1" applyAlignment="1">
      <alignment horizontal="center"/>
    </xf>
    <xf numFmtId="3" fontId="23" fillId="0" borderId="0" xfId="0" applyNumberFormat="1" applyFont="1" applyAlignment="1">
      <alignment horizontal="center"/>
    </xf>
    <xf numFmtId="3" fontId="23" fillId="0" borderId="16" xfId="0" applyNumberFormat="1" applyFont="1" applyBorder="1" applyAlignment="1">
      <alignment horizontal="center"/>
    </xf>
    <xf numFmtId="3" fontId="7" fillId="0" borderId="15"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16" xfId="0" applyNumberFormat="1" applyFont="1" applyBorder="1" applyAlignment="1">
      <alignment horizontal="center" vertical="center"/>
    </xf>
    <xf numFmtId="43" fontId="6" fillId="0" borderId="23" xfId="1" applyFont="1" applyBorder="1" applyAlignment="1">
      <alignment horizontal="right" wrapText="1"/>
    </xf>
    <xf numFmtId="43" fontId="6" fillId="0" borderId="1" xfId="1" applyFont="1" applyBorder="1" applyAlignment="1">
      <alignment horizontal="right" wrapText="1"/>
    </xf>
    <xf numFmtId="3" fontId="14" fillId="0" borderId="8" xfId="0" applyNumberFormat="1" applyFont="1" applyBorder="1" applyAlignment="1">
      <alignment horizontal="center" vertical="center"/>
    </xf>
    <xf numFmtId="0" fontId="8" fillId="0" borderId="0" xfId="0" applyFont="1" applyAlignment="1">
      <alignment horizontal="center"/>
    </xf>
    <xf numFmtId="0" fontId="8" fillId="0" borderId="8" xfId="0" applyFont="1" applyBorder="1" applyAlignment="1">
      <alignment horizontal="center"/>
    </xf>
    <xf numFmtId="165" fontId="7" fillId="0" borderId="0" xfId="1" applyNumberFormat="1" applyFont="1" applyBorder="1" applyAlignment="1">
      <alignment horizontal="center"/>
    </xf>
    <xf numFmtId="165" fontId="7" fillId="0" borderId="8" xfId="1" applyNumberFormat="1" applyFont="1" applyBorder="1" applyAlignment="1">
      <alignment horizontal="center"/>
    </xf>
    <xf numFmtId="165" fontId="6" fillId="0" borderId="0" xfId="5" quotePrefix="1" applyNumberFormat="1" applyFont="1" applyAlignment="1">
      <alignment horizontal="left"/>
    </xf>
    <xf numFmtId="165" fontId="6" fillId="0" borderId="0" xfId="1" applyNumberFormat="1" applyFont="1" applyAlignment="1">
      <alignment horizontal="left" wrapText="1"/>
    </xf>
    <xf numFmtId="0" fontId="8" fillId="0" borderId="7" xfId="0" applyFont="1" applyBorder="1" applyAlignment="1">
      <alignment horizontal="center"/>
    </xf>
    <xf numFmtId="165" fontId="7" fillId="0" borderId="7" xfId="1" applyNumberFormat="1" applyFont="1" applyBorder="1" applyAlignment="1">
      <alignment horizontal="center"/>
    </xf>
    <xf numFmtId="165" fontId="6" fillId="0" borderId="0" xfId="1" applyNumberFormat="1" applyFont="1" applyFill="1" applyAlignment="1">
      <alignment horizontal="left" wrapText="1"/>
    </xf>
    <xf numFmtId="3" fontId="7" fillId="0" borderId="8" xfId="0" applyNumberFormat="1" applyFont="1" applyBorder="1" applyAlignment="1">
      <alignment horizontal="center" vertical="center"/>
    </xf>
    <xf numFmtId="165" fontId="6" fillId="0" borderId="0" xfId="5" quotePrefix="1" applyNumberFormat="1" applyFont="1" applyAlignment="1">
      <alignment horizontal="left" wrapText="1"/>
    </xf>
    <xf numFmtId="0" fontId="6" fillId="0" borderId="0" xfId="0" applyFont="1" applyAlignment="1">
      <alignment horizontal="center" vertical="center"/>
    </xf>
    <xf numFmtId="0" fontId="6"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0" fillId="0" borderId="0" xfId="0" applyFont="1" applyAlignment="1">
      <alignment horizontal="center" vertical="top"/>
    </xf>
    <xf numFmtId="0" fontId="10" fillId="0" borderId="0" xfId="0" applyFont="1" applyAlignment="1">
      <alignment horizontal="center"/>
    </xf>
  </cellXfs>
  <cellStyles count="12">
    <cellStyle name="Comma" xfId="1" builtinId="3"/>
    <cellStyle name="Comma 2" xfId="5" xr:uid="{00000000-0005-0000-0000-000001000000}"/>
    <cellStyle name="Comma 3" xfId="9" xr:uid="{00000000-0005-0000-0000-000002000000}"/>
    <cellStyle name="Currency" xfId="2" builtinId="4"/>
    <cellStyle name="Currency 2" xfId="6" xr:uid="{00000000-0005-0000-0000-000004000000}"/>
    <cellStyle name="Currency 3" xfId="10" xr:uid="{00000000-0005-0000-0000-000005000000}"/>
    <cellStyle name="Normal" xfId="0" builtinId="0"/>
    <cellStyle name="Normal 2" xfId="4" xr:uid="{00000000-0005-0000-0000-000007000000}"/>
    <cellStyle name="Normal 3" xfId="8" xr:uid="{00000000-0005-0000-0000-000008000000}"/>
    <cellStyle name="Normal 4" xfId="11" xr:uid="{13C53230-ADD4-4E85-9BB6-5809CAD74095}"/>
    <cellStyle name="Percent" xfId="3" builtinId="5"/>
    <cellStyle name="Percent 2" xfId="7" xr:uid="{00000000-0005-0000-0000-00000A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N64"/>
  <sheetViews>
    <sheetView showGridLines="0" workbookViewId="0">
      <selection activeCell="I23" sqref="I23"/>
    </sheetView>
  </sheetViews>
  <sheetFormatPr defaultColWidth="8.765625" defaultRowHeight="14.5" x14ac:dyDescent="0.35"/>
  <cols>
    <col min="1" max="1" width="3.61328125" style="7" customWidth="1"/>
    <col min="2" max="2" width="2.61328125" style="7" customWidth="1"/>
    <col min="3" max="3" width="30.61328125" style="7" customWidth="1"/>
    <col min="4" max="4" width="11.3046875" style="7" customWidth="1"/>
    <col min="5" max="5" width="11.53515625" style="7" customWidth="1"/>
    <col min="6" max="6" width="5.3046875" style="7" customWidth="1"/>
    <col min="7" max="7" width="11.53515625" style="7" customWidth="1"/>
    <col min="8" max="8" width="3.61328125" style="7" customWidth="1"/>
    <col min="9" max="11" width="11.3046875" style="7" customWidth="1"/>
    <col min="12" max="12" width="10.84375" style="7" customWidth="1"/>
    <col min="13" max="13" width="8.765625" style="7"/>
    <col min="14" max="14" width="8.765625" style="248"/>
    <col min="15" max="16384" width="8.765625" style="7"/>
  </cols>
  <sheetData>
    <row r="1" spans="1:14" ht="18.5" x14ac:dyDescent="0.35">
      <c r="A1" s="375" t="s">
        <v>27</v>
      </c>
      <c r="B1" s="375"/>
      <c r="C1" s="375"/>
      <c r="D1" s="375"/>
      <c r="E1" s="375"/>
      <c r="F1" s="375"/>
      <c r="G1" s="375"/>
      <c r="H1" s="51"/>
      <c r="I1" s="51"/>
      <c r="J1" s="51"/>
      <c r="K1" s="51"/>
    </row>
    <row r="2" spans="1:14" ht="15.5" x14ac:dyDescent="0.35">
      <c r="A2" s="376" t="s">
        <v>188</v>
      </c>
      <c r="B2" s="377"/>
      <c r="C2" s="377"/>
      <c r="D2" s="377"/>
      <c r="E2" s="377"/>
      <c r="F2" s="377"/>
      <c r="G2" s="377"/>
      <c r="H2" s="51"/>
      <c r="I2" s="51"/>
      <c r="J2" s="51"/>
      <c r="K2" s="51"/>
      <c r="L2" s="51"/>
    </row>
    <row r="3" spans="1:14" x14ac:dyDescent="0.35">
      <c r="A3" s="43"/>
      <c r="B3" s="50"/>
      <c r="C3" s="50"/>
      <c r="D3" s="280" t="s">
        <v>258</v>
      </c>
      <c r="E3" s="50"/>
      <c r="F3" s="50"/>
      <c r="G3" s="50"/>
      <c r="H3" s="51"/>
      <c r="I3" s="51"/>
      <c r="J3" s="51"/>
      <c r="K3" s="51"/>
    </row>
    <row r="4" spans="1:14" ht="16" x14ac:dyDescent="0.5">
      <c r="A4" s="51"/>
      <c r="B4" s="51"/>
      <c r="C4" s="51"/>
      <c r="D4" s="52" t="s">
        <v>28</v>
      </c>
      <c r="E4" s="52" t="s">
        <v>29</v>
      </c>
      <c r="F4" s="52" t="s">
        <v>30</v>
      </c>
      <c r="G4" s="52" t="s">
        <v>31</v>
      </c>
      <c r="H4" s="51"/>
      <c r="I4" s="65" t="s">
        <v>36</v>
      </c>
      <c r="J4" s="51"/>
      <c r="K4" s="51"/>
      <c r="N4" s="249" t="s">
        <v>187</v>
      </c>
    </row>
    <row r="5" spans="1:14" x14ac:dyDescent="0.35">
      <c r="A5" s="53" t="s">
        <v>13</v>
      </c>
      <c r="B5" s="51"/>
      <c r="C5" s="51"/>
      <c r="D5" s="148"/>
      <c r="E5" s="215"/>
      <c r="F5" s="51"/>
      <c r="G5" s="51"/>
      <c r="H5" s="51"/>
      <c r="J5" s="51"/>
      <c r="K5" s="51"/>
    </row>
    <row r="6" spans="1:14" x14ac:dyDescent="0.35">
      <c r="A6" s="51"/>
      <c r="B6" s="51" t="s">
        <v>259</v>
      </c>
      <c r="C6" s="51"/>
      <c r="D6" s="148">
        <v>1661608.7</v>
      </c>
      <c r="E6" s="148"/>
      <c r="F6" s="54"/>
      <c r="G6" s="51"/>
      <c r="H6" s="55"/>
      <c r="I6" s="148"/>
      <c r="J6" s="51"/>
      <c r="K6" s="51"/>
    </row>
    <row r="7" spans="1:14" x14ac:dyDescent="0.35">
      <c r="A7" s="51"/>
      <c r="B7" s="51" t="s">
        <v>260</v>
      </c>
      <c r="C7" s="51"/>
      <c r="D7" s="148">
        <v>120581.31</v>
      </c>
      <c r="E7" s="148"/>
      <c r="F7" s="54"/>
      <c r="G7" s="51"/>
      <c r="H7" s="55"/>
      <c r="I7" s="148"/>
    </row>
    <row r="8" spans="1:14" x14ac:dyDescent="0.35">
      <c r="A8" s="51"/>
      <c r="B8" s="51"/>
      <c r="C8" s="51"/>
      <c r="D8" s="148"/>
      <c r="E8" s="148">
        <f>ExBA!H11</f>
        <v>763602.11741999979</v>
      </c>
      <c r="F8" s="54" t="s">
        <v>224</v>
      </c>
      <c r="G8" s="51">
        <f>D6+E6+E7+E8</f>
        <v>2425210.8174199997</v>
      </c>
      <c r="H8" s="55"/>
      <c r="I8" s="148" t="s">
        <v>199</v>
      </c>
      <c r="J8" s="51"/>
      <c r="K8" s="51"/>
      <c r="N8" s="248" t="s">
        <v>321</v>
      </c>
    </row>
    <row r="9" spans="1:14" x14ac:dyDescent="0.35">
      <c r="A9" s="51"/>
      <c r="B9" s="51" t="s">
        <v>47</v>
      </c>
      <c r="C9" s="51"/>
      <c r="D9" s="148">
        <v>0</v>
      </c>
      <c r="E9" s="148"/>
      <c r="F9" s="54"/>
      <c r="G9" s="51">
        <f>D9+E9</f>
        <v>0</v>
      </c>
      <c r="H9" s="56"/>
      <c r="I9" s="49"/>
      <c r="J9" s="51"/>
      <c r="K9" s="51"/>
    </row>
    <row r="10" spans="1:14" x14ac:dyDescent="0.35">
      <c r="A10" s="51"/>
      <c r="B10" s="51" t="s">
        <v>14</v>
      </c>
      <c r="C10" s="51"/>
      <c r="D10" s="148">
        <v>0</v>
      </c>
      <c r="E10" s="148"/>
      <c r="F10" s="54"/>
      <c r="G10" s="51">
        <f>D10+E10</f>
        <v>0</v>
      </c>
      <c r="H10" s="55"/>
      <c r="I10" s="51"/>
      <c r="J10" s="51"/>
    </row>
    <row r="11" spans="1:14" x14ac:dyDescent="0.35">
      <c r="A11" s="51"/>
      <c r="B11" s="51" t="s">
        <v>15</v>
      </c>
      <c r="C11" s="51"/>
      <c r="D11" s="148"/>
      <c r="E11" s="148"/>
      <c r="F11" s="54"/>
      <c r="G11" s="51"/>
      <c r="H11" s="57"/>
      <c r="I11" s="51"/>
      <c r="J11" s="51"/>
      <c r="K11" s="51"/>
    </row>
    <row r="12" spans="1:14" x14ac:dyDescent="0.35">
      <c r="A12" s="51"/>
      <c r="B12" s="51"/>
      <c r="C12" s="51" t="s">
        <v>37</v>
      </c>
      <c r="D12" s="148">
        <v>0</v>
      </c>
      <c r="E12" s="148"/>
      <c r="F12" s="54"/>
      <c r="G12" s="51"/>
      <c r="H12" s="55"/>
      <c r="I12" s="148"/>
      <c r="J12" s="51"/>
      <c r="K12" s="51"/>
      <c r="N12" s="355"/>
    </row>
    <row r="13" spans="1:14" x14ac:dyDescent="0.35">
      <c r="A13" s="51"/>
      <c r="B13" s="51"/>
      <c r="C13" s="51"/>
      <c r="D13" s="148"/>
      <c r="E13" s="148"/>
      <c r="F13" s="54"/>
      <c r="G13" s="51">
        <f>D12+E12+E13</f>
        <v>0</v>
      </c>
      <c r="H13" s="55"/>
      <c r="I13" s="148"/>
      <c r="J13" s="51"/>
      <c r="K13" s="51"/>
      <c r="N13" s="355"/>
    </row>
    <row r="14" spans="1:14" x14ac:dyDescent="0.35">
      <c r="A14" s="51"/>
      <c r="C14" s="51" t="s">
        <v>16</v>
      </c>
      <c r="D14" s="148">
        <v>0</v>
      </c>
      <c r="E14" s="148"/>
      <c r="F14" s="54"/>
      <c r="G14" s="51">
        <f>D14+E14</f>
        <v>0</v>
      </c>
      <c r="H14" s="55"/>
      <c r="I14" s="148"/>
      <c r="J14" s="51"/>
      <c r="K14" s="51"/>
      <c r="N14" s="355"/>
    </row>
    <row r="15" spans="1:14" ht="16" x14ac:dyDescent="0.35">
      <c r="A15" s="51"/>
      <c r="C15" s="51" t="s">
        <v>48</v>
      </c>
      <c r="D15" s="73">
        <v>0</v>
      </c>
      <c r="E15" s="51">
        <v>0</v>
      </c>
      <c r="F15" s="54"/>
      <c r="G15" s="73">
        <f>D15+E15</f>
        <v>0</v>
      </c>
      <c r="H15" s="56"/>
      <c r="I15" s="51"/>
      <c r="J15" s="51"/>
      <c r="K15" s="51"/>
    </row>
    <row r="16" spans="1:14" x14ac:dyDescent="0.35">
      <c r="A16" s="58" t="s">
        <v>17</v>
      </c>
      <c r="B16" s="51"/>
      <c r="C16" s="51"/>
      <c r="D16" s="51">
        <f>SUM(D6:D15)</f>
        <v>1782190.01</v>
      </c>
      <c r="E16" s="51"/>
      <c r="F16" s="54"/>
      <c r="G16" s="51">
        <f>SUM(G6:G15)</f>
        <v>2425210.8174199997</v>
      </c>
      <c r="H16" s="57"/>
      <c r="J16" s="51"/>
      <c r="K16" s="51"/>
    </row>
    <row r="17" spans="1:14" x14ac:dyDescent="0.35">
      <c r="A17" s="51"/>
      <c r="B17" s="51"/>
      <c r="C17" s="51"/>
      <c r="D17" s="51"/>
      <c r="E17" s="51"/>
      <c r="F17" s="54"/>
      <c r="G17" s="51"/>
      <c r="H17" s="57"/>
      <c r="I17" s="51"/>
      <c r="J17" s="51"/>
      <c r="K17" s="51"/>
    </row>
    <row r="18" spans="1:14" x14ac:dyDescent="0.35">
      <c r="A18" s="53" t="s">
        <v>18</v>
      </c>
      <c r="B18" s="51"/>
      <c r="C18" s="51"/>
      <c r="D18" s="51"/>
      <c r="E18" s="51"/>
      <c r="F18" s="54"/>
      <c r="G18" s="51"/>
      <c r="H18" s="57"/>
      <c r="I18" s="51"/>
      <c r="J18" s="51"/>
      <c r="K18" s="51"/>
    </row>
    <row r="19" spans="1:14" x14ac:dyDescent="0.35">
      <c r="A19" s="51"/>
      <c r="B19" s="51" t="s">
        <v>32</v>
      </c>
      <c r="C19" s="51"/>
      <c r="D19" s="148"/>
      <c r="E19" s="51"/>
      <c r="F19" s="54"/>
      <c r="G19" s="51"/>
      <c r="H19" s="57"/>
      <c r="I19" s="51"/>
      <c r="J19" s="51"/>
      <c r="K19" s="51"/>
    </row>
    <row r="20" spans="1:14" x14ac:dyDescent="0.35">
      <c r="A20" s="51"/>
      <c r="B20" s="51"/>
      <c r="C20" s="51" t="s">
        <v>2</v>
      </c>
      <c r="D20" s="148">
        <v>329826.15000000002</v>
      </c>
      <c r="E20" s="148">
        <f>Wages!I30</f>
        <v>52325.849999999977</v>
      </c>
      <c r="F20" s="59" t="s">
        <v>225</v>
      </c>
      <c r="G20" s="51"/>
      <c r="H20" s="55"/>
      <c r="I20" s="51" t="s">
        <v>319</v>
      </c>
      <c r="N20" s="265" t="s">
        <v>320</v>
      </c>
    </row>
    <row r="21" spans="1:14" x14ac:dyDescent="0.35">
      <c r="A21" s="51"/>
      <c r="B21" s="51"/>
      <c r="C21" s="51"/>
      <c r="D21" s="148"/>
      <c r="E21" s="148">
        <f>-Capital!C5</f>
        <v>-3000</v>
      </c>
      <c r="F21" s="59" t="s">
        <v>226</v>
      </c>
      <c r="G21" s="51"/>
      <c r="H21" s="55"/>
      <c r="I21" s="7" t="s">
        <v>244</v>
      </c>
      <c r="N21" s="265" t="s">
        <v>245</v>
      </c>
    </row>
    <row r="22" spans="1:14" x14ac:dyDescent="0.35">
      <c r="A22" s="51"/>
      <c r="B22" s="51"/>
      <c r="C22" s="51"/>
      <c r="D22" s="148"/>
      <c r="E22" s="148"/>
      <c r="F22" s="59"/>
      <c r="G22" s="51">
        <f>D20+E20+E21+E22</f>
        <v>379152</v>
      </c>
      <c r="H22" s="55"/>
      <c r="I22" s="51"/>
      <c r="J22" s="51"/>
      <c r="K22" s="51"/>
    </row>
    <row r="23" spans="1:14" x14ac:dyDescent="0.35">
      <c r="A23" s="51"/>
      <c r="B23" s="51"/>
      <c r="C23" s="51" t="s">
        <v>3</v>
      </c>
      <c r="D23" s="148">
        <v>0</v>
      </c>
      <c r="E23" s="148"/>
      <c r="F23" s="54"/>
      <c r="G23" s="51">
        <f t="shared" ref="G23:G39" si="0">D23+E23</f>
        <v>0</v>
      </c>
      <c r="H23" s="55"/>
    </row>
    <row r="24" spans="1:14" x14ac:dyDescent="0.35">
      <c r="A24" s="51"/>
      <c r="B24" s="51"/>
      <c r="C24" s="148" t="s">
        <v>4</v>
      </c>
      <c r="D24" s="148">
        <v>61088.39</v>
      </c>
      <c r="E24" s="148"/>
      <c r="F24" s="59"/>
      <c r="G24" s="51"/>
      <c r="H24" s="55"/>
      <c r="I24" s="148"/>
      <c r="J24" s="51"/>
      <c r="K24" s="51"/>
    </row>
    <row r="25" spans="1:14" x14ac:dyDescent="0.35">
      <c r="A25" s="51"/>
      <c r="B25" s="51"/>
      <c r="C25" s="148"/>
      <c r="D25" s="148"/>
      <c r="E25" s="148">
        <f>Medical!C28</f>
        <v>-16747.189999999995</v>
      </c>
      <c r="F25" s="59" t="s">
        <v>227</v>
      </c>
      <c r="G25" s="51">
        <f>D24+E24+E25</f>
        <v>44341.200000000004</v>
      </c>
      <c r="H25" s="55"/>
      <c r="I25" s="148" t="s">
        <v>379</v>
      </c>
      <c r="J25" s="51"/>
      <c r="K25" s="51"/>
      <c r="N25" s="248" t="s">
        <v>202</v>
      </c>
    </row>
    <row r="26" spans="1:14" x14ac:dyDescent="0.35">
      <c r="A26" s="51"/>
      <c r="B26" s="51"/>
      <c r="C26" s="51" t="s">
        <v>5</v>
      </c>
      <c r="D26" s="148">
        <v>980761.89</v>
      </c>
      <c r="E26" s="148">
        <f>'Water Loss'!D30</f>
        <v>-184746.03190482422</v>
      </c>
      <c r="F26" s="59" t="s">
        <v>228</v>
      </c>
      <c r="G26" s="51"/>
      <c r="H26" s="60"/>
      <c r="I26" s="7" t="s">
        <v>240</v>
      </c>
      <c r="N26" s="248" t="s">
        <v>241</v>
      </c>
    </row>
    <row r="27" spans="1:14" x14ac:dyDescent="0.35">
      <c r="A27" s="51"/>
      <c r="B27" s="51"/>
      <c r="C27" s="51"/>
      <c r="D27" s="148"/>
      <c r="E27" s="148">
        <f>'Pur Water'!J15</f>
        <v>92263</v>
      </c>
      <c r="F27" s="59" t="s">
        <v>229</v>
      </c>
      <c r="G27" s="51">
        <f>D26+E26+E27</f>
        <v>888278.85809517582</v>
      </c>
      <c r="H27" s="60"/>
      <c r="I27" s="7" t="s">
        <v>368</v>
      </c>
      <c r="N27" s="248" t="s">
        <v>369</v>
      </c>
    </row>
    <row r="28" spans="1:14" x14ac:dyDescent="0.35">
      <c r="A28" s="51"/>
      <c r="B28" s="51"/>
      <c r="C28" s="51" t="s">
        <v>6</v>
      </c>
      <c r="D28" s="148">
        <v>129782.22</v>
      </c>
      <c r="E28" s="148">
        <f>'Water Loss'!D31</f>
        <v>-24447.065491909474</v>
      </c>
      <c r="F28" s="59" t="s">
        <v>228</v>
      </c>
      <c r="G28" s="51">
        <f t="shared" si="0"/>
        <v>105335.15450809052</v>
      </c>
      <c r="H28" s="61"/>
      <c r="I28" s="7" t="s">
        <v>240</v>
      </c>
      <c r="J28" s="51"/>
      <c r="K28" s="51"/>
      <c r="N28" s="248" t="s">
        <v>242</v>
      </c>
    </row>
    <row r="29" spans="1:14" x14ac:dyDescent="0.35">
      <c r="A29" s="51"/>
      <c r="B29" s="51"/>
      <c r="C29" s="51" t="s">
        <v>65</v>
      </c>
      <c r="D29" s="148">
        <v>0</v>
      </c>
      <c r="E29" s="148"/>
      <c r="F29" s="59"/>
      <c r="G29" s="51">
        <f t="shared" si="0"/>
        <v>0</v>
      </c>
      <c r="H29" s="61"/>
      <c r="J29" s="51"/>
      <c r="K29" s="51"/>
    </row>
    <row r="30" spans="1:14" x14ac:dyDescent="0.35">
      <c r="A30" s="51"/>
      <c r="B30" s="51"/>
      <c r="C30" s="148" t="s">
        <v>7</v>
      </c>
      <c r="D30" s="148">
        <v>168887.47</v>
      </c>
      <c r="E30" s="148">
        <f>-Capital!C6</f>
        <v>-7000</v>
      </c>
      <c r="F30" s="59" t="s">
        <v>226</v>
      </c>
      <c r="G30" s="51">
        <f t="shared" si="0"/>
        <v>161887.47</v>
      </c>
      <c r="H30" s="55"/>
      <c r="I30" s="51" t="s">
        <v>246</v>
      </c>
      <c r="J30" s="51"/>
      <c r="K30" s="51"/>
      <c r="N30" s="248" t="s">
        <v>247</v>
      </c>
    </row>
    <row r="31" spans="1:14" x14ac:dyDescent="0.35">
      <c r="A31" s="51"/>
      <c r="B31" s="51"/>
      <c r="C31" s="51" t="s">
        <v>159</v>
      </c>
      <c r="D31" s="148">
        <v>50000</v>
      </c>
      <c r="E31" s="148"/>
      <c r="F31" s="59"/>
      <c r="G31" s="51">
        <f t="shared" si="0"/>
        <v>50000</v>
      </c>
      <c r="H31" s="55"/>
      <c r="I31" s="51"/>
      <c r="J31" s="51"/>
      <c r="K31" s="51"/>
    </row>
    <row r="32" spans="1:14" x14ac:dyDescent="0.35">
      <c r="A32" s="51"/>
      <c r="B32" s="51"/>
      <c r="C32" s="148" t="s">
        <v>261</v>
      </c>
      <c r="D32" s="148">
        <v>39788.120000000003</v>
      </c>
      <c r="E32" s="148"/>
      <c r="F32" s="59"/>
      <c r="G32" s="51">
        <f t="shared" si="0"/>
        <v>39788.120000000003</v>
      </c>
      <c r="H32" s="55"/>
      <c r="I32" s="51"/>
      <c r="J32" s="51"/>
      <c r="K32" s="51"/>
    </row>
    <row r="33" spans="1:14" x14ac:dyDescent="0.35">
      <c r="A33" s="51"/>
      <c r="B33" s="51"/>
      <c r="C33" s="148" t="s">
        <v>262</v>
      </c>
      <c r="D33" s="148">
        <v>23949.67</v>
      </c>
      <c r="E33" s="148"/>
      <c r="F33" s="59"/>
      <c r="G33" s="51">
        <f t="shared" si="0"/>
        <v>23949.67</v>
      </c>
      <c r="H33" s="55"/>
      <c r="I33" s="51"/>
      <c r="J33" s="51"/>
      <c r="K33" s="51"/>
    </row>
    <row r="34" spans="1:14" x14ac:dyDescent="0.35">
      <c r="A34" s="51"/>
      <c r="B34" s="51"/>
      <c r="C34" s="51" t="s">
        <v>49</v>
      </c>
      <c r="D34" s="148">
        <v>12013.43</v>
      </c>
      <c r="E34" s="148"/>
      <c r="F34" s="59"/>
      <c r="G34" s="51">
        <f t="shared" si="0"/>
        <v>12013.43</v>
      </c>
      <c r="H34" s="55"/>
      <c r="I34" s="51"/>
      <c r="J34" s="51"/>
      <c r="K34" s="51"/>
    </row>
    <row r="35" spans="1:14" x14ac:dyDescent="0.35">
      <c r="A35" s="51"/>
      <c r="B35" s="51"/>
      <c r="C35" s="51" t="s">
        <v>9</v>
      </c>
      <c r="D35" s="148">
        <v>46342.98</v>
      </c>
      <c r="E35" s="148"/>
      <c r="F35" s="59"/>
      <c r="G35" s="51">
        <f t="shared" si="0"/>
        <v>46342.98</v>
      </c>
      <c r="H35" s="57"/>
      <c r="I35" s="51"/>
      <c r="J35" s="51"/>
      <c r="K35" s="51"/>
    </row>
    <row r="36" spans="1:14" x14ac:dyDescent="0.35">
      <c r="A36" s="51"/>
      <c r="B36" s="51"/>
      <c r="C36" s="148" t="s">
        <v>263</v>
      </c>
      <c r="D36" s="148">
        <v>46396</v>
      </c>
      <c r="E36" s="148"/>
      <c r="F36" s="59"/>
      <c r="G36" s="51">
        <f t="shared" si="0"/>
        <v>46396</v>
      </c>
      <c r="H36" s="57"/>
      <c r="I36" s="51"/>
      <c r="J36" s="51"/>
      <c r="K36" s="51"/>
    </row>
    <row r="37" spans="1:14" x14ac:dyDescent="0.35">
      <c r="A37" s="51"/>
      <c r="B37" s="51"/>
      <c r="C37" s="51" t="s">
        <v>50</v>
      </c>
      <c r="D37" s="148"/>
      <c r="E37" s="148"/>
      <c r="F37" s="59"/>
      <c r="G37" s="51">
        <f t="shared" si="0"/>
        <v>0</v>
      </c>
      <c r="H37" s="57"/>
      <c r="I37" s="51"/>
      <c r="J37" s="51"/>
      <c r="K37" s="51"/>
    </row>
    <row r="38" spans="1:14" x14ac:dyDescent="0.35">
      <c r="A38" s="51"/>
      <c r="B38" s="51"/>
      <c r="C38" s="51" t="s">
        <v>264</v>
      </c>
      <c r="D38" s="148">
        <v>1582.85</v>
      </c>
      <c r="E38" s="148"/>
      <c r="F38" s="54"/>
      <c r="G38" s="51">
        <f t="shared" si="0"/>
        <v>1582.85</v>
      </c>
      <c r="H38" s="57"/>
      <c r="I38" s="51"/>
      <c r="J38" s="51"/>
      <c r="K38" s="51"/>
    </row>
    <row r="39" spans="1:14" ht="16" x14ac:dyDescent="0.35">
      <c r="A39" s="51"/>
      <c r="B39" s="51"/>
      <c r="C39" s="148" t="s">
        <v>8</v>
      </c>
      <c r="D39" s="279">
        <v>99891.91</v>
      </c>
      <c r="E39" s="263"/>
      <c r="F39" s="59"/>
      <c r="G39" s="73">
        <f t="shared" si="0"/>
        <v>99891.91</v>
      </c>
      <c r="H39" s="57"/>
      <c r="I39" s="51"/>
      <c r="J39" s="51"/>
      <c r="K39" s="51"/>
    </row>
    <row r="40" spans="1:14" x14ac:dyDescent="0.35">
      <c r="A40" s="51"/>
      <c r="B40" s="51" t="s">
        <v>33</v>
      </c>
      <c r="C40" s="51"/>
      <c r="D40" s="148">
        <f>SUM(D20:D39)</f>
        <v>1990311.08</v>
      </c>
      <c r="E40" s="148">
        <f>SUM(E20:E39)</f>
        <v>-91351.437396733731</v>
      </c>
      <c r="F40" s="54"/>
      <c r="G40" s="51">
        <f>SUM(G20:G39)</f>
        <v>1898959.6426032663</v>
      </c>
      <c r="H40" s="57"/>
      <c r="I40" s="51"/>
      <c r="J40" s="51"/>
      <c r="K40" s="51"/>
    </row>
    <row r="41" spans="1:14" ht="4" customHeight="1" x14ac:dyDescent="0.35">
      <c r="A41" s="51"/>
      <c r="B41" s="51"/>
      <c r="C41" s="51"/>
      <c r="D41" s="148"/>
      <c r="E41" s="148"/>
      <c r="F41" s="54"/>
      <c r="G41" s="51"/>
      <c r="H41" s="57"/>
      <c r="I41" s="51"/>
      <c r="J41" s="51"/>
      <c r="K41" s="51"/>
    </row>
    <row r="42" spans="1:14" x14ac:dyDescent="0.35">
      <c r="A42" s="51"/>
      <c r="B42" s="51" t="s">
        <v>19</v>
      </c>
      <c r="C42" s="51"/>
      <c r="D42" s="148">
        <v>503217</v>
      </c>
      <c r="E42" s="148">
        <v>-12909.11</v>
      </c>
      <c r="F42" s="54" t="s">
        <v>230</v>
      </c>
      <c r="G42" s="51"/>
      <c r="H42" s="57"/>
      <c r="I42" s="148" t="s">
        <v>346</v>
      </c>
      <c r="J42" s="51"/>
    </row>
    <row r="43" spans="1:14" x14ac:dyDescent="0.35">
      <c r="A43" s="51"/>
      <c r="B43" s="51"/>
      <c r="C43" s="51"/>
      <c r="D43" s="148"/>
      <c r="E43" s="148">
        <f>Depreciation!K44</f>
        <v>-53708.574380952363</v>
      </c>
      <c r="F43" s="54" t="s">
        <v>231</v>
      </c>
      <c r="G43" s="51">
        <f>D42+E42+E43</f>
        <v>436599.31561904767</v>
      </c>
      <c r="H43" s="57"/>
      <c r="I43" s="51" t="s">
        <v>197</v>
      </c>
      <c r="J43" s="51"/>
      <c r="N43" s="248" t="s">
        <v>198</v>
      </c>
    </row>
    <row r="44" spans="1:14" x14ac:dyDescent="0.35">
      <c r="A44" s="51"/>
      <c r="B44" s="51" t="s">
        <v>317</v>
      </c>
      <c r="C44" s="51"/>
      <c r="D44" s="148"/>
      <c r="E44" s="148">
        <v>3111.6666666666665</v>
      </c>
      <c r="F44" s="54" t="s">
        <v>232</v>
      </c>
      <c r="G44" s="51">
        <f>D44+E44</f>
        <v>3111.6666666666665</v>
      </c>
      <c r="H44" s="57"/>
      <c r="I44" s="51" t="s">
        <v>351</v>
      </c>
      <c r="J44" s="51"/>
    </row>
    <row r="45" spans="1:14" x14ac:dyDescent="0.35">
      <c r="A45" s="51"/>
      <c r="B45" s="148" t="s">
        <v>1</v>
      </c>
      <c r="C45" s="148"/>
      <c r="D45" s="263">
        <v>27780.47</v>
      </c>
      <c r="E45" s="263">
        <f>Wages!I36</f>
        <v>4176</v>
      </c>
      <c r="F45" s="74" t="s">
        <v>237</v>
      </c>
      <c r="G45" s="72"/>
      <c r="H45" s="57"/>
      <c r="I45" s="51" t="s">
        <v>239</v>
      </c>
      <c r="J45" s="51"/>
      <c r="N45" s="265" t="s">
        <v>342</v>
      </c>
    </row>
    <row r="46" spans="1:14" x14ac:dyDescent="0.35">
      <c r="A46" s="51"/>
      <c r="B46" s="148"/>
      <c r="C46" s="148"/>
      <c r="D46" s="263"/>
      <c r="E46" s="263"/>
      <c r="F46" s="74"/>
      <c r="G46" s="72">
        <f>D45+E45+E46</f>
        <v>31956.47</v>
      </c>
      <c r="H46" s="57"/>
      <c r="J46" s="148" t="s">
        <v>344</v>
      </c>
      <c r="K46" s="215"/>
      <c r="L46" s="215"/>
      <c r="M46" s="215"/>
    </row>
    <row r="47" spans="1:14" ht="16" x14ac:dyDescent="0.35">
      <c r="A47" s="58" t="s">
        <v>0</v>
      </c>
      <c r="B47" s="51"/>
      <c r="C47" s="51"/>
      <c r="D47" s="279">
        <f>SUM(D40:D46)</f>
        <v>2521308.5500000003</v>
      </c>
      <c r="E47" s="263"/>
      <c r="F47" s="74"/>
      <c r="G47" s="73">
        <f>SUM(G40:G46)</f>
        <v>2370627.0948889805</v>
      </c>
      <c r="H47" s="57"/>
      <c r="I47" s="51"/>
      <c r="J47" s="51"/>
      <c r="K47" s="51"/>
    </row>
    <row r="48" spans="1:14" ht="4" customHeight="1" x14ac:dyDescent="0.35">
      <c r="A48" s="58"/>
      <c r="B48" s="51"/>
      <c r="C48" s="51"/>
      <c r="D48" s="75"/>
      <c r="E48" s="51"/>
      <c r="F48" s="54"/>
      <c r="G48" s="51"/>
      <c r="H48" s="51"/>
      <c r="I48" s="51"/>
      <c r="J48" s="51"/>
      <c r="K48" s="51"/>
    </row>
    <row r="49" spans="1:11" x14ac:dyDescent="0.35">
      <c r="A49" s="58" t="s">
        <v>34</v>
      </c>
      <c r="B49" s="51"/>
      <c r="C49" s="51"/>
      <c r="D49" s="51">
        <f>D16-D47</f>
        <v>-739118.54000000027</v>
      </c>
      <c r="E49" s="51"/>
      <c r="F49" s="54"/>
      <c r="G49" s="51">
        <f>G16-G47</f>
        <v>54583.722531019244</v>
      </c>
      <c r="H49" s="51"/>
      <c r="I49" s="51"/>
      <c r="K49" s="51"/>
    </row>
    <row r="50" spans="1:11" x14ac:dyDescent="0.35">
      <c r="A50" s="51"/>
      <c r="B50" s="51"/>
      <c r="C50" s="51"/>
      <c r="D50" s="51"/>
      <c r="E50" s="51"/>
      <c r="F50" s="54"/>
      <c r="G50" s="51"/>
      <c r="H50" s="51"/>
      <c r="I50" s="51"/>
      <c r="J50" s="51"/>
      <c r="K50" s="51"/>
    </row>
    <row r="51" spans="1:11" ht="16" x14ac:dyDescent="0.35">
      <c r="H51" s="51"/>
      <c r="I51" s="62"/>
      <c r="J51" s="63"/>
      <c r="K51" s="51"/>
    </row>
    <row r="52" spans="1:11" ht="18.5" x14ac:dyDescent="0.45">
      <c r="A52" s="378" t="s">
        <v>216</v>
      </c>
      <c r="B52" s="378"/>
      <c r="C52" s="378"/>
      <c r="D52" s="378"/>
      <c r="E52" s="378"/>
      <c r="F52" s="378"/>
      <c r="G52" s="378"/>
      <c r="H52" s="51"/>
      <c r="J52" s="51"/>
      <c r="K52" s="51"/>
    </row>
    <row r="53" spans="1:11" x14ac:dyDescent="0.35">
      <c r="A53" s="58" t="s">
        <v>35</v>
      </c>
      <c r="B53" s="51"/>
      <c r="C53" s="51"/>
      <c r="D53" s="64"/>
      <c r="E53" s="51"/>
      <c r="F53" s="59"/>
      <c r="G53" s="7">
        <f>'Revenue Requirement'!G15</f>
        <v>2370627.0948889805</v>
      </c>
      <c r="H53" s="51"/>
      <c r="J53" s="51"/>
      <c r="K53" s="51"/>
    </row>
    <row r="54" spans="1:11" x14ac:dyDescent="0.35">
      <c r="A54" s="51" t="s">
        <v>217</v>
      </c>
      <c r="B54" s="51"/>
      <c r="C54" s="51"/>
      <c r="D54" s="64"/>
      <c r="E54" s="51"/>
      <c r="F54" s="59"/>
      <c r="G54" s="37">
        <f>'Revenue Requirement'!G16</f>
        <v>0.88</v>
      </c>
      <c r="H54" s="51"/>
      <c r="J54" s="51"/>
      <c r="K54" s="51"/>
    </row>
    <row r="55" spans="1:11" x14ac:dyDescent="0.35">
      <c r="A55" s="58" t="s">
        <v>218</v>
      </c>
      <c r="B55" s="51"/>
      <c r="C55" s="51"/>
      <c r="D55" s="64"/>
      <c r="E55" s="51"/>
      <c r="F55" s="59"/>
      <c r="G55" s="7">
        <f>'Revenue Requirement'!G17</f>
        <v>2693894.4260102049</v>
      </c>
      <c r="H55" s="51"/>
      <c r="J55" s="51"/>
      <c r="K55" s="51"/>
    </row>
    <row r="56" spans="1:11" x14ac:dyDescent="0.35">
      <c r="A56" s="7" t="s">
        <v>20</v>
      </c>
      <c r="C56" s="7" t="s">
        <v>219</v>
      </c>
      <c r="F56" s="59" t="s">
        <v>238</v>
      </c>
      <c r="G56" s="5">
        <f>'Revenue Requirement'!G18</f>
        <v>20873.599999999999</v>
      </c>
      <c r="H56" s="51"/>
      <c r="J56" s="51"/>
      <c r="K56" s="51"/>
    </row>
    <row r="57" spans="1:11" x14ac:dyDescent="0.35">
      <c r="A57" s="266" t="s">
        <v>53</v>
      </c>
      <c r="G57" s="7">
        <f>'Revenue Requirement'!G19</f>
        <v>2714768.026010205</v>
      </c>
      <c r="H57" s="51"/>
      <c r="J57" s="51"/>
      <c r="K57" s="51"/>
    </row>
    <row r="58" spans="1:11" x14ac:dyDescent="0.35">
      <c r="A58" s="7" t="s">
        <v>21</v>
      </c>
      <c r="C58" s="51" t="s">
        <v>37</v>
      </c>
      <c r="G58" s="7">
        <f>'Revenue Requirement'!G20</f>
        <v>0</v>
      </c>
      <c r="H58" s="51"/>
      <c r="J58" s="51"/>
      <c r="K58" s="51"/>
    </row>
    <row r="59" spans="1:11" x14ac:dyDescent="0.35">
      <c r="C59" s="51" t="s">
        <v>252</v>
      </c>
      <c r="G59" s="7">
        <f>'Revenue Requirement'!G21</f>
        <v>0</v>
      </c>
      <c r="H59" s="51"/>
      <c r="I59" s="30"/>
      <c r="J59" s="51"/>
      <c r="K59" s="51"/>
    </row>
    <row r="60" spans="1:11" x14ac:dyDescent="0.35">
      <c r="C60" s="302" t="s">
        <v>312</v>
      </c>
      <c r="G60" s="5">
        <f>'Revenue Requirement'!G22</f>
        <v>86</v>
      </c>
      <c r="H60" s="51"/>
      <c r="J60" s="51"/>
      <c r="K60" s="51"/>
    </row>
    <row r="61" spans="1:11" x14ac:dyDescent="0.35">
      <c r="A61" s="266" t="s">
        <v>51</v>
      </c>
      <c r="G61" s="7">
        <f>'Revenue Requirement'!G23</f>
        <v>2714682.026010205</v>
      </c>
      <c r="H61" s="51"/>
      <c r="I61" s="30"/>
      <c r="J61" s="51"/>
      <c r="K61" s="253"/>
    </row>
    <row r="62" spans="1:11" x14ac:dyDescent="0.35">
      <c r="A62" s="7" t="s">
        <v>21</v>
      </c>
      <c r="C62" s="7" t="s">
        <v>52</v>
      </c>
      <c r="G62" s="5">
        <f>'Revenue Requirement'!G24</f>
        <v>2545792.1274199998</v>
      </c>
      <c r="H62" s="51"/>
      <c r="I62" s="51"/>
      <c r="J62" s="51"/>
      <c r="K62" s="51"/>
    </row>
    <row r="63" spans="1:11" ht="17" customHeight="1" x14ac:dyDescent="0.35">
      <c r="A63" s="266" t="s">
        <v>54</v>
      </c>
      <c r="G63" s="7">
        <f>'Revenue Requirement'!G25</f>
        <v>168889.89859020524</v>
      </c>
      <c r="H63" s="51"/>
      <c r="I63" s="51"/>
      <c r="J63" s="51"/>
      <c r="K63" s="51"/>
    </row>
    <row r="64" spans="1:11" x14ac:dyDescent="0.35">
      <c r="A64" s="266" t="s">
        <v>55</v>
      </c>
      <c r="G64" s="364">
        <f>'Revenue Requirement'!G26</f>
        <v>6.6340804801437003E-2</v>
      </c>
      <c r="H64" s="51"/>
      <c r="I64" s="51"/>
      <c r="J64" s="51"/>
      <c r="K64" s="51"/>
    </row>
  </sheetData>
  <mergeCells count="3">
    <mergeCell ref="A1:G1"/>
    <mergeCell ref="A2:G2"/>
    <mergeCell ref="A52:G52"/>
  </mergeCells>
  <printOptions horizontalCentered="1"/>
  <pageMargins left="0.45" right="0.25" top="0.5" bottom="0.5" header="0.3" footer="0.3"/>
  <pageSetup orientation="portrait" horizontalDpi="4294967293" r:id="rId1"/>
  <rowBreaks count="2" manualBreakCount="2">
    <brk id="49" max="16383" man="1"/>
    <brk id="5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52889-0321-45D3-A9A4-AE60C9D6113F}">
  <sheetPr>
    <tabColor rgb="FF92D050"/>
  </sheetPr>
  <dimension ref="A1:J57"/>
  <sheetViews>
    <sheetView showGridLines="0" topLeftCell="A24" workbookViewId="0">
      <selection activeCell="C38" sqref="C38"/>
    </sheetView>
  </sheetViews>
  <sheetFormatPr defaultColWidth="8.84375" defaultRowHeight="14" x14ac:dyDescent="0.3"/>
  <cols>
    <col min="1" max="1" width="22.07421875" style="143" customWidth="1"/>
    <col min="2" max="2" width="9.84375" style="144" bestFit="1" customWidth="1"/>
    <col min="3" max="3" width="10.15234375" style="144" bestFit="1" customWidth="1"/>
    <col min="4" max="4" width="10.765625" style="143" bestFit="1" customWidth="1"/>
    <col min="5" max="16384" width="8.84375" style="143"/>
  </cols>
  <sheetData>
    <row r="1" spans="1:10" ht="14.5" x14ac:dyDescent="0.35">
      <c r="A1" s="277" t="s">
        <v>118</v>
      </c>
      <c r="B1" s="278" t="s">
        <v>258</v>
      </c>
      <c r="C1" s="7"/>
      <c r="D1" s="1"/>
      <c r="E1" s="1"/>
      <c r="F1" s="1"/>
      <c r="G1" s="1"/>
      <c r="I1" s="363" t="s">
        <v>390</v>
      </c>
      <c r="J1" s="363" t="s">
        <v>388</v>
      </c>
    </row>
    <row r="2" spans="1:10" ht="14.5" x14ac:dyDescent="0.35">
      <c r="A2" s="1" t="s">
        <v>124</v>
      </c>
      <c r="B2" s="7"/>
      <c r="C2" s="7">
        <v>0</v>
      </c>
      <c r="D2" s="1"/>
      <c r="E2" s="1"/>
      <c r="F2" s="1"/>
      <c r="G2" s="1"/>
      <c r="I2" s="363" t="s">
        <v>391</v>
      </c>
      <c r="J2" s="363" t="s">
        <v>389</v>
      </c>
    </row>
    <row r="3" spans="1:10" ht="14.5" x14ac:dyDescent="0.35">
      <c r="A3" s="1" t="s">
        <v>125</v>
      </c>
      <c r="B3" s="7"/>
      <c r="C3" s="5">
        <v>256997291</v>
      </c>
      <c r="D3" s="1"/>
      <c r="E3" s="1"/>
      <c r="F3" s="1"/>
      <c r="G3" s="1"/>
      <c r="I3" s="363">
        <v>2021</v>
      </c>
      <c r="J3" s="143">
        <v>36.513800000000003</v>
      </c>
    </row>
    <row r="4" spans="1:10" ht="14.5" x14ac:dyDescent="0.35">
      <c r="A4" s="1" t="s">
        <v>126</v>
      </c>
      <c r="B4" s="7"/>
      <c r="C4" s="7">
        <f>C2+C3</f>
        <v>256997291</v>
      </c>
      <c r="D4" s="1"/>
      <c r="E4" s="1"/>
      <c r="F4" s="1"/>
      <c r="G4" s="1"/>
      <c r="I4" s="363">
        <v>2022</v>
      </c>
      <c r="J4" s="143">
        <v>41.997500000000002</v>
      </c>
    </row>
    <row r="5" spans="1:10" ht="14.5" x14ac:dyDescent="0.35">
      <c r="A5" s="1"/>
      <c r="B5" s="7"/>
      <c r="C5" s="7"/>
      <c r="D5" s="1"/>
      <c r="E5" s="1"/>
      <c r="F5" s="1"/>
      <c r="G5" s="1"/>
      <c r="I5" s="363">
        <v>2023</v>
      </c>
      <c r="J5" s="143">
        <v>38.0989</v>
      </c>
    </row>
    <row r="6" spans="1:10" ht="14.5" x14ac:dyDescent="0.35">
      <c r="A6" s="1" t="s">
        <v>119</v>
      </c>
      <c r="B6" s="7"/>
      <c r="C6" s="7">
        <v>147315243</v>
      </c>
      <c r="D6" s="1"/>
      <c r="E6" s="1"/>
      <c r="F6" s="1"/>
      <c r="G6" s="1"/>
      <c r="I6" s="363">
        <v>2024</v>
      </c>
      <c r="J6" s="362">
        <v>33.837000000000003</v>
      </c>
    </row>
    <row r="7" spans="1:10" ht="14.5" x14ac:dyDescent="0.35">
      <c r="A7" s="1"/>
      <c r="B7" s="7"/>
      <c r="C7" s="7"/>
      <c r="D7" s="1"/>
      <c r="E7" s="1"/>
      <c r="F7" s="1"/>
      <c r="G7" s="1"/>
      <c r="I7" s="363">
        <v>2025</v>
      </c>
    </row>
    <row r="8" spans="1:10" ht="14.5" x14ac:dyDescent="0.35">
      <c r="A8" s="1" t="s">
        <v>120</v>
      </c>
      <c r="B8" s="7"/>
      <c r="C8" s="7"/>
      <c r="D8" s="1"/>
      <c r="E8" s="1"/>
      <c r="F8" s="1"/>
      <c r="G8" s="1"/>
    </row>
    <row r="9" spans="1:10" ht="14.5" x14ac:dyDescent="0.35">
      <c r="A9" s="1" t="s">
        <v>129</v>
      </c>
      <c r="B9" s="7">
        <v>42500</v>
      </c>
      <c r="C9" s="7"/>
      <c r="D9" s="1"/>
      <c r="E9" s="1"/>
      <c r="F9" s="1"/>
      <c r="G9" s="1"/>
    </row>
    <row r="10" spans="1:10" ht="14.5" x14ac:dyDescent="0.35">
      <c r="A10" s="1" t="s">
        <v>257</v>
      </c>
      <c r="B10" s="7">
        <v>350000</v>
      </c>
      <c r="C10" s="7"/>
      <c r="D10" s="1"/>
      <c r="E10" s="1"/>
      <c r="F10" s="1"/>
      <c r="G10" s="1"/>
    </row>
    <row r="11" spans="1:10" ht="14.5" x14ac:dyDescent="0.35">
      <c r="A11" s="1" t="s">
        <v>130</v>
      </c>
      <c r="B11" s="7">
        <v>13602793</v>
      </c>
      <c r="C11" s="7"/>
      <c r="D11" s="1"/>
      <c r="E11" s="1"/>
      <c r="F11" s="1"/>
      <c r="G11" s="1"/>
    </row>
    <row r="12" spans="1:10" ht="14.5" x14ac:dyDescent="0.35">
      <c r="A12" s="1" t="s">
        <v>131</v>
      </c>
      <c r="B12" s="7">
        <v>160200</v>
      </c>
      <c r="C12" s="7"/>
      <c r="D12" s="1"/>
      <c r="E12" s="1"/>
      <c r="F12" s="1"/>
      <c r="G12" s="1"/>
    </row>
    <row r="13" spans="1:10" ht="14.5" x14ac:dyDescent="0.35">
      <c r="A13" s="1" t="s">
        <v>132</v>
      </c>
      <c r="B13" s="7">
        <v>8566404</v>
      </c>
      <c r="C13" s="7"/>
      <c r="D13" s="1"/>
      <c r="E13" s="1"/>
      <c r="F13" s="1"/>
      <c r="G13" s="1"/>
    </row>
    <row r="14" spans="1:10" ht="14.5" x14ac:dyDescent="0.35">
      <c r="A14" s="1" t="s">
        <v>127</v>
      </c>
      <c r="B14" s="7"/>
      <c r="C14" s="7">
        <f>SUM(B9:B13)</f>
        <v>22721897</v>
      </c>
      <c r="D14" s="1"/>
      <c r="E14" s="1"/>
      <c r="F14" s="1"/>
      <c r="G14" s="1"/>
    </row>
    <row r="15" spans="1:10" ht="14.5" x14ac:dyDescent="0.35">
      <c r="A15" s="1"/>
      <c r="B15" s="7"/>
      <c r="C15" s="7"/>
      <c r="D15" s="1"/>
      <c r="E15" s="1"/>
      <c r="F15" s="1"/>
      <c r="G15" s="1"/>
    </row>
    <row r="16" spans="1:10" ht="14.5" x14ac:dyDescent="0.35">
      <c r="A16" s="1" t="s">
        <v>128</v>
      </c>
      <c r="B16" s="7"/>
      <c r="C16" s="7"/>
      <c r="D16" s="1"/>
      <c r="E16" s="1"/>
      <c r="F16" s="1"/>
      <c r="G16" s="1"/>
    </row>
    <row r="17" spans="1:7" ht="14.5" x14ac:dyDescent="0.35">
      <c r="A17" s="1" t="s">
        <v>160</v>
      </c>
      <c r="B17" s="7">
        <v>0</v>
      </c>
      <c r="C17" s="7"/>
      <c r="D17" s="1"/>
      <c r="E17" s="1"/>
      <c r="F17" s="1"/>
      <c r="G17" s="1"/>
    </row>
    <row r="18" spans="1:7" ht="14.5" x14ac:dyDescent="0.35">
      <c r="A18" s="1" t="s">
        <v>161</v>
      </c>
      <c r="B18" s="7">
        <v>9326618</v>
      </c>
      <c r="C18" s="7"/>
      <c r="D18" s="1"/>
      <c r="E18" s="1"/>
      <c r="F18" s="1"/>
      <c r="G18" s="1"/>
    </row>
    <row r="19" spans="1:7" ht="14.5" x14ac:dyDescent="0.35">
      <c r="A19" s="1" t="s">
        <v>133</v>
      </c>
      <c r="B19" s="7">
        <v>77633533</v>
      </c>
      <c r="C19" s="7"/>
      <c r="D19" s="1"/>
      <c r="E19" s="1"/>
      <c r="F19" s="1"/>
      <c r="G19" s="1"/>
    </row>
    <row r="20" spans="1:7" ht="14.5" x14ac:dyDescent="0.35">
      <c r="A20" s="1" t="s">
        <v>134</v>
      </c>
      <c r="B20" s="7"/>
      <c r="C20" s="7"/>
    </row>
    <row r="21" spans="1:7" ht="14.5" x14ac:dyDescent="0.35">
      <c r="A21" s="1" t="s">
        <v>135</v>
      </c>
      <c r="B21" s="7"/>
      <c r="C21" s="5">
        <f>SUM(B17:B20)</f>
        <v>86960151</v>
      </c>
    </row>
    <row r="22" spans="1:7" ht="14.5" x14ac:dyDescent="0.35">
      <c r="A22" s="1" t="s">
        <v>136</v>
      </c>
      <c r="B22" s="7"/>
      <c r="C22" s="7">
        <f>C6+C14+C21</f>
        <v>256997291</v>
      </c>
    </row>
    <row r="23" spans="1:7" ht="14.5" x14ac:dyDescent="0.35">
      <c r="A23" s="1"/>
    </row>
    <row r="25" spans="1:7" ht="14.5" x14ac:dyDescent="0.35">
      <c r="D25" s="276">
        <f>C21/C4</f>
        <v>0.33836991301204028</v>
      </c>
      <c r="E25" s="1" t="s">
        <v>121</v>
      </c>
      <c r="F25" s="1"/>
      <c r="G25" s="1"/>
    </row>
    <row r="26" spans="1:7" ht="14.5" x14ac:dyDescent="0.35">
      <c r="D26" s="45">
        <v>0.15</v>
      </c>
      <c r="E26" s="1" t="s">
        <v>122</v>
      </c>
      <c r="F26" s="1"/>
      <c r="G26" s="1"/>
    </row>
    <row r="27" spans="1:7" ht="14.5" x14ac:dyDescent="0.35">
      <c r="D27" s="45">
        <f>IF(D25&gt;D26,D25-D26,0)</f>
        <v>0.18836991301204029</v>
      </c>
      <c r="E27" s="1" t="s">
        <v>123</v>
      </c>
      <c r="F27" s="1"/>
      <c r="G27" s="21"/>
    </row>
    <row r="29" spans="1:7" ht="14.5" x14ac:dyDescent="0.35">
      <c r="A29" s="1" t="s">
        <v>174</v>
      </c>
      <c r="B29" s="7"/>
      <c r="C29" s="7"/>
      <c r="D29" s="22" t="s">
        <v>36</v>
      </c>
    </row>
    <row r="30" spans="1:7" ht="14.5" x14ac:dyDescent="0.35">
      <c r="A30" s="1" t="str">
        <f>SAO!C26</f>
        <v>Purchased Water</v>
      </c>
      <c r="B30" s="325">
        <f>SAO!D26</f>
        <v>980761.89</v>
      </c>
      <c r="C30" s="190"/>
      <c r="D30" s="155">
        <f>-SAO!D26*$D$27</f>
        <v>-184746.03190482422</v>
      </c>
      <c r="F30" s="21"/>
    </row>
    <row r="31" spans="1:7" ht="14.5" x14ac:dyDescent="0.35">
      <c r="A31" s="1" t="str">
        <f>SAO!C28</f>
        <v>Purchased Power</v>
      </c>
      <c r="B31" s="325">
        <f>SAO!D28</f>
        <v>129782.22</v>
      </c>
      <c r="C31" s="190"/>
      <c r="D31" s="155">
        <f>-SAO!D28*$D$27</f>
        <v>-24447.065491909474</v>
      </c>
      <c r="F31" s="21"/>
    </row>
    <row r="32" spans="1:7" ht="14.5" x14ac:dyDescent="0.35">
      <c r="A32" s="1" t="str">
        <f>SAO!C29</f>
        <v>Chemicals</v>
      </c>
      <c r="B32" s="204">
        <f>SAO!D29</f>
        <v>0</v>
      </c>
      <c r="C32" s="191"/>
      <c r="D32" s="192">
        <f>-SAO!D29*$D$27</f>
        <v>0</v>
      </c>
    </row>
    <row r="33" spans="1:8" ht="14.5" x14ac:dyDescent="0.35">
      <c r="A33" s="1" t="s">
        <v>11</v>
      </c>
      <c r="B33" s="203">
        <f>SUM(B30:B32)</f>
        <v>1110544.1100000001</v>
      </c>
      <c r="C33" s="191"/>
      <c r="D33" s="203">
        <f>SUM(D30:D32)</f>
        <v>-209193.0973967337</v>
      </c>
    </row>
    <row r="34" spans="1:8" ht="14.5" x14ac:dyDescent="0.35">
      <c r="A34" s="1"/>
      <c r="B34" s="203"/>
      <c r="C34" s="191"/>
      <c r="D34" s="203"/>
    </row>
    <row r="35" spans="1:8" ht="14.5" x14ac:dyDescent="0.35">
      <c r="A35" s="1" t="s">
        <v>175</v>
      </c>
      <c r="B35" s="7"/>
      <c r="C35" s="191"/>
      <c r="D35" s="155"/>
    </row>
    <row r="36" spans="1:8" ht="14.5" x14ac:dyDescent="0.35">
      <c r="A36" s="1" t="s">
        <v>156</v>
      </c>
      <c r="B36" s="7"/>
      <c r="C36" s="191"/>
      <c r="D36" s="206">
        <f>D33</f>
        <v>-209193.0973967337</v>
      </c>
    </row>
    <row r="37" spans="1:8" ht="14.5" x14ac:dyDescent="0.35">
      <c r="A37" s="1" t="s">
        <v>158</v>
      </c>
      <c r="B37" s="7"/>
      <c r="C37" s="6"/>
      <c r="D37" s="28">
        <f>ExBA!F5</f>
        <v>40332</v>
      </c>
    </row>
    <row r="38" spans="1:8" ht="14.5" x14ac:dyDescent="0.35">
      <c r="A38" s="1" t="s">
        <v>350</v>
      </c>
      <c r="B38" s="7"/>
      <c r="C38" s="191"/>
      <c r="D38" s="155">
        <f>-D36/D37</f>
        <v>5.1867771842887462</v>
      </c>
    </row>
    <row r="39" spans="1:8" ht="14.5" x14ac:dyDescent="0.35">
      <c r="A39" s="262"/>
      <c r="B39" s="275"/>
      <c r="C39" s="275"/>
      <c r="D39" s="262"/>
      <c r="E39" s="262"/>
      <c r="F39" s="262"/>
      <c r="G39" s="262"/>
      <c r="H39" s="262"/>
    </row>
    <row r="40" spans="1:8" ht="14.5" x14ac:dyDescent="0.35">
      <c r="A40" s="262"/>
      <c r="B40" s="326"/>
      <c r="C40" s="326"/>
      <c r="D40" s="262"/>
      <c r="E40" s="262"/>
      <c r="F40" s="262"/>
      <c r="G40" s="262"/>
      <c r="H40" s="262"/>
    </row>
    <row r="41" spans="1:8" ht="14.5" x14ac:dyDescent="0.35">
      <c r="A41" s="1"/>
      <c r="B41" s="215"/>
      <c r="C41" s="327"/>
      <c r="D41" s="155"/>
      <c r="E41" s="262"/>
      <c r="F41" s="262"/>
      <c r="G41" s="262"/>
      <c r="H41" s="262"/>
    </row>
    <row r="42" spans="1:8" ht="14.5" x14ac:dyDescent="0.35">
      <c r="A42" s="262"/>
      <c r="B42" s="326"/>
      <c r="C42" s="326"/>
      <c r="D42" s="328"/>
      <c r="E42" s="262"/>
      <c r="F42" s="262"/>
      <c r="G42" s="262"/>
      <c r="H42" s="262"/>
    </row>
    <row r="43" spans="1:8" ht="15" thickBot="1" x14ac:dyDescent="0.4">
      <c r="A43" s="262"/>
      <c r="B43" s="326"/>
      <c r="C43" s="326"/>
      <c r="D43" s="329"/>
      <c r="E43" s="262"/>
      <c r="F43" s="262"/>
      <c r="G43" s="262"/>
      <c r="H43" s="262"/>
    </row>
    <row r="44" spans="1:8" ht="15" thickTop="1" x14ac:dyDescent="0.35">
      <c r="A44" s="262"/>
      <c r="B44" s="326"/>
      <c r="C44" s="326"/>
      <c r="D44" s="262"/>
      <c r="E44" s="262"/>
      <c r="F44" s="262"/>
      <c r="G44" s="262"/>
      <c r="H44" s="262"/>
    </row>
    <row r="45" spans="1:8" ht="14.5" x14ac:dyDescent="0.35">
      <c r="A45" s="262"/>
      <c r="B45" s="326"/>
      <c r="C45" s="326"/>
      <c r="D45" s="262"/>
      <c r="E45" s="262"/>
      <c r="F45" s="262"/>
      <c r="G45" s="262"/>
      <c r="H45" s="262"/>
    </row>
    <row r="46" spans="1:8" ht="15" thickBot="1" x14ac:dyDescent="0.4">
      <c r="A46" s="1"/>
      <c r="B46" s="215"/>
      <c r="C46" s="327"/>
      <c r="D46" s="330"/>
      <c r="E46" s="262"/>
      <c r="F46" s="262"/>
      <c r="G46" s="262"/>
      <c r="H46" s="262"/>
    </row>
    <row r="47" spans="1:8" ht="15" thickTop="1" x14ac:dyDescent="0.35">
      <c r="A47" s="262"/>
      <c r="B47" s="275"/>
      <c r="C47" s="275"/>
      <c r="D47" s="262"/>
      <c r="E47" s="262"/>
      <c r="F47" s="262"/>
      <c r="G47" s="262"/>
      <c r="H47" s="262"/>
    </row>
    <row r="48" spans="1:8" ht="14.5" x14ac:dyDescent="0.35">
      <c r="A48" s="262"/>
      <c r="B48" s="275"/>
      <c r="C48" s="275"/>
      <c r="D48" s="262"/>
      <c r="E48" s="262"/>
      <c r="F48" s="262"/>
      <c r="G48" s="262"/>
      <c r="H48" s="262"/>
    </row>
    <row r="49" spans="1:8" ht="14.5" x14ac:dyDescent="0.35">
      <c r="A49" s="262"/>
      <c r="B49" s="275"/>
      <c r="C49" s="275"/>
      <c r="D49" s="262"/>
      <c r="E49" s="262"/>
      <c r="F49" s="262"/>
      <c r="G49" s="262"/>
      <c r="H49" s="262"/>
    </row>
    <row r="50" spans="1:8" ht="14.5" x14ac:dyDescent="0.35">
      <c r="A50" s="262"/>
      <c r="B50" s="275"/>
      <c r="C50" s="275"/>
      <c r="D50" s="262"/>
      <c r="E50" s="262"/>
      <c r="F50" s="262"/>
      <c r="G50" s="262"/>
      <c r="H50" s="262"/>
    </row>
    <row r="51" spans="1:8" ht="14.5" x14ac:dyDescent="0.35">
      <c r="A51" s="262"/>
      <c r="B51" s="275"/>
      <c r="C51" s="275"/>
      <c r="D51" s="262"/>
      <c r="E51" s="262"/>
      <c r="F51" s="262"/>
      <c r="G51" s="262"/>
      <c r="H51" s="262"/>
    </row>
    <row r="52" spans="1:8" ht="14.5" x14ac:dyDescent="0.35">
      <c r="A52" s="262"/>
      <c r="B52" s="275"/>
      <c r="C52" s="275"/>
      <c r="D52" s="262"/>
      <c r="E52" s="262"/>
      <c r="F52" s="262"/>
      <c r="G52" s="262"/>
      <c r="H52" s="262"/>
    </row>
    <row r="53" spans="1:8" ht="14.5" x14ac:dyDescent="0.35">
      <c r="A53" s="262"/>
      <c r="B53" s="275"/>
      <c r="C53" s="275"/>
      <c r="D53" s="262"/>
      <c r="E53" s="262"/>
      <c r="F53" s="262"/>
      <c r="G53" s="262"/>
      <c r="H53" s="262"/>
    </row>
    <row r="54" spans="1:8" ht="14.5" x14ac:dyDescent="0.35">
      <c r="A54" s="262"/>
      <c r="B54" s="275"/>
      <c r="C54" s="275"/>
      <c r="D54" s="262"/>
      <c r="E54" s="262"/>
      <c r="F54" s="262"/>
      <c r="G54" s="262"/>
      <c r="H54" s="262"/>
    </row>
    <row r="55" spans="1:8" ht="14.5" x14ac:dyDescent="0.35">
      <c r="A55" s="262"/>
      <c r="B55" s="275"/>
      <c r="C55" s="275"/>
      <c r="D55" s="262"/>
      <c r="E55" s="262"/>
      <c r="F55" s="262"/>
      <c r="G55" s="262"/>
      <c r="H55" s="262"/>
    </row>
    <row r="56" spans="1:8" ht="14.5" x14ac:dyDescent="0.35">
      <c r="A56" s="262"/>
      <c r="B56" s="275"/>
      <c r="C56" s="275"/>
      <c r="D56" s="262"/>
      <c r="E56" s="262"/>
      <c r="F56" s="262"/>
      <c r="G56" s="262"/>
      <c r="H56" s="262"/>
    </row>
    <row r="57" spans="1:8" ht="14.5" x14ac:dyDescent="0.35">
      <c r="A57" s="262"/>
      <c r="B57" s="275"/>
      <c r="C57" s="275"/>
      <c r="D57" s="262"/>
      <c r="E57" s="262"/>
      <c r="F57" s="262"/>
      <c r="G57" s="262"/>
      <c r="H57" s="262"/>
    </row>
  </sheetData>
  <pageMargins left="0.7" right="0.7" top="0.75" bottom="0.75" header="0.3" footer="0.3"/>
  <pageSetup orientation="portrait" horizontalDpi="4294967293" verticalDpi="0" r:id="rId1"/>
  <ignoredErrors>
    <ignoredError sqref="B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GI29"/>
  <sheetViews>
    <sheetView showGridLines="0" zoomScale="98" zoomScaleNormal="98" workbookViewId="0">
      <selection sqref="A1:K28"/>
    </sheetView>
  </sheetViews>
  <sheetFormatPr defaultColWidth="8.84375" defaultRowHeight="14.5" x14ac:dyDescent="0.35"/>
  <cols>
    <col min="1" max="1" width="3.07421875" style="25" customWidth="1"/>
    <col min="2" max="2" width="11" style="25" customWidth="1"/>
    <col min="3" max="3" width="12.765625" style="25" customWidth="1"/>
    <col min="4" max="4" width="8.15234375" style="25" customWidth="1"/>
    <col min="5" max="5" width="11.3828125" style="25" customWidth="1"/>
    <col min="6" max="6" width="10.53515625" style="25" customWidth="1"/>
    <col min="7" max="7" width="14.07421875" style="25" customWidth="1"/>
    <col min="8" max="8" width="9.69140625" style="25" customWidth="1"/>
    <col min="9" max="9" width="9.69140625" style="207" customWidth="1"/>
    <col min="10" max="10" width="2.765625" style="25" customWidth="1"/>
    <col min="11" max="11" width="2.53515625" style="25" customWidth="1"/>
    <col min="12" max="12" width="9.69140625" style="188" customWidth="1"/>
    <col min="13" max="191" width="9.69140625" style="25" customWidth="1"/>
    <col min="192" max="16384" width="8.84375" style="17"/>
  </cols>
  <sheetData>
    <row r="1" spans="2:14" ht="15" thickBot="1" x14ac:dyDescent="0.4"/>
    <row r="2" spans="2:14" ht="18.399999999999999" customHeight="1" x14ac:dyDescent="0.5">
      <c r="B2" s="401"/>
      <c r="C2" s="402"/>
      <c r="D2" s="402"/>
      <c r="E2" s="402"/>
      <c r="F2" s="402"/>
      <c r="G2" s="402"/>
      <c r="H2" s="402"/>
      <c r="I2" s="402"/>
      <c r="J2" s="403"/>
    </row>
    <row r="3" spans="2:14" ht="18" hidden="1" customHeight="1" x14ac:dyDescent="0.45">
      <c r="B3" s="393" t="s">
        <v>222</v>
      </c>
      <c r="C3" s="394"/>
      <c r="D3" s="394"/>
      <c r="E3" s="394"/>
      <c r="F3" s="394"/>
      <c r="G3" s="394"/>
      <c r="H3" s="394"/>
      <c r="I3" s="394"/>
      <c r="J3" s="395"/>
    </row>
    <row r="4" spans="2:14" ht="18" hidden="1" customHeight="1" x14ac:dyDescent="0.45">
      <c r="B4" s="269"/>
      <c r="C4" s="270"/>
      <c r="D4" s="270"/>
      <c r="E4" s="270"/>
      <c r="F4" s="270"/>
      <c r="G4" s="270"/>
      <c r="H4" s="270"/>
      <c r="I4" s="270"/>
      <c r="J4" s="271"/>
    </row>
    <row r="5" spans="2:14" ht="18" hidden="1" customHeight="1" x14ac:dyDescent="0.45">
      <c r="B5" s="393" t="s">
        <v>251</v>
      </c>
      <c r="C5" s="394"/>
      <c r="D5" s="394"/>
      <c r="E5" s="394"/>
      <c r="F5" s="394"/>
      <c r="G5" s="394"/>
      <c r="H5" s="394"/>
      <c r="I5" s="394"/>
      <c r="J5" s="395"/>
    </row>
    <row r="6" spans="2:14" ht="18" hidden="1" customHeight="1" x14ac:dyDescent="0.35">
      <c r="B6" s="223"/>
      <c r="J6" s="224"/>
    </row>
    <row r="7" spans="2:14" ht="21" x14ac:dyDescent="0.5">
      <c r="B7" s="404" t="s">
        <v>46</v>
      </c>
      <c r="C7" s="405"/>
      <c r="D7" s="405"/>
      <c r="E7" s="405"/>
      <c r="F7" s="405"/>
      <c r="G7" s="405"/>
      <c r="H7" s="405"/>
      <c r="I7" s="405"/>
      <c r="J7" s="406"/>
    </row>
    <row r="8" spans="2:14" ht="18" customHeight="1" x14ac:dyDescent="0.35">
      <c r="B8" s="407" t="s">
        <v>189</v>
      </c>
      <c r="C8" s="408"/>
      <c r="D8" s="408"/>
      <c r="E8" s="408"/>
      <c r="F8" s="408"/>
      <c r="G8" s="408"/>
      <c r="H8" s="408"/>
      <c r="I8" s="408"/>
      <c r="J8" s="409"/>
    </row>
    <row r="9" spans="2:14" ht="18" customHeight="1" x14ac:dyDescent="0.35">
      <c r="B9" s="267"/>
      <c r="C9" s="32"/>
      <c r="D9" s="32"/>
      <c r="E9" s="32"/>
      <c r="F9" s="32"/>
      <c r="G9" s="32"/>
      <c r="H9" s="32"/>
      <c r="I9" s="32"/>
      <c r="J9" s="268"/>
    </row>
    <row r="10" spans="2:14" ht="18" customHeight="1" x14ac:dyDescent="0.35">
      <c r="B10" s="390" t="s">
        <v>249</v>
      </c>
      <c r="C10" s="391"/>
      <c r="D10" s="391"/>
      <c r="E10" s="391"/>
      <c r="F10" s="391"/>
      <c r="G10" s="391"/>
      <c r="H10" s="391"/>
      <c r="I10" s="391"/>
      <c r="J10" s="392"/>
    </row>
    <row r="11" spans="2:14" ht="30.4" customHeight="1" x14ac:dyDescent="0.5">
      <c r="B11" s="410" t="s">
        <v>179</v>
      </c>
      <c r="C11" s="411"/>
      <c r="D11" s="396" t="s">
        <v>404</v>
      </c>
      <c r="E11" s="396"/>
      <c r="F11" s="397" t="s">
        <v>10</v>
      </c>
      <c r="G11" s="398"/>
      <c r="H11" s="397" t="s">
        <v>57</v>
      </c>
      <c r="I11" s="397"/>
      <c r="J11" s="225"/>
    </row>
    <row r="12" spans="2:14" ht="16" x14ac:dyDescent="0.5">
      <c r="B12" s="226"/>
      <c r="C12" s="367" t="s">
        <v>190</v>
      </c>
      <c r="D12" s="26"/>
      <c r="E12" s="26"/>
      <c r="F12" s="27"/>
      <c r="G12" s="26"/>
      <c r="H12" s="26"/>
      <c r="J12" s="227"/>
      <c r="M12" s="189"/>
      <c r="N12" s="189"/>
    </row>
    <row r="13" spans="2:14" x14ac:dyDescent="0.35">
      <c r="B13" s="239" t="s">
        <v>167</v>
      </c>
      <c r="C13" s="240" t="s">
        <v>194</v>
      </c>
      <c r="D13" s="241">
        <v>28.61</v>
      </c>
      <c r="E13" s="241" t="s">
        <v>180</v>
      </c>
      <c r="F13" s="242">
        <f>ROUND(D13*(1+'Revenue Requirement'!$G$26),2)</f>
        <v>30.51</v>
      </c>
      <c r="G13" s="241" t="s">
        <v>180</v>
      </c>
      <c r="H13" s="241">
        <f t="shared" ref="H13:H14" si="0">F13-D13</f>
        <v>1.9000000000000021</v>
      </c>
      <c r="I13" s="260">
        <f t="shared" ref="I13:I14" si="1">H13/D13</f>
        <v>6.6410346032855727E-2</v>
      </c>
      <c r="J13" s="244"/>
      <c r="M13" s="189"/>
      <c r="N13" s="189"/>
    </row>
    <row r="14" spans="2:14" x14ac:dyDescent="0.35">
      <c r="B14" s="239" t="s">
        <v>181</v>
      </c>
      <c r="C14" s="240" t="s">
        <v>194</v>
      </c>
      <c r="D14" s="245">
        <v>1.001E-2</v>
      </c>
      <c r="E14" s="241" t="s">
        <v>370</v>
      </c>
      <c r="F14" s="342">
        <f>ROUND(D14*(1+'Revenue Requirement'!$G$26),5)</f>
        <v>1.0670000000000001E-2</v>
      </c>
      <c r="G14" s="241" t="s">
        <v>370</v>
      </c>
      <c r="H14" s="245">
        <f t="shared" si="0"/>
        <v>6.6000000000000086E-4</v>
      </c>
      <c r="I14" s="260">
        <f t="shared" si="1"/>
        <v>6.5934065934066019E-2</v>
      </c>
      <c r="J14" s="244"/>
      <c r="M14" s="189"/>
      <c r="N14" s="189"/>
    </row>
    <row r="15" spans="2:14" x14ac:dyDescent="0.35">
      <c r="B15" s="239"/>
      <c r="C15" s="240" t="s">
        <v>292</v>
      </c>
      <c r="D15" s="241">
        <v>4.26</v>
      </c>
      <c r="E15" s="241" t="s">
        <v>195</v>
      </c>
      <c r="F15" s="242">
        <v>4.26</v>
      </c>
      <c r="G15" s="241" t="s">
        <v>195</v>
      </c>
      <c r="H15" s="245">
        <f t="shared" ref="H15" si="2">F15-D15</f>
        <v>0</v>
      </c>
      <c r="I15" s="260">
        <f t="shared" ref="I15" si="3">H15/D15</f>
        <v>0</v>
      </c>
      <c r="J15" s="244"/>
      <c r="M15" s="189"/>
      <c r="N15" s="189"/>
    </row>
    <row r="16" spans="2:14" x14ac:dyDescent="0.35">
      <c r="B16" s="239"/>
      <c r="C16" s="240"/>
      <c r="D16" s="241"/>
      <c r="E16" s="241"/>
      <c r="F16" s="242"/>
      <c r="G16" s="241"/>
      <c r="H16" s="241"/>
      <c r="I16" s="260"/>
      <c r="J16" s="244"/>
      <c r="M16" s="189"/>
      <c r="N16" s="189"/>
    </row>
    <row r="17" spans="2:15" ht="16" x14ac:dyDescent="0.5">
      <c r="B17" s="239"/>
      <c r="C17" s="368" t="s">
        <v>191</v>
      </c>
      <c r="D17" s="241"/>
      <c r="E17" s="241"/>
      <c r="F17" s="242"/>
      <c r="G17" s="241"/>
      <c r="H17" s="241"/>
      <c r="I17" s="260"/>
      <c r="J17" s="244"/>
      <c r="M17" s="189"/>
      <c r="N17" s="189"/>
    </row>
    <row r="18" spans="2:15" x14ac:dyDescent="0.35">
      <c r="B18" s="239" t="s">
        <v>167</v>
      </c>
      <c r="C18" s="240" t="s">
        <v>194</v>
      </c>
      <c r="D18" s="241">
        <v>28.61</v>
      </c>
      <c r="E18" s="241" t="s">
        <v>180</v>
      </c>
      <c r="F18" s="242">
        <f>ROUND(D18*(1+'Revenue Requirement'!$G$26),2)</f>
        <v>30.51</v>
      </c>
      <c r="G18" s="241" t="s">
        <v>180</v>
      </c>
      <c r="H18" s="241">
        <f t="shared" ref="H18:H19" si="4">F18-D18</f>
        <v>1.9000000000000021</v>
      </c>
      <c r="I18" s="260">
        <f t="shared" ref="I18:I19" si="5">H18/D18</f>
        <v>6.6410346032855727E-2</v>
      </c>
      <c r="J18" s="244"/>
      <c r="L18" s="26"/>
      <c r="M18" s="189"/>
      <c r="N18" s="189"/>
    </row>
    <row r="19" spans="2:15" x14ac:dyDescent="0.35">
      <c r="B19" s="239" t="s">
        <v>181</v>
      </c>
      <c r="C19" s="240" t="s">
        <v>194</v>
      </c>
      <c r="D19" s="245">
        <v>1.001E-2</v>
      </c>
      <c r="E19" s="241" t="s">
        <v>370</v>
      </c>
      <c r="F19" s="345">
        <f>ROUND(D19*(1+'Revenue Requirement'!$G$26),5)</f>
        <v>1.0670000000000001E-2</v>
      </c>
      <c r="G19" s="241" t="s">
        <v>370</v>
      </c>
      <c r="H19" s="245">
        <f t="shared" si="4"/>
        <v>6.6000000000000086E-4</v>
      </c>
      <c r="I19" s="260">
        <f t="shared" si="5"/>
        <v>6.5934065934066019E-2</v>
      </c>
      <c r="J19" s="244"/>
      <c r="M19" s="189"/>
      <c r="N19" s="189"/>
    </row>
    <row r="20" spans="2:15" x14ac:dyDescent="0.35">
      <c r="B20" s="239"/>
      <c r="C20" s="240"/>
      <c r="D20" s="241"/>
      <c r="E20" s="241"/>
      <c r="F20" s="242"/>
      <c r="G20" s="241"/>
      <c r="H20" s="241"/>
      <c r="I20" s="260"/>
      <c r="J20" s="244"/>
      <c r="M20" s="345"/>
      <c r="N20" s="189"/>
    </row>
    <row r="21" spans="2:15" ht="31.15" customHeight="1" x14ac:dyDescent="0.35">
      <c r="B21" s="399" t="s">
        <v>192</v>
      </c>
      <c r="C21" s="400"/>
      <c r="D21" s="400"/>
      <c r="E21" s="400"/>
      <c r="F21" s="342"/>
      <c r="G21" s="241"/>
      <c r="H21" s="241"/>
      <c r="I21" s="260"/>
      <c r="J21" s="244"/>
      <c r="M21" s="345"/>
      <c r="N21" s="189"/>
    </row>
    <row r="22" spans="2:15" ht="16" x14ac:dyDescent="0.5">
      <c r="B22" s="239"/>
      <c r="C22" s="240" t="s">
        <v>193</v>
      </c>
      <c r="D22" s="245">
        <v>6.0099999999999997E-3</v>
      </c>
      <c r="E22" s="241" t="s">
        <v>370</v>
      </c>
      <c r="F22" s="345">
        <f>ROUND(D22*(1+'Revenue Requirement'!$G$26),5)</f>
        <v>6.4099999999999999E-3</v>
      </c>
      <c r="G22" s="241" t="s">
        <v>370</v>
      </c>
      <c r="H22" s="245">
        <f t="shared" ref="H22" si="6">F22-D22</f>
        <v>4.0000000000000018E-4</v>
      </c>
      <c r="I22" s="260">
        <f t="shared" ref="I22" si="7">H22/D22</f>
        <v>6.6555740432612351E-2</v>
      </c>
      <c r="J22" s="244"/>
      <c r="L22" s="26"/>
      <c r="M22" s="189"/>
      <c r="N22" s="189"/>
      <c r="O22" s="250"/>
    </row>
    <row r="23" spans="2:15" ht="16" x14ac:dyDescent="0.5">
      <c r="B23" s="239"/>
      <c r="C23" s="240"/>
      <c r="D23" s="241"/>
      <c r="E23" s="241"/>
      <c r="F23" s="242"/>
      <c r="G23" s="241"/>
      <c r="H23" s="241"/>
      <c r="I23" s="243"/>
      <c r="J23" s="244"/>
      <c r="L23" s="26"/>
      <c r="M23" s="189"/>
      <c r="N23" s="189"/>
      <c r="O23" s="250"/>
    </row>
    <row r="24" spans="2:15" ht="19" x14ac:dyDescent="0.5">
      <c r="B24" s="387" t="s">
        <v>373</v>
      </c>
      <c r="C24" s="388"/>
      <c r="D24" s="388"/>
      <c r="E24" s="388"/>
      <c r="F24" s="388"/>
      <c r="G24" s="388"/>
      <c r="H24" s="388"/>
      <c r="I24" s="388"/>
      <c r="J24" s="389"/>
      <c r="L24" s="26"/>
      <c r="M24" s="189"/>
      <c r="N24" s="189"/>
      <c r="O24" s="250"/>
    </row>
    <row r="25" spans="2:15" ht="19" x14ac:dyDescent="0.5">
      <c r="B25" s="272"/>
      <c r="C25" s="240" t="s">
        <v>190</v>
      </c>
      <c r="D25" s="241">
        <v>7.91</v>
      </c>
      <c r="E25" s="241" t="s">
        <v>250</v>
      </c>
      <c r="F25" s="242">
        <v>7.91</v>
      </c>
      <c r="G25" s="241" t="s">
        <v>250</v>
      </c>
      <c r="H25" s="241">
        <f t="shared" ref="H25:H26" si="8">F25-D25</f>
        <v>0</v>
      </c>
      <c r="I25" s="243">
        <f t="shared" ref="I25:I26" si="9">H25/D25</f>
        <v>0</v>
      </c>
      <c r="J25" s="273"/>
      <c r="L25" s="26"/>
      <c r="M25" s="189"/>
      <c r="N25" s="189"/>
      <c r="O25" s="250"/>
    </row>
    <row r="26" spans="2:15" ht="16" x14ac:dyDescent="0.5">
      <c r="B26" s="239"/>
      <c r="C26" s="240" t="s">
        <v>191</v>
      </c>
      <c r="D26" s="241">
        <v>7.91</v>
      </c>
      <c r="E26" s="241" t="s">
        <v>250</v>
      </c>
      <c r="F26" s="242">
        <v>7.91</v>
      </c>
      <c r="G26" s="241" t="s">
        <v>250</v>
      </c>
      <c r="H26" s="241">
        <f t="shared" si="8"/>
        <v>0</v>
      </c>
      <c r="I26" s="243">
        <f t="shared" si="9"/>
        <v>0</v>
      </c>
      <c r="J26" s="244"/>
      <c r="L26" s="26"/>
      <c r="M26" s="189"/>
      <c r="N26" s="189"/>
      <c r="O26" s="250"/>
    </row>
    <row r="27" spans="2:15" x14ac:dyDescent="0.35">
      <c r="B27" s="228"/>
      <c r="C27" s="229"/>
      <c r="D27" s="229"/>
      <c r="E27" s="229"/>
      <c r="F27" s="229"/>
      <c r="G27" s="229"/>
      <c r="H27" s="229"/>
      <c r="I27" s="230"/>
      <c r="J27" s="231"/>
    </row>
    <row r="29" spans="2:15" x14ac:dyDescent="0.35">
      <c r="B29" s="25" t="s">
        <v>399</v>
      </c>
    </row>
  </sheetData>
  <mergeCells count="12">
    <mergeCell ref="B2:J2"/>
    <mergeCell ref="B7:J7"/>
    <mergeCell ref="B8:J8"/>
    <mergeCell ref="B11:C11"/>
    <mergeCell ref="H11:I11"/>
    <mergeCell ref="B5:J5"/>
    <mergeCell ref="B24:J24"/>
    <mergeCell ref="B10:J10"/>
    <mergeCell ref="B3:J3"/>
    <mergeCell ref="D11:E11"/>
    <mergeCell ref="F11:G11"/>
    <mergeCell ref="B21:E21"/>
  </mergeCells>
  <printOptions horizontalCentered="1"/>
  <pageMargins left="0.55000000000000004" right="0.55000000000000004" top="1.6" bottom="0.5" header="0" footer="0"/>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2:O57"/>
  <sheetViews>
    <sheetView showGridLines="0" workbookViewId="0">
      <selection activeCell="C3" sqref="C3:I3"/>
    </sheetView>
  </sheetViews>
  <sheetFormatPr defaultColWidth="8.84375" defaultRowHeight="14.5" x14ac:dyDescent="0.35"/>
  <cols>
    <col min="1" max="1" width="2.61328125" style="7" customWidth="1"/>
    <col min="2" max="2" width="1.765625" style="7" customWidth="1"/>
    <col min="3" max="4" width="9.765625" style="7" customWidth="1"/>
    <col min="5" max="6" width="9.765625" style="215" customWidth="1"/>
    <col min="7" max="8" width="9.765625" style="7" customWidth="1"/>
    <col min="9" max="9" width="1.765625" style="7" customWidth="1"/>
    <col min="10" max="10" width="2.4609375" style="7" customWidth="1"/>
    <col min="11" max="16384" width="8.84375" style="7"/>
  </cols>
  <sheetData>
    <row r="2" spans="2:11" x14ac:dyDescent="0.35">
      <c r="B2" s="8"/>
      <c r="C2" s="9"/>
      <c r="D2" s="9"/>
      <c r="E2" s="216"/>
      <c r="F2" s="216"/>
      <c r="G2" s="9"/>
      <c r="H2" s="9"/>
      <c r="I2" s="10"/>
    </row>
    <row r="3" spans="2:11" ht="18.5" x14ac:dyDescent="0.45">
      <c r="B3" s="11"/>
      <c r="C3" s="415" t="s">
        <v>380</v>
      </c>
      <c r="D3" s="415"/>
      <c r="E3" s="415"/>
      <c r="F3" s="415"/>
      <c r="G3" s="415"/>
      <c r="H3" s="415"/>
      <c r="I3" s="416"/>
    </row>
    <row r="4" spans="2:11" ht="18.5" x14ac:dyDescent="0.45">
      <c r="B4" s="11"/>
      <c r="C4" s="413" t="s">
        <v>157</v>
      </c>
      <c r="D4" s="413"/>
      <c r="E4" s="413"/>
      <c r="F4" s="413"/>
      <c r="G4" s="413"/>
      <c r="H4" s="413"/>
      <c r="I4" s="414"/>
    </row>
    <row r="5" spans="2:11" ht="15.5" x14ac:dyDescent="0.35">
      <c r="B5" s="11"/>
      <c r="C5" s="383" t="s">
        <v>253</v>
      </c>
      <c r="D5" s="383"/>
      <c r="E5" s="383"/>
      <c r="F5" s="383"/>
      <c r="G5" s="383"/>
      <c r="H5" s="383"/>
      <c r="I5" s="412"/>
    </row>
    <row r="6" spans="2:11" x14ac:dyDescent="0.35">
      <c r="B6" s="13"/>
      <c r="C6" s="5"/>
      <c r="D6" s="5"/>
      <c r="E6" s="217"/>
      <c r="F6" s="217"/>
      <c r="G6" s="5"/>
      <c r="H6" s="5"/>
      <c r="I6" s="14"/>
    </row>
    <row r="7" spans="2:11" ht="6" customHeight="1" x14ac:dyDescent="0.35">
      <c r="B7" s="11"/>
      <c r="C7" s="6"/>
      <c r="D7" s="12"/>
      <c r="E7" s="218"/>
      <c r="F7" s="33"/>
      <c r="G7" s="33"/>
      <c r="H7" s="33"/>
      <c r="I7" s="34"/>
      <c r="J7" s="32"/>
      <c r="K7" s="32"/>
    </row>
    <row r="8" spans="2:11" ht="16" x14ac:dyDescent="0.5">
      <c r="B8" s="11"/>
      <c r="C8" s="16" t="s">
        <v>12</v>
      </c>
      <c r="D8" s="31" t="s">
        <v>56</v>
      </c>
      <c r="E8" s="219" t="s">
        <v>22</v>
      </c>
      <c r="F8" s="221" t="s">
        <v>10</v>
      </c>
      <c r="G8" s="16"/>
      <c r="H8" s="16"/>
      <c r="I8" s="31"/>
    </row>
    <row r="9" spans="2:11" ht="16" x14ac:dyDescent="0.5">
      <c r="B9" s="11"/>
      <c r="C9" s="16" t="s">
        <v>63</v>
      </c>
      <c r="D9" s="31" t="s">
        <v>60</v>
      </c>
      <c r="E9" s="219" t="s">
        <v>203</v>
      </c>
      <c r="F9" s="221" t="s">
        <v>203</v>
      </c>
      <c r="G9" s="16" t="s">
        <v>23</v>
      </c>
      <c r="H9" s="16" t="s">
        <v>59</v>
      </c>
      <c r="I9" s="31"/>
    </row>
    <row r="10" spans="2:11" x14ac:dyDescent="0.35">
      <c r="B10" s="11"/>
      <c r="C10" s="17">
        <v>0</v>
      </c>
      <c r="D10" s="35" t="s">
        <v>61</v>
      </c>
      <c r="E10" s="220">
        <f>'Rates ORM'!D13+'Rates ORM'!D15</f>
        <v>32.869999999999997</v>
      </c>
      <c r="F10" s="153">
        <f>'Rates ORM'!F13+'Rates ORM'!F15</f>
        <v>34.770000000000003</v>
      </c>
      <c r="G10" s="46">
        <f>F10-E10</f>
        <v>1.9000000000000057</v>
      </c>
      <c r="H10" s="68">
        <f>G10/E10</f>
        <v>5.7803468208092665E-2</v>
      </c>
      <c r="I10" s="38"/>
    </row>
    <row r="11" spans="2:11" x14ac:dyDescent="0.35">
      <c r="B11" s="11"/>
      <c r="C11" s="6">
        <v>2000</v>
      </c>
      <c r="D11" s="35" t="s">
        <v>61</v>
      </c>
      <c r="E11" s="220">
        <f>'Rates ORM'!$D$13+'Rates ORM'!D15</f>
        <v>32.869999999999997</v>
      </c>
      <c r="F11" s="220">
        <f>'Rates ORM'!$F$13+('Bills OR'!C11-2000)*'Rates ORM'!$F$14+'Rates ORM'!F15</f>
        <v>34.770000000000003</v>
      </c>
      <c r="G11" s="17">
        <f t="shared" ref="G11:G18" si="0">F11-E11</f>
        <v>1.9000000000000057</v>
      </c>
      <c r="H11" s="68">
        <f t="shared" ref="H11:H25" si="1">G11/E11</f>
        <v>5.7803468208092665E-2</v>
      </c>
      <c r="I11" s="38"/>
    </row>
    <row r="12" spans="2:11" x14ac:dyDescent="0.35">
      <c r="B12" s="11"/>
      <c r="C12" s="39">
        <v>4000</v>
      </c>
      <c r="D12" s="40" t="s">
        <v>61</v>
      </c>
      <c r="E12" s="222">
        <f>'Rates ORM'!$D$13+(('Bills OR'!C12-2000)*'Rates ORM'!$D$14)+'Rates ORM'!D15</f>
        <v>52.889999999999993</v>
      </c>
      <c r="F12" s="222">
        <f>'Rates ORM'!$F$13+('Bills OR'!C12-2000)*'Rates ORM'!$F$14+'Rates ORM'!F15</f>
        <v>56.11</v>
      </c>
      <c r="G12" s="41">
        <f t="shared" si="0"/>
        <v>3.220000000000006</v>
      </c>
      <c r="H12" s="69">
        <f t="shared" si="1"/>
        <v>6.0881073927018463E-2</v>
      </c>
      <c r="I12" s="42"/>
    </row>
    <row r="13" spans="2:11" x14ac:dyDescent="0.35">
      <c r="B13" s="11"/>
      <c r="C13" s="6">
        <v>6000</v>
      </c>
      <c r="D13" s="35" t="s">
        <v>61</v>
      </c>
      <c r="E13" s="220">
        <f>'Rates ORM'!$D$13+('Bills OR'!C13-2000)*'Rates ORM'!$D$14+'Rates ORM'!D15</f>
        <v>72.910000000000011</v>
      </c>
      <c r="F13" s="220">
        <f>'Rates ORM'!$F$13+('Bills OR'!C13-2000)*'Rates ORM'!$F$14+'Rates ORM'!F15</f>
        <v>77.45</v>
      </c>
      <c r="G13" s="17">
        <f t="shared" si="0"/>
        <v>4.539999999999992</v>
      </c>
      <c r="H13" s="68">
        <f t="shared" si="1"/>
        <v>6.2268550267452906E-2</v>
      </c>
      <c r="I13" s="38"/>
    </row>
    <row r="14" spans="2:11" x14ac:dyDescent="0.35">
      <c r="B14" s="11"/>
      <c r="C14" s="6">
        <v>8000</v>
      </c>
      <c r="D14" s="35" t="s">
        <v>61</v>
      </c>
      <c r="E14" s="220">
        <f>'Rates ORM'!$D$13+('Bills OR'!C14-2000)*'Rates ORM'!$D$14+'Rates ORM'!D15</f>
        <v>92.93</v>
      </c>
      <c r="F14" s="220">
        <f>'Rates ORM'!$F$13+('Bills OR'!C14-2000)*'Rates ORM'!$F$14+'Rates ORM'!F15</f>
        <v>98.79000000000002</v>
      </c>
      <c r="G14" s="17">
        <f t="shared" si="0"/>
        <v>5.8600000000000136</v>
      </c>
      <c r="H14" s="68">
        <f t="shared" si="1"/>
        <v>6.3058215861401201E-2</v>
      </c>
      <c r="I14" s="38"/>
    </row>
    <row r="15" spans="2:11" x14ac:dyDescent="0.35">
      <c r="B15" s="11"/>
      <c r="C15" s="6">
        <v>10000</v>
      </c>
      <c r="D15" s="35" t="s">
        <v>61</v>
      </c>
      <c r="E15" s="220">
        <f>'Rates ORM'!$D$13+('Bills OR'!C15-2000)*'Rates ORM'!$D$14+'Rates ORM'!D15</f>
        <v>112.95</v>
      </c>
      <c r="F15" s="220">
        <f>'Rates ORM'!$F$13+('Bills OR'!C15-2000)*'Rates ORM'!$F$14+'Rates ORM'!F15</f>
        <v>120.13000000000001</v>
      </c>
      <c r="G15" s="17">
        <f t="shared" si="0"/>
        <v>7.1800000000000068</v>
      </c>
      <c r="H15" s="68">
        <f t="shared" si="1"/>
        <v>6.3567950420540115E-2</v>
      </c>
      <c r="I15" s="38"/>
    </row>
    <row r="16" spans="2:11" x14ac:dyDescent="0.35">
      <c r="B16" s="11"/>
      <c r="C16" s="6">
        <v>15000</v>
      </c>
      <c r="D16" s="35" t="s">
        <v>61</v>
      </c>
      <c r="E16" s="220">
        <f>'Rates ORM'!$D$13+('Bills OR'!C16-2000)*'Rates ORM'!$D$14+'Rates ORM'!D15</f>
        <v>163</v>
      </c>
      <c r="F16" s="220">
        <f>'Rates ORM'!$F$13+('Bills OR'!C16-2000)*'Rates ORM'!$F$14+'Rates ORM'!F15</f>
        <v>173.48</v>
      </c>
      <c r="G16" s="17">
        <f t="shared" si="0"/>
        <v>10.47999999999999</v>
      </c>
      <c r="H16" s="68">
        <f t="shared" si="1"/>
        <v>6.4294478527607293E-2</v>
      </c>
      <c r="I16" s="38"/>
    </row>
    <row r="17" spans="2:15" x14ac:dyDescent="0.35">
      <c r="B17" s="11"/>
      <c r="C17" s="6">
        <v>20000</v>
      </c>
      <c r="D17" s="35" t="s">
        <v>61</v>
      </c>
      <c r="E17" s="220">
        <f>'Rates ORM'!$D$13+('Bills OR'!C17-2000)*'Rates ORM'!$D$14+'Rates ORM'!D15</f>
        <v>213.05</v>
      </c>
      <c r="F17" s="220">
        <f>'Rates ORM'!$F$13+('Bills OR'!C17-2000)*'Rates ORM'!$F$14+'Rates ORM'!F15</f>
        <v>226.82999999999998</v>
      </c>
      <c r="G17" s="17">
        <f t="shared" si="0"/>
        <v>13.779999999999973</v>
      </c>
      <c r="H17" s="68">
        <f t="shared" si="1"/>
        <v>6.467965266369384E-2</v>
      </c>
      <c r="I17" s="38"/>
    </row>
    <row r="18" spans="2:15" x14ac:dyDescent="0.35">
      <c r="B18" s="11"/>
      <c r="C18" s="6">
        <v>25000</v>
      </c>
      <c r="D18" s="36" t="s">
        <v>24</v>
      </c>
      <c r="E18" s="220">
        <f>'Rates ORM'!$D$13+('Bills OR'!C18-2000)*'Rates ORM'!$D$14+'Rates ORM'!D15</f>
        <v>263.09999999999997</v>
      </c>
      <c r="F18" s="220">
        <f>'Rates ORM'!$F$13+('Bills OR'!C18-2000)*'Rates ORM'!$F$14+'Rates ORM'!F15</f>
        <v>280.18</v>
      </c>
      <c r="G18" s="17">
        <f t="shared" si="0"/>
        <v>17.080000000000041</v>
      </c>
      <c r="H18" s="68">
        <f t="shared" si="1"/>
        <v>6.4918282022045012E-2</v>
      </c>
      <c r="I18" s="38"/>
    </row>
    <row r="19" spans="2:15" x14ac:dyDescent="0.35">
      <c r="B19" s="11"/>
      <c r="C19" s="6">
        <v>30000</v>
      </c>
      <c r="D19" s="36" t="s">
        <v>24</v>
      </c>
      <c r="E19" s="220">
        <f>'Rates ORM'!$D$13+('Bills OR'!C19-2000)*'Rates ORM'!$D$14+'Rates ORM'!D15</f>
        <v>313.14999999999998</v>
      </c>
      <c r="F19" s="220">
        <f>'Rates ORM'!$F$13+('Bills OR'!C19-2000)*'Rates ORM'!$F$14+'Rates ORM'!F15</f>
        <v>333.53</v>
      </c>
      <c r="G19" s="17">
        <f t="shared" ref="G19:G25" si="2">F19-E19</f>
        <v>20.379999999999995</v>
      </c>
      <c r="H19" s="68">
        <f t="shared" si="1"/>
        <v>6.5080632284847506E-2</v>
      </c>
      <c r="I19" s="38"/>
      <c r="O19" s="6"/>
    </row>
    <row r="20" spans="2:15" x14ac:dyDescent="0.35">
      <c r="B20" s="11"/>
      <c r="C20" s="6">
        <v>40000</v>
      </c>
      <c r="D20" s="36" t="s">
        <v>24</v>
      </c>
      <c r="E20" s="220">
        <f>'Rates ORM'!$D$13+('Bills OR'!C20-2000)*'Rates ORM'!$D$14+'Rates ORM'!D15</f>
        <v>413.25</v>
      </c>
      <c r="F20" s="220">
        <f>'Rates ORM'!$F$13+('Bills OR'!C20-2000)*'Rates ORM'!$F$14+'Rates ORM'!F15</f>
        <v>440.23</v>
      </c>
      <c r="G20" s="17">
        <f t="shared" si="2"/>
        <v>26.980000000000018</v>
      </c>
      <c r="H20" s="68">
        <f t="shared" si="1"/>
        <v>6.528735632183913E-2</v>
      </c>
      <c r="I20" s="38"/>
    </row>
    <row r="21" spans="2:15" x14ac:dyDescent="0.35">
      <c r="B21" s="11"/>
      <c r="C21" s="6">
        <v>50000</v>
      </c>
      <c r="D21" s="36" t="s">
        <v>24</v>
      </c>
      <c r="E21" s="220">
        <f>'Rates ORM'!$D$13+('Bills OR'!C21-2000)*'Rates ORM'!$D$14+'Rates ORM'!D15</f>
        <v>513.35</v>
      </c>
      <c r="F21" s="220">
        <f>'Rates ORM'!$F$13+('Bills OR'!C21-2000)*'Rates ORM'!$F$14+'Rates ORM'!F15</f>
        <v>546.93000000000006</v>
      </c>
      <c r="G21" s="17">
        <f t="shared" si="2"/>
        <v>33.580000000000041</v>
      </c>
      <c r="H21" s="68">
        <f t="shared" si="1"/>
        <v>6.5413460601928583E-2</v>
      </c>
      <c r="I21" s="38"/>
    </row>
    <row r="22" spans="2:15" x14ac:dyDescent="0.35">
      <c r="B22" s="11"/>
      <c r="C22" s="6">
        <v>75000</v>
      </c>
      <c r="D22" s="36" t="s">
        <v>25</v>
      </c>
      <c r="E22" s="220">
        <f>'Rates ORM'!$D$13+('Bills OR'!C22-2000)*'Rates ORM'!$D$14+'Rates ORM'!D15</f>
        <v>763.6</v>
      </c>
      <c r="F22" s="220">
        <f>'Rates ORM'!$F$13+('Bills OR'!C22-2000)*'Rates ORM'!$F$14+'Rates ORM'!F15</f>
        <v>813.68000000000006</v>
      </c>
      <c r="G22" s="17">
        <f t="shared" si="2"/>
        <v>50.080000000000041</v>
      </c>
      <c r="H22" s="68">
        <f t="shared" si="1"/>
        <v>6.5584075432163491E-2</v>
      </c>
      <c r="I22" s="38"/>
    </row>
    <row r="23" spans="2:15" x14ac:dyDescent="0.35">
      <c r="B23" s="11"/>
      <c r="C23" s="6">
        <v>100000</v>
      </c>
      <c r="D23" s="36" t="s">
        <v>25</v>
      </c>
      <c r="E23" s="220">
        <f>'Rates ORM'!$D$13+('Bills OR'!C23-2000)*'Rates ORM'!$D$14+'Rates ORM'!D15</f>
        <v>1013.85</v>
      </c>
      <c r="F23" s="220">
        <f>'Rates ORM'!$F$13+('Bills OR'!C23-2000)*'Rates ORM'!$F$14+'Rates ORM'!F15</f>
        <v>1080.43</v>
      </c>
      <c r="G23" s="17">
        <f t="shared" si="2"/>
        <v>66.580000000000041</v>
      </c>
      <c r="H23" s="68">
        <f t="shared" si="1"/>
        <v>6.5670464072594609E-2</v>
      </c>
      <c r="I23" s="38"/>
    </row>
    <row r="24" spans="2:15" x14ac:dyDescent="0.35">
      <c r="B24" s="11"/>
      <c r="C24" s="6">
        <v>200000</v>
      </c>
      <c r="D24" s="36" t="s">
        <v>25</v>
      </c>
      <c r="E24" s="220">
        <f>'Rates ORM'!$D$13+('Bills OR'!C24-2000)*'Rates ORM'!$D$14+'Rates ORM'!D15</f>
        <v>2014.85</v>
      </c>
      <c r="F24" s="220">
        <f>'Rates ORM'!$F$13+('Bills OR'!C24-2000)*'Rates ORM'!$F$14+'Rates ORM'!F15</f>
        <v>2147.4300000000007</v>
      </c>
      <c r="G24" s="17">
        <f t="shared" si="2"/>
        <v>132.58000000000084</v>
      </c>
      <c r="H24" s="68">
        <f t="shared" si="1"/>
        <v>6.5801424423654789E-2</v>
      </c>
      <c r="I24" s="38"/>
    </row>
    <row r="25" spans="2:15" x14ac:dyDescent="0.35">
      <c r="B25" s="11"/>
      <c r="C25" s="6">
        <v>500000</v>
      </c>
      <c r="D25" s="36" t="s">
        <v>25</v>
      </c>
      <c r="E25" s="220">
        <f>'Rates ORM'!$D$13+('Bills OR'!C25-2000)*'Rates ORM'!$D$14+'Rates ORM'!D15</f>
        <v>5017.8499999999995</v>
      </c>
      <c r="F25" s="220">
        <f>'Rates ORM'!$F$13+('Bills OR'!C25-2000)*'Rates ORM'!$F$14+'Rates ORM'!F15</f>
        <v>5348.4300000000012</v>
      </c>
      <c r="G25" s="17">
        <f t="shared" si="2"/>
        <v>330.58000000000175</v>
      </c>
      <c r="H25" s="68">
        <f t="shared" si="1"/>
        <v>6.5880805524278677E-2</v>
      </c>
      <c r="I25" s="38"/>
    </row>
    <row r="26" spans="2:15" ht="6" customHeight="1" x14ac:dyDescent="0.35">
      <c r="B26" s="13"/>
      <c r="C26" s="5"/>
      <c r="D26" s="4"/>
      <c r="E26" s="193"/>
      <c r="F26" s="214"/>
      <c r="G26" s="37"/>
      <c r="H26" s="5"/>
      <c r="I26" s="14"/>
    </row>
    <row r="28" spans="2:15" x14ac:dyDescent="0.35">
      <c r="D28" s="47" t="s">
        <v>64</v>
      </c>
    </row>
    <row r="29" spans="2:15" x14ac:dyDescent="0.35">
      <c r="D29" s="7" t="s">
        <v>372</v>
      </c>
    </row>
    <row r="31" spans="2:15" x14ac:dyDescent="0.35">
      <c r="B31" s="8"/>
      <c r="C31" s="9"/>
      <c r="D31" s="9"/>
      <c r="E31" s="216"/>
      <c r="F31" s="216"/>
      <c r="G31" s="9"/>
      <c r="H31" s="9"/>
      <c r="I31" s="10"/>
    </row>
    <row r="32" spans="2:15" ht="18.5" x14ac:dyDescent="0.45">
      <c r="B32" s="11"/>
      <c r="C32" s="415" t="s">
        <v>380</v>
      </c>
      <c r="D32" s="415"/>
      <c r="E32" s="415"/>
      <c r="F32" s="415"/>
      <c r="G32" s="415"/>
      <c r="H32" s="415"/>
      <c r="I32" s="416"/>
    </row>
    <row r="33" spans="2:10" ht="18.5" x14ac:dyDescent="0.45">
      <c r="B33" s="11"/>
      <c r="C33" s="413" t="s">
        <v>157</v>
      </c>
      <c r="D33" s="413"/>
      <c r="E33" s="413"/>
      <c r="F33" s="413"/>
      <c r="G33" s="413"/>
      <c r="H33" s="413"/>
      <c r="I33" s="414"/>
    </row>
    <row r="34" spans="2:10" ht="15.5" x14ac:dyDescent="0.35">
      <c r="B34" s="11"/>
      <c r="C34" s="383" t="s">
        <v>254</v>
      </c>
      <c r="D34" s="383"/>
      <c r="E34" s="383"/>
      <c r="F34" s="383"/>
      <c r="G34" s="383"/>
      <c r="H34" s="383"/>
      <c r="I34" s="412"/>
    </row>
    <row r="35" spans="2:10" x14ac:dyDescent="0.35">
      <c r="B35" s="13"/>
      <c r="C35" s="5"/>
      <c r="D35" s="5"/>
      <c r="E35" s="217"/>
      <c r="F35" s="217"/>
      <c r="G35" s="5"/>
      <c r="H35" s="5"/>
      <c r="I35" s="14"/>
    </row>
    <row r="36" spans="2:10" ht="18.5" x14ac:dyDescent="0.35">
      <c r="B36" s="11"/>
      <c r="C36" s="6"/>
      <c r="D36" s="12"/>
      <c r="E36" s="218"/>
      <c r="F36" s="33"/>
      <c r="G36" s="33"/>
      <c r="H36" s="33"/>
      <c r="I36" s="34"/>
      <c r="J36" s="32"/>
    </row>
    <row r="37" spans="2:10" ht="16" x14ac:dyDescent="0.5">
      <c r="B37" s="11"/>
      <c r="C37" s="16" t="s">
        <v>12</v>
      </c>
      <c r="D37" s="31" t="s">
        <v>56</v>
      </c>
      <c r="E37" s="219" t="s">
        <v>22</v>
      </c>
      <c r="F37" s="221" t="s">
        <v>10</v>
      </c>
      <c r="G37" s="16"/>
      <c r="H37" s="16"/>
      <c r="I37" s="31"/>
    </row>
    <row r="38" spans="2:10" ht="16" x14ac:dyDescent="0.5">
      <c r="B38" s="11"/>
      <c r="C38" s="16" t="s">
        <v>63</v>
      </c>
      <c r="D38" s="31" t="s">
        <v>60</v>
      </c>
      <c r="E38" s="219" t="s">
        <v>58</v>
      </c>
      <c r="F38" s="221" t="s">
        <v>58</v>
      </c>
      <c r="G38" s="16" t="s">
        <v>23</v>
      </c>
      <c r="H38" s="16" t="s">
        <v>59</v>
      </c>
      <c r="I38" s="31"/>
    </row>
    <row r="39" spans="2:10" x14ac:dyDescent="0.35">
      <c r="B39" s="11"/>
      <c r="C39" s="17">
        <v>0</v>
      </c>
      <c r="D39" s="35" t="s">
        <v>61</v>
      </c>
      <c r="E39" s="220">
        <f>'Rates ORM'!D18</f>
        <v>28.61</v>
      </c>
      <c r="F39" s="153">
        <f>'Rates ORM'!F13</f>
        <v>30.51</v>
      </c>
      <c r="G39" s="46">
        <f>F39-E39</f>
        <v>1.9000000000000021</v>
      </c>
      <c r="H39" s="68">
        <f>G39/E39</f>
        <v>6.6410346032855727E-2</v>
      </c>
      <c r="I39" s="38"/>
    </row>
    <row r="40" spans="2:10" x14ac:dyDescent="0.35">
      <c r="B40" s="11"/>
      <c r="C40" s="6">
        <v>2000</v>
      </c>
      <c r="D40" s="35" t="s">
        <v>61</v>
      </c>
      <c r="E40" s="220">
        <f>'Rates ORM'!D18</f>
        <v>28.61</v>
      </c>
      <c r="F40" s="220">
        <f>'Rates ORM'!$F$13+('Bills OR'!C40-2000)*'Rates ORM'!$F$14</f>
        <v>30.51</v>
      </c>
      <c r="G40" s="17">
        <f t="shared" ref="G40:G54" si="3">F40-E40</f>
        <v>1.9000000000000021</v>
      </c>
      <c r="H40" s="68">
        <f t="shared" ref="H40:H54" si="4">G40/E40</f>
        <v>6.6410346032855727E-2</v>
      </c>
      <c r="I40" s="38"/>
    </row>
    <row r="41" spans="2:10" x14ac:dyDescent="0.35">
      <c r="B41" s="11"/>
      <c r="C41" s="39">
        <v>4000</v>
      </c>
      <c r="D41" s="40" t="s">
        <v>61</v>
      </c>
      <c r="E41" s="222">
        <f>'Rates ORM'!$D$18+(('Bills OR'!C41-2000)*'Rates ORM'!$D$19)</f>
        <v>48.629999999999995</v>
      </c>
      <c r="F41" s="222">
        <f>'Rates ORM'!$F$13+('Bills OR'!C41-2000)*'Rates ORM'!$F$14</f>
        <v>51.85</v>
      </c>
      <c r="G41" s="41">
        <f t="shared" si="3"/>
        <v>3.220000000000006</v>
      </c>
      <c r="H41" s="69">
        <f t="shared" si="4"/>
        <v>6.6214271026115698E-2</v>
      </c>
      <c r="I41" s="42"/>
    </row>
    <row r="42" spans="2:10" x14ac:dyDescent="0.35">
      <c r="B42" s="11"/>
      <c r="C42" s="6">
        <v>6000</v>
      </c>
      <c r="D42" s="35" t="s">
        <v>61</v>
      </c>
      <c r="E42" s="220">
        <f>'Rates ORM'!$D$18+(('Bills OR'!C42-2000)*'Rates ORM'!$D$19)</f>
        <v>68.650000000000006</v>
      </c>
      <c r="F42" s="220">
        <f>'Rates ORM'!$F$13+('Bills OR'!C42-2000)*'Rates ORM'!$F$14</f>
        <v>73.19</v>
      </c>
      <c r="G42" s="17">
        <f t="shared" si="3"/>
        <v>4.539999999999992</v>
      </c>
      <c r="H42" s="68">
        <f t="shared" si="4"/>
        <v>6.6132556445739135E-2</v>
      </c>
      <c r="I42" s="38"/>
    </row>
    <row r="43" spans="2:10" x14ac:dyDescent="0.35">
      <c r="B43" s="11"/>
      <c r="C43" s="6">
        <v>8000</v>
      </c>
      <c r="D43" s="35" t="s">
        <v>61</v>
      </c>
      <c r="E43" s="220">
        <f>'Rates ORM'!$D$18+(('Bills OR'!C43-2000)*'Rates ORM'!$D$19)</f>
        <v>88.67</v>
      </c>
      <c r="F43" s="220">
        <f>'Rates ORM'!$F$13+('Bills OR'!C43-2000)*'Rates ORM'!$F$14</f>
        <v>94.530000000000015</v>
      </c>
      <c r="G43" s="17">
        <f t="shared" si="3"/>
        <v>5.8600000000000136</v>
      </c>
      <c r="H43" s="68">
        <f t="shared" si="4"/>
        <v>6.6087741062366229E-2</v>
      </c>
      <c r="I43" s="38"/>
    </row>
    <row r="44" spans="2:10" x14ac:dyDescent="0.35">
      <c r="B44" s="11"/>
      <c r="C44" s="6">
        <v>10000</v>
      </c>
      <c r="D44" s="35" t="s">
        <v>61</v>
      </c>
      <c r="E44" s="220">
        <f>'Rates ORM'!$D$18+(('Bills OR'!C44-2000)*'Rates ORM'!$D$19)</f>
        <v>108.69</v>
      </c>
      <c r="F44" s="220">
        <f>'Rates ORM'!$F$13+('Bills OR'!C44-2000)*'Rates ORM'!$F$14</f>
        <v>115.87</v>
      </c>
      <c r="G44" s="17">
        <f t="shared" si="3"/>
        <v>7.1800000000000068</v>
      </c>
      <c r="H44" s="68">
        <f t="shared" si="4"/>
        <v>6.6059435090624771E-2</v>
      </c>
      <c r="I44" s="38"/>
    </row>
    <row r="45" spans="2:10" x14ac:dyDescent="0.35">
      <c r="B45" s="11"/>
      <c r="C45" s="6">
        <v>15000</v>
      </c>
      <c r="D45" s="35" t="s">
        <v>61</v>
      </c>
      <c r="E45" s="220">
        <f>'Rates ORM'!$D$18+(('Bills OR'!C45-2000)*'Rates ORM'!$D$19)</f>
        <v>158.74</v>
      </c>
      <c r="F45" s="220">
        <f>'Rates ORM'!$F$13+('Bills OR'!C45-2000)*'Rates ORM'!$F$14</f>
        <v>169.22</v>
      </c>
      <c r="G45" s="17">
        <f t="shared" si="3"/>
        <v>10.47999999999999</v>
      </c>
      <c r="H45" s="68">
        <f t="shared" si="4"/>
        <v>6.6019906765780456E-2</v>
      </c>
      <c r="I45" s="38"/>
    </row>
    <row r="46" spans="2:10" x14ac:dyDescent="0.35">
      <c r="B46" s="11"/>
      <c r="C46" s="6">
        <v>20000</v>
      </c>
      <c r="D46" s="35" t="s">
        <v>61</v>
      </c>
      <c r="E46" s="220">
        <f>'Rates ORM'!$D$18+(('Bills OR'!C46-2000)*'Rates ORM'!$D$19)</f>
        <v>208.79000000000002</v>
      </c>
      <c r="F46" s="220">
        <f>'Rates ORM'!$F$13+('Bills OR'!C46-2000)*'Rates ORM'!$F$14</f>
        <v>222.57</v>
      </c>
      <c r="G46" s="17">
        <f t="shared" si="3"/>
        <v>13.779999999999973</v>
      </c>
      <c r="H46" s="68">
        <f t="shared" si="4"/>
        <v>6.5999329469802054E-2</v>
      </c>
      <c r="I46" s="38"/>
    </row>
    <row r="47" spans="2:10" x14ac:dyDescent="0.35">
      <c r="B47" s="11"/>
      <c r="C47" s="6">
        <v>25000</v>
      </c>
      <c r="D47" s="36" t="s">
        <v>24</v>
      </c>
      <c r="E47" s="220">
        <f>'Rates ORM'!$D$18+(('Bills OR'!C47-2000)*'Rates ORM'!$D$19)</f>
        <v>258.83999999999997</v>
      </c>
      <c r="F47" s="220">
        <f>'Rates ORM'!$F$13+('Bills OR'!C47-2000)*'Rates ORM'!$F$14</f>
        <v>275.92</v>
      </c>
      <c r="G47" s="17">
        <f t="shared" si="3"/>
        <v>17.080000000000041</v>
      </c>
      <c r="H47" s="68">
        <f t="shared" si="4"/>
        <v>6.5986709936640561E-2</v>
      </c>
      <c r="I47" s="38"/>
    </row>
    <row r="48" spans="2:10" x14ac:dyDescent="0.35">
      <c r="B48" s="11"/>
      <c r="C48" s="6">
        <v>30000</v>
      </c>
      <c r="D48" s="36" t="s">
        <v>24</v>
      </c>
      <c r="E48" s="220">
        <f>'Rates ORM'!$D$18+(('Bills OR'!C48-2000)*'Rates ORM'!$D$19)</f>
        <v>308.89</v>
      </c>
      <c r="F48" s="220">
        <f>'Rates ORM'!$F$13+('Bills OR'!C48-2000)*'Rates ORM'!$F$14</f>
        <v>329.27</v>
      </c>
      <c r="G48" s="17">
        <f t="shared" si="3"/>
        <v>20.379999999999995</v>
      </c>
      <c r="H48" s="68">
        <f t="shared" si="4"/>
        <v>6.5978179934604544E-2</v>
      </c>
      <c r="I48" s="38"/>
    </row>
    <row r="49" spans="2:9" x14ac:dyDescent="0.35">
      <c r="B49" s="11"/>
      <c r="C49" s="6">
        <v>40000</v>
      </c>
      <c r="D49" s="36" t="s">
        <v>24</v>
      </c>
      <c r="E49" s="220">
        <f>'Rates ORM'!$D$18+(('Bills OR'!C49-2000)*'Rates ORM'!$D$19)</f>
        <v>408.99</v>
      </c>
      <c r="F49" s="220">
        <f>'Rates ORM'!$F$13+('Bills OR'!C49-2000)*'Rates ORM'!$F$14</f>
        <v>435.97</v>
      </c>
      <c r="G49" s="17">
        <f t="shared" si="3"/>
        <v>26.980000000000018</v>
      </c>
      <c r="H49" s="68">
        <f t="shared" si="4"/>
        <v>6.5967383065600668E-2</v>
      </c>
      <c r="I49" s="38"/>
    </row>
    <row r="50" spans="2:9" x14ac:dyDescent="0.35">
      <c r="B50" s="11"/>
      <c r="C50" s="6">
        <v>50000</v>
      </c>
      <c r="D50" s="36" t="s">
        <v>24</v>
      </c>
      <c r="E50" s="220">
        <f>'Rates ORM'!$D$18+(('Bills OR'!C50-2000)*'Rates ORM'!$D$19)</f>
        <v>509.09000000000003</v>
      </c>
      <c r="F50" s="220">
        <f>'Rates ORM'!$F$13+('Bills OR'!C50-2000)*'Rates ORM'!$F$14</f>
        <v>542.67000000000007</v>
      </c>
      <c r="G50" s="17">
        <f t="shared" si="3"/>
        <v>33.580000000000041</v>
      </c>
      <c r="H50" s="68">
        <f t="shared" si="4"/>
        <v>6.5960832072914491E-2</v>
      </c>
      <c r="I50" s="38"/>
    </row>
    <row r="51" spans="2:9" x14ac:dyDescent="0.35">
      <c r="B51" s="11"/>
      <c r="C51" s="6">
        <v>75000</v>
      </c>
      <c r="D51" s="36" t="s">
        <v>25</v>
      </c>
      <c r="E51" s="220">
        <f>'Rates ORM'!$D$18+(('Bills OR'!C51-2000)*'Rates ORM'!$D$19)</f>
        <v>759.34</v>
      </c>
      <c r="F51" s="220">
        <f>'Rates ORM'!$F$13+('Bills OR'!C51-2000)*'Rates ORM'!$F$14</f>
        <v>809.42000000000007</v>
      </c>
      <c r="G51" s="17">
        <f t="shared" si="3"/>
        <v>50.080000000000041</v>
      </c>
      <c r="H51" s="68">
        <f t="shared" si="4"/>
        <v>6.5952010956883661E-2</v>
      </c>
      <c r="I51" s="38"/>
    </row>
    <row r="52" spans="2:9" x14ac:dyDescent="0.35">
      <c r="B52" s="11"/>
      <c r="C52" s="6">
        <v>100000</v>
      </c>
      <c r="D52" s="36" t="s">
        <v>25</v>
      </c>
      <c r="E52" s="220">
        <f>'Rates ORM'!$D$18+(('Bills OR'!C52-2000)*'Rates ORM'!$D$19)</f>
        <v>1009.59</v>
      </c>
      <c r="F52" s="220">
        <f>'Rates ORM'!$F$13+('Bills OR'!C52-2000)*'Rates ORM'!$F$14</f>
        <v>1076.17</v>
      </c>
      <c r="G52" s="17">
        <f t="shared" si="3"/>
        <v>66.580000000000041</v>
      </c>
      <c r="H52" s="68">
        <f t="shared" si="4"/>
        <v>6.5947562872057011E-2</v>
      </c>
      <c r="I52" s="38"/>
    </row>
    <row r="53" spans="2:9" x14ac:dyDescent="0.35">
      <c r="B53" s="11"/>
      <c r="C53" s="6">
        <v>200000</v>
      </c>
      <c r="D53" s="36" t="s">
        <v>25</v>
      </c>
      <c r="E53" s="220">
        <f>'Rates ORM'!$D$18+(('Bills OR'!C53-2000)*'Rates ORM'!$D$19)</f>
        <v>2010.59</v>
      </c>
      <c r="F53" s="220">
        <f>'Rates ORM'!$F$13+('Bills OR'!C53-2000)*'Rates ORM'!$F$14</f>
        <v>2143.1700000000005</v>
      </c>
      <c r="G53" s="17">
        <f t="shared" si="3"/>
        <v>132.58000000000061</v>
      </c>
      <c r="H53" s="68">
        <f t="shared" si="4"/>
        <v>6.5940843235070615E-2</v>
      </c>
      <c r="I53" s="38"/>
    </row>
    <row r="54" spans="2:9" x14ac:dyDescent="0.35">
      <c r="B54" s="11"/>
      <c r="C54" s="6">
        <v>500000</v>
      </c>
      <c r="D54" s="36" t="s">
        <v>25</v>
      </c>
      <c r="E54" s="220">
        <f>'Rates ORM'!$D$18+(('Bills OR'!C54-2000)*'Rates ORM'!$D$19)</f>
        <v>5013.5899999999992</v>
      </c>
      <c r="F54" s="220">
        <f>'Rates ORM'!$F$13+('Bills OR'!C54-2000)*'Rates ORM'!$F$14</f>
        <v>5344.170000000001</v>
      </c>
      <c r="G54" s="17">
        <f t="shared" si="3"/>
        <v>330.58000000000175</v>
      </c>
      <c r="H54" s="68">
        <f t="shared" si="4"/>
        <v>6.5936783821573322E-2</v>
      </c>
      <c r="I54" s="38"/>
    </row>
    <row r="55" spans="2:9" ht="15.5" x14ac:dyDescent="0.35">
      <c r="B55" s="13"/>
      <c r="C55" s="5"/>
      <c r="D55" s="4"/>
      <c r="E55" s="193"/>
      <c r="F55" s="214"/>
      <c r="G55" s="37"/>
      <c r="H55" s="5"/>
      <c r="I55" s="14"/>
    </row>
    <row r="57" spans="2:9" x14ac:dyDescent="0.35">
      <c r="D57" s="47" t="s">
        <v>64</v>
      </c>
    </row>
  </sheetData>
  <mergeCells count="6">
    <mergeCell ref="C34:I34"/>
    <mergeCell ref="C4:I4"/>
    <mergeCell ref="C5:I5"/>
    <mergeCell ref="C3:I3"/>
    <mergeCell ref="C32:I32"/>
    <mergeCell ref="C33:I33"/>
  </mergeCells>
  <printOptions horizontalCentered="1"/>
  <pageMargins left="0.7" right="0.7" top="1.1000000000000001"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88BD-C42D-4B1B-9F33-690703B1CB19}">
  <sheetPr>
    <tabColor rgb="FF92D050"/>
    <pageSetUpPr fitToPage="1"/>
  </sheetPr>
  <dimension ref="B2:S61"/>
  <sheetViews>
    <sheetView showGridLines="0" topLeftCell="A3" workbookViewId="0">
      <selection activeCell="N8" sqref="N8:S13"/>
    </sheetView>
  </sheetViews>
  <sheetFormatPr defaultColWidth="8.84375" defaultRowHeight="14.5" x14ac:dyDescent="0.35"/>
  <cols>
    <col min="1" max="1" width="2.61328125" style="7" customWidth="1"/>
    <col min="2" max="2" width="1.765625" style="7" customWidth="1"/>
    <col min="3" max="4" width="9.765625" style="7" customWidth="1"/>
    <col min="5" max="6" width="9.765625" style="215" customWidth="1"/>
    <col min="7" max="8" width="9.765625" style="7" customWidth="1"/>
    <col min="9" max="9" width="1.765625" style="7" customWidth="1"/>
    <col min="10" max="10" width="2.4609375" style="7" customWidth="1"/>
    <col min="11" max="13" width="8.84375" style="7"/>
    <col min="14" max="14" width="15.4609375" style="7" bestFit="1" customWidth="1"/>
    <col min="15" max="15" width="11.15234375" style="7" bestFit="1" customWidth="1"/>
    <col min="16" max="16384" width="8.84375" style="7"/>
  </cols>
  <sheetData>
    <row r="2" spans="2:19" x14ac:dyDescent="0.35">
      <c r="B2" s="8"/>
      <c r="C2" s="9"/>
      <c r="D2" s="9"/>
      <c r="E2" s="216"/>
      <c r="F2" s="216"/>
      <c r="G2" s="9"/>
      <c r="H2" s="9"/>
      <c r="I2" s="10"/>
    </row>
    <row r="3" spans="2:19" ht="18.5" x14ac:dyDescent="0.45">
      <c r="B3" s="420" t="s">
        <v>380</v>
      </c>
      <c r="C3" s="415"/>
      <c r="D3" s="415"/>
      <c r="E3" s="415"/>
      <c r="F3" s="415"/>
      <c r="G3" s="415"/>
      <c r="H3" s="415"/>
      <c r="I3" s="416"/>
    </row>
    <row r="4" spans="2:19" ht="18.5" x14ac:dyDescent="0.45">
      <c r="B4" s="419" t="s">
        <v>223</v>
      </c>
      <c r="C4" s="413"/>
      <c r="D4" s="413"/>
      <c r="E4" s="413"/>
      <c r="F4" s="413"/>
      <c r="G4" s="413"/>
      <c r="H4" s="413"/>
      <c r="I4" s="414"/>
    </row>
    <row r="5" spans="2:19" ht="18.5" x14ac:dyDescent="0.35">
      <c r="B5" s="11"/>
      <c r="C5" s="408" t="s">
        <v>393</v>
      </c>
      <c r="D5" s="408"/>
      <c r="E5" s="408"/>
      <c r="F5" s="408"/>
      <c r="G5" s="408"/>
      <c r="H5" s="408"/>
      <c r="I5" s="422"/>
    </row>
    <row r="6" spans="2:19" x14ac:dyDescent="0.35">
      <c r="B6" s="13"/>
      <c r="C6" s="5"/>
      <c r="D6" s="5"/>
      <c r="E6" s="217"/>
      <c r="F6" s="217"/>
      <c r="G6" s="5"/>
      <c r="H6" s="5"/>
      <c r="I6" s="14"/>
    </row>
    <row r="7" spans="2:19" ht="6" customHeight="1" x14ac:dyDescent="0.35">
      <c r="B7" s="11"/>
      <c r="C7" s="6"/>
      <c r="D7" s="12"/>
      <c r="E7" s="218"/>
      <c r="F7" s="33"/>
      <c r="G7" s="33"/>
      <c r="H7" s="33"/>
      <c r="I7" s="34"/>
      <c r="J7" s="32"/>
      <c r="K7" s="32"/>
    </row>
    <row r="8" spans="2:19" ht="16" x14ac:dyDescent="0.5">
      <c r="B8" s="11"/>
      <c r="C8" s="16" t="s">
        <v>12</v>
      </c>
      <c r="D8" s="31" t="s">
        <v>56</v>
      </c>
      <c r="E8" s="219" t="s">
        <v>22</v>
      </c>
      <c r="F8" s="221" t="s">
        <v>10</v>
      </c>
      <c r="G8" s="16"/>
      <c r="H8" s="16"/>
      <c r="I8" s="31"/>
      <c r="P8" s="221" t="s">
        <v>22</v>
      </c>
      <c r="Q8" s="221" t="s">
        <v>10</v>
      </c>
      <c r="R8" s="16"/>
      <c r="S8" s="16"/>
    </row>
    <row r="9" spans="2:19" ht="16" x14ac:dyDescent="0.5">
      <c r="B9" s="11"/>
      <c r="C9" s="16" t="s">
        <v>63</v>
      </c>
      <c r="D9" s="31" t="s">
        <v>60</v>
      </c>
      <c r="E9" s="219" t="s">
        <v>58</v>
      </c>
      <c r="F9" s="221" t="s">
        <v>255</v>
      </c>
      <c r="G9" s="16" t="s">
        <v>23</v>
      </c>
      <c r="H9" s="16" t="s">
        <v>59</v>
      </c>
      <c r="I9" s="31"/>
      <c r="P9" s="221" t="s">
        <v>58</v>
      </c>
      <c r="Q9" s="221" t="s">
        <v>255</v>
      </c>
      <c r="R9" s="16" t="s">
        <v>23</v>
      </c>
      <c r="S9" s="16" t="s">
        <v>59</v>
      </c>
    </row>
    <row r="10" spans="2:19" x14ac:dyDescent="0.35">
      <c r="B10" s="11"/>
      <c r="C10" s="17">
        <v>0</v>
      </c>
      <c r="D10" s="35" t="s">
        <v>61</v>
      </c>
      <c r="E10" s="220">
        <f>'Rates ORM'!D13+'Rates ORM'!D15+'Rates ORM'!D25</f>
        <v>40.78</v>
      </c>
      <c r="F10" s="153">
        <f>'Rates ORM'!F13+'Rates ORM'!F15+'Rates ORM'!F25</f>
        <v>42.680000000000007</v>
      </c>
      <c r="G10" s="46">
        <f>F10-E10</f>
        <v>1.9000000000000057</v>
      </c>
      <c r="H10" s="68">
        <f>G10/E10</f>
        <v>4.659146640510068E-2</v>
      </c>
      <c r="I10" s="38"/>
      <c r="K10" s="15"/>
      <c r="N10" s="7" t="s">
        <v>405</v>
      </c>
      <c r="O10" s="7" t="s">
        <v>407</v>
      </c>
      <c r="P10" s="198">
        <f>E12</f>
        <v>60.8</v>
      </c>
      <c r="Q10" s="198">
        <f>F12</f>
        <v>64.02</v>
      </c>
      <c r="R10" s="15">
        <f>Q10-P10</f>
        <v>3.2199999999999989</v>
      </c>
      <c r="S10" s="369">
        <f t="shared" ref="S10:S11" si="0">R10/P10</f>
        <v>5.2960526315789458E-2</v>
      </c>
    </row>
    <row r="11" spans="2:19" x14ac:dyDescent="0.35">
      <c r="B11" s="11"/>
      <c r="C11" s="6">
        <v>2000</v>
      </c>
      <c r="D11" s="35" t="s">
        <v>61</v>
      </c>
      <c r="E11" s="220">
        <f>'Rates ORM'!$D$13+'Rates ORM'!D15+'Rates ORM'!D25</f>
        <v>40.78</v>
      </c>
      <c r="F11" s="220">
        <f>'Rates ORM'!$F$13+('Bills with Surcharge OR'!C11-2000)*'Rates ORM'!$F$14+'Rates ORM'!F15+'Rates ORM'!F25</f>
        <v>42.680000000000007</v>
      </c>
      <c r="G11" s="17">
        <f t="shared" ref="G11:G25" si="1">F11-E11</f>
        <v>1.9000000000000057</v>
      </c>
      <c r="H11" s="68">
        <f t="shared" ref="H11:H25" si="2">G11/E11</f>
        <v>4.659146640510068E-2</v>
      </c>
      <c r="I11" s="38"/>
      <c r="K11" s="15"/>
      <c r="N11" s="7" t="s">
        <v>406</v>
      </c>
      <c r="O11" s="7" t="s">
        <v>408</v>
      </c>
      <c r="P11" s="198">
        <f>E44</f>
        <v>56.539999999999992</v>
      </c>
      <c r="Q11" s="198">
        <f>F44</f>
        <v>59.760000000000005</v>
      </c>
      <c r="R11" s="15">
        <f>Q11-P11</f>
        <v>3.2200000000000131</v>
      </c>
      <c r="S11" s="369">
        <f t="shared" si="0"/>
        <v>5.695083126989766E-2</v>
      </c>
    </row>
    <row r="12" spans="2:19" x14ac:dyDescent="0.35">
      <c r="B12" s="11"/>
      <c r="C12" s="39">
        <v>4000</v>
      </c>
      <c r="D12" s="40" t="s">
        <v>61</v>
      </c>
      <c r="E12" s="222">
        <f>'Rates ORM'!$D$13+('Bills with Surcharge OR'!C12-2000)*'Rates ORM'!$D$14+'Rates ORM'!D15+'Rates ORM'!D25</f>
        <v>60.8</v>
      </c>
      <c r="F12" s="222">
        <f>'Rates ORM'!$F$13+('Bills with Surcharge OR'!C12-2000)*'Rates ORM'!$F$14+'Rates ORM'!F15+'Rates ORM'!F25</f>
        <v>64.02</v>
      </c>
      <c r="G12" s="41">
        <f t="shared" si="1"/>
        <v>3.2199999999999989</v>
      </c>
      <c r="H12" s="69">
        <f t="shared" si="2"/>
        <v>5.2960526315789458E-2</v>
      </c>
      <c r="I12" s="42"/>
      <c r="K12" s="15"/>
      <c r="N12" s="7" t="s">
        <v>410</v>
      </c>
    </row>
    <row r="13" spans="2:19" x14ac:dyDescent="0.35">
      <c r="B13" s="11"/>
      <c r="C13" s="6">
        <v>6000</v>
      </c>
      <c r="D13" s="35" t="s">
        <v>61</v>
      </c>
      <c r="E13" s="220">
        <f>'Rates ORM'!$D$13+('Bills with Surcharge OR'!C13-2000)*'Rates ORM'!$D$14+'Rates ORM'!D15+'Rates ORM'!D25</f>
        <v>80.820000000000007</v>
      </c>
      <c r="F13" s="220">
        <f>'Rates ORM'!$F$13+('Bills with Surcharge OR'!C13-2000)*'Rates ORM'!$F$14+'Rates ORM'!F15+'Rates ORM'!F25</f>
        <v>85.36</v>
      </c>
      <c r="G13" s="17">
        <f t="shared" si="1"/>
        <v>4.539999999999992</v>
      </c>
      <c r="H13" s="68">
        <f t="shared" si="2"/>
        <v>5.6174214303390146E-2</v>
      </c>
      <c r="I13" s="38"/>
      <c r="K13" s="15"/>
      <c r="N13" s="7" t="s">
        <v>409</v>
      </c>
    </row>
    <row r="14" spans="2:19" x14ac:dyDescent="0.35">
      <c r="B14" s="11"/>
      <c r="C14" s="6">
        <v>8000</v>
      </c>
      <c r="D14" s="35" t="s">
        <v>61</v>
      </c>
      <c r="E14" s="220">
        <f>'Rates ORM'!$D$13+('Bills with Surcharge OR'!C14-2000)*'Rates ORM'!$D$14+'Rates ORM'!D15+'Rates ORM'!D25</f>
        <v>100.84</v>
      </c>
      <c r="F14" s="220">
        <f>'Rates ORM'!$F$13+('Bills with Surcharge OR'!C14-2000)*'Rates ORM'!$F$14+'Rates ORM'!F15+'Rates ORM'!F25</f>
        <v>106.70000000000002</v>
      </c>
      <c r="G14" s="17">
        <f t="shared" si="1"/>
        <v>5.8600000000000136</v>
      </c>
      <c r="H14" s="68">
        <f t="shared" si="2"/>
        <v>5.8111860372868043E-2</v>
      </c>
      <c r="I14" s="38"/>
      <c r="K14" s="15"/>
    </row>
    <row r="15" spans="2:19" x14ac:dyDescent="0.35">
      <c r="B15" s="11"/>
      <c r="C15" s="6">
        <v>10000</v>
      </c>
      <c r="D15" s="35" t="s">
        <v>61</v>
      </c>
      <c r="E15" s="220">
        <f>'Rates ORM'!$D$13+('Bills with Surcharge OR'!C15-2000)*'Rates ORM'!$D$14+'Rates ORM'!D15+'Rates ORM'!D25</f>
        <v>120.86</v>
      </c>
      <c r="F15" s="220">
        <f>'Rates ORM'!$F$13+('Bills with Surcharge OR'!C15-2000)*'Rates ORM'!$F$14+'Rates ORM'!F15+'Rates ORM'!F25</f>
        <v>128.04000000000002</v>
      </c>
      <c r="G15" s="17">
        <f t="shared" si="1"/>
        <v>7.180000000000021</v>
      </c>
      <c r="H15" s="68">
        <f t="shared" si="2"/>
        <v>5.9407579017044687E-2</v>
      </c>
      <c r="I15" s="38"/>
      <c r="K15" s="15"/>
    </row>
    <row r="16" spans="2:19" x14ac:dyDescent="0.35">
      <c r="B16" s="11"/>
      <c r="C16" s="6">
        <v>15000</v>
      </c>
      <c r="D16" s="35" t="s">
        <v>61</v>
      </c>
      <c r="E16" s="220">
        <f>'Rates ORM'!$D$13+('Bills with Surcharge OR'!C16-2000)*'Rates ORM'!$D$14+'Rates ORM'!D15+'Rates ORM'!D25</f>
        <v>170.91</v>
      </c>
      <c r="F16" s="220">
        <f>'Rates ORM'!$F$13+('Bills with Surcharge OR'!C16-2000)*'Rates ORM'!$F$14+'Rates ORM'!F15+'Rates ORM'!F25</f>
        <v>181.39</v>
      </c>
      <c r="G16" s="17">
        <f t="shared" si="1"/>
        <v>10.47999999999999</v>
      </c>
      <c r="H16" s="68">
        <f t="shared" si="2"/>
        <v>6.1318822772219235E-2</v>
      </c>
      <c r="I16" s="38"/>
      <c r="K16" s="15"/>
    </row>
    <row r="17" spans="2:15" x14ac:dyDescent="0.35">
      <c r="B17" s="11"/>
      <c r="C17" s="6">
        <v>20000</v>
      </c>
      <c r="D17" s="35" t="s">
        <v>61</v>
      </c>
      <c r="E17" s="220">
        <f>'Rates ORM'!$D$13+('Bills with Surcharge OR'!C17-2000)*'Rates ORM'!$D$14+'Rates ORM'!D15+'Rates ORM'!D25</f>
        <v>220.96</v>
      </c>
      <c r="F17" s="220">
        <f>'Rates ORM'!$F$13+('Bills with Surcharge OR'!C17-2000)*'Rates ORM'!$F$14+'Rates ORM'!F15+'Rates ORM'!F25</f>
        <v>234.73999999999998</v>
      </c>
      <c r="G17" s="17">
        <f t="shared" si="1"/>
        <v>13.779999999999973</v>
      </c>
      <c r="H17" s="68">
        <f t="shared" si="2"/>
        <v>6.2364228819695749E-2</v>
      </c>
      <c r="I17" s="38"/>
      <c r="K17" s="15"/>
    </row>
    <row r="18" spans="2:15" x14ac:dyDescent="0.35">
      <c r="B18" s="11"/>
      <c r="C18" s="6">
        <v>25000</v>
      </c>
      <c r="D18" s="36" t="s">
        <v>24</v>
      </c>
      <c r="E18" s="220">
        <f>'Rates ORM'!$D$13+('Bills with Surcharge OR'!C18-2000)*'Rates ORM'!$D$14+'Rates ORM'!D15+'Rates ORM'!D25</f>
        <v>271.01</v>
      </c>
      <c r="F18" s="220">
        <f>'Rates ORM'!$F$13+('Bills with Surcharge OR'!C18-2000)*'Rates ORM'!$F$14+'Rates ORM'!F15+'Rates ORM'!F25</f>
        <v>288.09000000000003</v>
      </c>
      <c r="G18" s="17">
        <f t="shared" si="1"/>
        <v>17.080000000000041</v>
      </c>
      <c r="H18" s="68">
        <f t="shared" si="2"/>
        <v>6.3023504667724592E-2</v>
      </c>
      <c r="I18" s="38"/>
      <c r="K18" s="15"/>
    </row>
    <row r="19" spans="2:15" x14ac:dyDescent="0.35">
      <c r="B19" s="11"/>
      <c r="C19" s="6">
        <v>30000</v>
      </c>
      <c r="D19" s="36" t="s">
        <v>24</v>
      </c>
      <c r="E19" s="220">
        <f>'Rates ORM'!$D$13+('Bills with Surcharge OR'!C19-2000)*'Rates ORM'!$D$14+'Rates ORM'!D15+'Rates ORM'!D25</f>
        <v>321.06</v>
      </c>
      <c r="F19" s="220">
        <f>'Rates ORM'!$F$13+('Bills with Surcharge OR'!C19-2000)*'Rates ORM'!$F$14+'Rates ORM'!F15+'Rates ORM'!F25</f>
        <v>341.44</v>
      </c>
      <c r="G19" s="17">
        <f t="shared" si="1"/>
        <v>20.379999999999995</v>
      </c>
      <c r="H19" s="68">
        <f t="shared" si="2"/>
        <v>6.347723167009281E-2</v>
      </c>
      <c r="I19" s="38"/>
      <c r="K19" s="15"/>
      <c r="O19" s="6"/>
    </row>
    <row r="20" spans="2:15" x14ac:dyDescent="0.35">
      <c r="B20" s="11"/>
      <c r="C20" s="6">
        <v>40000</v>
      </c>
      <c r="D20" s="36" t="s">
        <v>24</v>
      </c>
      <c r="E20" s="220">
        <f>'Rates ORM'!$D$13+('Bills with Surcharge OR'!C20-2000)*'Rates ORM'!$D$14+'Rates ORM'!D15+'Rates ORM'!D25</f>
        <v>421.16</v>
      </c>
      <c r="F20" s="220">
        <f>'Rates ORM'!$F$13+('Bills with Surcharge OR'!C20-2000)*'Rates ORM'!$F$14+'Rates ORM'!F15+'Rates ORM'!F25</f>
        <v>448.14000000000004</v>
      </c>
      <c r="G20" s="17">
        <f t="shared" si="1"/>
        <v>26.980000000000018</v>
      </c>
      <c r="H20" s="68">
        <f t="shared" si="2"/>
        <v>6.4061164403077256E-2</v>
      </c>
      <c r="I20" s="38"/>
      <c r="K20" s="15"/>
    </row>
    <row r="21" spans="2:15" x14ac:dyDescent="0.35">
      <c r="B21" s="11"/>
      <c r="C21" s="6">
        <v>50000</v>
      </c>
      <c r="D21" s="36" t="s">
        <v>24</v>
      </c>
      <c r="E21" s="220">
        <f>'Rates ORM'!$D$13+('Bills with Surcharge OR'!C21-2000)*'Rates ORM'!$D$14+'Rates ORM'!D15+'Rates ORM'!D25</f>
        <v>521.26</v>
      </c>
      <c r="F21" s="220">
        <f>'Rates ORM'!$F$13+('Bills with Surcharge OR'!C21-2000)*'Rates ORM'!$F$14+'Rates ORM'!F15+'Rates ORM'!F25</f>
        <v>554.84</v>
      </c>
      <c r="G21" s="17">
        <f t="shared" si="1"/>
        <v>33.580000000000041</v>
      </c>
      <c r="H21" s="68">
        <f t="shared" si="2"/>
        <v>6.4420826458964894E-2</v>
      </c>
      <c r="I21" s="38"/>
      <c r="K21" s="15"/>
    </row>
    <row r="22" spans="2:15" x14ac:dyDescent="0.35">
      <c r="B22" s="11"/>
      <c r="C22" s="6">
        <v>75000</v>
      </c>
      <c r="D22" s="36" t="s">
        <v>25</v>
      </c>
      <c r="E22" s="220">
        <f>'Rates ORM'!$D$13+('Bills with Surcharge OR'!C22-2000)*'Rates ORM'!$D$14+'Rates ORM'!D15+'Rates ORM'!D25</f>
        <v>771.51</v>
      </c>
      <c r="F22" s="220">
        <f>'Rates ORM'!$F$13+('Bills with Surcharge OR'!C22-2000)*'Rates ORM'!$F$14+'Rates ORM'!F15+'Rates ORM'!F25</f>
        <v>821.59</v>
      </c>
      <c r="G22" s="17">
        <f t="shared" si="1"/>
        <v>50.080000000000041</v>
      </c>
      <c r="H22" s="68">
        <f t="shared" si="2"/>
        <v>6.4911666731474693E-2</v>
      </c>
      <c r="I22" s="38"/>
      <c r="K22" s="15"/>
    </row>
    <row r="23" spans="2:15" x14ac:dyDescent="0.35">
      <c r="B23" s="11"/>
      <c r="C23" s="6">
        <v>100000</v>
      </c>
      <c r="D23" s="36" t="s">
        <v>25</v>
      </c>
      <c r="E23" s="220">
        <f>'Rates ORM'!$D$13+('Bills with Surcharge OR'!C23-2000)*'Rates ORM'!$D$14+'Rates ORM'!D15+'Rates ORM'!D25</f>
        <v>1021.76</v>
      </c>
      <c r="F23" s="220">
        <f>'Rates ORM'!$F$13+('Bills with Surcharge OR'!C23-2000)*'Rates ORM'!$F$14+'Rates ORM'!F15+'Rates ORM'!F25</f>
        <v>1088.3400000000001</v>
      </c>
      <c r="G23" s="17">
        <f t="shared" si="1"/>
        <v>66.580000000000155</v>
      </c>
      <c r="H23" s="68">
        <f t="shared" si="2"/>
        <v>6.5162073285311775E-2</v>
      </c>
      <c r="I23" s="38"/>
      <c r="K23" s="15"/>
    </row>
    <row r="24" spans="2:15" x14ac:dyDescent="0.35">
      <c r="B24" s="11"/>
      <c r="C24" s="6">
        <v>200000</v>
      </c>
      <c r="D24" s="36" t="s">
        <v>25</v>
      </c>
      <c r="E24" s="220">
        <f>'Rates ORM'!$D$13+('Bills with Surcharge OR'!C24-2000)*'Rates ORM'!$D$14+'Rates ORM'!D15+'Rates ORM'!D25</f>
        <v>2022.76</v>
      </c>
      <c r="F24" s="220">
        <f>'Rates ORM'!$F$13+('Bills with Surcharge OR'!C24-2000)*'Rates ORM'!$F$14+'Rates ORM'!F15+'Rates ORM'!F25</f>
        <v>2155.3400000000006</v>
      </c>
      <c r="G24" s="17">
        <f t="shared" si="1"/>
        <v>132.58000000000061</v>
      </c>
      <c r="H24" s="68">
        <f t="shared" si="2"/>
        <v>6.5544108050386907E-2</v>
      </c>
      <c r="I24" s="38"/>
      <c r="K24" s="15"/>
    </row>
    <row r="25" spans="2:15" x14ac:dyDescent="0.35">
      <c r="B25" s="11"/>
      <c r="C25" s="6">
        <v>500000</v>
      </c>
      <c r="D25" s="36" t="s">
        <v>25</v>
      </c>
      <c r="E25" s="220">
        <f>'Rates ORM'!$D$13+('Bills with Surcharge OR'!C25-2000)*'Rates ORM'!$D$14+'Rates ORM'!D15+'Rates ORM'!D25</f>
        <v>5025.7599999999993</v>
      </c>
      <c r="F25" s="220">
        <f>'Rates ORM'!$F$13+('Bills with Surcharge OR'!C25-2000)*'Rates ORM'!$F$14+'Rates ORM'!F15+'Rates ORM'!F25</f>
        <v>5356.3400000000011</v>
      </c>
      <c r="G25" s="17">
        <f t="shared" si="1"/>
        <v>330.58000000000175</v>
      </c>
      <c r="H25" s="68">
        <f t="shared" si="2"/>
        <v>6.577711629683905E-2</v>
      </c>
      <c r="I25" s="38"/>
      <c r="K25" s="15"/>
    </row>
    <row r="26" spans="2:15" ht="6" customHeight="1" x14ac:dyDescent="0.35">
      <c r="B26" s="13"/>
      <c r="C26" s="5"/>
      <c r="D26" s="4"/>
      <c r="E26" s="193"/>
      <c r="F26" s="214"/>
      <c r="G26" s="37"/>
      <c r="H26" s="5"/>
      <c r="I26" s="14"/>
    </row>
    <row r="28" spans="2:15" x14ac:dyDescent="0.35">
      <c r="C28" s="47" t="s">
        <v>64</v>
      </c>
    </row>
    <row r="29" spans="2:15" ht="30" customHeight="1" x14ac:dyDescent="0.35">
      <c r="C29" s="423" t="s">
        <v>374</v>
      </c>
      <c r="D29" s="423"/>
      <c r="E29" s="423"/>
      <c r="F29" s="423"/>
      <c r="G29" s="423"/>
      <c r="H29" s="423"/>
      <c r="I29" s="423"/>
    </row>
    <row r="30" spans="2:15" s="274" customFormat="1" ht="27.4" customHeight="1" x14ac:dyDescent="0.35">
      <c r="C30" s="421" t="s">
        <v>375</v>
      </c>
      <c r="D30" s="421"/>
      <c r="E30" s="421"/>
      <c r="F30" s="421"/>
      <c r="G30" s="421"/>
      <c r="H30" s="421"/>
    </row>
    <row r="34" spans="2:10" x14ac:dyDescent="0.35">
      <c r="B34" s="8"/>
      <c r="C34" s="9"/>
      <c r="D34" s="9"/>
      <c r="E34" s="216"/>
      <c r="F34" s="216"/>
      <c r="G34" s="9"/>
      <c r="H34" s="9"/>
      <c r="I34" s="10"/>
    </row>
    <row r="35" spans="2:10" ht="18.5" x14ac:dyDescent="0.45">
      <c r="B35" s="420" t="s">
        <v>380</v>
      </c>
      <c r="C35" s="415"/>
      <c r="D35" s="415"/>
      <c r="E35" s="415"/>
      <c r="F35" s="415"/>
      <c r="G35" s="415"/>
      <c r="H35" s="415"/>
      <c r="I35" s="416"/>
    </row>
    <row r="36" spans="2:10" ht="18.5" x14ac:dyDescent="0.45">
      <c r="B36" s="419" t="s">
        <v>223</v>
      </c>
      <c r="C36" s="413"/>
      <c r="D36" s="413"/>
      <c r="E36" s="413"/>
      <c r="F36" s="413"/>
      <c r="G36" s="413"/>
      <c r="H36" s="413"/>
      <c r="I36" s="414"/>
    </row>
    <row r="37" spans="2:10" ht="18.5" x14ac:dyDescent="0.35">
      <c r="B37" s="11"/>
      <c r="C37" s="408" t="s">
        <v>254</v>
      </c>
      <c r="D37" s="408"/>
      <c r="E37" s="408"/>
      <c r="F37" s="408"/>
      <c r="G37" s="408"/>
      <c r="H37" s="408"/>
      <c r="I37" s="422"/>
    </row>
    <row r="38" spans="2:10" x14ac:dyDescent="0.35">
      <c r="B38" s="13"/>
      <c r="C38" s="5"/>
      <c r="D38" s="5"/>
      <c r="E38" s="217"/>
      <c r="F38" s="217"/>
      <c r="G38" s="5"/>
      <c r="H38" s="5"/>
      <c r="I38" s="14"/>
    </row>
    <row r="39" spans="2:10" ht="18.5" x14ac:dyDescent="0.35">
      <c r="B39" s="11"/>
      <c r="C39" s="6"/>
      <c r="D39" s="12"/>
      <c r="E39" s="218"/>
      <c r="F39" s="33"/>
      <c r="G39" s="33"/>
      <c r="H39" s="33"/>
      <c r="I39" s="34"/>
      <c r="J39" s="32"/>
    </row>
    <row r="40" spans="2:10" ht="16" x14ac:dyDescent="0.5">
      <c r="B40" s="11"/>
      <c r="C40" s="16" t="s">
        <v>12</v>
      </c>
      <c r="D40" s="31" t="s">
        <v>56</v>
      </c>
      <c r="E40" s="219" t="s">
        <v>22</v>
      </c>
      <c r="F40" s="221" t="s">
        <v>10</v>
      </c>
      <c r="G40" s="16"/>
      <c r="H40" s="16"/>
      <c r="I40" s="31"/>
    </row>
    <row r="41" spans="2:10" ht="16" x14ac:dyDescent="0.5">
      <c r="B41" s="11"/>
      <c r="C41" s="16" t="s">
        <v>63</v>
      </c>
      <c r="D41" s="31" t="s">
        <v>60</v>
      </c>
      <c r="E41" s="219" t="s">
        <v>58</v>
      </c>
      <c r="F41" s="221" t="s">
        <v>255</v>
      </c>
      <c r="G41" s="16" t="s">
        <v>23</v>
      </c>
      <c r="H41" s="16" t="s">
        <v>59</v>
      </c>
      <c r="I41" s="31"/>
    </row>
    <row r="42" spans="2:10" x14ac:dyDescent="0.35">
      <c r="B42" s="11"/>
      <c r="C42" s="17">
        <v>0</v>
      </c>
      <c r="D42" s="35" t="s">
        <v>61</v>
      </c>
      <c r="E42" s="220">
        <f>'Rates ORM'!D18+'Rates ORM'!D26</f>
        <v>36.519999999999996</v>
      </c>
      <c r="F42" s="153">
        <f>'Rates ORM'!F18+'Rates ORM'!F26</f>
        <v>38.42</v>
      </c>
      <c r="G42" s="46">
        <f>F42-E42</f>
        <v>1.9000000000000057</v>
      </c>
      <c r="H42" s="68">
        <f>G42/E42</f>
        <v>5.2026286966046165E-2</v>
      </c>
      <c r="I42" s="38"/>
    </row>
    <row r="43" spans="2:10" x14ac:dyDescent="0.35">
      <c r="B43" s="11"/>
      <c r="C43" s="6">
        <v>2000</v>
      </c>
      <c r="D43" s="35" t="s">
        <v>61</v>
      </c>
      <c r="E43" s="220">
        <f>'Rates ORM'!$D$18+'Rates ORM'!D26</f>
        <v>36.519999999999996</v>
      </c>
      <c r="F43" s="220">
        <f>'Rates ORM'!$F$18+('Bills with Surcharge OR'!C43-2000)*'Rates ORM'!$F$19+'Rates ORM'!F26</f>
        <v>38.42</v>
      </c>
      <c r="G43" s="17">
        <f t="shared" ref="G43:G57" si="3">F43-E43</f>
        <v>1.9000000000000057</v>
      </c>
      <c r="H43" s="68">
        <f t="shared" ref="H43:H57" si="4">G43/E43</f>
        <v>5.2026286966046165E-2</v>
      </c>
      <c r="I43" s="38"/>
    </row>
    <row r="44" spans="2:10" x14ac:dyDescent="0.35">
      <c r="B44" s="11"/>
      <c r="C44" s="39">
        <v>4000</v>
      </c>
      <c r="D44" s="40" t="s">
        <v>61</v>
      </c>
      <c r="E44" s="222">
        <f>'Rates ORM'!$D$18+('Bills with Surcharge OR'!C44-2000)*'Rates ORM'!$D$19+'Rates ORM'!D26</f>
        <v>56.539999999999992</v>
      </c>
      <c r="F44" s="222">
        <f>'Rates ORM'!$F$18+('Bills with Surcharge OR'!C44-2000)*'Rates ORM'!$F$19+'Rates ORM'!F26</f>
        <v>59.760000000000005</v>
      </c>
      <c r="G44" s="41">
        <f t="shared" si="3"/>
        <v>3.2200000000000131</v>
      </c>
      <c r="H44" s="69">
        <f t="shared" si="4"/>
        <v>5.695083126989766E-2</v>
      </c>
      <c r="I44" s="42"/>
    </row>
    <row r="45" spans="2:10" x14ac:dyDescent="0.35">
      <c r="B45" s="11"/>
      <c r="C45" s="6">
        <v>6000</v>
      </c>
      <c r="D45" s="35" t="s">
        <v>61</v>
      </c>
      <c r="E45" s="220">
        <f>'Rates ORM'!$D$18+('Bills with Surcharge OR'!C45-2000)*'Rates ORM'!$D$19+'Rates ORM'!D26</f>
        <v>76.56</v>
      </c>
      <c r="F45" s="220">
        <f>'Rates ORM'!$F$18+('Bills with Surcharge OR'!C45-2000)*'Rates ORM'!$F$19+'Rates ORM'!F26</f>
        <v>81.099999999999994</v>
      </c>
      <c r="G45" s="17">
        <f t="shared" si="3"/>
        <v>4.539999999999992</v>
      </c>
      <c r="H45" s="68">
        <f t="shared" si="4"/>
        <v>5.9299895506791954E-2</v>
      </c>
      <c r="I45" s="38"/>
    </row>
    <row r="46" spans="2:10" x14ac:dyDescent="0.35">
      <c r="B46" s="11"/>
      <c r="C46" s="6">
        <v>8000</v>
      </c>
      <c r="D46" s="35" t="s">
        <v>61</v>
      </c>
      <c r="E46" s="220">
        <f>'Rates ORM'!$D$18+('Bills with Surcharge OR'!C46-2000)*'Rates ORM'!$D$19+'Rates ORM'!D26</f>
        <v>96.58</v>
      </c>
      <c r="F46" s="220">
        <f>'Rates ORM'!$F$18+('Bills with Surcharge OR'!C46-2000)*'Rates ORM'!$F$19+'Rates ORM'!F26</f>
        <v>102.44000000000001</v>
      </c>
      <c r="G46" s="17">
        <f t="shared" si="3"/>
        <v>5.8600000000000136</v>
      </c>
      <c r="H46" s="68">
        <f t="shared" si="4"/>
        <v>6.0675088009940085E-2</v>
      </c>
      <c r="I46" s="38"/>
    </row>
    <row r="47" spans="2:10" x14ac:dyDescent="0.35">
      <c r="B47" s="11"/>
      <c r="C47" s="6">
        <v>10000</v>
      </c>
      <c r="D47" s="35" t="s">
        <v>61</v>
      </c>
      <c r="E47" s="220">
        <f>'Rates ORM'!$D$18+('Bills with Surcharge OR'!C47-2000)*'Rates ORM'!$D$19+'Rates ORM'!D26</f>
        <v>116.6</v>
      </c>
      <c r="F47" s="220">
        <f>'Rates ORM'!$F$18+('Bills with Surcharge OR'!C47-2000)*'Rates ORM'!$F$19+'Rates ORM'!F26</f>
        <v>123.78</v>
      </c>
      <c r="G47" s="17">
        <f t="shared" si="3"/>
        <v>7.1800000000000068</v>
      </c>
      <c r="H47" s="68">
        <f t="shared" si="4"/>
        <v>6.157804459691258E-2</v>
      </c>
      <c r="I47" s="38"/>
    </row>
    <row r="48" spans="2:10" x14ac:dyDescent="0.35">
      <c r="B48" s="11"/>
      <c r="C48" s="6">
        <v>15000</v>
      </c>
      <c r="D48" s="35" t="s">
        <v>61</v>
      </c>
      <c r="E48" s="220">
        <f>'Rates ORM'!$D$18+('Bills with Surcharge OR'!C48-2000)*'Rates ORM'!$D$19+'Rates ORM'!D26</f>
        <v>166.65</v>
      </c>
      <c r="F48" s="220">
        <f>'Rates ORM'!$F$18+('Bills with Surcharge OR'!C48-2000)*'Rates ORM'!$F$19+'Rates ORM'!F26</f>
        <v>177.13</v>
      </c>
      <c r="G48" s="17">
        <f t="shared" si="3"/>
        <v>10.47999999999999</v>
      </c>
      <c r="H48" s="68">
        <f t="shared" si="4"/>
        <v>6.2886288628862821E-2</v>
      </c>
      <c r="I48" s="38"/>
    </row>
    <row r="49" spans="2:9" x14ac:dyDescent="0.35">
      <c r="B49" s="11"/>
      <c r="C49" s="6">
        <v>20000</v>
      </c>
      <c r="D49" s="35" t="s">
        <v>61</v>
      </c>
      <c r="E49" s="220">
        <f>'Rates ORM'!$D$18+('Bills with Surcharge OR'!C49-2000)*'Rates ORM'!$D$19+'Rates ORM'!D26</f>
        <v>216.70000000000002</v>
      </c>
      <c r="F49" s="220">
        <f>'Rates ORM'!$F$18+('Bills with Surcharge OR'!C49-2000)*'Rates ORM'!$F$19+'Rates ORM'!F26</f>
        <v>230.48</v>
      </c>
      <c r="G49" s="17">
        <f t="shared" si="3"/>
        <v>13.779999999999973</v>
      </c>
      <c r="H49" s="68">
        <f t="shared" si="4"/>
        <v>6.3590216889709145E-2</v>
      </c>
      <c r="I49" s="38"/>
    </row>
    <row r="50" spans="2:9" x14ac:dyDescent="0.35">
      <c r="B50" s="11"/>
      <c r="C50" s="6">
        <v>25000</v>
      </c>
      <c r="D50" s="36" t="s">
        <v>24</v>
      </c>
      <c r="E50" s="220">
        <f>'Rates ORM'!$D$18+('Bills with Surcharge OR'!C50-2000)*'Rates ORM'!$D$19+'Rates ORM'!D26</f>
        <v>266.75</v>
      </c>
      <c r="F50" s="220">
        <f>'Rates ORM'!$F$18+('Bills with Surcharge OR'!C50-2000)*'Rates ORM'!$F$19+'Rates ORM'!F26</f>
        <v>283.83000000000004</v>
      </c>
      <c r="G50" s="17">
        <f t="shared" si="3"/>
        <v>17.080000000000041</v>
      </c>
      <c r="H50" s="68">
        <f t="shared" si="4"/>
        <v>6.4029990627928926E-2</v>
      </c>
      <c r="I50" s="38"/>
    </row>
    <row r="51" spans="2:9" x14ac:dyDescent="0.35">
      <c r="B51" s="11"/>
      <c r="C51" s="6">
        <v>30000</v>
      </c>
      <c r="D51" s="36" t="s">
        <v>24</v>
      </c>
      <c r="E51" s="220">
        <f>'Rates ORM'!$D$18+('Bills with Surcharge OR'!C51-2000)*'Rates ORM'!$D$19+'Rates ORM'!D26</f>
        <v>316.8</v>
      </c>
      <c r="F51" s="220">
        <f>'Rates ORM'!$F$18+('Bills with Surcharge OR'!C51-2000)*'Rates ORM'!$F$19+'Rates ORM'!F26</f>
        <v>337.18</v>
      </c>
      <c r="G51" s="17">
        <f t="shared" si="3"/>
        <v>20.379999999999995</v>
      </c>
      <c r="H51" s="68">
        <f t="shared" si="4"/>
        <v>6.4330808080808058E-2</v>
      </c>
      <c r="I51" s="38"/>
    </row>
    <row r="52" spans="2:9" x14ac:dyDescent="0.35">
      <c r="B52" s="11"/>
      <c r="C52" s="6">
        <v>40000</v>
      </c>
      <c r="D52" s="36" t="s">
        <v>24</v>
      </c>
      <c r="E52" s="220">
        <f>'Rates ORM'!$D$18+('Bills with Surcharge OR'!C52-2000)*'Rates ORM'!$D$19+'Rates ORM'!D26</f>
        <v>416.90000000000003</v>
      </c>
      <c r="F52" s="220">
        <f>'Rates ORM'!$F$18+('Bills with Surcharge OR'!C52-2000)*'Rates ORM'!$F$19+'Rates ORM'!F26</f>
        <v>443.88000000000005</v>
      </c>
      <c r="G52" s="17">
        <f t="shared" si="3"/>
        <v>26.980000000000018</v>
      </c>
      <c r="H52" s="68">
        <f t="shared" si="4"/>
        <v>6.4715759174862122E-2</v>
      </c>
      <c r="I52" s="38"/>
    </row>
    <row r="53" spans="2:9" x14ac:dyDescent="0.35">
      <c r="B53" s="11"/>
      <c r="C53" s="6">
        <v>50000</v>
      </c>
      <c r="D53" s="36" t="s">
        <v>24</v>
      </c>
      <c r="E53" s="220">
        <f>'Rates ORM'!$D$18+('Bills with Surcharge OR'!C53-2000)*'Rates ORM'!$D$19+'Rates ORM'!D26</f>
        <v>517</v>
      </c>
      <c r="F53" s="220">
        <f>'Rates ORM'!$F$18+('Bills with Surcharge OR'!C53-2000)*'Rates ORM'!$F$19+'Rates ORM'!F26</f>
        <v>550.58000000000004</v>
      </c>
      <c r="G53" s="17">
        <f t="shared" si="3"/>
        <v>33.580000000000041</v>
      </c>
      <c r="H53" s="68">
        <f t="shared" si="4"/>
        <v>6.4951644100580352E-2</v>
      </c>
      <c r="I53" s="38"/>
    </row>
    <row r="54" spans="2:9" x14ac:dyDescent="0.35">
      <c r="B54" s="11"/>
      <c r="C54" s="6">
        <v>75000</v>
      </c>
      <c r="D54" s="36" t="s">
        <v>25</v>
      </c>
      <c r="E54" s="220">
        <f>'Rates ORM'!$D$18+('Bills with Surcharge OR'!C54-2000)*'Rates ORM'!$D$19+'Rates ORM'!D26</f>
        <v>767.25</v>
      </c>
      <c r="F54" s="220">
        <f>'Rates ORM'!$F$18+('Bills with Surcharge OR'!C54-2000)*'Rates ORM'!$F$19+'Rates ORM'!F26</f>
        <v>817.33</v>
      </c>
      <c r="G54" s="17">
        <f t="shared" si="3"/>
        <v>50.080000000000041</v>
      </c>
      <c r="H54" s="68">
        <f t="shared" si="4"/>
        <v>6.5272075594656295E-2</v>
      </c>
      <c r="I54" s="38"/>
    </row>
    <row r="55" spans="2:9" x14ac:dyDescent="0.35">
      <c r="B55" s="11"/>
      <c r="C55" s="6">
        <v>100000</v>
      </c>
      <c r="D55" s="36" t="s">
        <v>25</v>
      </c>
      <c r="E55" s="220">
        <f>'Rates ORM'!$D$18+('Bills with Surcharge OR'!C55-2000)*'Rates ORM'!$D$19+'Rates ORM'!D26</f>
        <v>1017.5</v>
      </c>
      <c r="F55" s="220">
        <f>'Rates ORM'!$F$18+('Bills with Surcharge OR'!C55-2000)*'Rates ORM'!$F$19+'Rates ORM'!F26</f>
        <v>1084.0800000000002</v>
      </c>
      <c r="G55" s="17">
        <f t="shared" si="3"/>
        <v>66.580000000000155</v>
      </c>
      <c r="H55" s="68">
        <f t="shared" si="4"/>
        <v>6.5434889434889593E-2</v>
      </c>
      <c r="I55" s="38"/>
    </row>
    <row r="56" spans="2:9" x14ac:dyDescent="0.35">
      <c r="B56" s="11"/>
      <c r="C56" s="6">
        <v>200000</v>
      </c>
      <c r="D56" s="36" t="s">
        <v>25</v>
      </c>
      <c r="E56" s="220">
        <f>'Rates ORM'!$D$18+('Bills with Surcharge OR'!C56-2000)*'Rates ORM'!$D$19+'Rates ORM'!D26</f>
        <v>2018.5</v>
      </c>
      <c r="F56" s="220">
        <f>'Rates ORM'!$F$18+('Bills with Surcharge OR'!C56-2000)*'Rates ORM'!$F$19+'Rates ORM'!F26</f>
        <v>2151.0800000000004</v>
      </c>
      <c r="G56" s="17">
        <f t="shared" si="3"/>
        <v>132.58000000000038</v>
      </c>
      <c r="H56" s="68">
        <f t="shared" si="4"/>
        <v>6.5682437453554815E-2</v>
      </c>
      <c r="I56" s="38"/>
    </row>
    <row r="57" spans="2:9" x14ac:dyDescent="0.35">
      <c r="B57" s="11"/>
      <c r="C57" s="6">
        <v>500000</v>
      </c>
      <c r="D57" s="36" t="s">
        <v>25</v>
      </c>
      <c r="E57" s="220">
        <f>'Rates ORM'!$D$18+('Bills with Surcharge OR'!C57-2000)*'Rates ORM'!$D$19+'Rates ORM'!D26</f>
        <v>5021.4999999999991</v>
      </c>
      <c r="F57" s="220">
        <f>'Rates ORM'!$F$18+('Bills with Surcharge OR'!C57-2000)*'Rates ORM'!$F$19+'Rates ORM'!F26</f>
        <v>5352.0800000000008</v>
      </c>
      <c r="G57" s="17">
        <f t="shared" si="3"/>
        <v>330.58000000000175</v>
      </c>
      <c r="H57" s="68">
        <f t="shared" si="4"/>
        <v>6.5832918450662511E-2</v>
      </c>
      <c r="I57" s="38"/>
    </row>
    <row r="58" spans="2:9" ht="15.5" x14ac:dyDescent="0.35">
      <c r="B58" s="13"/>
      <c r="C58" s="5"/>
      <c r="D58" s="4"/>
      <c r="E58" s="193"/>
      <c r="F58" s="214"/>
      <c r="G58" s="37"/>
      <c r="H58" s="5"/>
      <c r="I58" s="14"/>
    </row>
    <row r="60" spans="2:9" x14ac:dyDescent="0.35">
      <c r="B60" s="417" t="s">
        <v>64</v>
      </c>
      <c r="C60" s="417"/>
      <c r="D60" s="417"/>
      <c r="E60" s="417"/>
      <c r="F60" s="417"/>
      <c r="G60" s="417"/>
      <c r="H60" s="417"/>
      <c r="I60" s="417"/>
    </row>
    <row r="61" spans="2:9" ht="18" customHeight="1" x14ac:dyDescent="0.35">
      <c r="B61" s="418" t="s">
        <v>256</v>
      </c>
      <c r="C61" s="418"/>
      <c r="D61" s="418"/>
      <c r="E61" s="418"/>
      <c r="F61" s="418"/>
      <c r="G61" s="418"/>
      <c r="H61" s="418"/>
      <c r="I61" s="418"/>
    </row>
  </sheetData>
  <mergeCells count="10">
    <mergeCell ref="B60:I60"/>
    <mergeCell ref="B61:I61"/>
    <mergeCell ref="B4:I4"/>
    <mergeCell ref="B3:I3"/>
    <mergeCell ref="C30:H30"/>
    <mergeCell ref="B35:I35"/>
    <mergeCell ref="B36:I36"/>
    <mergeCell ref="C37:I37"/>
    <mergeCell ref="C5:I5"/>
    <mergeCell ref="C29:I29"/>
  </mergeCells>
  <printOptions horizontalCentered="1"/>
  <pageMargins left="0.7" right="0.7" top="1.1000000000000001"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EF004-73BD-4C2A-85DA-B682B48EA656}">
  <sheetPr>
    <tabColor rgb="FF92D050"/>
    <pageSetUpPr fitToPage="1"/>
  </sheetPr>
  <dimension ref="A1:P79"/>
  <sheetViews>
    <sheetView topLeftCell="A6" zoomScale="91" zoomScaleNormal="91" workbookViewId="0">
      <selection activeCell="K20" sqref="K20"/>
    </sheetView>
  </sheetViews>
  <sheetFormatPr defaultColWidth="8.84375" defaultRowHeight="14.5" x14ac:dyDescent="0.35"/>
  <cols>
    <col min="1" max="1" width="8.84375" style="232"/>
    <col min="2" max="2" width="8.84375" style="142"/>
    <col min="3" max="3" width="11.07421875" style="142" bestFit="1" customWidth="1"/>
    <col min="4" max="4" width="11.4609375" style="142" bestFit="1" customWidth="1"/>
    <col min="5" max="5" width="27.69140625" style="142" customWidth="1"/>
    <col min="6" max="13" width="11.4609375" style="142" bestFit="1" customWidth="1"/>
    <col min="14" max="14" width="9.921875" style="142" customWidth="1"/>
    <col min="15" max="15" width="13.53515625" style="142" customWidth="1"/>
    <col min="16" max="16" width="10.84375" style="142" customWidth="1"/>
    <col min="17" max="16384" width="8.84375" style="142"/>
  </cols>
  <sheetData>
    <row r="1" spans="1:16" ht="15.5" customHeight="1" x14ac:dyDescent="0.35">
      <c r="A1" s="428" t="s">
        <v>189</v>
      </c>
      <c r="B1" s="428"/>
      <c r="C1" s="428"/>
      <c r="D1" s="428"/>
      <c r="E1" s="428"/>
      <c r="F1" s="428"/>
      <c r="G1" s="428"/>
      <c r="H1" s="428"/>
    </row>
    <row r="2" spans="1:16" ht="15.5" customHeight="1" x14ac:dyDescent="0.35">
      <c r="A2" s="21"/>
      <c r="B2" s="1"/>
      <c r="C2" s="1"/>
      <c r="D2" s="374" t="s">
        <v>376</v>
      </c>
      <c r="E2" s="374"/>
      <c r="F2" s="374"/>
      <c r="G2" s="374"/>
      <c r="H2" s="374"/>
      <c r="I2" s="1"/>
      <c r="J2" s="1"/>
      <c r="K2" s="1"/>
    </row>
    <row r="3" spans="1:16" x14ac:dyDescent="0.35">
      <c r="A3" s="21"/>
      <c r="B3" s="1"/>
      <c r="C3" s="1"/>
      <c r="D3" s="424" t="s">
        <v>162</v>
      </c>
      <c r="E3" s="424"/>
      <c r="F3" s="195"/>
      <c r="G3" s="195"/>
      <c r="H3" s="54"/>
      <c r="I3" s="1"/>
      <c r="J3" s="1"/>
      <c r="K3" s="1"/>
      <c r="O3" s="142" t="s">
        <v>310</v>
      </c>
    </row>
    <row r="4" spans="1:16" x14ac:dyDescent="0.35">
      <c r="A4" s="21"/>
      <c r="B4" s="1"/>
      <c r="C4" s="1"/>
      <c r="D4" s="426" t="s">
        <v>163</v>
      </c>
      <c r="E4" s="426"/>
      <c r="F4" s="194" t="s">
        <v>164</v>
      </c>
      <c r="G4" s="194" t="s">
        <v>165</v>
      </c>
      <c r="H4" s="197" t="s">
        <v>166</v>
      </c>
      <c r="I4" s="1"/>
      <c r="J4" s="1"/>
      <c r="K4" s="1"/>
      <c r="O4" s="142" t="s">
        <v>281</v>
      </c>
      <c r="P4" s="291">
        <v>-25620.52</v>
      </c>
    </row>
    <row r="5" spans="1:16" x14ac:dyDescent="0.35">
      <c r="A5" s="21"/>
      <c r="B5" s="1"/>
      <c r="C5" s="1"/>
      <c r="D5" s="427" t="s">
        <v>383</v>
      </c>
      <c r="E5" s="427"/>
      <c r="F5" s="196">
        <f>D24</f>
        <v>40332</v>
      </c>
      <c r="G5" s="196">
        <f>E24</f>
        <v>210830689</v>
      </c>
      <c r="H5" s="200">
        <f>G24</f>
        <v>3036006.1674199998</v>
      </c>
      <c r="I5" s="1"/>
      <c r="J5" s="1"/>
      <c r="K5" s="1"/>
      <c r="O5" s="142" t="s">
        <v>283</v>
      </c>
      <c r="P5" s="291">
        <v>-462016.25</v>
      </c>
    </row>
    <row r="6" spans="1:16" x14ac:dyDescent="0.35">
      <c r="A6" s="21"/>
      <c r="B6" s="1"/>
      <c r="C6" s="1"/>
      <c r="D6" s="424" t="s">
        <v>173</v>
      </c>
      <c r="E6" s="424"/>
      <c r="F6" s="195"/>
      <c r="G6" s="195"/>
      <c r="H6" s="238">
        <f>P7</f>
        <v>-490214.04000000004</v>
      </c>
      <c r="I6" s="1"/>
      <c r="J6" s="1"/>
      <c r="K6" s="1"/>
      <c r="O6" s="142" t="s">
        <v>282</v>
      </c>
      <c r="P6" s="298">
        <v>-2577.27</v>
      </c>
    </row>
    <row r="7" spans="1:16" x14ac:dyDescent="0.35">
      <c r="A7" s="21"/>
      <c r="B7" s="1"/>
      <c r="C7" s="1"/>
      <c r="D7" s="424" t="s">
        <v>176</v>
      </c>
      <c r="E7" s="424"/>
      <c r="F7" s="195"/>
      <c r="G7" s="195"/>
      <c r="H7" s="201">
        <f>H5+H6</f>
        <v>2545792.1274199998</v>
      </c>
      <c r="I7" s="1"/>
      <c r="J7" s="1"/>
      <c r="K7" s="1"/>
      <c r="P7" s="291">
        <f>SUM(P4:P6)</f>
        <v>-490214.04000000004</v>
      </c>
    </row>
    <row r="8" spans="1:16" x14ac:dyDescent="0.35">
      <c r="A8" s="21"/>
      <c r="B8" s="1"/>
      <c r="C8" s="1"/>
      <c r="D8" s="424" t="s">
        <v>381</v>
      </c>
      <c r="E8" s="424"/>
      <c r="F8" s="195"/>
      <c r="G8" s="195"/>
      <c r="H8" s="264">
        <f>-SAO!D6-SAO!D7</f>
        <v>-1782190.01</v>
      </c>
      <c r="I8" s="1"/>
      <c r="J8" s="1"/>
      <c r="K8" s="1"/>
    </row>
    <row r="9" spans="1:16" x14ac:dyDescent="0.35">
      <c r="A9" s="21"/>
      <c r="B9" s="1"/>
      <c r="C9" s="1"/>
      <c r="D9" s="195"/>
      <c r="E9" s="148"/>
      <c r="F9" s="195"/>
      <c r="G9" s="195"/>
      <c r="H9" s="305">
        <f>-SAO!E6</f>
        <v>0</v>
      </c>
      <c r="I9" s="1"/>
      <c r="J9" s="1"/>
      <c r="K9" s="1"/>
    </row>
    <row r="10" spans="1:16" x14ac:dyDescent="0.35">
      <c r="A10" s="21"/>
      <c r="B10" s="1"/>
      <c r="C10" s="1"/>
      <c r="D10" s="195"/>
      <c r="E10" s="148"/>
      <c r="F10" s="195"/>
      <c r="G10" s="195"/>
      <c r="H10" s="238">
        <v>0</v>
      </c>
      <c r="I10" s="1"/>
      <c r="J10" s="1"/>
      <c r="K10" s="1"/>
    </row>
    <row r="11" spans="1:16" x14ac:dyDescent="0.35">
      <c r="A11" s="21"/>
      <c r="B11" s="1"/>
      <c r="C11" s="1"/>
      <c r="D11" s="424" t="s">
        <v>57</v>
      </c>
      <c r="E11" s="424"/>
      <c r="F11" s="195"/>
      <c r="G11" s="195"/>
      <c r="H11" s="201">
        <f>H7+H8+H9+H10</f>
        <v>763602.11741999979</v>
      </c>
      <c r="I11" s="1" t="s">
        <v>177</v>
      </c>
      <c r="J11" s="1"/>
      <c r="K11" s="1"/>
      <c r="L11" s="205">
        <f>-H11/H8</f>
        <v>0.42846279753301936</v>
      </c>
    </row>
    <row r="12" spans="1:16" x14ac:dyDescent="0.35">
      <c r="A12" s="21"/>
      <c r="B12" s="1"/>
      <c r="C12" s="1"/>
      <c r="D12" s="425"/>
      <c r="E12" s="425"/>
      <c r="F12" s="1"/>
      <c r="G12" s="1"/>
      <c r="H12" s="7"/>
      <c r="I12" s="1"/>
      <c r="J12" s="1"/>
      <c r="K12" s="1"/>
    </row>
    <row r="13" spans="1:16" x14ac:dyDescent="0.35">
      <c r="A13" s="233" t="s">
        <v>184</v>
      </c>
      <c r="B13" s="1"/>
      <c r="C13" s="1"/>
      <c r="D13" s="1"/>
      <c r="E13" s="1"/>
      <c r="F13" s="1"/>
      <c r="G13" s="1"/>
      <c r="H13" s="7"/>
      <c r="I13" s="1"/>
      <c r="J13" s="1"/>
      <c r="K13" s="1"/>
    </row>
    <row r="14" spans="1:16" x14ac:dyDescent="0.35">
      <c r="A14" s="21"/>
      <c r="B14" s="195"/>
      <c r="C14" s="195"/>
      <c r="D14" s="195"/>
      <c r="E14" s="195"/>
      <c r="F14" s="256" t="s">
        <v>167</v>
      </c>
      <c r="G14" s="256" t="s">
        <v>183</v>
      </c>
      <c r="H14" s="195" t="s">
        <v>11</v>
      </c>
    </row>
    <row r="15" spans="1:16" x14ac:dyDescent="0.35">
      <c r="A15" s="21"/>
      <c r="B15" s="195"/>
      <c r="C15" s="194" t="s">
        <v>169</v>
      </c>
      <c r="D15" s="194" t="s">
        <v>170</v>
      </c>
      <c r="E15" s="254" t="s">
        <v>12</v>
      </c>
      <c r="F15" s="254" t="s">
        <v>182</v>
      </c>
      <c r="G15" s="254" t="s">
        <v>182</v>
      </c>
      <c r="H15" s="194"/>
    </row>
    <row r="16" spans="1:16" x14ac:dyDescent="0.35">
      <c r="A16" s="21"/>
      <c r="B16" s="195" t="s">
        <v>167</v>
      </c>
      <c r="C16" s="74">
        <v>2000</v>
      </c>
      <c r="D16" s="196">
        <f>P36</f>
        <v>40328</v>
      </c>
      <c r="E16" s="196">
        <f>P31</f>
        <v>22799947</v>
      </c>
      <c r="F16" s="196">
        <f>E16</f>
        <v>22799947</v>
      </c>
      <c r="G16" s="196">
        <v>0</v>
      </c>
      <c r="H16" s="196">
        <f>SUM(F16:G16)</f>
        <v>22799947</v>
      </c>
    </row>
    <row r="17" spans="1:16" x14ac:dyDescent="0.35">
      <c r="A17" s="21"/>
      <c r="B17" s="195" t="s">
        <v>168</v>
      </c>
      <c r="C17" s="74">
        <v>2000</v>
      </c>
      <c r="D17" s="202">
        <f>P37</f>
        <v>4</v>
      </c>
      <c r="E17" s="202">
        <f>P32</f>
        <v>188030742</v>
      </c>
      <c r="F17" s="202">
        <f>C17*D17</f>
        <v>8000</v>
      </c>
      <c r="G17" s="202">
        <f>E17-F17</f>
        <v>188022742</v>
      </c>
      <c r="H17" s="202">
        <f>SUM(F17:G17)</f>
        <v>188030742</v>
      </c>
    </row>
    <row r="18" spans="1:16" x14ac:dyDescent="0.35">
      <c r="A18" s="21"/>
      <c r="B18" s="195"/>
      <c r="C18" s="74"/>
      <c r="D18" s="196">
        <f>SUM(D16:D17)</f>
        <v>40332</v>
      </c>
      <c r="E18" s="196">
        <f>SUM(E16:E17)</f>
        <v>210830689</v>
      </c>
      <c r="F18" s="196">
        <f>SUM(F16:F17)</f>
        <v>22807947</v>
      </c>
      <c r="G18" s="196">
        <f>SUM(G16:G17)</f>
        <v>188022742</v>
      </c>
      <c r="H18" s="196">
        <f>SUM(H16:H17)</f>
        <v>210830689</v>
      </c>
    </row>
    <row r="19" spans="1:16" x14ac:dyDescent="0.35">
      <c r="A19" s="21"/>
      <c r="B19" s="1"/>
      <c r="C19" s="1"/>
      <c r="D19" s="1"/>
      <c r="E19" s="1"/>
      <c r="F19" s="1"/>
      <c r="G19" s="1"/>
      <c r="H19" s="7"/>
      <c r="I19" s="1"/>
      <c r="J19" s="1"/>
      <c r="K19" s="1"/>
    </row>
    <row r="20" spans="1:16" x14ac:dyDescent="0.35">
      <c r="A20" s="233" t="s">
        <v>171</v>
      </c>
      <c r="B20" s="1"/>
      <c r="C20" s="1"/>
      <c r="D20" s="1"/>
      <c r="E20" s="1"/>
      <c r="F20" s="341" t="s">
        <v>357</v>
      </c>
      <c r="G20" s="1"/>
      <c r="H20" s="7"/>
      <c r="I20" s="1"/>
      <c r="J20" s="1"/>
      <c r="K20" s="1"/>
    </row>
    <row r="21" spans="1:16" x14ac:dyDescent="0.35">
      <c r="A21" s="21"/>
      <c r="B21" s="1"/>
      <c r="C21" s="235" t="s">
        <v>169</v>
      </c>
      <c r="D21" s="235" t="s">
        <v>170</v>
      </c>
      <c r="E21" s="255" t="s">
        <v>12</v>
      </c>
      <c r="F21" s="235" t="s">
        <v>172</v>
      </c>
      <c r="G21" s="257" t="s">
        <v>166</v>
      </c>
      <c r="H21" s="7"/>
      <c r="I21" s="1"/>
      <c r="J21" s="1"/>
      <c r="K21" s="1"/>
    </row>
    <row r="22" spans="1:16" x14ac:dyDescent="0.35">
      <c r="A22" s="21"/>
      <c r="B22" s="195" t="s">
        <v>167</v>
      </c>
      <c r="C22" s="74">
        <v>2000</v>
      </c>
      <c r="D22" s="2">
        <f>D18</f>
        <v>40332</v>
      </c>
      <c r="E22" s="2">
        <f>F18</f>
        <v>22807947</v>
      </c>
      <c r="F22" s="198">
        <f>'Rates ORM'!D13</f>
        <v>28.61</v>
      </c>
      <c r="G22" s="199">
        <f>D22*F22</f>
        <v>1153898.52</v>
      </c>
      <c r="H22" s="7"/>
      <c r="I22" s="155"/>
      <c r="J22" s="1"/>
      <c r="K22" s="1"/>
    </row>
    <row r="23" spans="1:16" x14ac:dyDescent="0.35">
      <c r="A23" s="21"/>
      <c r="B23" s="195" t="s">
        <v>168</v>
      </c>
      <c r="C23" s="74">
        <v>2000</v>
      </c>
      <c r="D23" s="28"/>
      <c r="E23" s="28">
        <f>G18</f>
        <v>188022742</v>
      </c>
      <c r="F23" s="237">
        <f>'Rates ORM'!D14</f>
        <v>1.001E-2</v>
      </c>
      <c r="G23" s="236">
        <f>E23*F23</f>
        <v>1882107.6474200001</v>
      </c>
      <c r="H23" s="7"/>
      <c r="I23" s="155"/>
      <c r="J23" s="1"/>
      <c r="K23" s="1"/>
    </row>
    <row r="24" spans="1:16" x14ac:dyDescent="0.35">
      <c r="A24" s="21"/>
      <c r="B24" s="195"/>
      <c r="C24" s="74"/>
      <c r="D24" s="196">
        <f>SUM(D22:D23)</f>
        <v>40332</v>
      </c>
      <c r="E24" s="196">
        <f>SUM(E22:E23)</f>
        <v>210830689</v>
      </c>
      <c r="F24" s="196"/>
      <c r="G24" s="252">
        <f>SUM(G22:G23)</f>
        <v>3036006.1674199998</v>
      </c>
      <c r="H24" s="7"/>
      <c r="I24" s="155"/>
      <c r="J24" s="1"/>
      <c r="K24" s="1"/>
    </row>
    <row r="25" spans="1:16" x14ac:dyDescent="0.35">
      <c r="A25" s="21"/>
      <c r="B25" s="195"/>
      <c r="C25" s="74"/>
      <c r="D25" s="2"/>
      <c r="E25" s="2"/>
      <c r="F25" s="234"/>
      <c r="G25" s="199"/>
      <c r="H25" s="7"/>
      <c r="I25" s="155"/>
      <c r="J25" s="1"/>
      <c r="K25" s="1"/>
    </row>
    <row r="26" spans="1:16" x14ac:dyDescent="0.35">
      <c r="A26" s="21"/>
      <c r="B26" s="296" t="s">
        <v>307</v>
      </c>
      <c r="C26" s="74"/>
      <c r="D26" s="2"/>
      <c r="E26" s="2"/>
      <c r="F26" s="46">
        <v>4.26</v>
      </c>
      <c r="G26" s="251"/>
      <c r="H26" s="6"/>
      <c r="I26" s="155"/>
      <c r="J26" s="1"/>
      <c r="K26" s="1"/>
    </row>
    <row r="27" spans="1:16" x14ac:dyDescent="0.35">
      <c r="A27" s="21"/>
      <c r="B27" s="296" t="s">
        <v>308</v>
      </c>
      <c r="C27" s="74"/>
      <c r="D27" s="2"/>
      <c r="E27" s="2"/>
      <c r="F27" s="46">
        <v>7.91</v>
      </c>
      <c r="G27" s="251"/>
      <c r="H27" s="6"/>
      <c r="I27" s="155"/>
      <c r="J27" s="1"/>
      <c r="K27" s="1"/>
    </row>
    <row r="28" spans="1:16" x14ac:dyDescent="0.35">
      <c r="A28" s="21"/>
      <c r="B28" s="296" t="s">
        <v>309</v>
      </c>
      <c r="C28" s="74"/>
      <c r="D28" s="196"/>
      <c r="E28" s="196"/>
      <c r="F28" s="297">
        <v>4.79E-3</v>
      </c>
      <c r="G28" s="196"/>
      <c r="H28" s="6"/>
      <c r="I28" s="155"/>
      <c r="J28" s="1"/>
      <c r="K28" s="1"/>
    </row>
    <row r="29" spans="1:16" x14ac:dyDescent="0.35">
      <c r="A29" s="21"/>
      <c r="B29" s="195"/>
      <c r="C29" s="74"/>
      <c r="D29" s="2"/>
      <c r="E29" s="2"/>
      <c r="F29" s="237"/>
      <c r="G29" s="251"/>
      <c r="H29" s="6"/>
      <c r="I29" s="155"/>
      <c r="J29" s="1"/>
      <c r="K29" s="1"/>
    </row>
    <row r="30" spans="1:16" x14ac:dyDescent="0.35">
      <c r="A30" s="21"/>
      <c r="B30" s="282" t="s">
        <v>277</v>
      </c>
      <c r="C30" s="74"/>
      <c r="D30" s="281" t="s">
        <v>265</v>
      </c>
      <c r="E30" s="281" t="s">
        <v>266</v>
      </c>
      <c r="F30" s="281" t="s">
        <v>267</v>
      </c>
      <c r="G30" s="281" t="s">
        <v>268</v>
      </c>
      <c r="H30" s="281" t="s">
        <v>269</v>
      </c>
      <c r="I30" s="281" t="s">
        <v>270</v>
      </c>
      <c r="J30" s="281" t="s">
        <v>271</v>
      </c>
      <c r="K30" s="281" t="s">
        <v>272</v>
      </c>
      <c r="L30" s="281" t="s">
        <v>273</v>
      </c>
      <c r="M30" s="281" t="s">
        <v>274</v>
      </c>
      <c r="N30" s="281" t="s">
        <v>275</v>
      </c>
      <c r="O30" s="281" t="s">
        <v>276</v>
      </c>
    </row>
    <row r="31" spans="1:16" x14ac:dyDescent="0.35">
      <c r="A31" s="21"/>
      <c r="B31" s="195" t="s">
        <v>167</v>
      </c>
      <c r="C31" s="74">
        <v>2000</v>
      </c>
      <c r="D31" s="7">
        <v>1219590</v>
      </c>
      <c r="E31" s="7">
        <v>1052000</v>
      </c>
      <c r="F31" s="7">
        <v>1544020</v>
      </c>
      <c r="G31" s="7">
        <v>1320160</v>
      </c>
      <c r="H31" s="7">
        <v>1290040</v>
      </c>
      <c r="I31" s="7">
        <v>1366110</v>
      </c>
      <c r="J31" s="7">
        <v>1216150</v>
      </c>
      <c r="K31" s="7">
        <v>1364600</v>
      </c>
      <c r="L31" s="292">
        <v>1336120</v>
      </c>
      <c r="M31" s="292">
        <v>3464160</v>
      </c>
      <c r="N31" s="292">
        <v>4244326</v>
      </c>
      <c r="O31" s="292">
        <v>3382671</v>
      </c>
      <c r="P31" s="292">
        <f>SUM(D31:O31)</f>
        <v>22799947</v>
      </c>
    </row>
    <row r="32" spans="1:16" x14ac:dyDescent="0.35">
      <c r="B32" s="195" t="s">
        <v>168</v>
      </c>
      <c r="C32" s="74">
        <v>2000</v>
      </c>
      <c r="D32" s="294">
        <f>3659550+2565040+1182590+582750+317740+144040+73410+68600+76650+83840+24950+62500+32750+34920+74300+46890+108100+110080+249400</f>
        <v>9498100</v>
      </c>
      <c r="E32" s="294">
        <f>2919340+2760380+1696360+929020+705640+408250+327250+306120+209620+229380+160980+201780+107480+85950+67810+105530+73760+78050+40540+213840+44380+49940+106920+54650+61700+125050+65480+148920+78840+82020+87270+89260+91460+186970+249950+181200+186850+198800+262190+373160+598980</f>
        <v>14951070</v>
      </c>
      <c r="F32" s="294">
        <f>2996710+1558380+680500+428020+380560+152310+166370+49380+38610+62980+22400+24370+29070+65010+69860+78300+42550+74820+76370+83210+123700+127600+144670+154370+197830+234870</f>
        <v>8062820</v>
      </c>
      <c r="G32" s="294">
        <f>10632440-G31</f>
        <v>9312280</v>
      </c>
      <c r="H32" s="294">
        <f>11272940-H31</f>
        <v>9982900</v>
      </c>
      <c r="I32" s="294">
        <f>10815880-I31</f>
        <v>9449770</v>
      </c>
      <c r="J32" s="294">
        <f>12622640-J31</f>
        <v>11406490</v>
      </c>
      <c r="K32" s="294">
        <f>21097100-K31</f>
        <v>19732500</v>
      </c>
      <c r="L32" s="294">
        <f>11273610-L31</f>
        <v>9937490</v>
      </c>
      <c r="M32" s="294">
        <f>33693020-M31</f>
        <v>30228860</v>
      </c>
      <c r="N32" s="294">
        <f>32984610-N31</f>
        <v>28740284</v>
      </c>
      <c r="O32" s="294">
        <f>30110849-O31</f>
        <v>26728178</v>
      </c>
      <c r="P32" s="292">
        <f>SUM(D32:O32)</f>
        <v>188030742</v>
      </c>
    </row>
    <row r="33" spans="2:16" x14ac:dyDescent="0.35">
      <c r="D33" s="292">
        <f>SUM(D31:D32)</f>
        <v>10717690</v>
      </c>
      <c r="E33" s="292">
        <f t="shared" ref="E33:O33" si="0">SUM(E31:E32)</f>
        <v>16003070</v>
      </c>
      <c r="F33" s="292">
        <f t="shared" si="0"/>
        <v>9606840</v>
      </c>
      <c r="G33" s="292">
        <f t="shared" si="0"/>
        <v>10632440</v>
      </c>
      <c r="H33" s="292">
        <f t="shared" si="0"/>
        <v>11272940</v>
      </c>
      <c r="I33" s="292">
        <f t="shared" si="0"/>
        <v>10815880</v>
      </c>
      <c r="J33" s="292">
        <f t="shared" si="0"/>
        <v>12622640</v>
      </c>
      <c r="K33" s="292">
        <f t="shared" si="0"/>
        <v>21097100</v>
      </c>
      <c r="L33" s="292">
        <f t="shared" si="0"/>
        <v>11273610</v>
      </c>
      <c r="M33" s="292">
        <f t="shared" si="0"/>
        <v>33693020</v>
      </c>
      <c r="N33" s="292">
        <f t="shared" si="0"/>
        <v>32984610</v>
      </c>
      <c r="O33" s="292">
        <f t="shared" si="0"/>
        <v>30110849</v>
      </c>
      <c r="P33" s="292">
        <f>SUM(D33:O33)</f>
        <v>210830689</v>
      </c>
    </row>
    <row r="34" spans="2:16" x14ac:dyDescent="0.35">
      <c r="D34" s="292"/>
      <c r="E34" s="292"/>
      <c r="F34" s="292"/>
      <c r="G34" s="292"/>
      <c r="H34" s="292"/>
      <c r="I34" s="292"/>
      <c r="J34" s="292"/>
      <c r="K34" s="292"/>
      <c r="L34" s="292"/>
      <c r="M34" s="292"/>
      <c r="N34" s="292"/>
      <c r="O34" s="292"/>
      <c r="P34" s="292"/>
    </row>
    <row r="35" spans="2:16" x14ac:dyDescent="0.35">
      <c r="B35" s="282" t="s">
        <v>278</v>
      </c>
      <c r="C35" s="74"/>
      <c r="D35" s="295" t="s">
        <v>265</v>
      </c>
      <c r="E35" s="295" t="s">
        <v>266</v>
      </c>
      <c r="F35" s="295" t="s">
        <v>267</v>
      </c>
      <c r="G35" s="295" t="s">
        <v>268</v>
      </c>
      <c r="H35" s="295" t="s">
        <v>269</v>
      </c>
      <c r="I35" s="295" t="s">
        <v>270</v>
      </c>
      <c r="J35" s="295" t="s">
        <v>271</v>
      </c>
      <c r="K35" s="295" t="s">
        <v>272</v>
      </c>
      <c r="L35" s="295" t="s">
        <v>273</v>
      </c>
      <c r="M35" s="295" t="s">
        <v>274</v>
      </c>
      <c r="N35" s="295" t="s">
        <v>275</v>
      </c>
      <c r="O35" s="295" t="s">
        <v>276</v>
      </c>
      <c r="P35" s="292"/>
    </row>
    <row r="36" spans="2:16" x14ac:dyDescent="0.35">
      <c r="B36" s="195" t="s">
        <v>167</v>
      </c>
      <c r="C36" s="74">
        <v>2000</v>
      </c>
      <c r="D36" s="7">
        <v>3379</v>
      </c>
      <c r="E36" s="7">
        <v>3385</v>
      </c>
      <c r="F36" s="7">
        <v>3354</v>
      </c>
      <c r="G36" s="7">
        <v>3348</v>
      </c>
      <c r="H36" s="7">
        <v>3346</v>
      </c>
      <c r="I36" s="7">
        <v>3361</v>
      </c>
      <c r="J36" s="7">
        <v>3359</v>
      </c>
      <c r="K36" s="7">
        <v>3358</v>
      </c>
      <c r="L36" s="292">
        <v>3367</v>
      </c>
      <c r="M36" s="292">
        <v>3359</v>
      </c>
      <c r="N36" s="292">
        <v>3361</v>
      </c>
      <c r="O36" s="292">
        <v>3351</v>
      </c>
      <c r="P36" s="292">
        <f t="shared" ref="P36:P37" si="1">SUM(D36:O36)</f>
        <v>40328</v>
      </c>
    </row>
    <row r="37" spans="2:16" x14ac:dyDescent="0.35">
      <c r="B37" s="195" t="s">
        <v>168</v>
      </c>
      <c r="C37" s="74">
        <v>2000</v>
      </c>
      <c r="D37" s="294">
        <f>3380-D36</f>
        <v>1</v>
      </c>
      <c r="E37" s="294">
        <f>3386-E36</f>
        <v>1</v>
      </c>
      <c r="F37" s="294">
        <f>3356-F36</f>
        <v>2</v>
      </c>
      <c r="G37" s="294">
        <f>3348-G36</f>
        <v>0</v>
      </c>
      <c r="H37" s="294">
        <f>3346-H36</f>
        <v>0</v>
      </c>
      <c r="I37" s="294">
        <f>3361-I36</f>
        <v>0</v>
      </c>
      <c r="J37" s="294">
        <f>3359-J36</f>
        <v>0</v>
      </c>
      <c r="K37" s="294">
        <f>3358-K36</f>
        <v>0</v>
      </c>
      <c r="L37" s="294">
        <f>3367-L36</f>
        <v>0</v>
      </c>
      <c r="M37" s="294">
        <f>3359-M36</f>
        <v>0</v>
      </c>
      <c r="N37" s="294">
        <f>3361-N36</f>
        <v>0</v>
      </c>
      <c r="O37" s="294">
        <f>3351-O36</f>
        <v>0</v>
      </c>
      <c r="P37" s="292">
        <f t="shared" si="1"/>
        <v>4</v>
      </c>
    </row>
    <row r="38" spans="2:16" x14ac:dyDescent="0.35">
      <c r="D38" s="292">
        <f>SUM(D36:D37)</f>
        <v>3380</v>
      </c>
      <c r="E38" s="292">
        <f t="shared" ref="E38:O38" si="2">SUM(E36:E37)</f>
        <v>3386</v>
      </c>
      <c r="F38" s="292">
        <f t="shared" si="2"/>
        <v>3356</v>
      </c>
      <c r="G38" s="292">
        <f t="shared" si="2"/>
        <v>3348</v>
      </c>
      <c r="H38" s="292">
        <f t="shared" si="2"/>
        <v>3346</v>
      </c>
      <c r="I38" s="292">
        <f t="shared" si="2"/>
        <v>3361</v>
      </c>
      <c r="J38" s="292">
        <f t="shared" si="2"/>
        <v>3359</v>
      </c>
      <c r="K38" s="292">
        <f t="shared" si="2"/>
        <v>3358</v>
      </c>
      <c r="L38" s="292">
        <f t="shared" si="2"/>
        <v>3367</v>
      </c>
      <c r="M38" s="292">
        <f t="shared" si="2"/>
        <v>3359</v>
      </c>
      <c r="N38" s="292">
        <f t="shared" si="2"/>
        <v>3361</v>
      </c>
      <c r="O38" s="292">
        <f t="shared" si="2"/>
        <v>3351</v>
      </c>
      <c r="P38" s="292"/>
    </row>
    <row r="41" spans="2:16" x14ac:dyDescent="0.35">
      <c r="B41" s="282" t="s">
        <v>279</v>
      </c>
      <c r="C41" s="74"/>
      <c r="D41" s="281" t="s">
        <v>265</v>
      </c>
      <c r="E41" s="281" t="s">
        <v>266</v>
      </c>
      <c r="F41" s="281" t="s">
        <v>267</v>
      </c>
      <c r="G41" s="281" t="s">
        <v>268</v>
      </c>
      <c r="H41" s="281" t="s">
        <v>269</v>
      </c>
      <c r="I41" s="281" t="s">
        <v>270</v>
      </c>
      <c r="J41" s="281" t="s">
        <v>271</v>
      </c>
      <c r="K41" s="281" t="s">
        <v>272</v>
      </c>
      <c r="L41" s="281" t="s">
        <v>273</v>
      </c>
      <c r="M41" s="281" t="s">
        <v>274</v>
      </c>
      <c r="N41" s="281" t="s">
        <v>275</v>
      </c>
      <c r="O41" s="281" t="s">
        <v>276</v>
      </c>
    </row>
    <row r="42" spans="2:16" x14ac:dyDescent="0.35">
      <c r="B42" s="195" t="s">
        <v>167</v>
      </c>
      <c r="C42" s="74">
        <v>2000</v>
      </c>
      <c r="D42" s="2">
        <v>10997</v>
      </c>
      <c r="E42" s="2">
        <v>11043</v>
      </c>
      <c r="F42" s="2">
        <v>11436</v>
      </c>
      <c r="G42" s="2">
        <v>11109</v>
      </c>
      <c r="H42" s="2">
        <v>11067</v>
      </c>
      <c r="I42" s="2">
        <v>11242</v>
      </c>
      <c r="J42" s="1">
        <v>11064</v>
      </c>
      <c r="K42" s="1">
        <v>11175</v>
      </c>
      <c r="L42" s="142">
        <v>11133</v>
      </c>
      <c r="M42" s="142">
        <v>6898</v>
      </c>
      <c r="N42" s="142">
        <v>7630</v>
      </c>
      <c r="O42" s="142">
        <v>7435</v>
      </c>
      <c r="P42" s="283">
        <f t="shared" ref="P42:P43" si="3">SUM(D42:O42)</f>
        <v>122229</v>
      </c>
    </row>
    <row r="43" spans="2:16" x14ac:dyDescent="0.35">
      <c r="B43" s="195" t="s">
        <v>168</v>
      </c>
      <c r="C43" s="74">
        <v>2000</v>
      </c>
      <c r="D43" s="284">
        <f>1311+537+174+66+30+11+5+4+4+4+1+2+1+1+2+1+1+1+1</f>
        <v>2157</v>
      </c>
      <c r="E43" s="285">
        <f>13179-E42</f>
        <v>2136</v>
      </c>
      <c r="F43" s="285">
        <f>13054-F42</f>
        <v>1618</v>
      </c>
      <c r="G43" s="285">
        <f>13031-G42</f>
        <v>1922</v>
      </c>
      <c r="H43" s="285">
        <f>13021-H42</f>
        <v>1954</v>
      </c>
      <c r="I43" s="285">
        <f>13079-I42</f>
        <v>1837</v>
      </c>
      <c r="J43" s="284">
        <f>13075-J42</f>
        <v>2011</v>
      </c>
      <c r="K43" s="284">
        <f>13068-K42</f>
        <v>1893</v>
      </c>
      <c r="L43" s="284">
        <f>13103-L42</f>
        <v>1970</v>
      </c>
      <c r="M43" s="284">
        <f>13030-M42</f>
        <v>6132</v>
      </c>
      <c r="N43" s="284">
        <f>13023-N42</f>
        <v>5393</v>
      </c>
      <c r="O43" s="284">
        <f>12977-O42</f>
        <v>5542</v>
      </c>
      <c r="P43" s="283">
        <f t="shared" si="3"/>
        <v>34565</v>
      </c>
    </row>
    <row r="44" spans="2:16" x14ac:dyDescent="0.35">
      <c r="D44" s="283">
        <f>SUM(D42:D43)</f>
        <v>13154</v>
      </c>
      <c r="E44" s="283">
        <f t="shared" ref="E44" si="4">SUM(E42:E43)</f>
        <v>13179</v>
      </c>
      <c r="F44" s="283">
        <f t="shared" ref="F44" si="5">SUM(F42:F43)</f>
        <v>13054</v>
      </c>
      <c r="G44" s="283">
        <f t="shared" ref="G44" si="6">SUM(G42:G43)</f>
        <v>13031</v>
      </c>
      <c r="H44" s="283">
        <f t="shared" ref="H44" si="7">SUM(H42:H43)</f>
        <v>13021</v>
      </c>
      <c r="I44" s="283">
        <f t="shared" ref="I44" si="8">SUM(I42:I43)</f>
        <v>13079</v>
      </c>
      <c r="J44" s="283">
        <f t="shared" ref="J44" si="9">SUM(J42:J43)</f>
        <v>13075</v>
      </c>
      <c r="K44" s="283">
        <f t="shared" ref="K44" si="10">SUM(K42:K43)</f>
        <v>13068</v>
      </c>
      <c r="L44" s="283">
        <f t="shared" ref="L44" si="11">SUM(L42:L43)</f>
        <v>13103</v>
      </c>
      <c r="M44" s="283">
        <f t="shared" ref="M44" si="12">SUM(M42:M43)</f>
        <v>13030</v>
      </c>
      <c r="N44" s="283">
        <f t="shared" ref="N44" si="13">SUM(N42:N43)</f>
        <v>13023</v>
      </c>
      <c r="O44" s="283">
        <f t="shared" ref="O44" si="14">SUM(O42:O43)</f>
        <v>12977</v>
      </c>
    </row>
    <row r="49" spans="2:9" x14ac:dyDescent="0.35">
      <c r="B49" s="142" t="s">
        <v>306</v>
      </c>
    </row>
    <row r="50" spans="2:9" x14ac:dyDescent="0.35">
      <c r="C50" s="293" t="s">
        <v>304</v>
      </c>
      <c r="D50" s="293" t="s">
        <v>305</v>
      </c>
      <c r="E50" s="293" t="s">
        <v>169</v>
      </c>
    </row>
    <row r="51" spans="2:9" x14ac:dyDescent="0.35">
      <c r="B51" s="142" t="s">
        <v>293</v>
      </c>
      <c r="C51" s="291">
        <v>171073.61</v>
      </c>
      <c r="D51" s="292">
        <v>13154</v>
      </c>
      <c r="E51" s="292">
        <v>10717690</v>
      </c>
      <c r="F51" s="291"/>
    </row>
    <row r="52" spans="2:9" x14ac:dyDescent="0.35">
      <c r="B52" s="142" t="s">
        <v>294</v>
      </c>
      <c r="C52" s="291">
        <v>221447.34</v>
      </c>
      <c r="D52" s="292">
        <v>13179</v>
      </c>
      <c r="E52" s="292">
        <v>16003070</v>
      </c>
      <c r="F52" s="291"/>
    </row>
    <row r="53" spans="2:9" x14ac:dyDescent="0.35">
      <c r="B53" s="142" t="s">
        <v>295</v>
      </c>
      <c r="C53" s="291">
        <v>305855.78999999998</v>
      </c>
      <c r="D53" s="292">
        <v>13054</v>
      </c>
      <c r="E53" s="292">
        <v>9606840</v>
      </c>
      <c r="F53" s="291"/>
    </row>
    <row r="54" spans="2:9" x14ac:dyDescent="0.35">
      <c r="B54" s="142" t="s">
        <v>296</v>
      </c>
      <c r="C54" s="291">
        <v>165795.5</v>
      </c>
      <c r="D54" s="292">
        <v>13031</v>
      </c>
      <c r="E54" s="292">
        <v>10632440</v>
      </c>
      <c r="F54" s="291"/>
    </row>
    <row r="55" spans="2:9" x14ac:dyDescent="0.35">
      <c r="B55" s="142" t="s">
        <v>269</v>
      </c>
      <c r="C55" s="291">
        <v>214728.17</v>
      </c>
      <c r="D55" s="292">
        <v>13021</v>
      </c>
      <c r="E55" s="292">
        <v>11272940</v>
      </c>
      <c r="F55" s="291"/>
    </row>
    <row r="56" spans="2:9" x14ac:dyDescent="0.35">
      <c r="B56" s="142" t="s">
        <v>297</v>
      </c>
      <c r="C56" s="291">
        <v>263078.08</v>
      </c>
      <c r="D56" s="292">
        <v>13079</v>
      </c>
      <c r="E56" s="292">
        <v>10815880</v>
      </c>
      <c r="F56" s="291"/>
    </row>
    <row r="57" spans="2:9" x14ac:dyDescent="0.35">
      <c r="B57" s="142" t="s">
        <v>298</v>
      </c>
      <c r="C57" s="291">
        <v>185562.92</v>
      </c>
      <c r="D57" s="292">
        <v>13075</v>
      </c>
      <c r="E57" s="292">
        <v>12622640</v>
      </c>
      <c r="F57" s="291"/>
    </row>
    <row r="58" spans="2:9" x14ac:dyDescent="0.35">
      <c r="B58" s="142" t="s">
        <v>299</v>
      </c>
      <c r="C58" s="291">
        <v>259895.47</v>
      </c>
      <c r="D58" s="292">
        <v>13068</v>
      </c>
      <c r="E58" s="292">
        <v>21097100</v>
      </c>
      <c r="F58" s="291"/>
      <c r="I58" s="284"/>
    </row>
    <row r="59" spans="2:9" x14ac:dyDescent="0.35">
      <c r="B59" s="142" t="s">
        <v>300</v>
      </c>
      <c r="C59" s="291">
        <v>181768.74</v>
      </c>
      <c r="D59" s="292">
        <v>13106</v>
      </c>
      <c r="E59" s="292">
        <v>11273610</v>
      </c>
      <c r="F59" s="291"/>
    </row>
    <row r="60" spans="2:9" x14ac:dyDescent="0.35">
      <c r="B60" s="142" t="s">
        <v>301</v>
      </c>
      <c r="C60" s="291">
        <f>97228.06+5189.01+25668.71+204.71+19279.62</f>
        <v>147570.11000000002</v>
      </c>
      <c r="D60" s="292">
        <f>4508+189+1170+18+902+3359+2884</f>
        <v>13030</v>
      </c>
      <c r="E60" s="292">
        <f>7730730+441800+2060880+6670+1527420</f>
        <v>11767500</v>
      </c>
      <c r="F60" s="291"/>
    </row>
    <row r="61" spans="2:9" x14ac:dyDescent="0.35">
      <c r="B61" s="142" t="s">
        <v>302</v>
      </c>
      <c r="C61" s="291">
        <f>112398.2+5587.31+22416.22+225.22+18932.95</f>
        <v>159559.9</v>
      </c>
      <c r="D61" s="292">
        <f>4522+189+1162+18+902+3352+2878</f>
        <v>13023</v>
      </c>
      <c r="E61" s="292">
        <f>9089469-652839+1626140+8640+1450090</f>
        <v>11521500</v>
      </c>
      <c r="F61" s="291"/>
    </row>
    <row r="62" spans="2:9" x14ac:dyDescent="0.35">
      <c r="B62" s="142" t="s">
        <v>303</v>
      </c>
      <c r="C62" s="298">
        <f>95013.93+5214.63+21111.72+188.91+17999.52</f>
        <v>139528.71</v>
      </c>
      <c r="D62" s="294">
        <f>4514+186+1154+18+902+3358+2865</f>
        <v>12997</v>
      </c>
      <c r="E62" s="294">
        <f>7481260+438128+1317305+7490+1369740</f>
        <v>10613923</v>
      </c>
      <c r="F62" s="291"/>
    </row>
    <row r="63" spans="2:9" x14ac:dyDescent="0.35">
      <c r="C63" s="299">
        <f>SUM(C51:C62)</f>
        <v>2415864.34</v>
      </c>
      <c r="D63" s="283">
        <f t="shared" ref="D63:E63" si="15">SUM(D51:D62)</f>
        <v>156817</v>
      </c>
      <c r="E63" s="283">
        <f t="shared" si="15"/>
        <v>147945133</v>
      </c>
    </row>
    <row r="65" spans="2:5" x14ac:dyDescent="0.35">
      <c r="B65" s="142" t="s">
        <v>311</v>
      </c>
    </row>
    <row r="66" spans="2:5" x14ac:dyDescent="0.35">
      <c r="C66" s="293" t="s">
        <v>304</v>
      </c>
      <c r="D66" s="293" t="s">
        <v>305</v>
      </c>
      <c r="E66" s="293" t="s">
        <v>169</v>
      </c>
    </row>
    <row r="67" spans="2:5" x14ac:dyDescent="0.35">
      <c r="B67" s="142" t="s">
        <v>293</v>
      </c>
      <c r="C67" s="291">
        <v>171073.61</v>
      </c>
      <c r="D67" s="292">
        <v>13154</v>
      </c>
      <c r="E67" s="292">
        <v>10717690</v>
      </c>
    </row>
    <row r="68" spans="2:5" x14ac:dyDescent="0.35">
      <c r="B68" s="142" t="s">
        <v>294</v>
      </c>
      <c r="C68" s="291">
        <v>221447.34</v>
      </c>
      <c r="D68" s="292">
        <v>13179</v>
      </c>
      <c r="E68" s="292">
        <v>16003070</v>
      </c>
    </row>
    <row r="69" spans="2:5" x14ac:dyDescent="0.35">
      <c r="B69" s="142" t="s">
        <v>295</v>
      </c>
      <c r="C69" s="291">
        <v>305855.78999999998</v>
      </c>
      <c r="D69" s="292">
        <v>13054</v>
      </c>
      <c r="E69" s="292">
        <v>9606840</v>
      </c>
    </row>
    <row r="70" spans="2:5" x14ac:dyDescent="0.35">
      <c r="B70" s="142" t="s">
        <v>296</v>
      </c>
      <c r="C70" s="291">
        <v>165795.5</v>
      </c>
      <c r="D70" s="292">
        <v>13031</v>
      </c>
      <c r="E70" s="292">
        <v>10632440</v>
      </c>
    </row>
    <row r="71" spans="2:5" x14ac:dyDescent="0.35">
      <c r="B71" s="142" t="s">
        <v>269</v>
      </c>
      <c r="C71" s="291">
        <v>214728.17</v>
      </c>
      <c r="D71" s="292">
        <v>13021</v>
      </c>
      <c r="E71" s="292">
        <v>11272940</v>
      </c>
    </row>
    <row r="72" spans="2:5" x14ac:dyDescent="0.35">
      <c r="B72" s="142" t="s">
        <v>297</v>
      </c>
      <c r="C72" s="291">
        <v>263078.08</v>
      </c>
      <c r="D72" s="292">
        <v>13079</v>
      </c>
      <c r="E72" s="292">
        <v>10815880</v>
      </c>
    </row>
    <row r="73" spans="2:5" x14ac:dyDescent="0.35">
      <c r="B73" s="142" t="s">
        <v>298</v>
      </c>
      <c r="C73" s="291">
        <v>185562.92</v>
      </c>
      <c r="D73" s="292">
        <v>13075</v>
      </c>
      <c r="E73" s="292">
        <v>12622640</v>
      </c>
    </row>
    <row r="74" spans="2:5" x14ac:dyDescent="0.35">
      <c r="B74" s="142" t="s">
        <v>299</v>
      </c>
      <c r="C74" s="291">
        <v>259895.47</v>
      </c>
      <c r="D74" s="292">
        <v>13068</v>
      </c>
      <c r="E74" s="292">
        <v>21097100</v>
      </c>
    </row>
    <row r="75" spans="2:5" x14ac:dyDescent="0.35">
      <c r="B75" s="142" t="s">
        <v>300</v>
      </c>
      <c r="C75" s="300">
        <v>181768.74</v>
      </c>
      <c r="D75" s="301">
        <v>13106</v>
      </c>
      <c r="E75" s="301">
        <v>11273610</v>
      </c>
    </row>
    <row r="76" spans="2:5" x14ac:dyDescent="0.35">
      <c r="B76" s="142" t="s">
        <v>301</v>
      </c>
      <c r="C76" s="291">
        <f>97228.06+5189.01+25668.71+204.71+19279.62</f>
        <v>147570.11000000002</v>
      </c>
      <c r="D76" s="292">
        <f>4508+189+1170+18+902+3359+2884</f>
        <v>13030</v>
      </c>
      <c r="E76" s="292">
        <f>7730730+441800+2060880+6670+1527420</f>
        <v>11767500</v>
      </c>
    </row>
    <row r="77" spans="2:5" x14ac:dyDescent="0.35">
      <c r="B77" s="142" t="s">
        <v>302</v>
      </c>
      <c r="C77" s="291">
        <f>112398.2+5587.31+22416.22+225.22+18932.95</f>
        <v>159559.9</v>
      </c>
      <c r="D77" s="292">
        <f>4522+189+1162+18+902+3352+2878</f>
        <v>13023</v>
      </c>
      <c r="E77" s="292">
        <f>9089469-652839+1626140+8640+1450090</f>
        <v>11521500</v>
      </c>
    </row>
    <row r="78" spans="2:5" x14ac:dyDescent="0.35">
      <c r="B78" s="142" t="s">
        <v>303</v>
      </c>
      <c r="C78" s="298">
        <f>95013.93+5214.63+21111.72+188.91+17999.52</f>
        <v>139528.71</v>
      </c>
      <c r="D78" s="294">
        <f>4514+186+1154+18+902+3358+2865</f>
        <v>12997</v>
      </c>
      <c r="E78" s="294">
        <f>7481260+438128+1317305+7490+1369740</f>
        <v>10613923</v>
      </c>
    </row>
    <row r="79" spans="2:5" x14ac:dyDescent="0.35">
      <c r="C79" s="299">
        <f>SUM(C67:C78)</f>
        <v>2415864.34</v>
      </c>
      <c r="D79" s="283">
        <f t="shared" ref="D79:E79" si="16">SUM(D67:D78)</f>
        <v>156817</v>
      </c>
      <c r="E79" s="283">
        <f t="shared" si="16"/>
        <v>147945133</v>
      </c>
    </row>
  </sheetData>
  <mergeCells count="9">
    <mergeCell ref="A1:H1"/>
    <mergeCell ref="D11:E11"/>
    <mergeCell ref="D12:E12"/>
    <mergeCell ref="D3:E3"/>
    <mergeCell ref="D4:E4"/>
    <mergeCell ref="D5:E5"/>
    <mergeCell ref="D6:E6"/>
    <mergeCell ref="D7:E7"/>
    <mergeCell ref="D8:E8"/>
  </mergeCells>
  <phoneticPr fontId="28" type="noConversion"/>
  <printOptions horizontalCentered="1" verticalCentered="1"/>
  <pageMargins left="0.45" right="0.45" top="0.5" bottom="0.5" header="0.3" footer="0.3"/>
  <pageSetup orientation="landscape"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9328-11E0-4984-9743-F0148A5DD492}">
  <sheetPr>
    <tabColor rgb="FF92D050"/>
  </sheetPr>
  <dimension ref="A1:R80"/>
  <sheetViews>
    <sheetView workbookViewId="0">
      <selection activeCell="J15" sqref="J15"/>
    </sheetView>
  </sheetViews>
  <sheetFormatPr defaultRowHeight="15.5" x14ac:dyDescent="0.35"/>
  <cols>
    <col min="5" max="5" width="27.921875" bestFit="1" customWidth="1"/>
    <col min="7" max="7" width="10.15234375" bestFit="1" customWidth="1"/>
    <col min="8" max="8" width="11.765625" customWidth="1"/>
    <col min="10" max="10" width="11.4609375" bestFit="1" customWidth="1"/>
    <col min="11" max="11" width="11.3046875" customWidth="1"/>
    <col min="16" max="16" width="10.15234375" bestFit="1" customWidth="1"/>
  </cols>
  <sheetData>
    <row r="1" spans="1:18" x14ac:dyDescent="0.35">
      <c r="A1" s="428" t="s">
        <v>189</v>
      </c>
      <c r="B1" s="428"/>
      <c r="C1" s="428"/>
      <c r="D1" s="428"/>
      <c r="E1" s="428"/>
      <c r="F1" s="428"/>
      <c r="G1" s="428"/>
      <c r="H1" s="428"/>
    </row>
    <row r="2" spans="1:18" x14ac:dyDescent="0.35">
      <c r="A2" s="429" t="s">
        <v>377</v>
      </c>
      <c r="B2" s="429"/>
      <c r="C2" s="429"/>
      <c r="D2" s="429"/>
      <c r="E2" s="429"/>
      <c r="F2" s="429"/>
      <c r="G2" s="429"/>
      <c r="H2" s="429"/>
      <c r="I2" s="1"/>
      <c r="J2" s="1"/>
      <c r="K2" s="1"/>
      <c r="L2" s="142"/>
      <c r="M2" s="142"/>
      <c r="N2" s="142"/>
      <c r="O2" s="142"/>
      <c r="P2" s="142"/>
      <c r="Q2" s="142"/>
      <c r="R2" s="142"/>
    </row>
    <row r="3" spans="1:18" x14ac:dyDescent="0.35">
      <c r="A3" s="21"/>
      <c r="B3" s="1"/>
      <c r="C3" s="1"/>
      <c r="D3" s="424" t="s">
        <v>162</v>
      </c>
      <c r="E3" s="424"/>
      <c r="F3" s="195"/>
      <c r="G3" s="195"/>
      <c r="H3" s="54"/>
      <c r="I3" s="1"/>
      <c r="J3" s="1"/>
      <c r="K3" s="1"/>
      <c r="L3" s="142"/>
      <c r="M3" s="142"/>
      <c r="N3" s="142"/>
      <c r="O3" s="142" t="s">
        <v>310</v>
      </c>
      <c r="P3" s="142"/>
      <c r="Q3" s="142"/>
      <c r="R3" s="142"/>
    </row>
    <row r="4" spans="1:18" x14ac:dyDescent="0.35">
      <c r="A4" s="21"/>
      <c r="B4" s="1"/>
      <c r="C4" s="1"/>
      <c r="D4" s="426" t="s">
        <v>163</v>
      </c>
      <c r="E4" s="426"/>
      <c r="F4" s="194" t="s">
        <v>164</v>
      </c>
      <c r="G4" s="194" t="s">
        <v>165</v>
      </c>
      <c r="H4" s="197" t="s">
        <v>166</v>
      </c>
      <c r="I4" s="1"/>
      <c r="J4" s="1"/>
      <c r="K4" s="1"/>
      <c r="L4" s="142"/>
      <c r="M4" s="142"/>
      <c r="N4" s="142"/>
      <c r="O4" s="142" t="s">
        <v>281</v>
      </c>
      <c r="P4" s="291">
        <v>-25620.52</v>
      </c>
      <c r="Q4" s="142"/>
      <c r="R4" s="142"/>
    </row>
    <row r="5" spans="1:18" x14ac:dyDescent="0.35">
      <c r="A5" s="21"/>
      <c r="B5" s="1"/>
      <c r="C5" s="1"/>
      <c r="D5" s="427" t="s">
        <v>383</v>
      </c>
      <c r="E5" s="427"/>
      <c r="F5" s="196">
        <f>D24</f>
        <v>40332</v>
      </c>
      <c r="G5" s="196">
        <f>E24</f>
        <v>210830689</v>
      </c>
      <c r="H5" s="200">
        <f>G24</f>
        <v>3236731.9771400001</v>
      </c>
      <c r="I5" s="1"/>
      <c r="J5" s="1"/>
      <c r="K5" s="1"/>
      <c r="L5" s="142"/>
      <c r="M5" s="142"/>
      <c r="N5" s="142"/>
      <c r="O5" s="142" t="s">
        <v>283</v>
      </c>
      <c r="P5" s="291">
        <v>-462016.25</v>
      </c>
      <c r="Q5" s="142"/>
      <c r="R5" s="142"/>
    </row>
    <row r="6" spans="1:18" x14ac:dyDescent="0.35">
      <c r="A6" s="21"/>
      <c r="B6" s="1"/>
      <c r="C6" s="1"/>
      <c r="D6" s="424" t="s">
        <v>173</v>
      </c>
      <c r="E6" s="424"/>
      <c r="F6" s="195"/>
      <c r="G6" s="195"/>
      <c r="H6" s="238">
        <f>P7</f>
        <v>-490214.04000000004</v>
      </c>
      <c r="I6" s="1"/>
      <c r="J6" s="1"/>
      <c r="K6" s="1"/>
      <c r="L6" s="142"/>
      <c r="M6" s="142"/>
      <c r="N6" s="142"/>
      <c r="O6" s="142" t="s">
        <v>282</v>
      </c>
      <c r="P6" s="298">
        <v>-2577.27</v>
      </c>
      <c r="Q6" s="142"/>
      <c r="R6" s="142"/>
    </row>
    <row r="7" spans="1:18" x14ac:dyDescent="0.35">
      <c r="A7" s="21"/>
      <c r="B7" s="1"/>
      <c r="C7" s="1"/>
      <c r="D7" s="424" t="s">
        <v>176</v>
      </c>
      <c r="E7" s="424"/>
      <c r="F7" s="195"/>
      <c r="G7" s="195"/>
      <c r="H7" s="201">
        <f>H5+H6</f>
        <v>2746517.9371400001</v>
      </c>
      <c r="I7" s="1"/>
      <c r="J7" s="1"/>
      <c r="K7" s="1"/>
      <c r="L7" s="142"/>
      <c r="M7" s="142"/>
      <c r="N7" s="142"/>
      <c r="O7" s="142"/>
      <c r="P7" s="291">
        <f>SUM(P4:P6)</f>
        <v>-490214.04000000004</v>
      </c>
      <c r="Q7" s="142"/>
      <c r="R7" s="142"/>
    </row>
    <row r="8" spans="1:18" x14ac:dyDescent="0.35">
      <c r="A8" s="21"/>
      <c r="B8" s="1"/>
      <c r="C8" s="1"/>
      <c r="D8" s="424"/>
      <c r="E8" s="424"/>
      <c r="F8" s="195"/>
      <c r="G8" s="195"/>
      <c r="H8" s="264"/>
      <c r="I8" s="1"/>
      <c r="J8" s="1"/>
      <c r="K8" s="1"/>
      <c r="L8" s="142"/>
      <c r="M8" s="142"/>
      <c r="N8" s="142"/>
      <c r="O8" s="142"/>
      <c r="P8" s="142"/>
      <c r="Q8" s="142"/>
      <c r="R8" s="142"/>
    </row>
    <row r="9" spans="1:18" x14ac:dyDescent="0.35">
      <c r="A9" s="21"/>
      <c r="B9" s="1"/>
      <c r="C9" s="1"/>
      <c r="D9" s="195"/>
      <c r="E9" s="148"/>
      <c r="F9" s="195"/>
      <c r="G9" s="195"/>
      <c r="H9" s="305"/>
      <c r="I9" s="1"/>
      <c r="J9" s="1"/>
      <c r="K9" s="1"/>
      <c r="L9" s="142"/>
      <c r="M9" s="142"/>
      <c r="N9" s="142"/>
      <c r="O9" s="142"/>
      <c r="P9" s="142"/>
      <c r="Q9" s="142"/>
      <c r="R9" s="142"/>
    </row>
    <row r="10" spans="1:18" x14ac:dyDescent="0.35">
      <c r="A10" s="21"/>
      <c r="B10" s="1"/>
      <c r="C10" s="1"/>
      <c r="D10" s="195"/>
      <c r="E10" s="148"/>
      <c r="F10" s="195"/>
      <c r="G10" s="195"/>
      <c r="H10" s="238"/>
      <c r="I10" s="1"/>
      <c r="J10" s="286" t="s">
        <v>371</v>
      </c>
      <c r="K10" s="286"/>
      <c r="L10" s="346"/>
      <c r="M10" s="142"/>
      <c r="N10" s="142"/>
      <c r="O10" s="142"/>
      <c r="P10" s="142"/>
      <c r="Q10" s="142"/>
      <c r="R10" s="142"/>
    </row>
    <row r="11" spans="1:18" x14ac:dyDescent="0.35">
      <c r="A11" s="21"/>
      <c r="B11" s="1"/>
      <c r="C11" s="1"/>
      <c r="D11" s="424" t="s">
        <v>384</v>
      </c>
      <c r="E11" s="424"/>
      <c r="F11" s="195"/>
      <c r="G11" s="195"/>
      <c r="H11" s="201">
        <f>H7+H8+H9+H10</f>
        <v>2746517.9371400001</v>
      </c>
      <c r="I11" s="1"/>
      <c r="J11" s="347">
        <f>'Revenue Requirement'!G23</f>
        <v>2714682.026010205</v>
      </c>
      <c r="K11" s="348">
        <f>H11-J11</f>
        <v>31835.911129795015</v>
      </c>
      <c r="L11" s="349">
        <f>K11/H11</f>
        <v>1.1591372005728219E-2</v>
      </c>
      <c r="M11" s="142"/>
      <c r="N11" s="142"/>
      <c r="O11" s="142"/>
      <c r="P11" s="142"/>
      <c r="Q11" s="142"/>
      <c r="R11" s="142"/>
    </row>
    <row r="12" spans="1:18" x14ac:dyDescent="0.35">
      <c r="A12" s="21"/>
      <c r="B12" s="1"/>
      <c r="C12" s="1"/>
      <c r="D12" s="425"/>
      <c r="E12" s="425"/>
      <c r="F12" s="1"/>
      <c r="G12" s="1"/>
      <c r="H12" s="7"/>
      <c r="I12" s="1"/>
      <c r="J12" s="1"/>
      <c r="K12" s="1"/>
      <c r="L12" s="142"/>
      <c r="M12" s="142"/>
      <c r="N12" s="142"/>
      <c r="O12" s="142"/>
      <c r="P12" s="142"/>
      <c r="Q12" s="142"/>
      <c r="R12" s="142"/>
    </row>
    <row r="13" spans="1:18" x14ac:dyDescent="0.35">
      <c r="A13" s="233" t="s">
        <v>184</v>
      </c>
      <c r="B13" s="1"/>
      <c r="C13" s="1"/>
      <c r="D13" s="1"/>
      <c r="E13" s="1"/>
      <c r="F13" s="1"/>
      <c r="G13" s="1"/>
      <c r="H13" s="7"/>
      <c r="I13" s="1"/>
      <c r="J13" s="1"/>
      <c r="K13" s="1"/>
      <c r="L13" s="142"/>
      <c r="M13" s="142"/>
      <c r="N13" s="142"/>
      <c r="O13" s="142"/>
      <c r="P13" s="142"/>
      <c r="Q13" s="142"/>
      <c r="R13" s="142"/>
    </row>
    <row r="14" spans="1:18" x14ac:dyDescent="0.35">
      <c r="A14" s="21"/>
      <c r="B14" s="195"/>
      <c r="C14" s="195"/>
      <c r="D14" s="195"/>
      <c r="E14" s="195"/>
      <c r="F14" s="256" t="s">
        <v>167</v>
      </c>
      <c r="G14" s="256" t="s">
        <v>183</v>
      </c>
      <c r="H14" s="195" t="s">
        <v>11</v>
      </c>
      <c r="I14" s="142"/>
      <c r="J14" s="142"/>
      <c r="K14" s="142"/>
      <c r="L14" s="142"/>
      <c r="M14" s="142"/>
      <c r="N14" s="142"/>
      <c r="O14" s="142"/>
      <c r="P14" s="142"/>
      <c r="Q14" s="142"/>
      <c r="R14" s="142"/>
    </row>
    <row r="15" spans="1:18" x14ac:dyDescent="0.35">
      <c r="A15" s="21"/>
      <c r="B15" s="195"/>
      <c r="C15" s="194" t="s">
        <v>169</v>
      </c>
      <c r="D15" s="194" t="s">
        <v>170</v>
      </c>
      <c r="E15" s="254" t="s">
        <v>12</v>
      </c>
      <c r="F15" s="254" t="s">
        <v>182</v>
      </c>
      <c r="G15" s="254" t="s">
        <v>182</v>
      </c>
      <c r="H15" s="194"/>
      <c r="I15" s="142"/>
      <c r="J15" s="142"/>
      <c r="K15" s="142"/>
      <c r="L15" s="142"/>
      <c r="M15" s="142"/>
      <c r="N15" s="142"/>
      <c r="O15" s="142"/>
      <c r="P15" s="142"/>
      <c r="Q15" s="142"/>
      <c r="R15" s="142"/>
    </row>
    <row r="16" spans="1:18" x14ac:dyDescent="0.35">
      <c r="A16" s="21"/>
      <c r="B16" s="195" t="s">
        <v>167</v>
      </c>
      <c r="C16" s="74">
        <v>2000</v>
      </c>
      <c r="D16" s="196">
        <f>P36</f>
        <v>40328</v>
      </c>
      <c r="E16" s="196">
        <f>P31</f>
        <v>22799947</v>
      </c>
      <c r="F16" s="196">
        <f>E16</f>
        <v>22799947</v>
      </c>
      <c r="G16" s="196">
        <v>0</v>
      </c>
      <c r="H16" s="196">
        <f>SUM(F16:G16)</f>
        <v>22799947</v>
      </c>
      <c r="I16" s="142"/>
      <c r="J16" s="142"/>
      <c r="K16" s="142"/>
      <c r="L16" s="142"/>
      <c r="M16" s="142"/>
      <c r="N16" s="142"/>
      <c r="O16" s="142"/>
      <c r="P16" s="142"/>
      <c r="Q16" s="142"/>
      <c r="R16" s="142"/>
    </row>
    <row r="17" spans="1:18" x14ac:dyDescent="0.35">
      <c r="A17" s="21"/>
      <c r="B17" s="195" t="s">
        <v>168</v>
      </c>
      <c r="C17" s="74">
        <v>2000</v>
      </c>
      <c r="D17" s="202">
        <f>P37</f>
        <v>4</v>
      </c>
      <c r="E17" s="202">
        <f>P32</f>
        <v>188030742</v>
      </c>
      <c r="F17" s="202">
        <f>C17*D17</f>
        <v>8000</v>
      </c>
      <c r="G17" s="202">
        <f>E17-F17</f>
        <v>188022742</v>
      </c>
      <c r="H17" s="202">
        <f>SUM(F17:G17)</f>
        <v>188030742</v>
      </c>
      <c r="I17" s="142"/>
      <c r="J17" s="142"/>
      <c r="K17" s="142"/>
      <c r="L17" s="142"/>
      <c r="M17" s="142"/>
      <c r="N17" s="142"/>
      <c r="O17" s="142"/>
      <c r="P17" s="142"/>
      <c r="Q17" s="142"/>
      <c r="R17" s="142"/>
    </row>
    <row r="18" spans="1:18" x14ac:dyDescent="0.35">
      <c r="A18" s="21"/>
      <c r="B18" s="195"/>
      <c r="C18" s="74"/>
      <c r="D18" s="196">
        <f>SUM(D16:D17)</f>
        <v>40332</v>
      </c>
      <c r="E18" s="196">
        <f>SUM(E16:E17)</f>
        <v>210830689</v>
      </c>
      <c r="F18" s="196">
        <f>SUM(F16:F17)</f>
        <v>22807947</v>
      </c>
      <c r="G18" s="196">
        <f>SUM(G16:G17)</f>
        <v>188022742</v>
      </c>
      <c r="H18" s="196">
        <f>SUM(H16:H17)</f>
        <v>210830689</v>
      </c>
      <c r="I18" s="142"/>
      <c r="J18" s="142"/>
      <c r="K18" s="142"/>
      <c r="L18" s="142"/>
      <c r="M18" s="142"/>
      <c r="N18" s="142"/>
      <c r="O18" s="142"/>
      <c r="P18" s="142"/>
      <c r="Q18" s="142"/>
      <c r="R18" s="142"/>
    </row>
    <row r="19" spans="1:18" x14ac:dyDescent="0.35">
      <c r="A19" s="21"/>
      <c r="B19" s="1"/>
      <c r="C19" s="1"/>
      <c r="D19" s="1"/>
      <c r="E19" s="1"/>
      <c r="F19" s="1"/>
      <c r="G19" s="1"/>
      <c r="H19" s="7"/>
      <c r="I19" s="1"/>
      <c r="J19" s="1"/>
      <c r="K19" s="1"/>
      <c r="L19" s="142"/>
      <c r="M19" s="142"/>
      <c r="N19" s="142"/>
      <c r="O19" s="142"/>
      <c r="P19" s="142"/>
      <c r="Q19" s="142"/>
      <c r="R19" s="142"/>
    </row>
    <row r="20" spans="1:18" x14ac:dyDescent="0.35">
      <c r="A20" s="233" t="s">
        <v>171</v>
      </c>
      <c r="B20" s="1"/>
      <c r="C20" s="1"/>
      <c r="D20" s="1"/>
      <c r="E20" s="1"/>
      <c r="F20" s="341" t="s">
        <v>10</v>
      </c>
      <c r="G20" s="1"/>
      <c r="H20" s="7"/>
      <c r="I20" s="1"/>
      <c r="J20" s="1"/>
      <c r="K20" s="1"/>
      <c r="L20" s="142"/>
      <c r="M20" s="142"/>
      <c r="N20" s="142"/>
      <c r="O20" s="142"/>
      <c r="P20" s="142"/>
      <c r="Q20" s="142"/>
      <c r="R20" s="142"/>
    </row>
    <row r="21" spans="1:18" x14ac:dyDescent="0.35">
      <c r="A21" s="21"/>
      <c r="B21" s="1"/>
      <c r="C21" s="235" t="s">
        <v>169</v>
      </c>
      <c r="D21" s="235" t="s">
        <v>170</v>
      </c>
      <c r="E21" s="255" t="s">
        <v>12</v>
      </c>
      <c r="F21" s="343" t="s">
        <v>172</v>
      </c>
      <c r="G21" s="344" t="s">
        <v>166</v>
      </c>
      <c r="H21" s="7"/>
      <c r="I21" s="1"/>
      <c r="J21" s="1"/>
      <c r="K21" s="1"/>
      <c r="L21" s="142"/>
      <c r="M21" s="142"/>
      <c r="N21" s="142"/>
      <c r="O21" s="142"/>
      <c r="P21" s="142"/>
      <c r="Q21" s="142"/>
      <c r="R21" s="142"/>
    </row>
    <row r="22" spans="1:18" x14ac:dyDescent="0.35">
      <c r="A22" s="21"/>
      <c r="B22" s="195" t="s">
        <v>167</v>
      </c>
      <c r="C22" s="74">
        <v>2000</v>
      </c>
      <c r="D22" s="2">
        <f>D18</f>
        <v>40332</v>
      </c>
      <c r="E22" s="2">
        <f>F18</f>
        <v>22807947</v>
      </c>
      <c r="F22" s="198">
        <f>'Rates ORM'!F13</f>
        <v>30.51</v>
      </c>
      <c r="G22" s="199">
        <f>D22*F22</f>
        <v>1230529.32</v>
      </c>
      <c r="H22" s="7"/>
      <c r="I22" s="155"/>
      <c r="J22" s="1"/>
      <c r="K22" s="1"/>
      <c r="L22" s="142"/>
      <c r="M22" s="142"/>
      <c r="N22" s="142"/>
      <c r="O22" s="142"/>
      <c r="P22" s="142"/>
      <c r="Q22" s="142"/>
      <c r="R22" s="142"/>
    </row>
    <row r="23" spans="1:18" x14ac:dyDescent="0.35">
      <c r="A23" s="21"/>
      <c r="B23" s="195" t="s">
        <v>168</v>
      </c>
      <c r="C23" s="74">
        <v>2000</v>
      </c>
      <c r="D23" s="28"/>
      <c r="E23" s="28">
        <f>G18</f>
        <v>188022742</v>
      </c>
      <c r="F23" s="237">
        <f>'Rates ORM'!F14</f>
        <v>1.0670000000000001E-2</v>
      </c>
      <c r="G23" s="236">
        <f>E23*F23</f>
        <v>2006202.65714</v>
      </c>
      <c r="H23" s="7"/>
      <c r="I23" s="155"/>
      <c r="J23" s="1"/>
      <c r="K23" s="1"/>
      <c r="L23" s="142"/>
      <c r="M23" s="142"/>
      <c r="N23" s="142"/>
      <c r="O23" s="142"/>
      <c r="P23" s="142"/>
      <c r="Q23" s="142"/>
      <c r="R23" s="142"/>
    </row>
    <row r="24" spans="1:18" x14ac:dyDescent="0.35">
      <c r="A24" s="21"/>
      <c r="B24" s="195"/>
      <c r="C24" s="74"/>
      <c r="D24" s="196">
        <f>SUM(D22:D23)</f>
        <v>40332</v>
      </c>
      <c r="E24" s="196">
        <f>SUM(E22:E23)</f>
        <v>210830689</v>
      </c>
      <c r="F24" s="196"/>
      <c r="G24" s="252">
        <f>SUM(G22:G23)</f>
        <v>3236731.9771400001</v>
      </c>
      <c r="H24" s="7"/>
      <c r="I24" s="155"/>
      <c r="J24" s="1"/>
      <c r="K24" s="1"/>
      <c r="L24" s="142"/>
      <c r="M24" s="142"/>
      <c r="N24" s="142"/>
      <c r="O24" s="142"/>
      <c r="P24" s="142"/>
      <c r="Q24" s="142"/>
      <c r="R24" s="142"/>
    </row>
    <row r="25" spans="1:18" x14ac:dyDescent="0.35">
      <c r="A25" s="21"/>
      <c r="B25" s="195"/>
      <c r="C25" s="74"/>
      <c r="D25" s="2"/>
      <c r="E25" s="2"/>
      <c r="F25" s="234"/>
      <c r="G25" s="199"/>
      <c r="H25" s="7"/>
      <c r="I25" s="155"/>
      <c r="J25" s="1"/>
      <c r="K25" s="1"/>
      <c r="L25" s="142"/>
      <c r="M25" s="142"/>
      <c r="N25" s="142"/>
      <c r="O25" s="142"/>
      <c r="P25" s="142"/>
      <c r="Q25" s="142"/>
      <c r="R25" s="142"/>
    </row>
    <row r="26" spans="1:18" x14ac:dyDescent="0.35">
      <c r="A26" s="21"/>
      <c r="B26" s="296" t="s">
        <v>307</v>
      </c>
      <c r="C26" s="74"/>
      <c r="D26" s="2"/>
      <c r="E26" s="2"/>
      <c r="F26" s="46">
        <v>4.26</v>
      </c>
      <c r="G26" s="251"/>
      <c r="H26" s="6"/>
      <c r="I26" s="155"/>
      <c r="J26" s="1"/>
      <c r="K26" s="1"/>
      <c r="L26" s="142"/>
      <c r="M26" s="142"/>
      <c r="N26" s="142"/>
      <c r="O26" s="142"/>
      <c r="P26" s="142"/>
      <c r="Q26" s="142"/>
      <c r="R26" s="142"/>
    </row>
    <row r="27" spans="1:18" x14ac:dyDescent="0.35">
      <c r="A27" s="21"/>
      <c r="B27" s="296" t="s">
        <v>308</v>
      </c>
      <c r="C27" s="74"/>
      <c r="D27" s="2"/>
      <c r="E27" s="2"/>
      <c r="F27" s="46">
        <v>7.91</v>
      </c>
      <c r="G27" s="251"/>
      <c r="H27" s="6"/>
      <c r="I27" s="155"/>
      <c r="J27" s="1"/>
      <c r="K27" s="1"/>
      <c r="L27" s="142"/>
      <c r="M27" s="142"/>
      <c r="N27" s="142"/>
      <c r="O27" s="142"/>
      <c r="P27" s="142"/>
      <c r="Q27" s="142"/>
      <c r="R27" s="142"/>
    </row>
    <row r="28" spans="1:18" x14ac:dyDescent="0.35">
      <c r="A28" s="21"/>
      <c r="B28" s="296" t="s">
        <v>309</v>
      </c>
      <c r="C28" s="74"/>
      <c r="D28" s="196"/>
      <c r="E28" s="196"/>
      <c r="F28" s="297">
        <f>'Rates ORM'!F22</f>
        <v>6.4099999999999999E-3</v>
      </c>
      <c r="G28" s="196"/>
      <c r="H28" s="6"/>
      <c r="I28" s="155"/>
      <c r="J28" s="1"/>
      <c r="K28" s="1"/>
      <c r="L28" s="142"/>
      <c r="M28" s="142"/>
      <c r="N28" s="142"/>
      <c r="O28" s="142"/>
      <c r="P28" s="142"/>
      <c r="Q28" s="142"/>
      <c r="R28" s="142"/>
    </row>
    <row r="29" spans="1:18" x14ac:dyDescent="0.35">
      <c r="A29" s="21"/>
      <c r="B29" s="195"/>
      <c r="C29" s="74"/>
      <c r="D29" s="2"/>
      <c r="E29" s="2"/>
      <c r="F29" s="237"/>
      <c r="G29" s="251"/>
      <c r="H29" s="6"/>
      <c r="I29" s="155"/>
      <c r="J29" s="1"/>
      <c r="K29" s="1"/>
      <c r="L29" s="142"/>
      <c r="M29" s="142"/>
      <c r="N29" s="142"/>
      <c r="O29" s="142"/>
      <c r="P29" s="142"/>
      <c r="Q29" s="142"/>
      <c r="R29" s="142"/>
    </row>
    <row r="30" spans="1:18" x14ac:dyDescent="0.35">
      <c r="A30" s="21"/>
      <c r="B30" s="282" t="s">
        <v>277</v>
      </c>
      <c r="C30" s="74"/>
      <c r="D30" s="281" t="s">
        <v>265</v>
      </c>
      <c r="E30" s="281" t="s">
        <v>266</v>
      </c>
      <c r="F30" s="281" t="s">
        <v>267</v>
      </c>
      <c r="G30" s="281" t="s">
        <v>268</v>
      </c>
      <c r="H30" s="281" t="s">
        <v>269</v>
      </c>
      <c r="I30" s="281" t="s">
        <v>270</v>
      </c>
      <c r="J30" s="281" t="s">
        <v>271</v>
      </c>
      <c r="K30" s="281" t="s">
        <v>272</v>
      </c>
      <c r="L30" s="281" t="s">
        <v>273</v>
      </c>
      <c r="M30" s="281" t="s">
        <v>274</v>
      </c>
      <c r="N30" s="281" t="s">
        <v>275</v>
      </c>
      <c r="O30" s="281" t="s">
        <v>276</v>
      </c>
      <c r="P30" s="142"/>
      <c r="Q30" s="142"/>
      <c r="R30" s="142"/>
    </row>
    <row r="31" spans="1:18" x14ac:dyDescent="0.35">
      <c r="A31" s="21"/>
      <c r="B31" s="195" t="s">
        <v>167</v>
      </c>
      <c r="C31" s="74">
        <v>2000</v>
      </c>
      <c r="D31" s="7">
        <v>1219590</v>
      </c>
      <c r="E31" s="7">
        <v>1052000</v>
      </c>
      <c r="F31" s="7">
        <v>1544020</v>
      </c>
      <c r="G31" s="7">
        <v>1320160</v>
      </c>
      <c r="H31" s="7">
        <v>1290040</v>
      </c>
      <c r="I31" s="7">
        <v>1366110</v>
      </c>
      <c r="J31" s="7">
        <v>1216150</v>
      </c>
      <c r="K31" s="7">
        <v>1364600</v>
      </c>
      <c r="L31" s="292">
        <v>1336120</v>
      </c>
      <c r="M31" s="292">
        <v>3464160</v>
      </c>
      <c r="N31" s="292">
        <v>4244326</v>
      </c>
      <c r="O31" s="292">
        <v>3382671</v>
      </c>
      <c r="P31" s="292">
        <f>SUM(D31:O31)</f>
        <v>22799947</v>
      </c>
      <c r="Q31" s="142"/>
      <c r="R31" s="142"/>
    </row>
    <row r="32" spans="1:18" x14ac:dyDescent="0.35">
      <c r="A32" s="232"/>
      <c r="B32" s="195" t="s">
        <v>168</v>
      </c>
      <c r="C32" s="74">
        <v>2000</v>
      </c>
      <c r="D32" s="294">
        <f>3659550+2565040+1182590+582750+317740+144040+73410+68600+76650+83840+24950+62500+32750+34920+74300+46890+108100+110080+249400</f>
        <v>9498100</v>
      </c>
      <c r="E32" s="294">
        <f>2919340+2760380+1696360+929020+705640+408250+327250+306120+209620+229380+160980+201780+107480+85950+67810+105530+73760+78050+40540+213840+44380+49940+106920+54650+61700+125050+65480+148920+78840+82020+87270+89260+91460+186970+249950+181200+186850+198800+262190+373160+598980</f>
        <v>14951070</v>
      </c>
      <c r="F32" s="294">
        <f>2996710+1558380+680500+428020+380560+152310+166370+49380+38610+62980+22400+24370+29070+65010+69860+78300+42550+74820+76370+83210+123700+127600+144670+154370+197830+234870</f>
        <v>8062820</v>
      </c>
      <c r="G32" s="294">
        <f>10632440-G31</f>
        <v>9312280</v>
      </c>
      <c r="H32" s="294">
        <f>11272940-H31</f>
        <v>9982900</v>
      </c>
      <c r="I32" s="294">
        <f>10815880-I31</f>
        <v>9449770</v>
      </c>
      <c r="J32" s="294">
        <f>12622640-J31</f>
        <v>11406490</v>
      </c>
      <c r="K32" s="294">
        <f>21097100-K31</f>
        <v>19732500</v>
      </c>
      <c r="L32" s="294">
        <f>11273610-L31</f>
        <v>9937490</v>
      </c>
      <c r="M32" s="294">
        <f>33693020-M31</f>
        <v>30228860</v>
      </c>
      <c r="N32" s="294">
        <f>32984610-N31</f>
        <v>28740284</v>
      </c>
      <c r="O32" s="294">
        <f>30110849-O31</f>
        <v>26728178</v>
      </c>
      <c r="P32" s="292">
        <f>SUM(D32:O32)</f>
        <v>188030742</v>
      </c>
      <c r="Q32" s="142"/>
      <c r="R32" s="142"/>
    </row>
    <row r="33" spans="1:18" x14ac:dyDescent="0.35">
      <c r="A33" s="232"/>
      <c r="B33" s="142"/>
      <c r="C33" s="142"/>
      <c r="D33" s="292">
        <f>SUM(D31:D32)</f>
        <v>10717690</v>
      </c>
      <c r="E33" s="292">
        <f t="shared" ref="E33:O33" si="0">SUM(E31:E32)</f>
        <v>16003070</v>
      </c>
      <c r="F33" s="292">
        <f t="shared" si="0"/>
        <v>9606840</v>
      </c>
      <c r="G33" s="292">
        <f t="shared" si="0"/>
        <v>10632440</v>
      </c>
      <c r="H33" s="292">
        <f t="shared" si="0"/>
        <v>11272940</v>
      </c>
      <c r="I33" s="292">
        <f t="shared" si="0"/>
        <v>10815880</v>
      </c>
      <c r="J33" s="292">
        <f t="shared" si="0"/>
        <v>12622640</v>
      </c>
      <c r="K33" s="292">
        <f t="shared" si="0"/>
        <v>21097100</v>
      </c>
      <c r="L33" s="292">
        <f t="shared" si="0"/>
        <v>11273610</v>
      </c>
      <c r="M33" s="292">
        <f t="shared" si="0"/>
        <v>33693020</v>
      </c>
      <c r="N33" s="292">
        <f t="shared" si="0"/>
        <v>32984610</v>
      </c>
      <c r="O33" s="292">
        <f t="shared" si="0"/>
        <v>30110849</v>
      </c>
      <c r="P33" s="292">
        <f>SUM(D33:O33)</f>
        <v>210830689</v>
      </c>
      <c r="Q33" s="142"/>
      <c r="R33" s="142"/>
    </row>
    <row r="34" spans="1:18" x14ac:dyDescent="0.35">
      <c r="A34" s="232"/>
      <c r="B34" s="142"/>
      <c r="C34" s="142"/>
      <c r="D34" s="292"/>
      <c r="E34" s="292"/>
      <c r="F34" s="292"/>
      <c r="G34" s="292"/>
      <c r="H34" s="292"/>
      <c r="I34" s="292"/>
      <c r="J34" s="292"/>
      <c r="K34" s="292"/>
      <c r="L34" s="292"/>
      <c r="M34" s="292"/>
      <c r="N34" s="292"/>
      <c r="O34" s="292"/>
      <c r="P34" s="292"/>
      <c r="Q34" s="142"/>
      <c r="R34" s="142"/>
    </row>
    <row r="35" spans="1:18" x14ac:dyDescent="0.35">
      <c r="A35" s="232"/>
      <c r="B35" s="282" t="s">
        <v>278</v>
      </c>
      <c r="C35" s="74"/>
      <c r="D35" s="295" t="s">
        <v>265</v>
      </c>
      <c r="E35" s="295" t="s">
        <v>266</v>
      </c>
      <c r="F35" s="295" t="s">
        <v>267</v>
      </c>
      <c r="G35" s="295" t="s">
        <v>268</v>
      </c>
      <c r="H35" s="295" t="s">
        <v>269</v>
      </c>
      <c r="I35" s="295" t="s">
        <v>270</v>
      </c>
      <c r="J35" s="295" t="s">
        <v>271</v>
      </c>
      <c r="K35" s="295" t="s">
        <v>272</v>
      </c>
      <c r="L35" s="295" t="s">
        <v>273</v>
      </c>
      <c r="M35" s="295" t="s">
        <v>274</v>
      </c>
      <c r="N35" s="295" t="s">
        <v>275</v>
      </c>
      <c r="O35" s="295" t="s">
        <v>276</v>
      </c>
      <c r="P35" s="292"/>
      <c r="Q35" s="142"/>
      <c r="R35" s="142"/>
    </row>
    <row r="36" spans="1:18" x14ac:dyDescent="0.35">
      <c r="A36" s="232"/>
      <c r="B36" s="195" t="s">
        <v>167</v>
      </c>
      <c r="C36" s="74">
        <v>2000</v>
      </c>
      <c r="D36" s="7">
        <v>3379</v>
      </c>
      <c r="E36" s="7">
        <v>3385</v>
      </c>
      <c r="F36" s="7">
        <v>3354</v>
      </c>
      <c r="G36" s="7">
        <v>3348</v>
      </c>
      <c r="H36" s="7">
        <v>3346</v>
      </c>
      <c r="I36" s="7">
        <v>3361</v>
      </c>
      <c r="J36" s="7">
        <v>3359</v>
      </c>
      <c r="K36" s="7">
        <v>3358</v>
      </c>
      <c r="L36" s="292">
        <v>3367</v>
      </c>
      <c r="M36" s="292">
        <v>3359</v>
      </c>
      <c r="N36" s="292">
        <v>3361</v>
      </c>
      <c r="O36" s="292">
        <v>3351</v>
      </c>
      <c r="P36" s="292">
        <f t="shared" ref="P36:P37" si="1">SUM(D36:O36)</f>
        <v>40328</v>
      </c>
      <c r="Q36" s="142"/>
      <c r="R36" s="142"/>
    </row>
    <row r="37" spans="1:18" x14ac:dyDescent="0.35">
      <c r="A37" s="232"/>
      <c r="B37" s="195" t="s">
        <v>168</v>
      </c>
      <c r="C37" s="74">
        <v>2000</v>
      </c>
      <c r="D37" s="294">
        <f>3380-D36</f>
        <v>1</v>
      </c>
      <c r="E37" s="294">
        <f>3386-E36</f>
        <v>1</v>
      </c>
      <c r="F37" s="294">
        <f>3356-F36</f>
        <v>2</v>
      </c>
      <c r="G37" s="294">
        <f>3348-G36</f>
        <v>0</v>
      </c>
      <c r="H37" s="294">
        <f>3346-H36</f>
        <v>0</v>
      </c>
      <c r="I37" s="294">
        <f>3361-I36</f>
        <v>0</v>
      </c>
      <c r="J37" s="294">
        <f>3359-J36</f>
        <v>0</v>
      </c>
      <c r="K37" s="294">
        <f>3358-K36</f>
        <v>0</v>
      </c>
      <c r="L37" s="294">
        <f>3367-L36</f>
        <v>0</v>
      </c>
      <c r="M37" s="294">
        <f>3359-M36</f>
        <v>0</v>
      </c>
      <c r="N37" s="294">
        <f>3361-N36</f>
        <v>0</v>
      </c>
      <c r="O37" s="294">
        <f>3351-O36</f>
        <v>0</v>
      </c>
      <c r="P37" s="292">
        <f t="shared" si="1"/>
        <v>4</v>
      </c>
      <c r="Q37" s="142"/>
      <c r="R37" s="142"/>
    </row>
    <row r="38" spans="1:18" x14ac:dyDescent="0.35">
      <c r="A38" s="232"/>
      <c r="B38" s="142"/>
      <c r="C38" s="142"/>
      <c r="D38" s="292">
        <f>SUM(D36:D37)</f>
        <v>3380</v>
      </c>
      <c r="E38" s="292">
        <f t="shared" ref="E38:O38" si="2">SUM(E36:E37)</f>
        <v>3386</v>
      </c>
      <c r="F38" s="292">
        <f t="shared" si="2"/>
        <v>3356</v>
      </c>
      <c r="G38" s="292">
        <f t="shared" si="2"/>
        <v>3348</v>
      </c>
      <c r="H38" s="292">
        <f t="shared" si="2"/>
        <v>3346</v>
      </c>
      <c r="I38" s="292">
        <f t="shared" si="2"/>
        <v>3361</v>
      </c>
      <c r="J38" s="292">
        <f t="shared" si="2"/>
        <v>3359</v>
      </c>
      <c r="K38" s="292">
        <f t="shared" si="2"/>
        <v>3358</v>
      </c>
      <c r="L38" s="292">
        <f t="shared" si="2"/>
        <v>3367</v>
      </c>
      <c r="M38" s="292">
        <f t="shared" si="2"/>
        <v>3359</v>
      </c>
      <c r="N38" s="292">
        <f t="shared" si="2"/>
        <v>3361</v>
      </c>
      <c r="O38" s="292">
        <f t="shared" si="2"/>
        <v>3351</v>
      </c>
      <c r="P38" s="292"/>
      <c r="Q38" s="142"/>
      <c r="R38" s="142"/>
    </row>
    <row r="39" spans="1:18" x14ac:dyDescent="0.35">
      <c r="A39" s="232"/>
      <c r="B39" s="142"/>
      <c r="C39" s="142"/>
      <c r="D39" s="142"/>
      <c r="E39" s="142"/>
      <c r="F39" s="142"/>
      <c r="G39" s="142"/>
      <c r="H39" s="142"/>
      <c r="I39" s="142"/>
      <c r="J39" s="142"/>
      <c r="K39" s="142"/>
      <c r="L39" s="142"/>
      <c r="M39" s="142"/>
      <c r="N39" s="142"/>
      <c r="O39" s="142"/>
      <c r="P39" s="142"/>
      <c r="Q39" s="142"/>
      <c r="R39" s="142"/>
    </row>
    <row r="40" spans="1:18" x14ac:dyDescent="0.35">
      <c r="A40" s="232"/>
      <c r="B40" s="142"/>
      <c r="C40" s="142"/>
      <c r="D40" s="142"/>
      <c r="E40" s="142"/>
      <c r="F40" s="142"/>
      <c r="G40" s="142"/>
      <c r="H40" s="142"/>
      <c r="I40" s="142"/>
      <c r="J40" s="142"/>
      <c r="K40" s="142"/>
      <c r="L40" s="142"/>
      <c r="M40" s="142"/>
      <c r="N40" s="142"/>
      <c r="O40" s="142"/>
      <c r="P40" s="142"/>
      <c r="Q40" s="142"/>
      <c r="R40" s="142"/>
    </row>
    <row r="41" spans="1:18" x14ac:dyDescent="0.35">
      <c r="A41" s="232"/>
      <c r="B41" s="282" t="s">
        <v>279</v>
      </c>
      <c r="C41" s="74"/>
      <c r="D41" s="281" t="s">
        <v>265</v>
      </c>
      <c r="E41" s="281" t="s">
        <v>266</v>
      </c>
      <c r="F41" s="281" t="s">
        <v>267</v>
      </c>
      <c r="G41" s="281" t="s">
        <v>268</v>
      </c>
      <c r="H41" s="281" t="s">
        <v>269</v>
      </c>
      <c r="I41" s="281" t="s">
        <v>270</v>
      </c>
      <c r="J41" s="281" t="s">
        <v>271</v>
      </c>
      <c r="K41" s="281" t="s">
        <v>272</v>
      </c>
      <c r="L41" s="281" t="s">
        <v>273</v>
      </c>
      <c r="M41" s="281" t="s">
        <v>274</v>
      </c>
      <c r="N41" s="281" t="s">
        <v>275</v>
      </c>
      <c r="O41" s="281" t="s">
        <v>276</v>
      </c>
      <c r="P41" s="142"/>
      <c r="Q41" s="142"/>
      <c r="R41" s="142"/>
    </row>
    <row r="42" spans="1:18" x14ac:dyDescent="0.35">
      <c r="A42" s="232"/>
      <c r="B42" s="195" t="s">
        <v>167</v>
      </c>
      <c r="C42" s="74">
        <v>2000</v>
      </c>
      <c r="D42" s="2">
        <v>10997</v>
      </c>
      <c r="E42" s="2">
        <v>11043</v>
      </c>
      <c r="F42" s="2">
        <v>11436</v>
      </c>
      <c r="G42" s="2">
        <v>11109</v>
      </c>
      <c r="H42" s="2">
        <v>11067</v>
      </c>
      <c r="I42" s="2">
        <v>11242</v>
      </c>
      <c r="J42" s="1">
        <v>11064</v>
      </c>
      <c r="K42" s="1">
        <v>11175</v>
      </c>
      <c r="L42" s="142">
        <v>11133</v>
      </c>
      <c r="M42" s="142">
        <v>6898</v>
      </c>
      <c r="N42" s="142">
        <v>7630</v>
      </c>
      <c r="O42" s="142">
        <v>7435</v>
      </c>
      <c r="P42" s="283">
        <f t="shared" ref="P42:P43" si="3">SUM(D42:O42)</f>
        <v>122229</v>
      </c>
      <c r="Q42" s="142"/>
      <c r="R42" s="142"/>
    </row>
    <row r="43" spans="1:18" x14ac:dyDescent="0.35">
      <c r="A43" s="232"/>
      <c r="B43" s="195" t="s">
        <v>168</v>
      </c>
      <c r="C43" s="74">
        <v>2000</v>
      </c>
      <c r="D43" s="284">
        <f>1311+537+174+66+30+11+5+4+4+4+1+2+1+1+2+1+1+1+1</f>
        <v>2157</v>
      </c>
      <c r="E43" s="285">
        <f>13179-E42</f>
        <v>2136</v>
      </c>
      <c r="F43" s="285">
        <f>13054-F42</f>
        <v>1618</v>
      </c>
      <c r="G43" s="285">
        <f>13031-G42</f>
        <v>1922</v>
      </c>
      <c r="H43" s="285">
        <f>13021-H42</f>
        <v>1954</v>
      </c>
      <c r="I43" s="285">
        <f>13079-I42</f>
        <v>1837</v>
      </c>
      <c r="J43" s="284">
        <f>13075-J42</f>
        <v>2011</v>
      </c>
      <c r="K43" s="284">
        <f>13068-K42</f>
        <v>1893</v>
      </c>
      <c r="L43" s="284">
        <f>13103-L42</f>
        <v>1970</v>
      </c>
      <c r="M43" s="284">
        <f>13030-M42</f>
        <v>6132</v>
      </c>
      <c r="N43" s="284">
        <f>13023-N42</f>
        <v>5393</v>
      </c>
      <c r="O43" s="284">
        <f>12977-O42</f>
        <v>5542</v>
      </c>
      <c r="P43" s="283">
        <f t="shared" si="3"/>
        <v>34565</v>
      </c>
      <c r="Q43" s="142"/>
      <c r="R43" s="142"/>
    </row>
    <row r="44" spans="1:18" x14ac:dyDescent="0.35">
      <c r="A44" s="232"/>
      <c r="B44" s="142"/>
      <c r="C44" s="142"/>
      <c r="D44" s="283">
        <f>SUM(D42:D43)</f>
        <v>13154</v>
      </c>
      <c r="E44" s="283">
        <f t="shared" ref="E44:O44" si="4">SUM(E42:E43)</f>
        <v>13179</v>
      </c>
      <c r="F44" s="283">
        <f t="shared" si="4"/>
        <v>13054</v>
      </c>
      <c r="G44" s="283">
        <f t="shared" si="4"/>
        <v>13031</v>
      </c>
      <c r="H44" s="283">
        <f t="shared" si="4"/>
        <v>13021</v>
      </c>
      <c r="I44" s="283">
        <f t="shared" si="4"/>
        <v>13079</v>
      </c>
      <c r="J44" s="283">
        <f t="shared" si="4"/>
        <v>13075</v>
      </c>
      <c r="K44" s="283">
        <f t="shared" si="4"/>
        <v>13068</v>
      </c>
      <c r="L44" s="283">
        <f t="shared" si="4"/>
        <v>13103</v>
      </c>
      <c r="M44" s="283">
        <f t="shared" si="4"/>
        <v>13030</v>
      </c>
      <c r="N44" s="283">
        <f t="shared" si="4"/>
        <v>13023</v>
      </c>
      <c r="O44" s="283">
        <f t="shared" si="4"/>
        <v>12977</v>
      </c>
      <c r="P44" s="142"/>
      <c r="Q44" s="142"/>
      <c r="R44" s="142"/>
    </row>
    <row r="45" spans="1:18" x14ac:dyDescent="0.35">
      <c r="A45" s="232"/>
      <c r="B45" s="142"/>
      <c r="C45" s="142"/>
      <c r="D45" s="142"/>
      <c r="E45" s="142"/>
      <c r="F45" s="142"/>
      <c r="G45" s="142"/>
      <c r="H45" s="142"/>
      <c r="I45" s="142"/>
      <c r="J45" s="142"/>
      <c r="K45" s="142"/>
      <c r="L45" s="142"/>
      <c r="M45" s="142"/>
      <c r="N45" s="142"/>
      <c r="O45" s="142"/>
      <c r="P45" s="142"/>
      <c r="Q45" s="142"/>
      <c r="R45" s="142"/>
    </row>
    <row r="46" spans="1:18" x14ac:dyDescent="0.35">
      <c r="A46" s="232"/>
      <c r="B46" s="142"/>
      <c r="C46" s="142"/>
      <c r="D46" s="142"/>
      <c r="E46" s="142"/>
      <c r="F46" s="142"/>
      <c r="G46" s="142"/>
      <c r="H46" s="142"/>
      <c r="I46" s="142"/>
      <c r="J46" s="142"/>
      <c r="K46" s="142"/>
      <c r="L46" s="142"/>
      <c r="M46" s="142"/>
      <c r="N46" s="142"/>
      <c r="O46" s="142"/>
      <c r="P46" s="142"/>
      <c r="Q46" s="142"/>
      <c r="R46" s="142"/>
    </row>
    <row r="47" spans="1:18" x14ac:dyDescent="0.35">
      <c r="A47" s="232"/>
      <c r="B47" s="142"/>
      <c r="C47" s="142"/>
      <c r="D47" s="142"/>
      <c r="E47" s="142"/>
      <c r="F47" s="142"/>
      <c r="G47" s="142"/>
      <c r="H47" s="142"/>
      <c r="I47" s="142"/>
      <c r="J47" s="142"/>
      <c r="K47" s="142"/>
      <c r="L47" s="142"/>
      <c r="M47" s="142"/>
      <c r="N47" s="142"/>
      <c r="O47" s="142"/>
      <c r="P47" s="142"/>
      <c r="Q47" s="142"/>
      <c r="R47" s="142"/>
    </row>
    <row r="48" spans="1:18" x14ac:dyDescent="0.35">
      <c r="A48" s="232"/>
      <c r="B48" s="142"/>
      <c r="C48" s="142"/>
      <c r="D48" s="142"/>
      <c r="E48" s="142"/>
      <c r="F48" s="142"/>
      <c r="G48" s="142"/>
      <c r="H48" s="142"/>
      <c r="I48" s="142"/>
      <c r="J48" s="142"/>
      <c r="K48" s="142"/>
      <c r="L48" s="142"/>
      <c r="M48" s="142"/>
      <c r="N48" s="142"/>
      <c r="O48" s="142"/>
      <c r="P48" s="142"/>
      <c r="Q48" s="142"/>
      <c r="R48" s="142"/>
    </row>
    <row r="49" spans="1:18" x14ac:dyDescent="0.35">
      <c r="A49" s="232"/>
      <c r="B49" s="142" t="s">
        <v>306</v>
      </c>
      <c r="C49" s="142"/>
      <c r="D49" s="142"/>
      <c r="E49" s="142"/>
      <c r="F49" s="142"/>
      <c r="G49" s="142"/>
      <c r="H49" s="142"/>
      <c r="I49" s="142"/>
      <c r="J49" s="142"/>
      <c r="K49" s="142"/>
      <c r="L49" s="142"/>
      <c r="M49" s="142"/>
      <c r="N49" s="142"/>
      <c r="O49" s="142"/>
      <c r="P49" s="142"/>
      <c r="Q49" s="142"/>
      <c r="R49" s="142"/>
    </row>
    <row r="50" spans="1:18" x14ac:dyDescent="0.35">
      <c r="A50" s="232"/>
      <c r="B50" s="142"/>
      <c r="C50" s="293" t="s">
        <v>304</v>
      </c>
      <c r="D50" s="293" t="s">
        <v>305</v>
      </c>
      <c r="E50" s="293" t="s">
        <v>169</v>
      </c>
      <c r="F50" s="142"/>
      <c r="G50" s="142"/>
      <c r="H50" s="142"/>
      <c r="I50" s="142"/>
      <c r="J50" s="142"/>
      <c r="K50" s="142"/>
      <c r="L50" s="142"/>
      <c r="M50" s="142"/>
      <c r="N50" s="142"/>
      <c r="O50" s="142"/>
      <c r="P50" s="142"/>
      <c r="Q50" s="142"/>
      <c r="R50" s="142"/>
    </row>
    <row r="51" spans="1:18" x14ac:dyDescent="0.35">
      <c r="A51" s="232"/>
      <c r="B51" s="142" t="s">
        <v>293</v>
      </c>
      <c r="C51" s="291">
        <v>171073.61</v>
      </c>
      <c r="D51" s="292">
        <v>13154</v>
      </c>
      <c r="E51" s="292">
        <v>10717690</v>
      </c>
      <c r="F51" s="291"/>
      <c r="G51" s="142"/>
      <c r="H51" s="142"/>
      <c r="I51" s="142"/>
      <c r="J51" s="142"/>
      <c r="K51" s="142"/>
      <c r="L51" s="142"/>
      <c r="M51" s="142"/>
      <c r="N51" s="142"/>
      <c r="O51" s="142"/>
      <c r="P51" s="142"/>
      <c r="Q51" s="142"/>
      <c r="R51" s="142"/>
    </row>
    <row r="52" spans="1:18" x14ac:dyDescent="0.35">
      <c r="A52" s="232"/>
      <c r="B52" s="142" t="s">
        <v>294</v>
      </c>
      <c r="C52" s="291">
        <v>221447.34</v>
      </c>
      <c r="D52" s="292">
        <v>13179</v>
      </c>
      <c r="E52" s="292">
        <v>16003070</v>
      </c>
      <c r="F52" s="291"/>
      <c r="G52" s="142"/>
      <c r="H52" s="142"/>
      <c r="I52" s="142"/>
      <c r="J52" s="142"/>
      <c r="K52" s="142"/>
      <c r="L52" s="142"/>
      <c r="M52" s="142"/>
      <c r="N52" s="142"/>
      <c r="O52" s="142"/>
      <c r="P52" s="142"/>
      <c r="Q52" s="142"/>
      <c r="R52" s="142"/>
    </row>
    <row r="53" spans="1:18" x14ac:dyDescent="0.35">
      <c r="A53" s="232"/>
      <c r="B53" s="142" t="s">
        <v>295</v>
      </c>
      <c r="C53" s="291">
        <v>305855.78999999998</v>
      </c>
      <c r="D53" s="292">
        <v>13054</v>
      </c>
      <c r="E53" s="292">
        <v>9606840</v>
      </c>
      <c r="F53" s="291"/>
      <c r="G53" s="142"/>
      <c r="H53" s="142"/>
      <c r="I53" s="142"/>
      <c r="J53" s="142"/>
      <c r="K53" s="142"/>
      <c r="L53" s="142"/>
      <c r="M53" s="142"/>
      <c r="N53" s="142"/>
      <c r="O53" s="142"/>
      <c r="P53" s="142"/>
      <c r="Q53" s="142"/>
      <c r="R53" s="142"/>
    </row>
    <row r="54" spans="1:18" x14ac:dyDescent="0.35">
      <c r="A54" s="232"/>
      <c r="B54" s="142" t="s">
        <v>296</v>
      </c>
      <c r="C54" s="291">
        <v>165795.5</v>
      </c>
      <c r="D54" s="292">
        <v>13031</v>
      </c>
      <c r="E54" s="292">
        <v>10632440</v>
      </c>
      <c r="F54" s="291"/>
      <c r="G54" s="142"/>
      <c r="H54" s="142"/>
      <c r="I54" s="142"/>
      <c r="J54" s="142"/>
      <c r="K54" s="142"/>
      <c r="L54" s="142"/>
      <c r="M54" s="142"/>
      <c r="N54" s="142"/>
      <c r="O54" s="142"/>
      <c r="P54" s="142"/>
      <c r="Q54" s="142"/>
      <c r="R54" s="142"/>
    </row>
    <row r="55" spans="1:18" x14ac:dyDescent="0.35">
      <c r="A55" s="232"/>
      <c r="B55" s="142" t="s">
        <v>269</v>
      </c>
      <c r="C55" s="291">
        <v>214728.17</v>
      </c>
      <c r="D55" s="292">
        <v>13021</v>
      </c>
      <c r="E55" s="292">
        <v>11272940</v>
      </c>
      <c r="F55" s="291"/>
      <c r="G55" s="142"/>
      <c r="H55" s="142"/>
      <c r="I55" s="142"/>
      <c r="J55" s="142"/>
      <c r="K55" s="142"/>
      <c r="L55" s="142"/>
      <c r="M55" s="142"/>
      <c r="N55" s="142"/>
      <c r="O55" s="142"/>
      <c r="P55" s="142"/>
      <c r="Q55" s="142"/>
      <c r="R55" s="142"/>
    </row>
    <row r="56" spans="1:18" x14ac:dyDescent="0.35">
      <c r="A56" s="232"/>
      <c r="B56" s="142" t="s">
        <v>297</v>
      </c>
      <c r="C56" s="291">
        <v>263078.08</v>
      </c>
      <c r="D56" s="292">
        <v>13079</v>
      </c>
      <c r="E56" s="292">
        <v>10815880</v>
      </c>
      <c r="F56" s="291"/>
      <c r="G56" s="142"/>
      <c r="H56" s="142"/>
      <c r="I56" s="142"/>
      <c r="J56" s="142"/>
      <c r="K56" s="142"/>
      <c r="L56" s="142"/>
      <c r="M56" s="142"/>
      <c r="N56" s="142"/>
      <c r="O56" s="142"/>
      <c r="P56" s="142"/>
      <c r="Q56" s="142"/>
      <c r="R56" s="142"/>
    </row>
    <row r="57" spans="1:18" x14ac:dyDescent="0.35">
      <c r="A57" s="232"/>
      <c r="B57" s="142" t="s">
        <v>298</v>
      </c>
      <c r="C57" s="291">
        <v>185562.92</v>
      </c>
      <c r="D57" s="292">
        <v>13075</v>
      </c>
      <c r="E57" s="292">
        <v>12622640</v>
      </c>
      <c r="F57" s="291"/>
      <c r="G57" s="142"/>
      <c r="H57" s="142"/>
      <c r="I57" s="142"/>
      <c r="J57" s="142"/>
      <c r="K57" s="142"/>
      <c r="L57" s="142"/>
      <c r="M57" s="142"/>
      <c r="N57" s="142"/>
      <c r="O57" s="142"/>
      <c r="P57" s="142"/>
      <c r="Q57" s="142"/>
      <c r="R57" s="142"/>
    </row>
    <row r="58" spans="1:18" x14ac:dyDescent="0.35">
      <c r="A58" s="232"/>
      <c r="B58" s="142" t="s">
        <v>299</v>
      </c>
      <c r="C58" s="291">
        <v>259895.47</v>
      </c>
      <c r="D58" s="292">
        <v>13068</v>
      </c>
      <c r="E58" s="292">
        <v>21097100</v>
      </c>
      <c r="F58" s="291"/>
      <c r="G58" s="142"/>
      <c r="H58" s="142"/>
      <c r="I58" s="284"/>
      <c r="J58" s="142"/>
      <c r="K58" s="142"/>
      <c r="L58" s="142"/>
      <c r="M58" s="142"/>
      <c r="N58" s="142"/>
      <c r="O58" s="142"/>
      <c r="P58" s="142"/>
      <c r="Q58" s="142"/>
      <c r="R58" s="142"/>
    </row>
    <row r="59" spans="1:18" x14ac:dyDescent="0.35">
      <c r="A59" s="232"/>
      <c r="B59" s="142" t="s">
        <v>300</v>
      </c>
      <c r="C59" s="291">
        <v>181768.74</v>
      </c>
      <c r="D59" s="292">
        <v>13106</v>
      </c>
      <c r="E59" s="292">
        <v>11273610</v>
      </c>
      <c r="F59" s="291"/>
      <c r="G59" s="142"/>
      <c r="H59" s="142"/>
      <c r="I59" s="142"/>
      <c r="J59" s="142"/>
      <c r="K59" s="142"/>
      <c r="L59" s="142"/>
      <c r="M59" s="142"/>
      <c r="N59" s="142"/>
      <c r="O59" s="142"/>
      <c r="P59" s="142"/>
      <c r="Q59" s="142"/>
      <c r="R59" s="142"/>
    </row>
    <row r="60" spans="1:18" x14ac:dyDescent="0.35">
      <c r="A60" s="232"/>
      <c r="B60" s="142" t="s">
        <v>301</v>
      </c>
      <c r="C60" s="291">
        <f>97228.06+5189.01+25668.71+204.71+19279.62</f>
        <v>147570.11000000002</v>
      </c>
      <c r="D60" s="292">
        <f>4508+189+1170+18+902+3359+2884</f>
        <v>13030</v>
      </c>
      <c r="E60" s="292">
        <f>7730730+441800+2060880+6670+1527420</f>
        <v>11767500</v>
      </c>
      <c r="F60" s="291"/>
      <c r="G60" s="142"/>
      <c r="H60" s="142"/>
      <c r="I60" s="142"/>
      <c r="J60" s="142"/>
      <c r="K60" s="142"/>
      <c r="L60" s="142"/>
      <c r="M60" s="142"/>
      <c r="N60" s="142"/>
      <c r="O60" s="142"/>
      <c r="P60" s="142"/>
      <c r="Q60" s="142"/>
      <c r="R60" s="142"/>
    </row>
    <row r="61" spans="1:18" x14ac:dyDescent="0.35">
      <c r="A61" s="232"/>
      <c r="B61" s="142" t="s">
        <v>302</v>
      </c>
      <c r="C61" s="291">
        <f>112398.2+5587.31+22416.22+225.22+18932.95</f>
        <v>159559.9</v>
      </c>
      <c r="D61" s="292">
        <f>4522+189+1162+18+902+3352+2878</f>
        <v>13023</v>
      </c>
      <c r="E61" s="292">
        <f>9089469-652839+1626140+8640+1450090</f>
        <v>11521500</v>
      </c>
      <c r="F61" s="291"/>
      <c r="G61" s="142"/>
      <c r="H61" s="142"/>
      <c r="I61" s="142"/>
      <c r="J61" s="142"/>
      <c r="K61" s="142"/>
      <c r="L61" s="142"/>
      <c r="M61" s="142"/>
      <c r="N61" s="142"/>
      <c r="O61" s="142"/>
      <c r="P61" s="142"/>
      <c r="Q61" s="142"/>
      <c r="R61" s="142"/>
    </row>
    <row r="62" spans="1:18" x14ac:dyDescent="0.35">
      <c r="A62" s="232"/>
      <c r="B62" s="142" t="s">
        <v>303</v>
      </c>
      <c r="C62" s="298">
        <f>95013.93+5214.63+21111.72+188.91+17999.52</f>
        <v>139528.71</v>
      </c>
      <c r="D62" s="294">
        <f>4514+186+1154+18+902+3358+2865</f>
        <v>12997</v>
      </c>
      <c r="E62" s="294">
        <f>7481260+438128+1317305+7490+1369740</f>
        <v>10613923</v>
      </c>
      <c r="F62" s="291"/>
      <c r="G62" s="142"/>
      <c r="H62" s="142"/>
      <c r="I62" s="142"/>
      <c r="J62" s="142"/>
      <c r="K62" s="142"/>
      <c r="L62" s="142"/>
      <c r="M62" s="142"/>
      <c r="N62" s="142"/>
      <c r="O62" s="142"/>
      <c r="P62" s="142"/>
      <c r="Q62" s="142"/>
      <c r="R62" s="142"/>
    </row>
    <row r="63" spans="1:18" x14ac:dyDescent="0.35">
      <c r="A63" s="232"/>
      <c r="B63" s="142"/>
      <c r="C63" s="299">
        <f>SUM(C51:C62)</f>
        <v>2415864.34</v>
      </c>
      <c r="D63" s="283">
        <f t="shared" ref="D63:E63" si="5">SUM(D51:D62)</f>
        <v>156817</v>
      </c>
      <c r="E63" s="283">
        <f t="shared" si="5"/>
        <v>147945133</v>
      </c>
      <c r="F63" s="142"/>
      <c r="G63" s="142"/>
      <c r="H63" s="142"/>
      <c r="I63" s="142"/>
      <c r="J63" s="142"/>
      <c r="K63" s="142"/>
      <c r="L63" s="142"/>
      <c r="M63" s="142"/>
      <c r="N63" s="142"/>
      <c r="O63" s="142"/>
      <c r="P63" s="142"/>
      <c r="Q63" s="142"/>
      <c r="R63" s="142"/>
    </row>
    <row r="64" spans="1:18" x14ac:dyDescent="0.35">
      <c r="A64" s="232"/>
      <c r="B64" s="142"/>
      <c r="C64" s="142"/>
      <c r="D64" s="142"/>
      <c r="E64" s="142"/>
      <c r="F64" s="142"/>
      <c r="G64" s="142"/>
      <c r="H64" s="142"/>
      <c r="I64" s="142"/>
      <c r="J64" s="142"/>
      <c r="K64" s="142"/>
      <c r="L64" s="142"/>
      <c r="M64" s="142"/>
      <c r="N64" s="142"/>
      <c r="O64" s="142"/>
      <c r="P64" s="142"/>
      <c r="Q64" s="142"/>
      <c r="R64" s="142"/>
    </row>
    <row r="65" spans="1:18" x14ac:dyDescent="0.35">
      <c r="A65" s="232"/>
      <c r="B65" s="142" t="s">
        <v>311</v>
      </c>
      <c r="C65" s="142"/>
      <c r="D65" s="142"/>
      <c r="E65" s="142"/>
      <c r="F65" s="142"/>
      <c r="G65" s="142"/>
      <c r="H65" s="142"/>
      <c r="I65" s="142"/>
      <c r="J65" s="142"/>
      <c r="K65" s="142"/>
      <c r="L65" s="142"/>
      <c r="M65" s="142"/>
      <c r="N65" s="142"/>
      <c r="O65" s="142"/>
      <c r="P65" s="142"/>
      <c r="Q65" s="142"/>
      <c r="R65" s="142"/>
    </row>
    <row r="66" spans="1:18" x14ac:dyDescent="0.35">
      <c r="A66" s="232"/>
      <c r="B66" s="142"/>
      <c r="C66" s="293" t="s">
        <v>304</v>
      </c>
      <c r="D66" s="293" t="s">
        <v>305</v>
      </c>
      <c r="E66" s="293" t="s">
        <v>169</v>
      </c>
      <c r="F66" s="142"/>
      <c r="G66" s="142"/>
      <c r="H66" s="142"/>
      <c r="I66" s="142"/>
      <c r="J66" s="142"/>
      <c r="K66" s="142"/>
      <c r="L66" s="142"/>
      <c r="M66" s="142"/>
      <c r="N66" s="142"/>
      <c r="O66" s="142"/>
      <c r="P66" s="142"/>
      <c r="Q66" s="142"/>
      <c r="R66" s="142"/>
    </row>
    <row r="67" spans="1:18" x14ac:dyDescent="0.35">
      <c r="A67" s="232"/>
      <c r="B67" s="142" t="s">
        <v>293</v>
      </c>
      <c r="C67" s="291">
        <v>171073.61</v>
      </c>
      <c r="D67" s="292">
        <v>13154</v>
      </c>
      <c r="E67" s="292">
        <v>10717690</v>
      </c>
      <c r="F67" s="142"/>
      <c r="G67" s="142"/>
      <c r="H67" s="142"/>
      <c r="I67" s="142"/>
      <c r="J67" s="142"/>
      <c r="K67" s="142"/>
      <c r="L67" s="142"/>
      <c r="M67" s="142"/>
      <c r="N67" s="142"/>
      <c r="O67" s="142"/>
      <c r="P67" s="142"/>
      <c r="Q67" s="142"/>
      <c r="R67" s="142"/>
    </row>
    <row r="68" spans="1:18" x14ac:dyDescent="0.35">
      <c r="A68" s="232"/>
      <c r="B68" s="142" t="s">
        <v>294</v>
      </c>
      <c r="C68" s="291">
        <v>221447.34</v>
      </c>
      <c r="D68" s="292">
        <v>13179</v>
      </c>
      <c r="E68" s="292">
        <v>16003070</v>
      </c>
      <c r="F68" s="142"/>
      <c r="G68" s="142"/>
      <c r="H68" s="142"/>
      <c r="I68" s="142"/>
      <c r="J68" s="142"/>
      <c r="K68" s="142"/>
      <c r="L68" s="142"/>
      <c r="M68" s="142"/>
      <c r="N68" s="142"/>
      <c r="O68" s="142"/>
      <c r="P68" s="142"/>
      <c r="Q68" s="142"/>
      <c r="R68" s="142"/>
    </row>
    <row r="69" spans="1:18" x14ac:dyDescent="0.35">
      <c r="A69" s="232"/>
      <c r="B69" s="142" t="s">
        <v>295</v>
      </c>
      <c r="C69" s="291">
        <v>305855.78999999998</v>
      </c>
      <c r="D69" s="292">
        <v>13054</v>
      </c>
      <c r="E69" s="292">
        <v>9606840</v>
      </c>
      <c r="F69" s="142"/>
      <c r="G69" s="142"/>
      <c r="H69" s="142"/>
      <c r="I69" s="142"/>
      <c r="J69" s="142"/>
      <c r="K69" s="142"/>
      <c r="L69" s="142"/>
      <c r="M69" s="142"/>
      <c r="N69" s="142"/>
      <c r="O69" s="142"/>
      <c r="P69" s="142"/>
      <c r="Q69" s="142"/>
      <c r="R69" s="142"/>
    </row>
    <row r="70" spans="1:18" x14ac:dyDescent="0.35">
      <c r="A70" s="232"/>
      <c r="B70" s="142" t="s">
        <v>296</v>
      </c>
      <c r="C70" s="291">
        <v>165795.5</v>
      </c>
      <c r="D70" s="292">
        <v>13031</v>
      </c>
      <c r="E70" s="292">
        <v>10632440</v>
      </c>
      <c r="F70" s="142"/>
      <c r="G70" s="142"/>
      <c r="H70" s="142"/>
      <c r="I70" s="142"/>
      <c r="J70" s="142"/>
      <c r="K70" s="142"/>
      <c r="L70" s="142"/>
      <c r="M70" s="142"/>
      <c r="N70" s="142"/>
      <c r="O70" s="142"/>
      <c r="P70" s="142"/>
      <c r="Q70" s="142"/>
      <c r="R70" s="142"/>
    </row>
    <row r="71" spans="1:18" x14ac:dyDescent="0.35">
      <c r="A71" s="232"/>
      <c r="B71" s="142" t="s">
        <v>269</v>
      </c>
      <c r="C71" s="291">
        <v>214728.17</v>
      </c>
      <c r="D71" s="292">
        <v>13021</v>
      </c>
      <c r="E71" s="292">
        <v>11272940</v>
      </c>
      <c r="F71" s="142"/>
      <c r="G71" s="142"/>
      <c r="H71" s="142"/>
      <c r="I71" s="142"/>
      <c r="J71" s="142"/>
      <c r="K71" s="142"/>
      <c r="L71" s="142"/>
      <c r="M71" s="142"/>
      <c r="N71" s="142"/>
      <c r="O71" s="142"/>
      <c r="P71" s="142"/>
      <c r="Q71" s="142"/>
      <c r="R71" s="142"/>
    </row>
    <row r="72" spans="1:18" x14ac:dyDescent="0.35">
      <c r="A72" s="232"/>
      <c r="B72" s="142" t="s">
        <v>297</v>
      </c>
      <c r="C72" s="291">
        <v>263078.08</v>
      </c>
      <c r="D72" s="292">
        <v>13079</v>
      </c>
      <c r="E72" s="292">
        <v>10815880</v>
      </c>
      <c r="F72" s="142"/>
      <c r="G72" s="142"/>
      <c r="H72" s="142"/>
      <c r="I72" s="142"/>
      <c r="J72" s="142"/>
      <c r="K72" s="142"/>
      <c r="L72" s="142"/>
      <c r="M72" s="142"/>
      <c r="N72" s="142"/>
      <c r="O72" s="142"/>
      <c r="P72" s="142"/>
      <c r="Q72" s="142"/>
      <c r="R72" s="142"/>
    </row>
    <row r="73" spans="1:18" x14ac:dyDescent="0.35">
      <c r="A73" s="232"/>
      <c r="B73" s="142" t="s">
        <v>298</v>
      </c>
      <c r="C73" s="291">
        <v>185562.92</v>
      </c>
      <c r="D73" s="292">
        <v>13075</v>
      </c>
      <c r="E73" s="292">
        <v>12622640</v>
      </c>
      <c r="F73" s="142"/>
      <c r="G73" s="142"/>
      <c r="H73" s="142"/>
      <c r="I73" s="142"/>
      <c r="J73" s="142"/>
      <c r="K73" s="142"/>
      <c r="L73" s="142"/>
      <c r="M73" s="142"/>
      <c r="N73" s="142"/>
      <c r="O73" s="142"/>
      <c r="P73" s="142"/>
      <c r="Q73" s="142"/>
      <c r="R73" s="142"/>
    </row>
    <row r="74" spans="1:18" x14ac:dyDescent="0.35">
      <c r="A74" s="232"/>
      <c r="B74" s="142" t="s">
        <v>299</v>
      </c>
      <c r="C74" s="291">
        <v>259895.47</v>
      </c>
      <c r="D74" s="292">
        <v>13068</v>
      </c>
      <c r="E74" s="292">
        <v>21097100</v>
      </c>
      <c r="F74" s="142"/>
      <c r="G74" s="142"/>
      <c r="H74" s="142"/>
      <c r="I74" s="142"/>
      <c r="J74" s="142"/>
      <c r="K74" s="142"/>
      <c r="L74" s="142"/>
      <c r="M74" s="142"/>
      <c r="N74" s="142"/>
      <c r="O74" s="142"/>
      <c r="P74" s="142"/>
      <c r="Q74" s="142"/>
      <c r="R74" s="142"/>
    </row>
    <row r="75" spans="1:18" x14ac:dyDescent="0.35">
      <c r="A75" s="232"/>
      <c r="B75" s="142" t="s">
        <v>300</v>
      </c>
      <c r="C75" s="300">
        <v>181768.74</v>
      </c>
      <c r="D75" s="301">
        <v>13106</v>
      </c>
      <c r="E75" s="301">
        <v>11273610</v>
      </c>
      <c r="F75" s="142"/>
      <c r="G75" s="142"/>
      <c r="H75" s="142"/>
      <c r="I75" s="142"/>
      <c r="J75" s="142"/>
      <c r="K75" s="142"/>
      <c r="L75" s="142"/>
      <c r="M75" s="142"/>
      <c r="N75" s="142"/>
      <c r="O75" s="142"/>
      <c r="P75" s="142"/>
      <c r="Q75" s="142"/>
      <c r="R75" s="142"/>
    </row>
    <row r="76" spans="1:18" x14ac:dyDescent="0.35">
      <c r="A76" s="232"/>
      <c r="B76" s="142" t="s">
        <v>301</v>
      </c>
      <c r="C76" s="291">
        <f>97228.06+5189.01+25668.71+204.71+19279.62</f>
        <v>147570.11000000002</v>
      </c>
      <c r="D76" s="292">
        <f>4508+189+1170+18+902+3359+2884</f>
        <v>13030</v>
      </c>
      <c r="E76" s="292">
        <f>7730730+441800+2060880+6670+1527420</f>
        <v>11767500</v>
      </c>
      <c r="F76" s="142"/>
      <c r="G76" s="142"/>
      <c r="H76" s="142"/>
      <c r="I76" s="142"/>
      <c r="J76" s="142"/>
      <c r="K76" s="142"/>
      <c r="L76" s="142"/>
      <c r="M76" s="142"/>
      <c r="N76" s="142"/>
      <c r="O76" s="142"/>
      <c r="P76" s="142"/>
      <c r="Q76" s="142"/>
      <c r="R76" s="142"/>
    </row>
    <row r="77" spans="1:18" x14ac:dyDescent="0.35">
      <c r="A77" s="232"/>
      <c r="B77" s="142" t="s">
        <v>302</v>
      </c>
      <c r="C77" s="291">
        <f>112398.2+5587.31+22416.22+225.22+18932.95</f>
        <v>159559.9</v>
      </c>
      <c r="D77" s="292">
        <f>4522+189+1162+18+902+3352+2878</f>
        <v>13023</v>
      </c>
      <c r="E77" s="292">
        <f>9089469-652839+1626140+8640+1450090</f>
        <v>11521500</v>
      </c>
      <c r="F77" s="142"/>
      <c r="G77" s="142"/>
      <c r="H77" s="142"/>
      <c r="I77" s="142"/>
      <c r="J77" s="142"/>
      <c r="K77" s="142"/>
      <c r="L77" s="142"/>
      <c r="M77" s="142"/>
      <c r="N77" s="142"/>
      <c r="O77" s="142"/>
      <c r="P77" s="142"/>
      <c r="Q77" s="142"/>
      <c r="R77" s="142"/>
    </row>
    <row r="78" spans="1:18" x14ac:dyDescent="0.35">
      <c r="A78" s="232"/>
      <c r="B78" s="142" t="s">
        <v>303</v>
      </c>
      <c r="C78" s="298">
        <f>95013.93+5214.63+21111.72+188.91+17999.52</f>
        <v>139528.71</v>
      </c>
      <c r="D78" s="294">
        <f>4514+186+1154+18+902+3358+2865</f>
        <v>12997</v>
      </c>
      <c r="E78" s="294">
        <f>7481260+438128+1317305+7490+1369740</f>
        <v>10613923</v>
      </c>
      <c r="F78" s="142"/>
      <c r="G78" s="142"/>
      <c r="H78" s="142"/>
      <c r="I78" s="142"/>
      <c r="J78" s="142"/>
      <c r="K78" s="142"/>
      <c r="L78" s="142"/>
      <c r="M78" s="142"/>
      <c r="N78" s="142"/>
      <c r="O78" s="142"/>
      <c r="P78" s="142"/>
      <c r="Q78" s="142"/>
      <c r="R78" s="142"/>
    </row>
    <row r="79" spans="1:18" x14ac:dyDescent="0.35">
      <c r="A79" s="232"/>
      <c r="B79" s="142"/>
      <c r="C79" s="299">
        <f>SUM(C67:C78)</f>
        <v>2415864.34</v>
      </c>
      <c r="D79" s="283">
        <f t="shared" ref="D79:E79" si="6">SUM(D67:D78)</f>
        <v>156817</v>
      </c>
      <c r="E79" s="283">
        <f t="shared" si="6"/>
        <v>147945133</v>
      </c>
      <c r="F79" s="142"/>
      <c r="G79" s="142"/>
      <c r="H79" s="142"/>
      <c r="I79" s="142"/>
      <c r="J79" s="142"/>
      <c r="K79" s="142"/>
      <c r="L79" s="142"/>
      <c r="M79" s="142"/>
      <c r="N79" s="142"/>
      <c r="O79" s="142"/>
      <c r="P79" s="142"/>
      <c r="Q79" s="142"/>
      <c r="R79" s="142"/>
    </row>
    <row r="80" spans="1:18" x14ac:dyDescent="0.35">
      <c r="A80" s="232"/>
      <c r="B80" s="142"/>
      <c r="C80" s="142"/>
      <c r="D80" s="142"/>
      <c r="E80" s="142"/>
      <c r="F80" s="142"/>
      <c r="G80" s="142"/>
      <c r="H80" s="142"/>
      <c r="I80" s="142"/>
      <c r="J80" s="142"/>
      <c r="K80" s="142"/>
      <c r="L80" s="142"/>
      <c r="M80" s="142"/>
      <c r="N80" s="142"/>
      <c r="O80" s="142"/>
      <c r="P80" s="142"/>
      <c r="Q80" s="142"/>
      <c r="R80" s="142"/>
    </row>
  </sheetData>
  <mergeCells count="10">
    <mergeCell ref="A2:H2"/>
    <mergeCell ref="A1:H1"/>
    <mergeCell ref="D8:E8"/>
    <mergeCell ref="D11:E11"/>
    <mergeCell ref="D12:E12"/>
    <mergeCell ref="D3:E3"/>
    <mergeCell ref="D4:E4"/>
    <mergeCell ref="D5:E5"/>
    <mergeCell ref="D6:E6"/>
    <mergeCell ref="D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3926-0D56-420A-9275-CC408C10508A}">
  <sheetPr>
    <tabColor rgb="FF92D050"/>
  </sheetPr>
  <dimension ref="B2:C24"/>
  <sheetViews>
    <sheetView workbookViewId="0">
      <selection activeCell="B2" sqref="B2:C24"/>
    </sheetView>
  </sheetViews>
  <sheetFormatPr defaultRowHeight="15.5" x14ac:dyDescent="0.35"/>
  <cols>
    <col min="2" max="2" width="4.07421875" customWidth="1"/>
    <col min="3" max="3" width="99.4609375" customWidth="1"/>
  </cols>
  <sheetData>
    <row r="2" spans="2:3" ht="18" x14ac:dyDescent="0.4">
      <c r="B2" s="313"/>
      <c r="C2" s="314" t="s">
        <v>328</v>
      </c>
    </row>
    <row r="3" spans="2:3" ht="17.5" x14ac:dyDescent="0.35">
      <c r="B3" s="313"/>
      <c r="C3" s="315"/>
    </row>
    <row r="4" spans="2:3" x14ac:dyDescent="0.35">
      <c r="B4" s="356" t="s">
        <v>329</v>
      </c>
      <c r="C4" s="357" t="s">
        <v>382</v>
      </c>
    </row>
    <row r="5" spans="2:3" x14ac:dyDescent="0.35">
      <c r="B5" s="356"/>
      <c r="C5" s="357"/>
    </row>
    <row r="6" spans="2:3" ht="31" x14ac:dyDescent="0.35">
      <c r="B6" s="358" t="s">
        <v>330</v>
      </c>
      <c r="C6" s="359" t="s">
        <v>401</v>
      </c>
    </row>
    <row r="7" spans="2:3" x14ac:dyDescent="0.35">
      <c r="B7" s="358"/>
      <c r="C7" s="359"/>
    </row>
    <row r="8" spans="2:3" ht="46.5" x14ac:dyDescent="0.35">
      <c r="B8" s="358" t="s">
        <v>331</v>
      </c>
      <c r="C8" s="359" t="s">
        <v>398</v>
      </c>
    </row>
    <row r="9" spans="2:3" x14ac:dyDescent="0.35">
      <c r="B9" s="358"/>
      <c r="C9" s="359"/>
    </row>
    <row r="10" spans="2:3" x14ac:dyDescent="0.35">
      <c r="B10" s="358" t="s">
        <v>227</v>
      </c>
      <c r="C10" s="359" t="s">
        <v>400</v>
      </c>
    </row>
    <row r="11" spans="2:3" x14ac:dyDescent="0.35">
      <c r="B11" s="358"/>
      <c r="C11" s="359"/>
    </row>
    <row r="12" spans="2:3" ht="62" x14ac:dyDescent="0.35">
      <c r="B12" s="358" t="s">
        <v>332</v>
      </c>
      <c r="C12" s="359" t="s">
        <v>385</v>
      </c>
    </row>
    <row r="13" spans="2:3" x14ac:dyDescent="0.35">
      <c r="B13" s="360"/>
      <c r="C13" s="361"/>
    </row>
    <row r="14" spans="2:3" ht="31" x14ac:dyDescent="0.35">
      <c r="B14" s="360" t="s">
        <v>333</v>
      </c>
      <c r="C14" s="361" t="s">
        <v>402</v>
      </c>
    </row>
    <row r="15" spans="2:3" x14ac:dyDescent="0.35">
      <c r="B15" s="360"/>
      <c r="C15" s="361"/>
    </row>
    <row r="16" spans="2:3" ht="31" x14ac:dyDescent="0.35">
      <c r="B16" s="360" t="s">
        <v>334</v>
      </c>
      <c r="C16" s="361" t="s">
        <v>386</v>
      </c>
    </row>
    <row r="17" spans="2:3" x14ac:dyDescent="0.35">
      <c r="B17" s="360"/>
      <c r="C17" s="361"/>
    </row>
    <row r="18" spans="2:3" ht="62" x14ac:dyDescent="0.35">
      <c r="B18" s="358" t="s">
        <v>335</v>
      </c>
      <c r="C18" s="359" t="s">
        <v>353</v>
      </c>
    </row>
    <row r="19" spans="2:3" x14ac:dyDescent="0.35">
      <c r="B19" s="360"/>
      <c r="C19" s="361"/>
    </row>
    <row r="20" spans="2:3" x14ac:dyDescent="0.35">
      <c r="B20" s="358" t="s">
        <v>336</v>
      </c>
      <c r="C20" s="359" t="s">
        <v>352</v>
      </c>
    </row>
    <row r="21" spans="2:3" x14ac:dyDescent="0.35">
      <c r="B21" s="360"/>
      <c r="C21" s="361"/>
    </row>
    <row r="22" spans="2:3" x14ac:dyDescent="0.35">
      <c r="B22" s="358" t="s">
        <v>337</v>
      </c>
      <c r="C22" s="359" t="s">
        <v>387</v>
      </c>
    </row>
    <row r="23" spans="2:3" x14ac:dyDescent="0.35">
      <c r="B23" s="360"/>
      <c r="C23" s="361"/>
    </row>
    <row r="24" spans="2:3" ht="31" x14ac:dyDescent="0.35">
      <c r="B24" s="358" t="s">
        <v>338</v>
      </c>
      <c r="C24" s="359" t="s">
        <v>339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339E1-52CD-47F4-8F19-2B82D9035B84}">
  <sheetPr>
    <tabColor rgb="FF92D050"/>
    <pageSetUpPr fitToPage="1"/>
  </sheetPr>
  <dimension ref="A1:O27"/>
  <sheetViews>
    <sheetView workbookViewId="0">
      <selection sqref="A1:G1"/>
    </sheetView>
  </sheetViews>
  <sheetFormatPr defaultRowHeight="15.5" x14ac:dyDescent="0.35"/>
  <cols>
    <col min="1" max="1" width="3.61328125" customWidth="1"/>
    <col min="2" max="2" width="2.61328125" customWidth="1"/>
    <col min="3" max="3" width="30.61328125" customWidth="1"/>
    <col min="8" max="8" width="2.61328125" customWidth="1"/>
  </cols>
  <sheetData>
    <row r="1" spans="1:15" ht="18.5" x14ac:dyDescent="0.5">
      <c r="A1" s="375" t="s">
        <v>220</v>
      </c>
      <c r="B1" s="375"/>
      <c r="C1" s="375"/>
      <c r="D1" s="375"/>
      <c r="E1" s="375"/>
      <c r="F1" s="375"/>
      <c r="G1" s="375"/>
      <c r="I1" s="65" t="s">
        <v>36</v>
      </c>
      <c r="J1" s="51"/>
      <c r="K1" s="51"/>
      <c r="L1" s="7"/>
      <c r="M1" s="7"/>
      <c r="N1" s="7"/>
      <c r="O1" s="249" t="s">
        <v>187</v>
      </c>
    </row>
    <row r="2" spans="1:15" x14ac:dyDescent="0.35">
      <c r="A2" s="58" t="s">
        <v>35</v>
      </c>
      <c r="B2" s="51"/>
      <c r="C2" s="51"/>
      <c r="D2" s="64"/>
      <c r="E2" s="51"/>
      <c r="F2" s="59"/>
      <c r="G2" s="215">
        <f>SAO!G47</f>
        <v>2370627.0948889805</v>
      </c>
    </row>
    <row r="3" spans="1:15" x14ac:dyDescent="0.35">
      <c r="A3" s="51" t="s">
        <v>20</v>
      </c>
      <c r="B3" s="51"/>
      <c r="C3" s="51" t="s">
        <v>82</v>
      </c>
      <c r="D3" s="64"/>
      <c r="E3" s="51"/>
      <c r="F3" s="59"/>
      <c r="G3" s="215">
        <f>'Debt Service'!M25</f>
        <v>96308.2</v>
      </c>
      <c r="I3" s="262" t="s">
        <v>233</v>
      </c>
      <c r="J3" s="262"/>
      <c r="K3" s="262"/>
      <c r="L3" s="262"/>
      <c r="M3" s="262"/>
      <c r="N3" s="262"/>
      <c r="O3" s="262" t="s">
        <v>235</v>
      </c>
    </row>
    <row r="4" spans="1:15" ht="17" x14ac:dyDescent="0.5">
      <c r="A4" s="51"/>
      <c r="B4" s="51"/>
      <c r="C4" s="51" t="s">
        <v>83</v>
      </c>
      <c r="D4" s="64"/>
      <c r="E4" s="51"/>
      <c r="F4" s="59"/>
      <c r="G4" s="308">
        <f>'Debt Service'!M27</f>
        <v>19261.64</v>
      </c>
      <c r="I4" s="262" t="s">
        <v>234</v>
      </c>
      <c r="J4" s="262"/>
      <c r="K4" s="262"/>
      <c r="L4" s="262"/>
      <c r="M4" s="262"/>
      <c r="N4" s="262"/>
      <c r="O4" s="262" t="s">
        <v>236</v>
      </c>
    </row>
    <row r="5" spans="1:15" x14ac:dyDescent="0.35">
      <c r="A5" s="58" t="s">
        <v>53</v>
      </c>
      <c r="B5" s="51"/>
      <c r="C5" s="51"/>
      <c r="D5" s="64"/>
      <c r="E5" s="51"/>
      <c r="F5" s="59"/>
      <c r="G5" s="215">
        <f>G2+G3+G4</f>
        <v>2486196.9348889808</v>
      </c>
      <c r="I5" s="262"/>
      <c r="J5" s="262"/>
      <c r="K5" s="262"/>
      <c r="L5" s="262"/>
      <c r="M5" s="262"/>
      <c r="N5" s="262"/>
      <c r="O5" s="262"/>
    </row>
    <row r="6" spans="1:15" x14ac:dyDescent="0.35">
      <c r="A6" s="51" t="s">
        <v>21</v>
      </c>
      <c r="B6" s="51"/>
      <c r="C6" s="51" t="s">
        <v>37</v>
      </c>
      <c r="D6" s="64"/>
      <c r="E6" s="51"/>
      <c r="F6" s="59"/>
      <c r="G6" s="215">
        <f>SAO!G13</f>
        <v>0</v>
      </c>
      <c r="I6" s="262"/>
      <c r="J6" s="262"/>
      <c r="K6" s="262"/>
      <c r="L6" s="262"/>
      <c r="M6" s="262"/>
      <c r="N6" s="262"/>
      <c r="O6" s="262"/>
    </row>
    <row r="7" spans="1:15" x14ac:dyDescent="0.35">
      <c r="A7" s="51"/>
      <c r="B7" s="51"/>
      <c r="C7" s="51" t="s">
        <v>252</v>
      </c>
      <c r="D7" s="64"/>
      <c r="E7" s="51"/>
      <c r="F7" s="59"/>
      <c r="G7" s="309">
        <f>SAO!G14</f>
        <v>0</v>
      </c>
      <c r="I7" s="262"/>
      <c r="J7" s="262"/>
      <c r="K7" s="262"/>
      <c r="L7" s="262"/>
      <c r="M7" s="262"/>
      <c r="N7" s="262"/>
      <c r="O7" s="262"/>
    </row>
    <row r="8" spans="1:15" x14ac:dyDescent="0.35">
      <c r="A8" s="51"/>
      <c r="B8" s="51"/>
      <c r="C8" s="302" t="s">
        <v>312</v>
      </c>
      <c r="D8" s="64"/>
      <c r="E8" s="51"/>
      <c r="F8" s="59"/>
      <c r="G8" s="217">
        <v>86</v>
      </c>
      <c r="I8" s="262"/>
      <c r="J8" s="262"/>
      <c r="K8" s="262"/>
      <c r="L8" s="262"/>
      <c r="M8" s="262"/>
      <c r="N8" s="262"/>
      <c r="O8" s="303" t="s">
        <v>313</v>
      </c>
    </row>
    <row r="9" spans="1:15" x14ac:dyDescent="0.35">
      <c r="A9" s="58" t="s">
        <v>51</v>
      </c>
      <c r="B9" s="51"/>
      <c r="C9" s="51"/>
      <c r="D9" s="64"/>
      <c r="E9" s="51"/>
      <c r="F9" s="59"/>
      <c r="G9" s="215">
        <f>G5-G6-G7-G8</f>
        <v>2486110.9348889808</v>
      </c>
      <c r="I9" s="262"/>
      <c r="J9" s="262"/>
      <c r="K9" s="262"/>
      <c r="L9" s="262"/>
      <c r="M9" s="262"/>
      <c r="N9" s="262"/>
      <c r="O9" s="262"/>
    </row>
    <row r="10" spans="1:15" ht="17" x14ac:dyDescent="0.5">
      <c r="A10" s="51" t="s">
        <v>21</v>
      </c>
      <c r="B10" s="51"/>
      <c r="C10" s="51" t="s">
        <v>52</v>
      </c>
      <c r="D10" s="64"/>
      <c r="E10" s="51"/>
      <c r="F10" s="59"/>
      <c r="G10" s="310">
        <f>ExBA!H7</f>
        <v>2545792.1274199998</v>
      </c>
      <c r="I10" s="262"/>
      <c r="J10" s="262"/>
      <c r="K10" s="262"/>
      <c r="L10" s="262"/>
      <c r="M10" s="262"/>
      <c r="N10" s="262"/>
      <c r="O10" s="262"/>
    </row>
    <row r="11" spans="1:15" x14ac:dyDescent="0.35">
      <c r="A11" s="58" t="s">
        <v>54</v>
      </c>
      <c r="B11" s="51"/>
      <c r="C11" s="51"/>
      <c r="D11" s="64"/>
      <c r="E11" s="51"/>
      <c r="F11" s="59"/>
      <c r="G11" s="148">
        <f>G9-G10</f>
        <v>-59681.192531018984</v>
      </c>
      <c r="I11" s="262"/>
      <c r="J11" s="262"/>
      <c r="K11" s="262"/>
      <c r="L11" s="262"/>
      <c r="M11" s="262"/>
      <c r="N11" s="262"/>
      <c r="O11" s="262"/>
    </row>
    <row r="12" spans="1:15" x14ac:dyDescent="0.35">
      <c r="A12" s="58" t="s">
        <v>55</v>
      </c>
      <c r="B12" s="51"/>
      <c r="C12" s="51"/>
      <c r="D12" s="64"/>
      <c r="E12" s="51"/>
      <c r="F12" s="59"/>
      <c r="G12" s="311">
        <f>G11/G10</f>
        <v>-2.3443073724759341E-2</v>
      </c>
      <c r="I12" s="262"/>
      <c r="J12" s="262"/>
      <c r="K12" s="262"/>
      <c r="L12" s="262"/>
      <c r="M12" s="262"/>
      <c r="N12" s="262"/>
      <c r="O12" s="262"/>
    </row>
    <row r="13" spans="1:15" x14ac:dyDescent="0.35">
      <c r="A13" s="7"/>
      <c r="B13" s="7"/>
      <c r="C13" s="7"/>
      <c r="D13" s="7"/>
      <c r="E13" s="7"/>
      <c r="F13" s="7"/>
      <c r="G13" s="7"/>
      <c r="I13" s="262"/>
      <c r="J13" s="262"/>
      <c r="K13" s="262"/>
      <c r="L13" s="262"/>
      <c r="M13" s="262"/>
      <c r="N13" s="262"/>
      <c r="O13" s="262"/>
    </row>
    <row r="14" spans="1:15" ht="18.5" x14ac:dyDescent="0.45">
      <c r="A14" s="378" t="s">
        <v>216</v>
      </c>
      <c r="B14" s="378"/>
      <c r="C14" s="378"/>
      <c r="D14" s="378"/>
      <c r="E14" s="378"/>
      <c r="F14" s="378"/>
      <c r="G14" s="378"/>
      <c r="I14" s="262"/>
      <c r="J14" s="262"/>
      <c r="K14" s="262"/>
      <c r="L14" s="262"/>
      <c r="M14" s="262"/>
      <c r="N14" s="262"/>
      <c r="O14" s="262"/>
    </row>
    <row r="15" spans="1:15" x14ac:dyDescent="0.35">
      <c r="A15" s="58" t="s">
        <v>35</v>
      </c>
      <c r="B15" s="51"/>
      <c r="C15" s="51"/>
      <c r="D15" s="64"/>
      <c r="E15" s="51"/>
      <c r="F15" s="59"/>
      <c r="G15" s="148">
        <f>SAO!G47</f>
        <v>2370627.0948889805</v>
      </c>
      <c r="I15" s="262"/>
      <c r="J15" s="262"/>
      <c r="K15" s="262"/>
      <c r="L15" s="262"/>
      <c r="M15" s="262"/>
      <c r="N15" s="262"/>
      <c r="O15" s="262"/>
    </row>
    <row r="16" spans="1:15" x14ac:dyDescent="0.35">
      <c r="A16" s="51" t="s">
        <v>217</v>
      </c>
      <c r="B16" s="51"/>
      <c r="C16" s="51"/>
      <c r="D16" s="64"/>
      <c r="E16" s="51"/>
      <c r="F16" s="59"/>
      <c r="G16" s="312">
        <v>0.88</v>
      </c>
      <c r="I16" s="365">
        <f>G17-G15</f>
        <v>323267.33112122444</v>
      </c>
      <c r="J16" s="262"/>
      <c r="K16" s="262"/>
      <c r="L16" s="262"/>
      <c r="M16" s="262"/>
      <c r="N16" s="262"/>
      <c r="O16" s="262"/>
    </row>
    <row r="17" spans="1:15" x14ac:dyDescent="0.35">
      <c r="A17" s="58" t="s">
        <v>218</v>
      </c>
      <c r="B17" s="51"/>
      <c r="C17" s="51"/>
      <c r="D17" s="64"/>
      <c r="E17" s="51"/>
      <c r="F17" s="59"/>
      <c r="G17" s="148">
        <f>G15/G16</f>
        <v>2693894.4260102049</v>
      </c>
      <c r="I17" s="262"/>
      <c r="J17" s="262"/>
      <c r="K17" s="262"/>
      <c r="L17" s="262"/>
      <c r="M17" s="262"/>
      <c r="N17" s="262"/>
      <c r="O17" s="262"/>
    </row>
    <row r="18" spans="1:15" ht="17" x14ac:dyDescent="0.5">
      <c r="A18" s="7" t="s">
        <v>20</v>
      </c>
      <c r="B18" s="7"/>
      <c r="C18" s="7" t="s">
        <v>219</v>
      </c>
      <c r="D18" s="7"/>
      <c r="E18" s="7"/>
      <c r="F18" s="59" t="s">
        <v>238</v>
      </c>
      <c r="G18" s="308">
        <f>'Debt Service'!M29</f>
        <v>20873.599999999999</v>
      </c>
      <c r="I18" s="262" t="s">
        <v>395</v>
      </c>
      <c r="J18" s="262"/>
      <c r="K18" s="262"/>
      <c r="L18" s="262"/>
      <c r="M18" s="262"/>
      <c r="N18" s="262"/>
      <c r="O18" s="262" t="s">
        <v>392</v>
      </c>
    </row>
    <row r="19" spans="1:15" x14ac:dyDescent="0.35">
      <c r="A19" s="266" t="s">
        <v>53</v>
      </c>
      <c r="B19" s="7"/>
      <c r="C19" s="7"/>
      <c r="D19" s="7"/>
      <c r="E19" s="7"/>
      <c r="F19" s="7"/>
      <c r="G19" s="215">
        <f>G17+G18</f>
        <v>2714768.026010205</v>
      </c>
      <c r="I19" s="262"/>
      <c r="J19" s="262"/>
      <c r="K19" s="262"/>
      <c r="L19" s="262"/>
      <c r="M19" s="262"/>
      <c r="N19" s="262"/>
      <c r="O19" s="262"/>
    </row>
    <row r="20" spans="1:15" x14ac:dyDescent="0.35">
      <c r="A20" s="7" t="s">
        <v>21</v>
      </c>
      <c r="B20" s="7"/>
      <c r="C20" s="51" t="s">
        <v>37</v>
      </c>
      <c r="D20" s="7"/>
      <c r="E20" s="7"/>
      <c r="F20" s="7"/>
      <c r="G20" s="215">
        <f>SAO!G13</f>
        <v>0</v>
      </c>
      <c r="I20" s="262"/>
      <c r="J20" s="262"/>
      <c r="K20" s="262"/>
      <c r="L20" s="262"/>
      <c r="M20" s="262"/>
      <c r="N20" s="262"/>
      <c r="O20" s="262"/>
    </row>
    <row r="21" spans="1:15" x14ac:dyDescent="0.35">
      <c r="A21" s="7"/>
      <c r="B21" s="7"/>
      <c r="C21" s="51" t="s">
        <v>252</v>
      </c>
      <c r="D21" s="7"/>
      <c r="E21" s="7"/>
      <c r="F21" s="7"/>
      <c r="G21" s="215">
        <f>G7</f>
        <v>0</v>
      </c>
      <c r="I21" s="262"/>
      <c r="J21" s="262"/>
      <c r="K21" s="262"/>
      <c r="L21" s="262"/>
      <c r="M21" s="262"/>
      <c r="N21" s="262"/>
      <c r="O21" s="262"/>
    </row>
    <row r="22" spans="1:15" ht="17" x14ac:dyDescent="0.5">
      <c r="A22" s="7"/>
      <c r="B22" s="7"/>
      <c r="C22" s="302" t="s">
        <v>312</v>
      </c>
      <c r="D22" s="7"/>
      <c r="E22" s="7"/>
      <c r="F22" s="7"/>
      <c r="G22" s="310">
        <f>G8</f>
        <v>86</v>
      </c>
      <c r="I22" s="262"/>
      <c r="J22" s="262"/>
      <c r="K22" s="262"/>
      <c r="L22" s="262"/>
      <c r="M22" s="262"/>
      <c r="N22" s="262"/>
      <c r="O22" s="303" t="s">
        <v>313</v>
      </c>
    </row>
    <row r="23" spans="1:15" x14ac:dyDescent="0.35">
      <c r="A23" s="266" t="s">
        <v>51</v>
      </c>
      <c r="B23" s="7"/>
      <c r="C23" s="7"/>
      <c r="D23" s="7"/>
      <c r="E23" s="7"/>
      <c r="F23" s="7"/>
      <c r="G23" s="215">
        <f>G19-G20-G21-G22</f>
        <v>2714682.026010205</v>
      </c>
      <c r="I23" s="262"/>
      <c r="J23" s="262"/>
      <c r="K23" s="262"/>
      <c r="L23" s="262"/>
      <c r="M23" s="262"/>
      <c r="N23" s="262"/>
      <c r="O23" s="262"/>
    </row>
    <row r="24" spans="1:15" ht="17" x14ac:dyDescent="0.5">
      <c r="A24" s="7" t="s">
        <v>21</v>
      </c>
      <c r="B24" s="7"/>
      <c r="C24" s="7" t="s">
        <v>52</v>
      </c>
      <c r="D24" s="7"/>
      <c r="E24" s="7"/>
      <c r="F24" s="7"/>
      <c r="G24" s="310">
        <f>ExBA!H7</f>
        <v>2545792.1274199998</v>
      </c>
      <c r="I24" s="262"/>
      <c r="J24" s="262"/>
      <c r="K24" s="262"/>
      <c r="L24" s="262"/>
      <c r="M24" s="262"/>
      <c r="N24" s="262"/>
      <c r="O24" s="262"/>
    </row>
    <row r="25" spans="1:15" x14ac:dyDescent="0.35">
      <c r="A25" s="266" t="s">
        <v>54</v>
      </c>
      <c r="B25" s="7"/>
      <c r="C25" s="7"/>
      <c r="D25" s="7"/>
      <c r="E25" s="7"/>
      <c r="F25" s="7"/>
      <c r="G25" s="215">
        <f>G23-G24</f>
        <v>168889.89859020524</v>
      </c>
      <c r="I25" s="262"/>
      <c r="J25" s="262"/>
      <c r="K25" s="262"/>
      <c r="L25" s="262"/>
      <c r="M25" s="262"/>
      <c r="N25" s="262"/>
      <c r="O25" s="262"/>
    </row>
    <row r="26" spans="1:15" x14ac:dyDescent="0.35">
      <c r="A26" s="266" t="s">
        <v>55</v>
      </c>
      <c r="B26" s="7"/>
      <c r="C26" s="7"/>
      <c r="D26" s="7"/>
      <c r="E26" s="7"/>
      <c r="F26" s="7"/>
      <c r="G26" s="311">
        <f>G25/G24</f>
        <v>6.6340804801437003E-2</v>
      </c>
      <c r="I26" s="262"/>
      <c r="J26" s="262"/>
      <c r="K26" s="262"/>
      <c r="L26" s="262"/>
      <c r="M26" s="262"/>
      <c r="N26" s="262"/>
      <c r="O26" s="262"/>
    </row>
    <row r="27" spans="1:15" x14ac:dyDescent="0.35">
      <c r="I27" s="262"/>
      <c r="J27" s="262"/>
      <c r="K27" s="262"/>
      <c r="L27" s="262"/>
      <c r="M27" s="262"/>
      <c r="N27" s="262"/>
      <c r="O27" s="262"/>
    </row>
  </sheetData>
  <mergeCells count="2">
    <mergeCell ref="A1:G1"/>
    <mergeCell ref="A14:G14"/>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A01C-7852-4E95-BD91-257134D74ABD}">
  <sheetPr>
    <tabColor rgb="FF92D050"/>
  </sheetPr>
  <dimension ref="A1:K42"/>
  <sheetViews>
    <sheetView tabSelected="1" topLeftCell="A7" zoomScale="114" workbookViewId="0">
      <selection activeCell="A31" sqref="A31"/>
    </sheetView>
  </sheetViews>
  <sheetFormatPr defaultColWidth="8.84375" defaultRowHeight="14.5" x14ac:dyDescent="0.35"/>
  <cols>
    <col min="1" max="1" width="20.61328125" style="1" customWidth="1"/>
    <col min="2" max="2" width="22.61328125" style="1" customWidth="1"/>
    <col min="3" max="5" width="12.61328125" style="15" customWidth="1"/>
    <col min="6" max="6" width="16.765625" style="15" customWidth="1"/>
    <col min="7" max="9" width="12.61328125" style="15" customWidth="1"/>
    <col min="10" max="10" width="8.84375" style="22"/>
    <col min="11" max="16384" width="8.84375" style="1"/>
  </cols>
  <sheetData>
    <row r="1" spans="1:10" x14ac:dyDescent="0.35">
      <c r="A1" s="1" t="s">
        <v>66</v>
      </c>
    </row>
    <row r="2" spans="1:10" x14ac:dyDescent="0.35">
      <c r="C2" s="145"/>
      <c r="D2" s="306">
        <v>2024</v>
      </c>
      <c r="E2" s="145"/>
      <c r="F2" s="145" t="s">
        <v>345</v>
      </c>
      <c r="G2" s="145"/>
      <c r="H2" s="145"/>
      <c r="I2" s="352" t="s">
        <v>11</v>
      </c>
    </row>
    <row r="3" spans="1:10" x14ac:dyDescent="0.35">
      <c r="C3" s="145" t="s">
        <v>67</v>
      </c>
      <c r="D3" s="145" t="s">
        <v>67</v>
      </c>
      <c r="E3" s="145"/>
      <c r="F3" s="352" t="s">
        <v>68</v>
      </c>
      <c r="G3" s="352" t="s">
        <v>67</v>
      </c>
      <c r="H3" s="352" t="s">
        <v>67</v>
      </c>
      <c r="I3" s="352" t="s">
        <v>67</v>
      </c>
      <c r="J3" s="22" t="s">
        <v>154</v>
      </c>
    </row>
    <row r="4" spans="1:10" x14ac:dyDescent="0.35">
      <c r="A4" s="277" t="s">
        <v>69</v>
      </c>
      <c r="B4" s="277"/>
      <c r="C4" s="145" t="s">
        <v>70</v>
      </c>
      <c r="D4" s="145" t="s">
        <v>71</v>
      </c>
      <c r="E4" s="145"/>
      <c r="F4" s="352" t="s">
        <v>378</v>
      </c>
      <c r="G4" s="352" t="s">
        <v>72</v>
      </c>
      <c r="H4" s="352" t="s">
        <v>73</v>
      </c>
      <c r="I4" s="352" t="s">
        <v>74</v>
      </c>
      <c r="J4" s="22" t="s">
        <v>155</v>
      </c>
    </row>
    <row r="5" spans="1:10" x14ac:dyDescent="0.35">
      <c r="A5" s="21">
        <v>1</v>
      </c>
      <c r="B5" s="307" t="s">
        <v>327</v>
      </c>
      <c r="C5" s="15">
        <v>2080</v>
      </c>
      <c r="D5" s="15">
        <v>0</v>
      </c>
      <c r="F5" s="15">
        <v>20</v>
      </c>
      <c r="G5" s="15">
        <f>C5*F5</f>
        <v>41600</v>
      </c>
      <c r="H5" s="15">
        <f>D5*F5*1.5</f>
        <v>0</v>
      </c>
      <c r="I5" s="15">
        <f>G5+H5</f>
        <v>41600</v>
      </c>
      <c r="J5" s="22" t="s">
        <v>185</v>
      </c>
    </row>
    <row r="6" spans="1:10" x14ac:dyDescent="0.35">
      <c r="A6" s="21">
        <v>2</v>
      </c>
      <c r="B6" s="307" t="s">
        <v>326</v>
      </c>
      <c r="C6" s="15">
        <v>2080</v>
      </c>
      <c r="D6" s="15">
        <v>0</v>
      </c>
      <c r="F6" s="15">
        <v>14</v>
      </c>
      <c r="G6" s="15">
        <f t="shared" ref="G6:G8" si="0">C6*F6</f>
        <v>29120</v>
      </c>
      <c r="H6" s="15">
        <f t="shared" ref="H6:H8" si="1">D6*F6*1.5</f>
        <v>0</v>
      </c>
      <c r="I6" s="15">
        <f t="shared" ref="I6:I15" si="2">G6+H6</f>
        <v>29120</v>
      </c>
      <c r="J6" s="22" t="s">
        <v>185</v>
      </c>
    </row>
    <row r="7" spans="1:10" x14ac:dyDescent="0.35">
      <c r="A7" s="21">
        <v>3</v>
      </c>
      <c r="B7" s="307" t="s">
        <v>323</v>
      </c>
      <c r="C7" s="15">
        <v>2160</v>
      </c>
      <c r="D7" s="15">
        <v>35.840000000000003</v>
      </c>
      <c r="F7" s="15">
        <v>12.5</v>
      </c>
      <c r="G7" s="15">
        <f t="shared" si="0"/>
        <v>27000</v>
      </c>
      <c r="H7" s="15">
        <f t="shared" si="1"/>
        <v>672.00000000000011</v>
      </c>
      <c r="I7" s="15">
        <f t="shared" si="2"/>
        <v>27672</v>
      </c>
      <c r="J7" s="22" t="s">
        <v>185</v>
      </c>
    </row>
    <row r="8" spans="1:10" x14ac:dyDescent="0.35">
      <c r="A8" s="21">
        <v>4</v>
      </c>
      <c r="B8" s="307" t="s">
        <v>326</v>
      </c>
      <c r="C8" s="15">
        <v>2080</v>
      </c>
      <c r="D8" s="15">
        <v>0</v>
      </c>
      <c r="F8" s="15">
        <v>14</v>
      </c>
      <c r="G8" s="15">
        <f t="shared" si="0"/>
        <v>29120</v>
      </c>
      <c r="H8" s="15">
        <f t="shared" si="1"/>
        <v>0</v>
      </c>
      <c r="I8" s="15">
        <f t="shared" si="2"/>
        <v>29120</v>
      </c>
      <c r="J8" s="22" t="s">
        <v>185</v>
      </c>
    </row>
    <row r="9" spans="1:10" x14ac:dyDescent="0.35">
      <c r="A9" s="21">
        <v>5</v>
      </c>
      <c r="B9" s="307" t="s">
        <v>324</v>
      </c>
      <c r="C9" s="15">
        <v>2080</v>
      </c>
      <c r="D9" s="15">
        <v>0</v>
      </c>
      <c r="F9" s="15">
        <v>16</v>
      </c>
      <c r="G9" s="15">
        <f t="shared" ref="G9:G12" si="3">C9*F9</f>
        <v>33280</v>
      </c>
      <c r="H9" s="15">
        <f t="shared" ref="H9:H12" si="4">D9*F9*1.5</f>
        <v>0</v>
      </c>
      <c r="I9" s="15">
        <f t="shared" si="2"/>
        <v>33280</v>
      </c>
      <c r="J9" s="22" t="s">
        <v>185</v>
      </c>
    </row>
    <row r="10" spans="1:10" x14ac:dyDescent="0.35">
      <c r="A10" s="21">
        <v>6</v>
      </c>
      <c r="B10" s="307" t="s">
        <v>326</v>
      </c>
      <c r="C10" s="15">
        <v>2080</v>
      </c>
      <c r="D10" s="15">
        <v>0</v>
      </c>
      <c r="F10" s="15">
        <v>14</v>
      </c>
      <c r="G10" s="15">
        <f t="shared" si="3"/>
        <v>29120</v>
      </c>
      <c r="H10" s="15">
        <f t="shared" si="4"/>
        <v>0</v>
      </c>
      <c r="I10" s="15">
        <f t="shared" si="2"/>
        <v>29120</v>
      </c>
      <c r="J10" s="22" t="s">
        <v>185</v>
      </c>
    </row>
    <row r="11" spans="1:10" x14ac:dyDescent="0.35">
      <c r="A11" s="21">
        <v>7</v>
      </c>
      <c r="B11" s="307" t="s">
        <v>327</v>
      </c>
      <c r="C11" s="15">
        <v>2080</v>
      </c>
      <c r="D11" s="15">
        <v>0</v>
      </c>
      <c r="F11" s="15">
        <v>20</v>
      </c>
      <c r="G11" s="15">
        <f t="shared" si="3"/>
        <v>41600</v>
      </c>
      <c r="H11" s="15">
        <f t="shared" si="4"/>
        <v>0</v>
      </c>
      <c r="I11" s="15">
        <f t="shared" si="2"/>
        <v>41600</v>
      </c>
      <c r="J11" s="22" t="s">
        <v>185</v>
      </c>
    </row>
    <row r="12" spans="1:10" x14ac:dyDescent="0.35">
      <c r="A12" s="21">
        <v>8</v>
      </c>
      <c r="B12" s="307" t="s">
        <v>326</v>
      </c>
      <c r="C12" s="15">
        <v>2080</v>
      </c>
      <c r="D12" s="15">
        <v>0</v>
      </c>
      <c r="F12" s="15">
        <v>18.5</v>
      </c>
      <c r="G12" s="15">
        <f t="shared" si="3"/>
        <v>38480</v>
      </c>
      <c r="H12" s="15">
        <f t="shared" si="4"/>
        <v>0</v>
      </c>
      <c r="I12" s="15">
        <f t="shared" si="2"/>
        <v>38480</v>
      </c>
      <c r="J12" s="22" t="s">
        <v>185</v>
      </c>
    </row>
    <row r="13" spans="1:10" x14ac:dyDescent="0.35">
      <c r="A13" s="21">
        <v>9</v>
      </c>
      <c r="B13" s="307" t="s">
        <v>323</v>
      </c>
      <c r="C13" s="15">
        <v>2080</v>
      </c>
      <c r="D13" s="15">
        <v>0</v>
      </c>
      <c r="F13" s="15">
        <v>13</v>
      </c>
      <c r="G13" s="15">
        <f>C13*F13</f>
        <v>27040</v>
      </c>
      <c r="H13" s="15">
        <f>D13*F13*1.5</f>
        <v>0</v>
      </c>
      <c r="I13" s="15">
        <f t="shared" si="2"/>
        <v>27040</v>
      </c>
      <c r="J13" s="22" t="s">
        <v>185</v>
      </c>
    </row>
    <row r="14" spans="1:10" x14ac:dyDescent="0.35">
      <c r="A14" s="21">
        <v>10</v>
      </c>
      <c r="B14" s="307" t="s">
        <v>326</v>
      </c>
      <c r="C14" s="15">
        <v>2080</v>
      </c>
      <c r="F14" s="15">
        <v>14</v>
      </c>
      <c r="G14" s="15">
        <f>C14*F14</f>
        <v>29120</v>
      </c>
      <c r="H14" s="15">
        <f>D14*F14*1.5</f>
        <v>0</v>
      </c>
      <c r="I14" s="15">
        <f t="shared" si="2"/>
        <v>29120</v>
      </c>
      <c r="J14" s="22" t="s">
        <v>185</v>
      </c>
    </row>
    <row r="15" spans="1:10" x14ac:dyDescent="0.35">
      <c r="A15" s="21">
        <v>11</v>
      </c>
      <c r="B15" s="307" t="s">
        <v>325</v>
      </c>
      <c r="C15" s="17">
        <v>2080</v>
      </c>
      <c r="D15" s="17">
        <v>0</v>
      </c>
      <c r="E15" s="17"/>
      <c r="F15" s="17" t="s">
        <v>280</v>
      </c>
      <c r="G15" s="17">
        <v>50000</v>
      </c>
      <c r="H15" s="17"/>
      <c r="I15" s="15">
        <f t="shared" si="2"/>
        <v>50000</v>
      </c>
      <c r="J15" s="22" t="s">
        <v>185</v>
      </c>
    </row>
    <row r="16" spans="1:10" x14ac:dyDescent="0.35">
      <c r="C16" s="17"/>
      <c r="D16" s="17"/>
      <c r="E16" s="17"/>
      <c r="F16" s="17"/>
      <c r="G16" s="17">
        <f t="shared" ref="G16:G18" si="5">C16*F16</f>
        <v>0</v>
      </c>
      <c r="H16" s="17">
        <f t="shared" ref="H16:H18" si="6">D16*F16*1.5</f>
        <v>0</v>
      </c>
      <c r="I16" s="17">
        <f t="shared" ref="I16:I18" si="7">G16+H16</f>
        <v>0</v>
      </c>
    </row>
    <row r="17" spans="1:11" x14ac:dyDescent="0.35">
      <c r="C17" s="17"/>
      <c r="D17" s="17">
        <v>0</v>
      </c>
      <c r="E17" s="17"/>
      <c r="F17" s="17"/>
      <c r="G17" s="17">
        <f t="shared" si="5"/>
        <v>0</v>
      </c>
      <c r="H17" s="17">
        <f t="shared" si="6"/>
        <v>0</v>
      </c>
      <c r="I17" s="17">
        <f t="shared" si="7"/>
        <v>0</v>
      </c>
    </row>
    <row r="18" spans="1:11" x14ac:dyDescent="0.35">
      <c r="C18" s="17"/>
      <c r="D18" s="17">
        <v>0</v>
      </c>
      <c r="E18" s="17"/>
      <c r="F18" s="17"/>
      <c r="G18" s="17">
        <f t="shared" si="5"/>
        <v>0</v>
      </c>
      <c r="H18" s="17">
        <f t="shared" si="6"/>
        <v>0</v>
      </c>
      <c r="I18" s="17">
        <f t="shared" si="7"/>
        <v>0</v>
      </c>
    </row>
    <row r="19" spans="1:11" x14ac:dyDescent="0.35">
      <c r="C19" s="37"/>
      <c r="D19" s="37">
        <v>0</v>
      </c>
      <c r="E19" s="17"/>
      <c r="F19" s="17"/>
      <c r="G19" s="37">
        <f>C19*F19</f>
        <v>0</v>
      </c>
      <c r="H19" s="37">
        <f>D19*F19*1.5</f>
        <v>0</v>
      </c>
      <c r="I19" s="37">
        <f t="shared" ref="I19" si="8">G19+H19</f>
        <v>0</v>
      </c>
      <c r="J19" s="22" t="s">
        <v>185</v>
      </c>
    </row>
    <row r="20" spans="1:11" x14ac:dyDescent="0.35">
      <c r="D20" s="15">
        <f>SUM(D5:D19)</f>
        <v>35.840000000000003</v>
      </c>
      <c r="G20" s="15">
        <f>SUM(G5:G19)</f>
        <v>375480</v>
      </c>
      <c r="H20" s="15">
        <f>SUM(H5:H19)</f>
        <v>672.00000000000011</v>
      </c>
      <c r="I20" s="15">
        <f>SUM(I5:I19)</f>
        <v>376152</v>
      </c>
    </row>
    <row r="22" spans="1:11" x14ac:dyDescent="0.35">
      <c r="A22" s="1" t="s">
        <v>137</v>
      </c>
      <c r="I22" s="15">
        <f>I20</f>
        <v>376152</v>
      </c>
    </row>
    <row r="24" spans="1:11" x14ac:dyDescent="0.35">
      <c r="A24" s="1" t="s">
        <v>138</v>
      </c>
      <c r="I24" s="15">
        <v>0</v>
      </c>
    </row>
    <row r="26" spans="1:11" x14ac:dyDescent="0.35">
      <c r="A26" s="277" t="s">
        <v>318</v>
      </c>
      <c r="B26" s="1" t="s">
        <v>340</v>
      </c>
      <c r="I26" s="145" t="s">
        <v>29</v>
      </c>
    </row>
    <row r="27" spans="1:11" x14ac:dyDescent="0.35">
      <c r="A27" s="1" t="s">
        <v>411</v>
      </c>
      <c r="B27" s="1">
        <v>1200</v>
      </c>
      <c r="F27" s="15" t="s">
        <v>75</v>
      </c>
      <c r="I27" s="15">
        <f>I22+B32</f>
        <v>382152</v>
      </c>
    </row>
    <row r="28" spans="1:11" x14ac:dyDescent="0.35">
      <c r="A28" s="1" t="s">
        <v>412</v>
      </c>
      <c r="B28" s="1">
        <v>1200</v>
      </c>
      <c r="F28" s="15" t="s">
        <v>76</v>
      </c>
      <c r="I28" s="153">
        <f>-SAO!D20</f>
        <v>-329826.15000000002</v>
      </c>
      <c r="K28" s="1" t="s">
        <v>248</v>
      </c>
    </row>
    <row r="29" spans="1:11" ht="16" x14ac:dyDescent="0.5">
      <c r="A29" s="1" t="s">
        <v>413</v>
      </c>
      <c r="B29" s="1">
        <v>1200</v>
      </c>
      <c r="F29" s="353"/>
      <c r="I29" s="354"/>
    </row>
    <row r="30" spans="1:11" x14ac:dyDescent="0.35">
      <c r="A30" s="1" t="s">
        <v>414</v>
      </c>
      <c r="B30" s="1">
        <v>1200</v>
      </c>
      <c r="F30" s="15" t="s">
        <v>77</v>
      </c>
      <c r="I30" s="15">
        <f>I27+I28+I29</f>
        <v>52325.849999999977</v>
      </c>
      <c r="J30" s="21" t="str">
        <f>SAO!F20</f>
        <v>B</v>
      </c>
    </row>
    <row r="31" spans="1:11" x14ac:dyDescent="0.35">
      <c r="B31" s="331">
        <v>1200</v>
      </c>
      <c r="I31" s="15" t="s">
        <v>78</v>
      </c>
    </row>
    <row r="32" spans="1:11" x14ac:dyDescent="0.35">
      <c r="A32" s="1" t="s">
        <v>11</v>
      </c>
      <c r="B32" s="1">
        <f>SUM(B27:B31)</f>
        <v>6000</v>
      </c>
      <c r="F32" s="15" t="s">
        <v>354</v>
      </c>
      <c r="I32" s="15">
        <f>I27</f>
        <v>382152</v>
      </c>
    </row>
    <row r="33" spans="6:11" x14ac:dyDescent="0.35">
      <c r="F33" s="15" t="s">
        <v>79</v>
      </c>
      <c r="I33" s="146">
        <v>7.6499999999999999E-2</v>
      </c>
    </row>
    <row r="34" spans="6:11" x14ac:dyDescent="0.35">
      <c r="F34" s="15" t="s">
        <v>80</v>
      </c>
      <c r="I34" s="15">
        <f>I32*I33</f>
        <v>29234.628000000001</v>
      </c>
    </row>
    <row r="35" spans="6:11" x14ac:dyDescent="0.35">
      <c r="F35" s="15" t="s">
        <v>341</v>
      </c>
      <c r="I35" s="214">
        <v>25059</v>
      </c>
      <c r="K35" s="1" t="s">
        <v>343</v>
      </c>
    </row>
    <row r="36" spans="6:11" x14ac:dyDescent="0.35">
      <c r="F36" s="15" t="s">
        <v>81</v>
      </c>
      <c r="I36" s="15">
        <f>ROUND(I34-I35,0)</f>
        <v>4176</v>
      </c>
    </row>
    <row r="38" spans="6:11" x14ac:dyDescent="0.35">
      <c r="F38" s="350"/>
      <c r="G38" s="350"/>
      <c r="H38" s="350"/>
      <c r="I38" s="350"/>
    </row>
    <row r="39" spans="6:11" x14ac:dyDescent="0.35">
      <c r="F39" s="350"/>
      <c r="G39" s="350"/>
      <c r="H39" s="350"/>
      <c r="I39" s="351"/>
    </row>
    <row r="40" spans="6:11" x14ac:dyDescent="0.35">
      <c r="F40" s="350"/>
      <c r="G40" s="350"/>
      <c r="H40" s="350"/>
      <c r="I40" s="350"/>
    </row>
    <row r="41" spans="6:11" x14ac:dyDescent="0.35">
      <c r="F41" s="350"/>
      <c r="G41" s="350"/>
      <c r="H41" s="350"/>
      <c r="I41" s="350"/>
    </row>
    <row r="42" spans="6:11" x14ac:dyDescent="0.35">
      <c r="F42" s="350"/>
      <c r="G42" s="350"/>
      <c r="H42" s="350"/>
      <c r="I42" s="350"/>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CD68D-5AFA-43FF-94ED-843D32939F1B}">
  <sheetPr>
    <tabColor rgb="FF92D050"/>
  </sheetPr>
  <dimension ref="B2:O15"/>
  <sheetViews>
    <sheetView workbookViewId="0">
      <selection activeCell="J4" sqref="J4"/>
    </sheetView>
  </sheetViews>
  <sheetFormatPr defaultRowHeight="15.5" x14ac:dyDescent="0.35"/>
  <cols>
    <col min="3" max="3" width="11.15234375" bestFit="1" customWidth="1"/>
    <col min="4" max="4" width="9.3046875" bestFit="1" customWidth="1"/>
    <col min="5" max="5" width="12.921875" customWidth="1"/>
    <col min="6" max="6" width="10.4609375" customWidth="1"/>
    <col min="7" max="7" width="14.84375" customWidth="1"/>
    <col min="8" max="8" width="3.61328125" customWidth="1"/>
    <col min="9" max="9" width="4" customWidth="1"/>
    <col min="10" max="10" width="12.15234375" bestFit="1" customWidth="1"/>
    <col min="11" max="11" width="11.15234375" bestFit="1" customWidth="1"/>
    <col min="12" max="12" width="9.3046875" bestFit="1" customWidth="1"/>
    <col min="13" max="13" width="13.3828125" customWidth="1"/>
    <col min="14" max="14" width="9.921875" customWidth="1"/>
    <col min="15" max="15" width="13.3046875" bestFit="1" customWidth="1"/>
  </cols>
  <sheetData>
    <row r="2" spans="2:15" x14ac:dyDescent="0.35">
      <c r="B2" t="s">
        <v>366</v>
      </c>
      <c r="J2" s="380" t="s">
        <v>366</v>
      </c>
      <c r="K2" s="380"/>
      <c r="L2" s="380"/>
      <c r="M2" s="380"/>
      <c r="N2" s="380"/>
      <c r="O2" s="380"/>
    </row>
    <row r="3" spans="2:15" x14ac:dyDescent="0.35">
      <c r="J3" s="380" t="s">
        <v>403</v>
      </c>
      <c r="K3" s="380"/>
      <c r="L3" s="380"/>
      <c r="M3" s="380"/>
      <c r="N3" s="380"/>
      <c r="O3" s="380"/>
    </row>
    <row r="4" spans="2:15" x14ac:dyDescent="0.35">
      <c r="D4" s="379">
        <v>2024</v>
      </c>
      <c r="E4" s="379"/>
      <c r="F4" s="316" t="s">
        <v>355</v>
      </c>
      <c r="G4" s="316" t="s">
        <v>356</v>
      </c>
      <c r="L4" s="379">
        <v>2024</v>
      </c>
      <c r="M4" s="379"/>
      <c r="N4" s="316" t="s">
        <v>357</v>
      </c>
      <c r="O4" s="316" t="s">
        <v>356</v>
      </c>
    </row>
    <row r="5" spans="2:15" x14ac:dyDescent="0.35">
      <c r="D5" s="337" t="s">
        <v>358</v>
      </c>
      <c r="E5" s="337" t="s">
        <v>359</v>
      </c>
      <c r="F5" s="337" t="s">
        <v>360</v>
      </c>
      <c r="G5" s="337" t="s">
        <v>361</v>
      </c>
      <c r="L5" s="337" t="s">
        <v>358</v>
      </c>
      <c r="M5" s="337" t="s">
        <v>359</v>
      </c>
      <c r="N5" s="337" t="s">
        <v>360</v>
      </c>
      <c r="O5" s="337" t="s">
        <v>361</v>
      </c>
    </row>
    <row r="6" spans="2:15" x14ac:dyDescent="0.35">
      <c r="B6" t="s">
        <v>362</v>
      </c>
      <c r="C6" s="332">
        <v>2000</v>
      </c>
      <c r="D6" s="340">
        <v>48</v>
      </c>
      <c r="E6" s="340">
        <v>96000</v>
      </c>
      <c r="F6" s="334">
        <v>14.75</v>
      </c>
      <c r="G6" s="334">
        <f>F6*D6</f>
        <v>708</v>
      </c>
      <c r="J6" t="s">
        <v>362</v>
      </c>
      <c r="K6" s="332">
        <v>2000</v>
      </c>
      <c r="L6" s="340">
        <v>48</v>
      </c>
      <c r="M6" s="340">
        <v>96000</v>
      </c>
      <c r="N6" s="334">
        <v>16.97</v>
      </c>
      <c r="O6" s="334">
        <f>N6*L6</f>
        <v>814.56</v>
      </c>
    </row>
    <row r="7" spans="2:15" x14ac:dyDescent="0.35">
      <c r="B7" t="s">
        <v>363</v>
      </c>
      <c r="C7" s="332">
        <v>8000</v>
      </c>
      <c r="D7" s="340"/>
      <c r="E7" s="340">
        <v>384000</v>
      </c>
      <c r="F7">
        <v>4.45</v>
      </c>
      <c r="G7" s="335">
        <f>(E7/1000)*F7</f>
        <v>1708.8000000000002</v>
      </c>
      <c r="J7" t="s">
        <v>363</v>
      </c>
      <c r="K7" s="332">
        <v>8000</v>
      </c>
      <c r="L7" s="340"/>
      <c r="M7" s="340">
        <v>384000</v>
      </c>
      <c r="N7" s="336">
        <v>5.12</v>
      </c>
      <c r="O7" s="335">
        <f>(M7/1000)*N7</f>
        <v>1966.08</v>
      </c>
    </row>
    <row r="8" spans="2:15" x14ac:dyDescent="0.35">
      <c r="B8" t="s">
        <v>363</v>
      </c>
      <c r="C8" s="332">
        <v>15000</v>
      </c>
      <c r="D8" s="340"/>
      <c r="E8" s="340">
        <v>720000</v>
      </c>
      <c r="F8">
        <v>4.08</v>
      </c>
      <c r="G8" s="335">
        <f t="shared" ref="G8:G10" si="0">(E8/1000)*F8</f>
        <v>2937.6</v>
      </c>
      <c r="J8" t="s">
        <v>363</v>
      </c>
      <c r="K8" s="332">
        <v>15000</v>
      </c>
      <c r="L8" s="340"/>
      <c r="M8" s="340">
        <v>720000</v>
      </c>
      <c r="N8" s="336">
        <v>4.7</v>
      </c>
      <c r="O8" s="335">
        <f t="shared" ref="O8:O10" si="1">(M8/1000)*N8</f>
        <v>3384</v>
      </c>
    </row>
    <row r="9" spans="2:15" x14ac:dyDescent="0.35">
      <c r="B9" t="s">
        <v>363</v>
      </c>
      <c r="C9" s="332">
        <v>75000</v>
      </c>
      <c r="D9" s="340"/>
      <c r="E9" s="340">
        <v>3600000</v>
      </c>
      <c r="F9">
        <v>3.58</v>
      </c>
      <c r="G9" s="335">
        <f t="shared" si="0"/>
        <v>12888</v>
      </c>
      <c r="J9" t="s">
        <v>363</v>
      </c>
      <c r="K9" s="332">
        <v>75000</v>
      </c>
      <c r="L9" s="340"/>
      <c r="M9" s="340">
        <v>3600000</v>
      </c>
      <c r="N9" s="336">
        <v>4.12</v>
      </c>
      <c r="O9" s="335">
        <f t="shared" si="1"/>
        <v>14832</v>
      </c>
    </row>
    <row r="10" spans="2:15" x14ac:dyDescent="0.35">
      <c r="B10" t="s">
        <v>364</v>
      </c>
      <c r="C10" s="332">
        <v>100000</v>
      </c>
      <c r="D10" s="340"/>
      <c r="E10" s="340">
        <v>211353200</v>
      </c>
      <c r="F10">
        <v>3.19</v>
      </c>
      <c r="G10" s="335">
        <f t="shared" si="0"/>
        <v>674216.70799999998</v>
      </c>
      <c r="J10" t="s">
        <v>364</v>
      </c>
      <c r="K10" s="332">
        <v>100000</v>
      </c>
      <c r="L10" s="340"/>
      <c r="M10" s="340">
        <v>211353200</v>
      </c>
      <c r="N10" s="336">
        <v>3.67</v>
      </c>
      <c r="O10" s="335">
        <f t="shared" si="1"/>
        <v>775666.24400000006</v>
      </c>
    </row>
    <row r="11" spans="2:15" x14ac:dyDescent="0.35">
      <c r="C11" s="333"/>
      <c r="D11" s="333"/>
      <c r="E11" s="333"/>
      <c r="G11" s="338"/>
      <c r="K11" s="332"/>
      <c r="L11" s="332"/>
      <c r="M11" s="332"/>
    </row>
    <row r="12" spans="2:15" x14ac:dyDescent="0.35">
      <c r="C12" s="332" t="s">
        <v>365</v>
      </c>
      <c r="D12" s="332">
        <v>48</v>
      </c>
      <c r="E12" s="332">
        <v>219896400</v>
      </c>
      <c r="G12" s="334">
        <v>704399.91599999997</v>
      </c>
      <c r="K12" s="332" t="s">
        <v>365</v>
      </c>
      <c r="L12" s="332">
        <v>48</v>
      </c>
      <c r="M12" s="332">
        <v>219896400</v>
      </c>
      <c r="O12" s="336">
        <f>SUM(O6:O11)</f>
        <v>796662.88400000008</v>
      </c>
    </row>
    <row r="15" spans="2:15" x14ac:dyDescent="0.35">
      <c r="E15" t="s">
        <v>367</v>
      </c>
      <c r="J15" s="339">
        <f>ROUND(O12-G12,0)</f>
        <v>92263</v>
      </c>
    </row>
  </sheetData>
  <mergeCells count="4">
    <mergeCell ref="D4:E4"/>
    <mergeCell ref="L4:M4"/>
    <mergeCell ref="J3:O3"/>
    <mergeCell ref="J2:O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35"/>
  <sheetViews>
    <sheetView workbookViewId="0">
      <selection activeCell="C27" sqref="C27"/>
    </sheetView>
  </sheetViews>
  <sheetFormatPr defaultColWidth="8.84375" defaultRowHeight="14.5" x14ac:dyDescent="0.35"/>
  <cols>
    <col min="1" max="1" width="20.61328125" style="1" bestFit="1" customWidth="1"/>
    <col min="2" max="2" width="20.61328125" style="21" customWidth="1"/>
    <col min="3" max="3" width="11.53515625" style="156" bestFit="1" customWidth="1"/>
    <col min="4" max="4" width="9.84375" style="156" customWidth="1"/>
    <col min="5" max="5" width="9.765625" style="162" customWidth="1"/>
    <col min="6" max="6" width="9.765625" style="157" customWidth="1"/>
    <col min="7" max="7" width="11.4609375" style="156" customWidth="1"/>
    <col min="8" max="8" width="10.69140625" style="158" customWidth="1"/>
    <col min="9" max="9" width="10.07421875" style="156" customWidth="1"/>
    <col min="10" max="10" width="10.53515625" style="1" customWidth="1"/>
    <col min="11" max="12" width="8.84375" style="1"/>
    <col min="13" max="13" width="10.07421875" style="1" customWidth="1"/>
    <col min="14" max="14" width="9" style="1" bestFit="1" customWidth="1"/>
    <col min="15" max="15" width="9.765625" style="1" bestFit="1" customWidth="1"/>
    <col min="16" max="16384" width="8.84375" style="1"/>
  </cols>
  <sheetData>
    <row r="1" spans="1:10" x14ac:dyDescent="0.35">
      <c r="A1" s="1" t="s">
        <v>204</v>
      </c>
    </row>
    <row r="2" spans="1:10" x14ac:dyDescent="0.35">
      <c r="C2" s="159"/>
    </row>
    <row r="3" spans="1:10" x14ac:dyDescent="0.35">
      <c r="D3" s="156" t="s">
        <v>144</v>
      </c>
      <c r="G3" s="156" t="s">
        <v>141</v>
      </c>
    </row>
    <row r="4" spans="1:10" x14ac:dyDescent="0.35">
      <c r="C4" s="247" t="s">
        <v>144</v>
      </c>
      <c r="D4" s="156" t="s">
        <v>142</v>
      </c>
      <c r="E4" s="162" t="s">
        <v>142</v>
      </c>
      <c r="F4" s="157" t="s">
        <v>143</v>
      </c>
      <c r="G4" s="156" t="s">
        <v>144</v>
      </c>
    </row>
    <row r="5" spans="1:10" x14ac:dyDescent="0.35">
      <c r="A5" s="1" t="s">
        <v>205</v>
      </c>
      <c r="B5" s="21" t="s">
        <v>201</v>
      </c>
      <c r="C5" s="156" t="s">
        <v>145</v>
      </c>
      <c r="D5" s="156" t="s">
        <v>146</v>
      </c>
      <c r="E5" s="162" t="s">
        <v>147</v>
      </c>
      <c r="F5" s="157" t="s">
        <v>147</v>
      </c>
      <c r="G5" s="156" t="s">
        <v>145</v>
      </c>
      <c r="J5" s="21"/>
    </row>
    <row r="6" spans="1:10" x14ac:dyDescent="0.35">
      <c r="A6" s="1" t="s">
        <v>200</v>
      </c>
      <c r="B6" s="21">
        <v>5</v>
      </c>
      <c r="C6" s="156">
        <f>3584.3*12</f>
        <v>43011.600000000006</v>
      </c>
      <c r="D6" s="156">
        <v>0</v>
      </c>
      <c r="E6" s="162">
        <v>0</v>
      </c>
      <c r="F6" s="157">
        <f>1-E6</f>
        <v>1</v>
      </c>
      <c r="G6" s="156">
        <f>C6*F6</f>
        <v>43011.600000000006</v>
      </c>
      <c r="J6" s="21"/>
    </row>
    <row r="7" spans="1:10" x14ac:dyDescent="0.35">
      <c r="A7" s="1" t="s">
        <v>314</v>
      </c>
      <c r="B7" s="21">
        <v>5</v>
      </c>
      <c r="C7" s="156">
        <f>25*12</f>
        <v>300</v>
      </c>
      <c r="D7" s="160">
        <v>0</v>
      </c>
      <c r="E7" s="162">
        <f t="shared" ref="E7" si="0">D7/C7</f>
        <v>0</v>
      </c>
      <c r="F7" s="157">
        <f t="shared" ref="F7" si="1">1-E7</f>
        <v>1</v>
      </c>
      <c r="G7" s="156">
        <f>C7*F7</f>
        <v>300</v>
      </c>
    </row>
    <row r="8" spans="1:10" x14ac:dyDescent="0.35">
      <c r="A8" s="261" t="s">
        <v>206</v>
      </c>
      <c r="B8" s="258"/>
      <c r="G8" s="156">
        <f>SUM(G6:G7)</f>
        <v>43311.600000000006</v>
      </c>
      <c r="H8" s="167"/>
      <c r="I8" s="168"/>
      <c r="J8" s="44"/>
    </row>
    <row r="9" spans="1:10" x14ac:dyDescent="0.35">
      <c r="D9" s="160"/>
      <c r="F9" s="158"/>
      <c r="I9" s="169"/>
      <c r="J9" s="155"/>
    </row>
    <row r="10" spans="1:10" x14ac:dyDescent="0.35">
      <c r="D10" s="160"/>
      <c r="F10" s="158"/>
      <c r="I10" s="169"/>
      <c r="J10" s="155"/>
    </row>
    <row r="11" spans="1:10" x14ac:dyDescent="0.35">
      <c r="D11" s="156" t="s">
        <v>144</v>
      </c>
      <c r="G11" s="156" t="s">
        <v>141</v>
      </c>
      <c r="J11" s="155"/>
    </row>
    <row r="12" spans="1:10" x14ac:dyDescent="0.35">
      <c r="C12" s="247" t="s">
        <v>144</v>
      </c>
      <c r="D12" s="156" t="s">
        <v>142</v>
      </c>
      <c r="E12" s="162" t="s">
        <v>142</v>
      </c>
      <c r="F12" s="157" t="s">
        <v>143</v>
      </c>
      <c r="G12" s="156" t="s">
        <v>144</v>
      </c>
      <c r="J12" s="155"/>
    </row>
    <row r="13" spans="1:10" x14ac:dyDescent="0.35">
      <c r="A13" s="304" t="s">
        <v>207</v>
      </c>
      <c r="B13" s="21" t="s">
        <v>201</v>
      </c>
      <c r="C13" s="156" t="s">
        <v>145</v>
      </c>
      <c r="D13" s="156" t="s">
        <v>146</v>
      </c>
      <c r="E13" s="162" t="s">
        <v>147</v>
      </c>
      <c r="F13" s="157" t="s">
        <v>147</v>
      </c>
      <c r="G13" s="156" t="s">
        <v>145</v>
      </c>
      <c r="J13" s="155"/>
    </row>
    <row r="14" spans="1:10" x14ac:dyDescent="0.35">
      <c r="A14" s="1" t="s">
        <v>200</v>
      </c>
      <c r="B14" s="21">
        <v>3</v>
      </c>
      <c r="C14" s="156">
        <f>65.91*12</f>
        <v>790.92</v>
      </c>
      <c r="D14" s="156">
        <v>0</v>
      </c>
      <c r="E14" s="162">
        <v>0</v>
      </c>
      <c r="F14" s="157">
        <f>1-E14</f>
        <v>1</v>
      </c>
      <c r="G14" s="161">
        <f>C14*F14</f>
        <v>790.92</v>
      </c>
      <c r="I14" s="161"/>
      <c r="J14" s="155"/>
    </row>
    <row r="15" spans="1:10" x14ac:dyDescent="0.35">
      <c r="A15" s="261" t="s">
        <v>208</v>
      </c>
      <c r="B15" s="258"/>
      <c r="G15" s="156">
        <f>SUM(G14:G14)</f>
        <v>790.92</v>
      </c>
      <c r="H15" s="167"/>
      <c r="I15" s="168"/>
      <c r="J15" s="155"/>
    </row>
    <row r="16" spans="1:10" x14ac:dyDescent="0.35">
      <c r="D16" s="160"/>
      <c r="F16" s="158"/>
      <c r="I16" s="169"/>
      <c r="J16" s="155"/>
    </row>
    <row r="17" spans="1:13" x14ac:dyDescent="0.35">
      <c r="D17" s="156" t="s">
        <v>144</v>
      </c>
      <c r="G17" s="156" t="s">
        <v>141</v>
      </c>
      <c r="I17" s="169"/>
      <c r="J17" s="155"/>
    </row>
    <row r="18" spans="1:13" x14ac:dyDescent="0.35">
      <c r="C18" s="247" t="s">
        <v>144</v>
      </c>
      <c r="D18" s="156" t="s">
        <v>142</v>
      </c>
      <c r="E18" s="162" t="s">
        <v>142</v>
      </c>
      <c r="F18" s="157" t="s">
        <v>143</v>
      </c>
      <c r="G18" s="156" t="s">
        <v>144</v>
      </c>
      <c r="I18" s="169"/>
      <c r="J18" s="155"/>
    </row>
    <row r="19" spans="1:13" x14ac:dyDescent="0.35">
      <c r="A19" s="304" t="s">
        <v>315</v>
      </c>
      <c r="B19" s="21" t="s">
        <v>201</v>
      </c>
      <c r="C19" s="156" t="s">
        <v>145</v>
      </c>
      <c r="D19" s="156" t="s">
        <v>146</v>
      </c>
      <c r="E19" s="162" t="s">
        <v>147</v>
      </c>
      <c r="F19" s="157" t="s">
        <v>147</v>
      </c>
      <c r="G19" s="156" t="s">
        <v>145</v>
      </c>
      <c r="I19" s="169"/>
      <c r="J19" s="155"/>
    </row>
    <row r="20" spans="1:13" x14ac:dyDescent="0.35">
      <c r="A20" s="1" t="s">
        <v>200</v>
      </c>
      <c r="B20" s="21">
        <v>3</v>
      </c>
      <c r="C20" s="156">
        <f>19.89*12</f>
        <v>238.68</v>
      </c>
      <c r="D20" s="156">
        <v>0</v>
      </c>
      <c r="E20" s="162">
        <v>0</v>
      </c>
      <c r="F20" s="157">
        <f>1-E20</f>
        <v>1</v>
      </c>
      <c r="G20" s="161">
        <f>C20*F20</f>
        <v>238.68</v>
      </c>
      <c r="I20" s="169"/>
      <c r="J20" s="155"/>
    </row>
    <row r="21" spans="1:13" x14ac:dyDescent="0.35">
      <c r="A21" s="261" t="s">
        <v>208</v>
      </c>
      <c r="B21" s="258"/>
      <c r="G21" s="156">
        <f>SUM(G20:G20)</f>
        <v>238.68</v>
      </c>
      <c r="I21" s="169"/>
      <c r="J21" s="155"/>
    </row>
    <row r="22" spans="1:13" x14ac:dyDescent="0.35">
      <c r="D22" s="160"/>
      <c r="F22" s="158"/>
      <c r="I22" s="169"/>
      <c r="J22" s="155"/>
    </row>
    <row r="23" spans="1:13" x14ac:dyDescent="0.35">
      <c r="J23" s="155"/>
    </row>
    <row r="24" spans="1:13" x14ac:dyDescent="0.35">
      <c r="A24" s="1" t="s">
        <v>178</v>
      </c>
      <c r="C24" s="1"/>
      <c r="J24" s="155"/>
    </row>
    <row r="25" spans="1:13" s="208" customFormat="1" x14ac:dyDescent="0.35">
      <c r="B25" s="259"/>
      <c r="C25" s="209"/>
      <c r="D25" s="209"/>
      <c r="E25" s="210"/>
      <c r="F25" s="211"/>
      <c r="G25" s="209"/>
      <c r="H25" s="212"/>
      <c r="I25" s="209"/>
      <c r="J25" s="213"/>
    </row>
    <row r="26" spans="1:13" s="208" customFormat="1" x14ac:dyDescent="0.35">
      <c r="A26" s="1" t="s">
        <v>316</v>
      </c>
      <c r="B26" s="259"/>
      <c r="C26" s="209">
        <f>G8+G15+G21</f>
        <v>44341.200000000004</v>
      </c>
      <c r="D26" s="209"/>
      <c r="E26" s="210"/>
      <c r="F26" s="211"/>
      <c r="G26" s="209"/>
      <c r="H26" s="212"/>
      <c r="I26" s="209"/>
      <c r="J26" s="213"/>
    </row>
    <row r="27" spans="1:13" x14ac:dyDescent="0.35">
      <c r="A27" s="1" t="s">
        <v>290</v>
      </c>
      <c r="B27" s="259"/>
      <c r="C27" s="161">
        <f>SAO!D24</f>
        <v>61088.39</v>
      </c>
      <c r="F27" s="164"/>
      <c r="I27" s="170"/>
      <c r="J27" s="44"/>
      <c r="L27" s="154"/>
      <c r="M27" s="154"/>
    </row>
    <row r="28" spans="1:13" x14ac:dyDescent="0.35">
      <c r="A28" s="208" t="s">
        <v>36</v>
      </c>
      <c r="B28" s="259"/>
      <c r="C28" s="156">
        <f>C26-C27</f>
        <v>-16747.189999999995</v>
      </c>
      <c r="E28" s="163"/>
      <c r="F28" s="165"/>
      <c r="I28" s="171"/>
      <c r="J28" s="151"/>
      <c r="L28" s="2"/>
    </row>
    <row r="29" spans="1:13" ht="16" x14ac:dyDescent="0.5">
      <c r="F29" s="166"/>
      <c r="I29" s="172"/>
      <c r="J29" s="152"/>
    </row>
    <row r="30" spans="1:13" x14ac:dyDescent="0.35">
      <c r="F30" s="165"/>
      <c r="I30" s="171"/>
      <c r="J30" s="151"/>
    </row>
    <row r="35" spans="1:2" x14ac:dyDescent="0.35">
      <c r="A35" s="162"/>
      <c r="B35" s="26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590D3-A7C3-4727-A9D4-F5C014E94ADB}">
  <sheetPr>
    <tabColor rgb="FF92D050"/>
    <pageSetUpPr fitToPage="1"/>
  </sheetPr>
  <dimension ref="A1:R56"/>
  <sheetViews>
    <sheetView showGridLines="0" workbookViewId="0">
      <selection sqref="A1:M47"/>
    </sheetView>
  </sheetViews>
  <sheetFormatPr defaultRowHeight="15.5" x14ac:dyDescent="0.35"/>
  <cols>
    <col min="1" max="1" width="2" customWidth="1"/>
    <col min="2" max="2" width="1.84375" customWidth="1"/>
    <col min="3" max="3" width="1.765625" customWidth="1"/>
    <col min="4" max="4" width="27.4609375" style="1" customWidth="1"/>
    <col min="5" max="5" width="8.3046875" style="1" customWidth="1"/>
    <col min="6" max="6" width="10.69140625" style="180" customWidth="1"/>
    <col min="7" max="7" width="6.07421875" style="1" customWidth="1"/>
    <col min="8" max="8" width="9.3046875" style="176" customWidth="1"/>
    <col min="9" max="9" width="6.07421875" customWidth="1"/>
    <col min="10" max="10" width="9.3046875" style="176" customWidth="1"/>
    <col min="11" max="11" width="10.69140625" customWidth="1"/>
    <col min="12" max="12" width="1.84375" customWidth="1"/>
    <col min="13" max="13" width="2.4609375" customWidth="1"/>
    <col min="15" max="18" width="8.84375" style="1"/>
  </cols>
  <sheetData>
    <row r="1" spans="1:13" x14ac:dyDescent="0.35">
      <c r="A1" s="1"/>
      <c r="B1" s="1"/>
      <c r="C1" s="3"/>
      <c r="D1" s="3"/>
      <c r="E1" s="3"/>
      <c r="G1" s="129"/>
      <c r="H1" s="19"/>
      <c r="I1" s="129"/>
      <c r="J1" s="19"/>
      <c r="K1" s="3"/>
      <c r="L1" s="3"/>
      <c r="M1" s="3"/>
    </row>
    <row r="2" spans="1:13" x14ac:dyDescent="0.35">
      <c r="A2" s="1"/>
      <c r="B2" s="119"/>
      <c r="C2" s="121"/>
      <c r="D2" s="121"/>
      <c r="E2" s="121"/>
      <c r="F2" s="181"/>
      <c r="G2" s="130"/>
      <c r="H2" s="173"/>
      <c r="I2" s="130"/>
      <c r="J2" s="173"/>
      <c r="K2" s="121"/>
      <c r="L2" s="137"/>
      <c r="M2" s="140"/>
    </row>
    <row r="3" spans="1:13" ht="18.5" x14ac:dyDescent="0.45">
      <c r="A3" s="1"/>
      <c r="B3" s="48"/>
      <c r="C3" s="381" t="s">
        <v>26</v>
      </c>
      <c r="D3" s="381"/>
      <c r="E3" s="381"/>
      <c r="F3" s="381"/>
      <c r="G3" s="381"/>
      <c r="H3" s="381"/>
      <c r="I3" s="381"/>
      <c r="J3" s="381"/>
      <c r="K3" s="381"/>
      <c r="L3" s="138"/>
      <c r="M3" s="140"/>
    </row>
    <row r="4" spans="1:13" ht="18.5" x14ac:dyDescent="0.45">
      <c r="A4" s="1"/>
      <c r="B4" s="48"/>
      <c r="C4" s="382" t="s">
        <v>38</v>
      </c>
      <c r="D4" s="382"/>
      <c r="E4" s="382"/>
      <c r="F4" s="382"/>
      <c r="G4" s="382"/>
      <c r="H4" s="382"/>
      <c r="I4" s="382"/>
      <c r="J4" s="382"/>
      <c r="K4" s="382"/>
      <c r="L4" s="138"/>
      <c r="M4" s="140"/>
    </row>
    <row r="5" spans="1:13" x14ac:dyDescent="0.35">
      <c r="A5" s="1"/>
      <c r="B5" s="48"/>
      <c r="C5" s="383" t="s">
        <v>188</v>
      </c>
      <c r="D5" s="383"/>
      <c r="E5" s="383"/>
      <c r="F5" s="383"/>
      <c r="G5" s="383"/>
      <c r="H5" s="383"/>
      <c r="I5" s="383"/>
      <c r="J5" s="383"/>
      <c r="K5" s="383"/>
      <c r="L5" s="138"/>
      <c r="M5" s="140"/>
    </row>
    <row r="6" spans="1:13" x14ac:dyDescent="0.35">
      <c r="A6" s="1"/>
      <c r="B6" s="48"/>
      <c r="C6" s="3"/>
      <c r="D6" s="3"/>
      <c r="E6" s="3"/>
      <c r="G6" s="131"/>
      <c r="H6" s="19"/>
      <c r="I6" s="131"/>
      <c r="J6" s="19"/>
      <c r="K6" s="123" t="s">
        <v>39</v>
      </c>
      <c r="L6" s="138"/>
      <c r="M6" s="140"/>
    </row>
    <row r="7" spans="1:13" x14ac:dyDescent="0.35">
      <c r="A7" s="1"/>
      <c r="B7" s="48"/>
      <c r="C7" s="122"/>
      <c r="D7" s="122"/>
      <c r="E7" s="122" t="s">
        <v>40</v>
      </c>
      <c r="F7" s="182" t="s">
        <v>41</v>
      </c>
      <c r="G7" s="384" t="s">
        <v>116</v>
      </c>
      <c r="H7" s="384"/>
      <c r="I7" s="384" t="s">
        <v>31</v>
      </c>
      <c r="J7" s="384"/>
      <c r="K7" s="123" t="s">
        <v>42</v>
      </c>
      <c r="L7" s="138"/>
      <c r="M7" s="140"/>
    </row>
    <row r="8" spans="1:13" ht="17" x14ac:dyDescent="0.5">
      <c r="A8" s="1"/>
      <c r="B8" s="48"/>
      <c r="C8" s="123"/>
      <c r="D8" s="127" t="s">
        <v>96</v>
      </c>
      <c r="E8" s="123" t="s">
        <v>43</v>
      </c>
      <c r="F8" s="183" t="s">
        <v>115</v>
      </c>
      <c r="G8" s="24" t="s">
        <v>44</v>
      </c>
      <c r="H8" s="123" t="s">
        <v>45</v>
      </c>
      <c r="I8" s="24" t="s">
        <v>44</v>
      </c>
      <c r="J8" s="123" t="s">
        <v>45</v>
      </c>
      <c r="K8" s="123" t="s">
        <v>36</v>
      </c>
      <c r="L8" s="138"/>
      <c r="M8" s="140"/>
    </row>
    <row r="9" spans="1:13" x14ac:dyDescent="0.35">
      <c r="A9" s="1"/>
      <c r="B9" s="48"/>
      <c r="C9" s="124" t="s">
        <v>91</v>
      </c>
      <c r="D9" s="3"/>
      <c r="E9" s="128"/>
      <c r="G9" s="131"/>
      <c r="H9" s="175"/>
      <c r="I9" s="131"/>
      <c r="J9" s="175"/>
      <c r="K9" s="2"/>
      <c r="L9" s="138"/>
      <c r="M9" s="140"/>
    </row>
    <row r="10" spans="1:13" x14ac:dyDescent="0.35">
      <c r="A10" s="1"/>
      <c r="B10" s="48"/>
      <c r="C10" s="124"/>
      <c r="D10" s="3" t="s">
        <v>347</v>
      </c>
      <c r="E10" s="128" t="s">
        <v>196</v>
      </c>
      <c r="F10" s="185">
        <v>2437</v>
      </c>
      <c r="G10" s="67">
        <v>40</v>
      </c>
      <c r="H10" s="147">
        <v>61</v>
      </c>
      <c r="I10" s="131">
        <v>40</v>
      </c>
      <c r="J10" s="175">
        <f>ROUND(F10/I10,0)</f>
        <v>61</v>
      </c>
      <c r="K10" s="23">
        <f>J10-H10</f>
        <v>0</v>
      </c>
      <c r="L10" s="138"/>
      <c r="M10" s="140"/>
    </row>
    <row r="11" spans="1:13" x14ac:dyDescent="0.35">
      <c r="A11" s="1"/>
      <c r="B11" s="48"/>
      <c r="C11" s="124"/>
      <c r="D11" s="3" t="s">
        <v>97</v>
      </c>
      <c r="E11" s="246" t="s">
        <v>196</v>
      </c>
      <c r="F11" s="185">
        <v>141159</v>
      </c>
      <c r="G11" s="132">
        <v>37.5</v>
      </c>
      <c r="H11" s="147">
        <v>4222</v>
      </c>
      <c r="I11" s="131">
        <v>37.5</v>
      </c>
      <c r="J11" s="147">
        <f>F11/I11</f>
        <v>3764.24</v>
      </c>
      <c r="K11" s="23">
        <f>J11-H11</f>
        <v>-457.76000000000022</v>
      </c>
      <c r="L11" s="138"/>
      <c r="M11" s="140"/>
    </row>
    <row r="12" spans="1:13" hidden="1" x14ac:dyDescent="0.35">
      <c r="A12" s="1"/>
      <c r="B12" s="48"/>
      <c r="C12" s="3"/>
      <c r="D12" s="3" t="s">
        <v>98</v>
      </c>
      <c r="E12" s="128"/>
      <c r="F12" s="185"/>
      <c r="G12" s="67"/>
      <c r="H12" s="147"/>
      <c r="I12" s="131">
        <v>22.5</v>
      </c>
      <c r="J12" s="147">
        <f>F12/I12</f>
        <v>0</v>
      </c>
      <c r="K12" s="23"/>
      <c r="L12" s="138"/>
      <c r="M12" s="140"/>
    </row>
    <row r="13" spans="1:13" hidden="1" x14ac:dyDescent="0.35">
      <c r="A13" s="1"/>
      <c r="B13" s="48"/>
      <c r="C13" s="3"/>
      <c r="D13" s="3" t="s">
        <v>99</v>
      </c>
      <c r="E13" s="128"/>
      <c r="F13" s="185"/>
      <c r="G13" s="67"/>
      <c r="H13" s="147"/>
      <c r="I13" s="131">
        <v>12.5</v>
      </c>
      <c r="J13" s="147">
        <f t="shared" ref="J13:J15" si="0">F13/I13</f>
        <v>0</v>
      </c>
      <c r="K13" s="23"/>
      <c r="L13" s="138"/>
      <c r="M13" s="140"/>
    </row>
    <row r="14" spans="1:13" hidden="1" x14ac:dyDescent="0.35">
      <c r="A14" s="1"/>
      <c r="B14" s="48"/>
      <c r="C14" s="3"/>
      <c r="D14" s="3" t="s">
        <v>100</v>
      </c>
      <c r="E14" s="128" t="s">
        <v>196</v>
      </c>
      <c r="F14" s="185"/>
      <c r="G14" s="67" t="s">
        <v>117</v>
      </c>
      <c r="H14" s="147"/>
      <c r="I14" s="131">
        <v>17.5</v>
      </c>
      <c r="J14" s="147">
        <f t="shared" si="0"/>
        <v>0</v>
      </c>
      <c r="K14" s="23"/>
      <c r="L14" s="138"/>
      <c r="M14" s="140"/>
    </row>
    <row r="15" spans="1:13" hidden="1" x14ac:dyDescent="0.35">
      <c r="A15" s="1"/>
      <c r="B15" s="48"/>
      <c r="C15" s="3"/>
      <c r="D15" s="3" t="s">
        <v>101</v>
      </c>
      <c r="E15" s="128"/>
      <c r="F15" s="185"/>
      <c r="G15" s="67"/>
      <c r="H15" s="147"/>
      <c r="I15" s="131">
        <v>15</v>
      </c>
      <c r="J15" s="147">
        <f t="shared" si="0"/>
        <v>0</v>
      </c>
      <c r="K15" s="23"/>
      <c r="L15" s="138"/>
      <c r="M15" s="140"/>
    </row>
    <row r="16" spans="1:13" hidden="1" x14ac:dyDescent="0.35">
      <c r="A16" s="1"/>
      <c r="B16" s="48"/>
      <c r="C16" s="3"/>
      <c r="D16" s="3"/>
      <c r="E16" s="128"/>
      <c r="F16" s="185"/>
      <c r="G16" s="67"/>
      <c r="H16" s="147"/>
      <c r="I16" s="131"/>
      <c r="J16" s="147"/>
      <c r="K16" s="23"/>
      <c r="L16" s="138"/>
      <c r="M16" s="140"/>
    </row>
    <row r="17" spans="1:15" hidden="1" x14ac:dyDescent="0.35">
      <c r="A17" s="1"/>
      <c r="B17" s="48"/>
      <c r="C17" s="124" t="s">
        <v>150</v>
      </c>
      <c r="D17" s="3"/>
      <c r="E17" s="128"/>
      <c r="F17" s="185"/>
      <c r="G17" s="67"/>
      <c r="H17" s="147"/>
      <c r="I17" s="131"/>
      <c r="J17" s="147"/>
      <c r="K17" s="23"/>
      <c r="L17" s="138"/>
      <c r="M17" s="140"/>
    </row>
    <row r="18" spans="1:15" hidden="1" x14ac:dyDescent="0.35">
      <c r="A18" s="1"/>
      <c r="B18" s="48"/>
      <c r="C18" s="3"/>
      <c r="D18" s="3" t="s">
        <v>151</v>
      </c>
      <c r="E18" s="128"/>
      <c r="F18" s="185"/>
      <c r="G18" s="67"/>
      <c r="H18" s="147"/>
      <c r="I18" s="131">
        <v>62.5</v>
      </c>
      <c r="J18" s="147">
        <f t="shared" ref="J18:J19" si="1">F18/I18</f>
        <v>0</v>
      </c>
      <c r="K18" s="23"/>
      <c r="L18" s="138"/>
      <c r="M18" s="140"/>
    </row>
    <row r="19" spans="1:15" hidden="1" x14ac:dyDescent="0.35">
      <c r="A19" s="1"/>
      <c r="B19" s="48"/>
      <c r="C19" s="3"/>
      <c r="D19" s="3" t="s">
        <v>152</v>
      </c>
      <c r="E19" s="128"/>
      <c r="F19" s="185"/>
      <c r="G19" s="67"/>
      <c r="H19" s="147"/>
      <c r="I19" s="131">
        <v>62.5</v>
      </c>
      <c r="J19" s="147">
        <f t="shared" si="1"/>
        <v>0</v>
      </c>
      <c r="K19" s="23"/>
      <c r="L19" s="138"/>
      <c r="M19" s="140"/>
    </row>
    <row r="20" spans="1:15" x14ac:dyDescent="0.35">
      <c r="A20" s="1"/>
      <c r="B20" s="48"/>
      <c r="C20" s="123"/>
      <c r="D20" s="123"/>
      <c r="E20" s="123"/>
      <c r="F20" s="184"/>
      <c r="G20" s="24"/>
      <c r="H20" s="174"/>
      <c r="I20" s="24"/>
      <c r="J20" s="174"/>
      <c r="K20" s="123"/>
      <c r="L20" s="138"/>
      <c r="M20" s="140"/>
    </row>
    <row r="21" spans="1:15" x14ac:dyDescent="0.35">
      <c r="A21" s="1"/>
      <c r="B21" s="48"/>
      <c r="C21" s="124" t="s">
        <v>92</v>
      </c>
      <c r="D21" s="3"/>
      <c r="E21" s="128"/>
      <c r="G21" s="132"/>
      <c r="H21" s="175"/>
      <c r="I21" s="132"/>
      <c r="J21" s="175"/>
      <c r="K21" s="2"/>
      <c r="L21" s="138"/>
      <c r="M21" s="140"/>
    </row>
    <row r="22" spans="1:15" x14ac:dyDescent="0.35">
      <c r="A22" s="1"/>
      <c r="B22" s="48"/>
      <c r="C22" s="124"/>
      <c r="D22" s="3" t="s">
        <v>97</v>
      </c>
      <c r="E22" s="128" t="s">
        <v>196</v>
      </c>
      <c r="F22" s="185">
        <v>89220</v>
      </c>
      <c r="G22" s="132">
        <v>37.5</v>
      </c>
      <c r="H22" s="147">
        <v>2380</v>
      </c>
      <c r="I22" s="131">
        <v>37.5</v>
      </c>
      <c r="J22" s="147">
        <v>2380</v>
      </c>
      <c r="K22" s="23">
        <f>J22-H22</f>
        <v>0</v>
      </c>
      <c r="L22" s="138"/>
      <c r="M22" s="140"/>
    </row>
    <row r="23" spans="1:15" x14ac:dyDescent="0.35">
      <c r="A23" s="1"/>
      <c r="B23" s="48"/>
      <c r="C23" s="3"/>
      <c r="D23" s="3" t="s">
        <v>102</v>
      </c>
      <c r="E23" s="128" t="s">
        <v>196</v>
      </c>
      <c r="F23" s="180">
        <v>5677.97</v>
      </c>
      <c r="G23" s="132">
        <v>10</v>
      </c>
      <c r="H23" s="147">
        <v>568</v>
      </c>
      <c r="I23" s="131">
        <v>10</v>
      </c>
      <c r="J23" s="175">
        <f>ROUND(F23/I23,0)</f>
        <v>568</v>
      </c>
      <c r="K23" s="23">
        <f>J23-H23</f>
        <v>0</v>
      </c>
      <c r="L23" s="138"/>
      <c r="M23" s="140"/>
    </row>
    <row r="24" spans="1:15" x14ac:dyDescent="0.35">
      <c r="A24" s="1"/>
      <c r="B24" s="48"/>
      <c r="C24" s="3"/>
      <c r="D24" s="3" t="s">
        <v>103</v>
      </c>
      <c r="E24" s="128" t="s">
        <v>196</v>
      </c>
      <c r="F24" s="180">
        <v>1306209</v>
      </c>
      <c r="G24" s="132">
        <v>20</v>
      </c>
      <c r="H24" s="147">
        <v>65293</v>
      </c>
      <c r="I24" s="131">
        <v>20</v>
      </c>
      <c r="J24" s="175">
        <f>F24/I24</f>
        <v>65310.45</v>
      </c>
      <c r="K24" s="23">
        <f>J24-H24</f>
        <v>17.44999999999709</v>
      </c>
      <c r="L24" s="138"/>
      <c r="M24" s="140"/>
    </row>
    <row r="25" spans="1:15" x14ac:dyDescent="0.35">
      <c r="A25" s="1"/>
      <c r="B25" s="48"/>
      <c r="C25" s="123"/>
      <c r="D25" s="123"/>
      <c r="E25" s="123"/>
      <c r="G25" s="132"/>
      <c r="H25" s="175"/>
      <c r="I25" s="132"/>
      <c r="J25" s="175"/>
      <c r="K25" s="2"/>
      <c r="L25" s="138"/>
      <c r="M25" s="140"/>
    </row>
    <row r="26" spans="1:15" x14ac:dyDescent="0.35">
      <c r="A26" s="1"/>
      <c r="B26" s="48"/>
      <c r="C26" s="124" t="s">
        <v>93</v>
      </c>
      <c r="D26" s="3"/>
      <c r="E26" s="128"/>
      <c r="G26" s="131"/>
      <c r="H26" s="175"/>
      <c r="I26" s="131"/>
      <c r="J26" s="175"/>
      <c r="K26" s="2"/>
      <c r="L26" s="138"/>
      <c r="M26" s="140"/>
    </row>
    <row r="27" spans="1:15" hidden="1" x14ac:dyDescent="0.35">
      <c r="A27" s="1"/>
      <c r="B27" s="48"/>
      <c r="C27" s="124"/>
      <c r="D27" s="3" t="s">
        <v>104</v>
      </c>
      <c r="E27" s="128" t="s">
        <v>196</v>
      </c>
      <c r="F27" s="185"/>
      <c r="G27" s="67"/>
      <c r="H27" s="147"/>
      <c r="I27" s="131">
        <v>50</v>
      </c>
      <c r="J27" s="175">
        <f>F27/I27</f>
        <v>0</v>
      </c>
      <c r="K27" s="23">
        <f>J27-H27</f>
        <v>0</v>
      </c>
      <c r="L27" s="138"/>
      <c r="M27" s="140"/>
    </row>
    <row r="28" spans="1:15" x14ac:dyDescent="0.35">
      <c r="A28" s="1"/>
      <c r="B28" s="48"/>
      <c r="C28" s="124"/>
      <c r="D28" s="3" t="s">
        <v>105</v>
      </c>
      <c r="E28" s="128" t="s">
        <v>196</v>
      </c>
      <c r="F28" s="185">
        <v>15825968</v>
      </c>
      <c r="G28" s="67">
        <v>50</v>
      </c>
      <c r="H28" s="147">
        <v>332322</v>
      </c>
      <c r="I28" s="131">
        <v>62.5</v>
      </c>
      <c r="J28" s="147">
        <f t="shared" ref="J28:J35" si="2">F28/I28</f>
        <v>253215.48800000001</v>
      </c>
      <c r="K28" s="23">
        <f t="shared" ref="K28:K34" si="3">J28-H28</f>
        <v>-79106.511999999988</v>
      </c>
      <c r="L28" s="138"/>
      <c r="M28" s="140"/>
    </row>
    <row r="29" spans="1:15" x14ac:dyDescent="0.35">
      <c r="A29" s="1"/>
      <c r="B29" s="48"/>
      <c r="C29" s="124"/>
      <c r="D29" s="3" t="s">
        <v>106</v>
      </c>
      <c r="E29" s="128" t="s">
        <v>196</v>
      </c>
      <c r="F29" s="185">
        <v>9498</v>
      </c>
      <c r="G29" s="67">
        <v>10</v>
      </c>
      <c r="H29" s="147">
        <v>317</v>
      </c>
      <c r="I29" s="131">
        <v>45</v>
      </c>
      <c r="J29" s="147">
        <f t="shared" si="2"/>
        <v>211.06666666666666</v>
      </c>
      <c r="K29" s="23">
        <f t="shared" si="3"/>
        <v>-105.93333333333334</v>
      </c>
      <c r="L29" s="138"/>
      <c r="M29" s="140"/>
    </row>
    <row r="30" spans="1:15" x14ac:dyDescent="0.35">
      <c r="A30" s="1"/>
      <c r="B30" s="48"/>
      <c r="C30" s="124"/>
      <c r="D30" s="3" t="s">
        <v>107</v>
      </c>
      <c r="E30" s="128"/>
      <c r="F30" s="185">
        <v>645802</v>
      </c>
      <c r="G30" s="67">
        <v>40</v>
      </c>
      <c r="H30" s="147">
        <v>16145</v>
      </c>
      <c r="I30" s="366">
        <v>15</v>
      </c>
      <c r="J30" s="147">
        <f t="shared" si="2"/>
        <v>43053.466666666667</v>
      </c>
      <c r="K30" s="23">
        <f t="shared" si="3"/>
        <v>26908.466666666667</v>
      </c>
      <c r="L30" s="138"/>
      <c r="M30" s="140"/>
      <c r="O30" s="2"/>
    </row>
    <row r="31" spans="1:15" hidden="1" x14ac:dyDescent="0.35">
      <c r="A31" s="1"/>
      <c r="B31" s="48"/>
      <c r="C31" s="124"/>
      <c r="D31" s="3" t="s">
        <v>108</v>
      </c>
      <c r="E31" s="128" t="s">
        <v>196</v>
      </c>
      <c r="F31" s="185"/>
      <c r="G31" s="67">
        <v>25</v>
      </c>
      <c r="H31" s="147"/>
      <c r="I31" s="131">
        <v>20</v>
      </c>
      <c r="J31" s="147">
        <f t="shared" si="2"/>
        <v>0</v>
      </c>
      <c r="K31" s="23"/>
      <c r="L31" s="138"/>
      <c r="M31" s="140"/>
    </row>
    <row r="32" spans="1:15" hidden="1" x14ac:dyDescent="0.35">
      <c r="A32" s="1"/>
      <c r="B32" s="48"/>
      <c r="C32" s="124"/>
      <c r="D32" s="3" t="s">
        <v>109</v>
      </c>
      <c r="E32" s="128"/>
      <c r="F32" s="185"/>
      <c r="G32" s="67"/>
      <c r="H32" s="147"/>
      <c r="I32" s="131">
        <v>37.5</v>
      </c>
      <c r="J32" s="147">
        <f t="shared" si="2"/>
        <v>0</v>
      </c>
      <c r="K32" s="23"/>
      <c r="L32" s="138"/>
      <c r="M32" s="140"/>
    </row>
    <row r="33" spans="1:14" hidden="1" x14ac:dyDescent="0.35">
      <c r="A33" s="1"/>
      <c r="B33" s="48"/>
      <c r="C33" s="124"/>
      <c r="D33" s="3" t="s">
        <v>110</v>
      </c>
      <c r="E33" s="128"/>
      <c r="F33" s="185"/>
      <c r="G33" s="67"/>
      <c r="H33" s="147"/>
      <c r="I33" s="131">
        <v>40</v>
      </c>
      <c r="J33" s="147">
        <f t="shared" si="2"/>
        <v>0</v>
      </c>
      <c r="K33" s="23"/>
      <c r="L33" s="138"/>
      <c r="M33" s="140"/>
    </row>
    <row r="34" spans="1:14" x14ac:dyDescent="0.35">
      <c r="A34" s="1"/>
      <c r="B34" s="48"/>
      <c r="C34" s="124"/>
      <c r="D34" s="3" t="s">
        <v>111</v>
      </c>
      <c r="E34" s="128" t="s">
        <v>196</v>
      </c>
      <c r="F34" s="185">
        <v>2221632</v>
      </c>
      <c r="G34" s="67">
        <v>45</v>
      </c>
      <c r="H34" s="147">
        <v>49369</v>
      </c>
      <c r="I34" s="131">
        <v>45</v>
      </c>
      <c r="J34" s="147">
        <f t="shared" si="2"/>
        <v>49369.599999999999</v>
      </c>
      <c r="K34" s="23">
        <f t="shared" si="3"/>
        <v>0.59999999999854481</v>
      </c>
      <c r="L34" s="138"/>
      <c r="M34" s="140"/>
    </row>
    <row r="35" spans="1:14" hidden="1" x14ac:dyDescent="0.35">
      <c r="A35" s="1"/>
      <c r="B35" s="48"/>
      <c r="C35" s="124"/>
      <c r="D35" s="3" t="s">
        <v>112</v>
      </c>
      <c r="E35" s="128"/>
      <c r="F35" s="185"/>
      <c r="G35" s="67"/>
      <c r="H35" s="147"/>
      <c r="I35" s="131">
        <v>15</v>
      </c>
      <c r="J35" s="147">
        <f t="shared" si="2"/>
        <v>0</v>
      </c>
      <c r="K35" s="23"/>
      <c r="L35" s="138"/>
      <c r="M35" s="140"/>
    </row>
    <row r="36" spans="1:14" x14ac:dyDescent="0.35">
      <c r="A36" s="1"/>
      <c r="B36" s="48"/>
      <c r="C36" s="124"/>
      <c r="E36" s="128"/>
      <c r="G36" s="132"/>
      <c r="H36" s="175"/>
      <c r="I36" s="132"/>
      <c r="J36" s="175"/>
      <c r="K36" s="23"/>
      <c r="L36" s="138"/>
      <c r="M36" s="140"/>
    </row>
    <row r="37" spans="1:14" x14ac:dyDescent="0.35">
      <c r="A37" s="1"/>
      <c r="B37" s="48"/>
      <c r="C37" s="124" t="s">
        <v>94</v>
      </c>
      <c r="E37" s="128"/>
      <c r="G37" s="131"/>
      <c r="H37" s="175"/>
      <c r="I37" s="136"/>
      <c r="J37" s="175"/>
      <c r="K37" s="2"/>
      <c r="L37" s="138"/>
      <c r="M37" s="140"/>
    </row>
    <row r="38" spans="1:14" x14ac:dyDescent="0.35">
      <c r="A38" s="1"/>
      <c r="B38" s="48"/>
      <c r="C38" s="3"/>
      <c r="D38" s="1" t="s">
        <v>113</v>
      </c>
      <c r="E38" s="128" t="s">
        <v>196</v>
      </c>
      <c r="F38" s="180">
        <v>96094</v>
      </c>
      <c r="G38" s="131" t="s">
        <v>117</v>
      </c>
      <c r="H38" s="175">
        <v>15355</v>
      </c>
      <c r="I38" s="136">
        <v>7</v>
      </c>
      <c r="J38" s="175">
        <f>F38/I38</f>
        <v>13727.714285714286</v>
      </c>
      <c r="K38" s="2">
        <f>J38-H38</f>
        <v>-1627.2857142857138</v>
      </c>
      <c r="L38" s="138"/>
      <c r="M38" s="140"/>
    </row>
    <row r="39" spans="1:14" x14ac:dyDescent="0.35">
      <c r="A39" s="1"/>
      <c r="B39" s="48"/>
      <c r="C39" s="123"/>
      <c r="D39" s="123"/>
      <c r="E39" s="123"/>
      <c r="G39" s="132"/>
      <c r="H39" s="175"/>
      <c r="I39" s="132"/>
      <c r="J39" s="175"/>
      <c r="K39" s="2"/>
      <c r="L39" s="138"/>
      <c r="M39" s="140"/>
    </row>
    <row r="40" spans="1:14" x14ac:dyDescent="0.35">
      <c r="A40" s="1"/>
      <c r="B40" s="48"/>
      <c r="C40" s="124" t="s">
        <v>95</v>
      </c>
      <c r="D40" s="3"/>
      <c r="E40" s="128"/>
      <c r="G40" s="133"/>
      <c r="H40" s="175"/>
      <c r="I40" s="131"/>
      <c r="J40" s="175"/>
      <c r="K40" s="2"/>
      <c r="L40" s="138"/>
      <c r="M40" s="140"/>
    </row>
    <row r="41" spans="1:14" hidden="1" x14ac:dyDescent="0.35">
      <c r="A41" s="1"/>
      <c r="B41" s="48"/>
      <c r="C41" s="124"/>
      <c r="D41" s="1" t="s">
        <v>148</v>
      </c>
      <c r="E41" s="128"/>
      <c r="G41" s="131"/>
      <c r="H41" s="175"/>
      <c r="I41" s="136">
        <v>62.5</v>
      </c>
      <c r="J41" s="175">
        <f>F41/I41</f>
        <v>0</v>
      </c>
      <c r="K41" s="2"/>
      <c r="L41" s="138"/>
      <c r="M41" s="140"/>
    </row>
    <row r="42" spans="1:14" x14ac:dyDescent="0.35">
      <c r="A42" s="1"/>
      <c r="B42" s="48"/>
      <c r="C42" s="124"/>
      <c r="D42" s="1" t="s">
        <v>149</v>
      </c>
      <c r="E42" s="128" t="s">
        <v>196</v>
      </c>
      <c r="F42" s="180">
        <v>135806</v>
      </c>
      <c r="G42" s="131">
        <v>25</v>
      </c>
      <c r="H42" s="175">
        <v>4276</v>
      </c>
      <c r="I42" s="136">
        <v>27.5</v>
      </c>
      <c r="J42" s="175">
        <f>F42/I42</f>
        <v>4938.3999999999996</v>
      </c>
      <c r="K42" s="2">
        <f>J42-H42</f>
        <v>662.39999999999964</v>
      </c>
      <c r="L42" s="138"/>
      <c r="M42" s="140"/>
    </row>
    <row r="43" spans="1:14" x14ac:dyDescent="0.35">
      <c r="A43" s="1"/>
      <c r="B43" s="48"/>
      <c r="C43" s="3"/>
      <c r="D43" s="3"/>
      <c r="E43" s="3"/>
      <c r="G43" s="2"/>
      <c r="H43" s="147"/>
      <c r="I43" s="2"/>
      <c r="J43" s="179"/>
      <c r="K43" s="2"/>
      <c r="L43" s="138"/>
      <c r="M43" s="140"/>
    </row>
    <row r="44" spans="1:14" x14ac:dyDescent="0.35">
      <c r="A44" s="1"/>
      <c r="B44" s="48"/>
      <c r="C44" s="125" t="s">
        <v>62</v>
      </c>
      <c r="F44" s="177">
        <f>SUM(F10:F43)</f>
        <v>20479502.969999999</v>
      </c>
      <c r="G44" s="134"/>
      <c r="H44" s="177">
        <f>SUM(H10:H43)</f>
        <v>490308</v>
      </c>
      <c r="I44" s="135"/>
      <c r="J44" s="177">
        <f>SUM(J10:J43)</f>
        <v>436599.4256190476</v>
      </c>
      <c r="K44" s="135">
        <f>SUM(K10:K43)</f>
        <v>-53708.574380952363</v>
      </c>
      <c r="L44" s="138"/>
      <c r="M44" s="140"/>
      <c r="N44" s="21"/>
    </row>
    <row r="45" spans="1:14" x14ac:dyDescent="0.35">
      <c r="A45" s="1"/>
      <c r="B45" s="120"/>
      <c r="C45" s="126"/>
      <c r="D45" s="126"/>
      <c r="E45" s="126"/>
      <c r="F45" s="186"/>
      <c r="G45" s="126"/>
      <c r="H45" s="178"/>
      <c r="I45" s="126"/>
      <c r="J45" s="178"/>
      <c r="K45" s="126"/>
      <c r="L45" s="139"/>
      <c r="M45" s="141"/>
    </row>
    <row r="46" spans="1:14" x14ac:dyDescent="0.35">
      <c r="A46" s="1"/>
      <c r="B46" s="1"/>
      <c r="C46" s="3"/>
      <c r="D46" s="3"/>
      <c r="E46" s="3"/>
      <c r="G46" s="3"/>
      <c r="H46" s="179"/>
      <c r="I46" s="3"/>
      <c r="J46" s="179"/>
      <c r="K46" s="3"/>
      <c r="L46" s="3"/>
      <c r="M46" s="3"/>
    </row>
    <row r="47" spans="1:14" x14ac:dyDescent="0.35">
      <c r="D47" s="3" t="s">
        <v>114</v>
      </c>
    </row>
    <row r="51" spans="6:7" ht="17" x14ac:dyDescent="0.5">
      <c r="F51" s="187"/>
    </row>
    <row r="52" spans="6:7" x14ac:dyDescent="0.35">
      <c r="G52" s="21"/>
    </row>
    <row r="55" spans="6:7" ht="17" x14ac:dyDescent="0.5">
      <c r="F55" s="187"/>
    </row>
    <row r="56" spans="6:7" x14ac:dyDescent="0.35">
      <c r="G56" s="21"/>
    </row>
  </sheetData>
  <mergeCells count="5">
    <mergeCell ref="C3:K3"/>
    <mergeCell ref="C4:K4"/>
    <mergeCell ref="C5:K5"/>
    <mergeCell ref="G7:H7"/>
    <mergeCell ref="I7:J7"/>
  </mergeCells>
  <pageMargins left="0.7" right="0.7" top="0.75" bottom="0.75" header="0.3" footer="0.3"/>
  <pageSetup scale="7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630B1-5320-458A-B984-AF0BD6A9981A}">
  <sheetPr>
    <tabColor rgb="FF92D050"/>
    <pageSetUpPr fitToPage="1"/>
  </sheetPr>
  <dimension ref="B1:Q49"/>
  <sheetViews>
    <sheetView showGridLines="0" workbookViewId="0">
      <selection sqref="A1:O31"/>
    </sheetView>
  </sheetViews>
  <sheetFormatPr defaultRowHeight="15.5" x14ac:dyDescent="0.35"/>
  <cols>
    <col min="1" max="1" width="1.765625" customWidth="1"/>
    <col min="2" max="2" width="20.4609375" bestFit="1" customWidth="1"/>
    <col min="3" max="12" width="7.765625" customWidth="1"/>
    <col min="13" max="13" width="10.69140625" customWidth="1"/>
    <col min="14" max="14" width="0.765625" customWidth="1"/>
    <col min="15" max="15" width="2.3046875" customWidth="1"/>
    <col min="16" max="16" width="9.69140625" customWidth="1"/>
  </cols>
  <sheetData>
    <row r="1" spans="2:17" x14ac:dyDescent="0.35">
      <c r="B1" s="18"/>
      <c r="C1" s="18"/>
      <c r="D1" s="18"/>
      <c r="E1" s="18"/>
      <c r="F1" s="18"/>
      <c r="G1" s="18"/>
      <c r="H1" s="18"/>
      <c r="I1" s="18"/>
      <c r="J1" s="18"/>
      <c r="K1" s="18"/>
      <c r="L1" s="18"/>
      <c r="M1" s="18"/>
      <c r="N1" s="18"/>
      <c r="O1" s="18"/>
      <c r="P1" s="18"/>
    </row>
    <row r="2" spans="2:17" x14ac:dyDescent="0.35">
      <c r="B2" s="76"/>
      <c r="C2" s="77"/>
      <c r="D2" s="77"/>
      <c r="E2" s="77"/>
      <c r="F2" s="77"/>
      <c r="G2" s="77"/>
      <c r="H2" s="77"/>
      <c r="I2" s="77"/>
      <c r="J2" s="77"/>
      <c r="K2" s="77"/>
      <c r="L2" s="77"/>
      <c r="M2" s="77"/>
      <c r="N2" s="78"/>
      <c r="O2" s="18"/>
      <c r="P2" s="18"/>
    </row>
    <row r="3" spans="2:17" ht="18.5" x14ac:dyDescent="0.45">
      <c r="B3" s="79" t="s">
        <v>84</v>
      </c>
      <c r="C3" s="80"/>
      <c r="D3" s="80"/>
      <c r="E3" s="80"/>
      <c r="F3" s="80"/>
      <c r="G3" s="80"/>
      <c r="H3" s="80"/>
      <c r="I3" s="80"/>
      <c r="J3" s="80"/>
      <c r="K3" s="80"/>
      <c r="L3" s="80"/>
      <c r="M3" s="80"/>
      <c r="N3" s="70"/>
      <c r="O3" s="18"/>
      <c r="P3" s="18"/>
    </row>
    <row r="4" spans="2:17" ht="18.5" x14ac:dyDescent="0.45">
      <c r="B4" s="81" t="s">
        <v>85</v>
      </c>
      <c r="C4" s="82"/>
      <c r="D4" s="82"/>
      <c r="E4" s="82"/>
      <c r="F4" s="82"/>
      <c r="G4" s="82"/>
      <c r="H4" s="82"/>
      <c r="I4" s="82"/>
      <c r="J4" s="82"/>
      <c r="K4" s="82"/>
      <c r="L4" s="82"/>
      <c r="M4" s="82"/>
      <c r="N4" s="70"/>
      <c r="O4" s="18"/>
      <c r="P4" s="18"/>
    </row>
    <row r="5" spans="2:17" x14ac:dyDescent="0.35">
      <c r="B5" s="83" t="s">
        <v>188</v>
      </c>
      <c r="C5" s="80"/>
      <c r="D5" s="80"/>
      <c r="E5" s="80"/>
      <c r="F5" s="80"/>
      <c r="G5" s="80"/>
      <c r="H5" s="80"/>
      <c r="I5" s="80"/>
      <c r="J5" s="80"/>
      <c r="K5" s="80"/>
      <c r="L5" s="80"/>
      <c r="M5" s="80"/>
      <c r="N5" s="70"/>
      <c r="O5" s="18"/>
      <c r="P5" s="289" t="s">
        <v>291</v>
      </c>
    </row>
    <row r="6" spans="2:17" x14ac:dyDescent="0.35">
      <c r="B6" s="84" t="s">
        <v>349</v>
      </c>
      <c r="C6" s="85"/>
      <c r="D6" s="85"/>
      <c r="E6" s="85"/>
      <c r="F6" s="85"/>
      <c r="G6" s="85"/>
      <c r="H6" s="85"/>
      <c r="I6" s="85"/>
      <c r="J6" s="85"/>
      <c r="K6" s="85"/>
      <c r="L6" s="85"/>
      <c r="M6" s="85"/>
      <c r="N6" s="70"/>
      <c r="O6" s="18"/>
      <c r="P6" s="18"/>
    </row>
    <row r="7" spans="2:17" x14ac:dyDescent="0.35">
      <c r="B7" s="86"/>
      <c r="C7" s="85"/>
      <c r="D7" s="85"/>
      <c r="E7" s="85"/>
      <c r="F7" s="85"/>
      <c r="G7" s="85"/>
      <c r="H7" s="85"/>
      <c r="I7" s="85"/>
      <c r="J7" s="85"/>
      <c r="K7" s="85"/>
      <c r="L7" s="85"/>
      <c r="M7" s="85"/>
      <c r="N7" s="70"/>
      <c r="O7" s="18"/>
      <c r="P7" s="18"/>
    </row>
    <row r="8" spans="2:17" x14ac:dyDescent="0.35">
      <c r="B8" s="87"/>
      <c r="C8" s="88"/>
      <c r="D8" s="89"/>
      <c r="E8" s="88"/>
      <c r="F8" s="90"/>
      <c r="G8" s="88"/>
      <c r="H8" s="90"/>
      <c r="I8" s="88"/>
      <c r="J8" s="90"/>
      <c r="K8" s="88"/>
      <c r="L8" s="90"/>
      <c r="M8" s="89"/>
      <c r="N8" s="78"/>
      <c r="O8" s="18"/>
      <c r="P8" s="18"/>
    </row>
    <row r="9" spans="2:17" ht="16" x14ac:dyDescent="0.35">
      <c r="B9" s="91"/>
      <c r="C9" s="385" t="s">
        <v>284</v>
      </c>
      <c r="D9" s="386"/>
      <c r="E9" s="385" t="s">
        <v>285</v>
      </c>
      <c r="F9" s="386"/>
      <c r="G9" s="385" t="s">
        <v>286</v>
      </c>
      <c r="H9" s="386"/>
      <c r="I9" s="385" t="s">
        <v>287</v>
      </c>
      <c r="J9" s="386"/>
      <c r="K9" s="385" t="s">
        <v>348</v>
      </c>
      <c r="L9" s="386"/>
      <c r="M9" s="18"/>
      <c r="N9" s="70"/>
      <c r="O9" s="18"/>
      <c r="P9" s="18"/>
    </row>
    <row r="10" spans="2:17" ht="16" x14ac:dyDescent="0.35">
      <c r="B10" s="91"/>
      <c r="C10" s="92"/>
      <c r="D10" s="93" t="s">
        <v>86</v>
      </c>
      <c r="E10" s="94"/>
      <c r="F10" s="93" t="s">
        <v>86</v>
      </c>
      <c r="G10" s="94"/>
      <c r="H10" s="93" t="s">
        <v>86</v>
      </c>
      <c r="I10" s="94"/>
      <c r="J10" s="93" t="s">
        <v>86</v>
      </c>
      <c r="K10" s="94"/>
      <c r="L10" s="93" t="s">
        <v>86</v>
      </c>
      <c r="M10" s="18"/>
      <c r="N10" s="70"/>
      <c r="O10" s="18"/>
      <c r="P10" s="18"/>
    </row>
    <row r="11" spans="2:17" ht="17" x14ac:dyDescent="0.5">
      <c r="B11" s="91"/>
      <c r="C11" s="92" t="s">
        <v>87</v>
      </c>
      <c r="D11" s="95" t="s">
        <v>88</v>
      </c>
      <c r="E11" s="92" t="s">
        <v>87</v>
      </c>
      <c r="F11" s="95" t="s">
        <v>88</v>
      </c>
      <c r="G11" s="92" t="s">
        <v>87</v>
      </c>
      <c r="H11" s="95" t="s">
        <v>88</v>
      </c>
      <c r="I11" s="92" t="s">
        <v>87</v>
      </c>
      <c r="J11" s="95" t="s">
        <v>88</v>
      </c>
      <c r="K11" s="92" t="s">
        <v>87</v>
      </c>
      <c r="L11" s="95" t="s">
        <v>88</v>
      </c>
      <c r="M11" s="96" t="s">
        <v>62</v>
      </c>
      <c r="N11" s="70"/>
      <c r="O11" s="18"/>
      <c r="P11" s="287" t="s">
        <v>288</v>
      </c>
      <c r="Q11" s="288" t="s">
        <v>289</v>
      </c>
    </row>
    <row r="12" spans="2:17" x14ac:dyDescent="0.35">
      <c r="B12" s="97"/>
      <c r="C12" s="98"/>
      <c r="D12" s="100"/>
      <c r="E12" s="98"/>
      <c r="F12" s="100"/>
      <c r="G12" s="98"/>
      <c r="H12" s="100"/>
      <c r="I12" s="98"/>
      <c r="J12" s="100"/>
      <c r="L12" s="317"/>
      <c r="M12" s="101"/>
      <c r="N12" s="70"/>
      <c r="O12" s="18"/>
      <c r="P12" s="18"/>
    </row>
    <row r="13" spans="2:17" x14ac:dyDescent="0.35">
      <c r="B13" s="97" t="s">
        <v>210</v>
      </c>
      <c r="C13" s="98">
        <v>7000</v>
      </c>
      <c r="D13" s="100">
        <v>1925</v>
      </c>
      <c r="E13" s="98">
        <v>7500</v>
      </c>
      <c r="F13" s="100">
        <v>1575</v>
      </c>
      <c r="G13" s="98">
        <v>7500</v>
      </c>
      <c r="H13" s="100">
        <v>1200</v>
      </c>
      <c r="I13" s="98">
        <v>8000</v>
      </c>
      <c r="J13" s="100">
        <v>825</v>
      </c>
      <c r="K13" s="321">
        <v>8500</v>
      </c>
      <c r="L13" s="322">
        <v>425</v>
      </c>
      <c r="M13" s="101">
        <f t="shared" ref="M13:M19" si="0">SUM(C13:L13)</f>
        <v>44450</v>
      </c>
      <c r="N13" s="70"/>
      <c r="O13" s="18"/>
      <c r="P13" s="18"/>
    </row>
    <row r="14" spans="2:17" x14ac:dyDescent="0.35">
      <c r="B14" s="97" t="s">
        <v>212</v>
      </c>
      <c r="C14" s="98">
        <v>15000</v>
      </c>
      <c r="D14" s="99">
        <v>5535</v>
      </c>
      <c r="E14" s="98">
        <v>15500</v>
      </c>
      <c r="F14" s="99">
        <v>4860</v>
      </c>
      <c r="G14" s="98">
        <v>16500</v>
      </c>
      <c r="H14" s="99">
        <v>4163</v>
      </c>
      <c r="I14" s="98">
        <v>17500</v>
      </c>
      <c r="J14" s="100">
        <v>3420</v>
      </c>
      <c r="K14" s="321">
        <v>18500</v>
      </c>
      <c r="L14" s="322">
        <v>2633</v>
      </c>
      <c r="M14" s="101">
        <f t="shared" si="0"/>
        <v>103611</v>
      </c>
      <c r="N14" s="70"/>
      <c r="O14" s="18"/>
      <c r="P14" s="18"/>
    </row>
    <row r="15" spans="2:17" x14ac:dyDescent="0.35">
      <c r="B15" s="97" t="s">
        <v>215</v>
      </c>
      <c r="C15" s="98">
        <v>4000</v>
      </c>
      <c r="D15" s="99">
        <v>1444</v>
      </c>
      <c r="E15" s="98">
        <v>4200</v>
      </c>
      <c r="F15" s="99">
        <v>1265</v>
      </c>
      <c r="G15" s="98">
        <v>4300</v>
      </c>
      <c r="H15" s="99">
        <v>1076</v>
      </c>
      <c r="I15" s="98">
        <v>4600</v>
      </c>
      <c r="J15" s="100">
        <v>882</v>
      </c>
      <c r="K15" s="321">
        <v>4800</v>
      </c>
      <c r="L15" s="322">
        <v>675</v>
      </c>
      <c r="M15" s="101">
        <f t="shared" si="0"/>
        <v>27242</v>
      </c>
      <c r="N15" s="70"/>
      <c r="O15" s="18"/>
      <c r="P15" s="18"/>
    </row>
    <row r="16" spans="2:17" x14ac:dyDescent="0.35">
      <c r="B16" s="97" t="s">
        <v>211</v>
      </c>
      <c r="C16" s="98">
        <v>9000</v>
      </c>
      <c r="D16" s="99">
        <v>3803</v>
      </c>
      <c r="E16" s="98">
        <v>9500</v>
      </c>
      <c r="F16" s="99">
        <v>3398</v>
      </c>
      <c r="G16" s="98">
        <v>9500</v>
      </c>
      <c r="H16" s="99">
        <v>2970</v>
      </c>
      <c r="I16" s="98">
        <v>10000</v>
      </c>
      <c r="J16" s="100">
        <v>2543</v>
      </c>
      <c r="K16" s="321">
        <v>10500</v>
      </c>
      <c r="L16" s="322">
        <v>2093</v>
      </c>
      <c r="M16" s="101">
        <f t="shared" si="0"/>
        <v>63307</v>
      </c>
      <c r="N16" s="70"/>
      <c r="O16" s="18"/>
      <c r="P16" s="18"/>
    </row>
    <row r="17" spans="2:17" x14ac:dyDescent="0.35">
      <c r="B17" s="97" t="s">
        <v>213</v>
      </c>
      <c r="C17" s="98">
        <v>8000</v>
      </c>
      <c r="D17" s="99">
        <v>3398</v>
      </c>
      <c r="E17" s="98">
        <v>8500</v>
      </c>
      <c r="F17" s="99">
        <v>3038</v>
      </c>
      <c r="G17" s="98">
        <v>9000</v>
      </c>
      <c r="H17" s="99">
        <v>2655</v>
      </c>
      <c r="I17" s="98">
        <v>9000</v>
      </c>
      <c r="J17" s="100">
        <v>2228</v>
      </c>
      <c r="K17" s="321">
        <v>9500</v>
      </c>
      <c r="L17" s="322">
        <v>1823</v>
      </c>
      <c r="M17" s="101">
        <f t="shared" si="0"/>
        <v>57142</v>
      </c>
      <c r="N17" s="70"/>
      <c r="O17" s="18"/>
      <c r="P17" s="18"/>
    </row>
    <row r="18" spans="2:17" x14ac:dyDescent="0.35">
      <c r="B18" s="97" t="s">
        <v>214</v>
      </c>
      <c r="C18" s="98">
        <v>16000</v>
      </c>
      <c r="D18" s="99">
        <v>10080</v>
      </c>
      <c r="E18" s="98">
        <v>17000</v>
      </c>
      <c r="F18" s="99">
        <v>9360</v>
      </c>
      <c r="G18" s="98">
        <v>17000</v>
      </c>
      <c r="H18" s="99">
        <v>8595</v>
      </c>
      <c r="I18" s="98">
        <v>19000</v>
      </c>
      <c r="J18" s="100">
        <v>7830</v>
      </c>
      <c r="K18" s="321">
        <v>19000</v>
      </c>
      <c r="L18" s="322">
        <v>6975</v>
      </c>
      <c r="M18" s="101">
        <f t="shared" si="0"/>
        <v>130840</v>
      </c>
      <c r="N18" s="70"/>
      <c r="O18" s="18"/>
      <c r="P18" s="18"/>
    </row>
    <row r="19" spans="2:17" x14ac:dyDescent="0.35">
      <c r="B19" s="97" t="s">
        <v>209</v>
      </c>
      <c r="C19" s="117">
        <v>11633</v>
      </c>
      <c r="D19" s="118">
        <f>504+126</f>
        <v>630</v>
      </c>
      <c r="E19" s="117">
        <v>11749</v>
      </c>
      <c r="F19" s="118">
        <f>387+97</f>
        <v>484</v>
      </c>
      <c r="G19" s="117">
        <v>11867</v>
      </c>
      <c r="H19" s="118">
        <f>269+67</f>
        <v>336</v>
      </c>
      <c r="I19" s="117">
        <v>11986</v>
      </c>
      <c r="J19" s="370">
        <f>150+38</f>
        <v>188</v>
      </c>
      <c r="K19" s="371">
        <v>6038</v>
      </c>
      <c r="L19" s="372">
        <f>30+8</f>
        <v>38</v>
      </c>
      <c r="M19" s="373">
        <f t="shared" si="0"/>
        <v>54949</v>
      </c>
      <c r="N19" s="70"/>
      <c r="O19" s="18"/>
      <c r="P19" s="18">
        <v>500000</v>
      </c>
    </row>
    <row r="20" spans="2:17" hidden="1" x14ac:dyDescent="0.35">
      <c r="B20" s="97"/>
      <c r="C20" s="98"/>
      <c r="D20" s="100"/>
      <c r="E20" s="98"/>
      <c r="F20" s="99"/>
      <c r="G20" s="98"/>
      <c r="H20" s="99"/>
      <c r="I20" s="98"/>
      <c r="J20" s="99"/>
      <c r="K20" s="98"/>
      <c r="L20" s="100"/>
      <c r="M20" s="101"/>
      <c r="N20" s="70"/>
      <c r="O20" s="18"/>
      <c r="P20" s="18"/>
    </row>
    <row r="21" spans="2:17" hidden="1" x14ac:dyDescent="0.35">
      <c r="B21" s="318"/>
      <c r="C21" s="319"/>
      <c r="D21" s="320"/>
      <c r="E21" s="98"/>
      <c r="F21" s="67"/>
      <c r="G21" s="98"/>
      <c r="H21" s="67"/>
      <c r="I21" s="98"/>
      <c r="J21" s="67"/>
      <c r="K21" s="98"/>
      <c r="L21" s="100"/>
      <c r="M21" s="101"/>
      <c r="N21" s="70"/>
      <c r="O21" s="18"/>
      <c r="P21" s="18"/>
    </row>
    <row r="22" spans="2:17" x14ac:dyDescent="0.35">
      <c r="B22" s="71" t="s">
        <v>62</v>
      </c>
      <c r="C22" s="102">
        <f>SUM(C13:C19)</f>
        <v>70633</v>
      </c>
      <c r="D22" s="102">
        <f t="shared" ref="D22:L22" si="1">SUM(D13:D19)</f>
        <v>26815</v>
      </c>
      <c r="E22" s="102">
        <f t="shared" si="1"/>
        <v>73949</v>
      </c>
      <c r="F22" s="102">
        <f t="shared" si="1"/>
        <v>23980</v>
      </c>
      <c r="G22" s="102">
        <f t="shared" si="1"/>
        <v>75667</v>
      </c>
      <c r="H22" s="102">
        <f t="shared" si="1"/>
        <v>20995</v>
      </c>
      <c r="I22" s="102">
        <f t="shared" si="1"/>
        <v>80086</v>
      </c>
      <c r="J22" s="102">
        <f t="shared" si="1"/>
        <v>17916</v>
      </c>
      <c r="K22" s="102">
        <f t="shared" si="1"/>
        <v>76838</v>
      </c>
      <c r="L22" s="323">
        <f t="shared" si="1"/>
        <v>14662</v>
      </c>
      <c r="M22" s="103">
        <f>SUM(M13:M19)</f>
        <v>481541</v>
      </c>
      <c r="N22" s="70"/>
      <c r="O22" s="18"/>
      <c r="P22" s="18"/>
      <c r="Q22" s="324"/>
    </row>
    <row r="23" spans="2:17" x14ac:dyDescent="0.35">
      <c r="B23" s="104"/>
      <c r="C23" s="105"/>
      <c r="D23" s="106"/>
      <c r="E23" s="105"/>
      <c r="F23" s="107"/>
      <c r="G23" s="105"/>
      <c r="H23" s="107"/>
      <c r="I23" s="105"/>
      <c r="J23" s="108"/>
      <c r="K23" s="105"/>
      <c r="L23" s="107"/>
      <c r="M23" s="106"/>
      <c r="N23" s="66"/>
      <c r="O23" s="18"/>
      <c r="P23" s="18"/>
    </row>
    <row r="24" spans="2:17" x14ac:dyDescent="0.35">
      <c r="B24" s="109"/>
      <c r="C24" s="110"/>
      <c r="D24" s="110"/>
      <c r="E24" s="110"/>
      <c r="F24" s="110"/>
      <c r="G24" s="110"/>
      <c r="H24" s="110"/>
      <c r="I24" s="110"/>
      <c r="J24" s="111"/>
      <c r="K24" s="111"/>
      <c r="L24" s="111"/>
      <c r="M24" s="110"/>
      <c r="N24" s="70"/>
      <c r="O24" s="18"/>
      <c r="P24" s="18"/>
    </row>
    <row r="25" spans="2:17" x14ac:dyDescent="0.35">
      <c r="B25" s="112"/>
      <c r="C25" s="113"/>
      <c r="D25" s="114"/>
      <c r="E25" s="113"/>
      <c r="F25" s="113"/>
      <c r="G25" s="113"/>
      <c r="H25" s="113"/>
      <c r="I25" s="114" t="s">
        <v>89</v>
      </c>
      <c r="J25" s="18"/>
      <c r="K25" s="115"/>
      <c r="L25" s="116"/>
      <c r="M25" s="113">
        <f>M22/5</f>
        <v>96308.2</v>
      </c>
      <c r="N25" s="70"/>
      <c r="O25" s="18"/>
      <c r="P25" s="18"/>
    </row>
    <row r="26" spans="2:17" x14ac:dyDescent="0.35">
      <c r="B26" s="20"/>
      <c r="C26" s="114"/>
      <c r="D26" s="18"/>
      <c r="E26" s="114"/>
      <c r="F26" s="114"/>
      <c r="G26" s="114"/>
      <c r="H26" s="114"/>
      <c r="I26" s="114"/>
      <c r="J26" s="18"/>
      <c r="K26" s="23"/>
      <c r="L26" s="115"/>
      <c r="M26" s="29"/>
      <c r="N26" s="70"/>
      <c r="O26" s="18"/>
      <c r="P26" s="18"/>
    </row>
    <row r="27" spans="2:17" x14ac:dyDescent="0.35">
      <c r="B27" s="112"/>
      <c r="C27" s="114"/>
      <c r="D27" s="114"/>
      <c r="E27" s="114"/>
      <c r="F27" s="114"/>
      <c r="G27" s="114"/>
      <c r="H27" s="114"/>
      <c r="I27" s="114" t="s">
        <v>90</v>
      </c>
      <c r="J27" s="18"/>
      <c r="K27" s="115"/>
      <c r="L27" s="114"/>
      <c r="M27" s="113">
        <f>M25*0.2</f>
        <v>19261.64</v>
      </c>
      <c r="N27" s="70"/>
      <c r="O27" s="18"/>
      <c r="P27" s="18">
        <f>M27+M25</f>
        <v>115569.84</v>
      </c>
    </row>
    <row r="28" spans="2:17" x14ac:dyDescent="0.35">
      <c r="B28" s="112"/>
      <c r="C28" s="114"/>
      <c r="D28" s="114"/>
      <c r="E28" s="114"/>
      <c r="F28" s="114"/>
      <c r="G28" s="114"/>
      <c r="H28" s="114"/>
      <c r="I28" s="114"/>
      <c r="J28" s="18"/>
      <c r="K28" s="115"/>
      <c r="L28" s="114"/>
      <c r="M28" s="113"/>
      <c r="N28" s="70"/>
      <c r="O28" s="18"/>
      <c r="P28" s="18"/>
    </row>
    <row r="29" spans="2:17" x14ac:dyDescent="0.35">
      <c r="B29" s="112"/>
      <c r="C29" s="114"/>
      <c r="D29" s="114"/>
      <c r="E29" s="114"/>
      <c r="F29" s="114"/>
      <c r="G29" s="114"/>
      <c r="H29" s="114"/>
      <c r="I29" s="114" t="s">
        <v>394</v>
      </c>
      <c r="J29" s="18"/>
      <c r="K29" s="115"/>
      <c r="L29" s="114"/>
      <c r="M29" s="113">
        <f>(D22+F22+H22+J22+L22)/5</f>
        <v>20873.599999999999</v>
      </c>
      <c r="N29" s="70"/>
      <c r="O29" s="18"/>
      <c r="P29" s="18"/>
    </row>
    <row r="30" spans="2:17" x14ac:dyDescent="0.35">
      <c r="B30" s="117"/>
      <c r="C30" s="118"/>
      <c r="D30" s="118"/>
      <c r="E30" s="118"/>
      <c r="F30" s="118" t="s">
        <v>153</v>
      </c>
      <c r="G30" s="118"/>
      <c r="H30" s="118"/>
      <c r="I30" s="118"/>
      <c r="J30" s="118"/>
      <c r="K30" s="118"/>
      <c r="L30" s="118"/>
      <c r="M30" s="118"/>
      <c r="N30" s="66"/>
      <c r="O30" s="18"/>
      <c r="P30" s="18"/>
    </row>
    <row r="31" spans="2:17" x14ac:dyDescent="0.35">
      <c r="B31" s="1"/>
      <c r="C31" s="1"/>
      <c r="D31" s="1"/>
      <c r="E31" s="1"/>
      <c r="F31" s="1"/>
      <c r="G31" s="1"/>
      <c r="H31" s="1"/>
      <c r="I31" s="1"/>
      <c r="J31" s="1"/>
      <c r="K31" s="1"/>
      <c r="L31" s="1"/>
      <c r="M31" s="1"/>
    </row>
    <row r="32" spans="2:17" x14ac:dyDescent="0.35">
      <c r="B32" s="1"/>
      <c r="C32" s="1"/>
      <c r="D32" s="1"/>
      <c r="E32" s="1"/>
      <c r="F32" s="1"/>
      <c r="G32" s="1"/>
      <c r="H32" s="1"/>
      <c r="I32" s="1"/>
      <c r="J32" s="1"/>
      <c r="K32" s="1"/>
      <c r="L32" s="1"/>
      <c r="M32" s="1"/>
    </row>
    <row r="33" spans="2:13" x14ac:dyDescent="0.35">
      <c r="B33" s="1" t="s">
        <v>221</v>
      </c>
      <c r="C33" s="1"/>
      <c r="D33" s="2">
        <f>D22</f>
        <v>26815</v>
      </c>
      <c r="E33" s="2"/>
      <c r="F33" s="2">
        <f t="shared" ref="F33:L33" si="2">F22</f>
        <v>23980</v>
      </c>
      <c r="G33" s="2"/>
      <c r="H33" s="2">
        <f t="shared" si="2"/>
        <v>20995</v>
      </c>
      <c r="I33" s="2"/>
      <c r="J33" s="2">
        <f t="shared" si="2"/>
        <v>17916</v>
      </c>
      <c r="K33" s="2"/>
      <c r="L33" s="2">
        <f t="shared" si="2"/>
        <v>14662</v>
      </c>
      <c r="M33" s="2">
        <f>D33+F33+H33+J33+L33</f>
        <v>104368</v>
      </c>
    </row>
    <row r="34" spans="2:13" x14ac:dyDescent="0.35">
      <c r="B34" s="1"/>
      <c r="C34" s="1"/>
      <c r="D34" s="1"/>
      <c r="E34" s="1"/>
      <c r="F34" s="1"/>
      <c r="G34" s="1"/>
      <c r="H34" s="1"/>
      <c r="I34" s="1"/>
      <c r="J34" s="1"/>
      <c r="K34" s="1"/>
      <c r="L34" s="1"/>
      <c r="M34" s="1"/>
    </row>
    <row r="35" spans="2:13" x14ac:dyDescent="0.35">
      <c r="B35" s="1" t="s">
        <v>322</v>
      </c>
      <c r="C35" s="1"/>
      <c r="D35" s="1"/>
      <c r="E35" s="1"/>
      <c r="F35" s="1"/>
      <c r="G35" s="1"/>
      <c r="H35" s="1"/>
      <c r="I35" s="1"/>
      <c r="J35" s="1"/>
      <c r="K35" s="1"/>
      <c r="L35" s="1"/>
      <c r="M35" s="2">
        <f>M33/5</f>
        <v>20873.599999999999</v>
      </c>
    </row>
    <row r="36" spans="2:13" x14ac:dyDescent="0.35">
      <c r="B36" s="1"/>
      <c r="C36" s="1"/>
      <c r="D36" s="1"/>
      <c r="E36" s="1"/>
      <c r="F36" s="1"/>
      <c r="G36" s="1"/>
      <c r="H36" s="1"/>
      <c r="I36" s="1"/>
      <c r="J36" s="1"/>
      <c r="K36" s="1"/>
      <c r="L36" s="1"/>
      <c r="M36" s="1"/>
    </row>
    <row r="37" spans="2:13" x14ac:dyDescent="0.35">
      <c r="B37" s="1"/>
      <c r="C37" s="1"/>
      <c r="D37" s="1"/>
      <c r="E37" s="1"/>
      <c r="F37" s="1"/>
      <c r="G37" s="1"/>
      <c r="H37" s="1"/>
      <c r="I37" s="1"/>
      <c r="J37" s="1"/>
      <c r="K37" s="1"/>
      <c r="L37" s="1"/>
      <c r="M37" s="1"/>
    </row>
    <row r="38" spans="2:13" x14ac:dyDescent="0.35">
      <c r="B38" s="1"/>
      <c r="C38" s="1"/>
      <c r="D38" s="1"/>
      <c r="E38" s="1"/>
      <c r="F38" s="1"/>
      <c r="G38" s="1"/>
      <c r="H38" s="1"/>
      <c r="I38" s="1"/>
      <c r="J38" s="1"/>
      <c r="K38" s="1"/>
      <c r="L38" s="1"/>
      <c r="M38" s="1"/>
    </row>
    <row r="39" spans="2:13" x14ac:dyDescent="0.35">
      <c r="B39" s="1"/>
      <c r="C39" s="1"/>
      <c r="D39" s="1"/>
      <c r="E39" s="1"/>
      <c r="F39" s="1"/>
      <c r="G39" s="1"/>
      <c r="H39" s="1"/>
      <c r="I39" s="1"/>
      <c r="J39" s="1"/>
      <c r="K39" s="1"/>
      <c r="L39" s="1"/>
      <c r="M39" s="1"/>
    </row>
    <row r="40" spans="2:13" x14ac:dyDescent="0.35">
      <c r="B40" s="1"/>
      <c r="C40" s="1"/>
      <c r="D40" s="1"/>
      <c r="E40" s="1"/>
      <c r="F40" s="1"/>
      <c r="G40" s="1"/>
      <c r="H40" s="1"/>
      <c r="I40" s="1"/>
      <c r="J40" s="1"/>
      <c r="K40" s="1"/>
      <c r="L40" s="1"/>
      <c r="M40" s="1"/>
    </row>
    <row r="41" spans="2:13" x14ac:dyDescent="0.35">
      <c r="B41" s="1"/>
      <c r="C41" s="1"/>
      <c r="D41" s="1"/>
      <c r="E41" s="1"/>
      <c r="F41" s="1"/>
      <c r="G41" s="1"/>
      <c r="H41" s="1"/>
      <c r="I41" s="1"/>
      <c r="J41" s="1"/>
      <c r="K41" s="1"/>
      <c r="L41" s="1"/>
      <c r="M41" s="1"/>
    </row>
    <row r="42" spans="2:13" x14ac:dyDescent="0.35">
      <c r="B42" s="1"/>
      <c r="C42" s="1"/>
      <c r="D42" s="1"/>
      <c r="E42" s="1"/>
      <c r="F42" s="1"/>
      <c r="G42" s="1"/>
      <c r="H42" s="1"/>
      <c r="I42" s="1"/>
      <c r="J42" s="1"/>
      <c r="K42" s="1"/>
      <c r="L42" s="1"/>
      <c r="M42" s="1"/>
    </row>
    <row r="43" spans="2:13" x14ac:dyDescent="0.35">
      <c r="B43" s="1"/>
      <c r="C43" s="1"/>
      <c r="D43" s="1"/>
      <c r="E43" s="1"/>
      <c r="F43" s="1"/>
      <c r="G43" s="1"/>
      <c r="H43" s="1"/>
      <c r="I43" s="1"/>
      <c r="J43" s="1"/>
      <c r="K43" s="1"/>
      <c r="L43" s="1"/>
      <c r="M43" s="1"/>
    </row>
    <row r="44" spans="2:13" x14ac:dyDescent="0.35">
      <c r="B44" s="1"/>
      <c r="C44" s="1"/>
      <c r="D44" s="1"/>
      <c r="E44" s="1"/>
      <c r="F44" s="1"/>
      <c r="G44" s="1"/>
      <c r="H44" s="1"/>
      <c r="I44" s="1"/>
      <c r="J44" s="1"/>
      <c r="K44" s="1"/>
      <c r="L44" s="1"/>
      <c r="M44" s="1"/>
    </row>
    <row r="45" spans="2:13" x14ac:dyDescent="0.35">
      <c r="B45" s="1"/>
      <c r="C45" s="1"/>
      <c r="D45" s="1"/>
      <c r="E45" s="1"/>
      <c r="F45" s="1"/>
      <c r="G45" s="1"/>
      <c r="H45" s="1"/>
      <c r="I45" s="1"/>
      <c r="J45" s="1"/>
      <c r="K45" s="1"/>
      <c r="L45" s="1"/>
      <c r="M45" s="1"/>
    </row>
    <row r="46" spans="2:13" x14ac:dyDescent="0.35">
      <c r="B46" s="1"/>
      <c r="C46" s="1"/>
      <c r="D46" s="1"/>
      <c r="E46" s="1"/>
      <c r="F46" s="1"/>
      <c r="G46" s="1"/>
      <c r="H46" s="1"/>
      <c r="I46" s="1"/>
      <c r="J46" s="1"/>
      <c r="K46" s="1"/>
      <c r="L46" s="1"/>
      <c r="M46" s="1"/>
    </row>
    <row r="47" spans="2:13" x14ac:dyDescent="0.35">
      <c r="B47" s="1"/>
      <c r="C47" s="1"/>
      <c r="D47" s="1"/>
      <c r="E47" s="1"/>
      <c r="F47" s="1"/>
      <c r="G47" s="1"/>
      <c r="H47" s="1"/>
      <c r="I47" s="1"/>
      <c r="J47" s="1"/>
      <c r="K47" s="1"/>
      <c r="L47" s="1"/>
      <c r="M47" s="1"/>
    </row>
    <row r="48" spans="2:13" x14ac:dyDescent="0.35">
      <c r="B48" s="1"/>
      <c r="C48" s="1"/>
      <c r="D48" s="1"/>
      <c r="E48" s="1"/>
      <c r="F48" s="1"/>
      <c r="G48" s="1"/>
      <c r="H48" s="1"/>
      <c r="I48" s="1"/>
      <c r="J48" s="1"/>
      <c r="K48" s="1"/>
      <c r="L48" s="1"/>
      <c r="M48" s="1"/>
    </row>
    <row r="49" spans="2:13" x14ac:dyDescent="0.35">
      <c r="B49" s="1"/>
      <c r="C49" s="1"/>
      <c r="D49" s="1"/>
      <c r="E49" s="1"/>
      <c r="F49" s="1"/>
      <c r="G49" s="1"/>
      <c r="H49" s="1"/>
      <c r="I49" s="1"/>
      <c r="J49" s="1"/>
      <c r="K49" s="1"/>
      <c r="L49" s="1"/>
      <c r="M49" s="1"/>
    </row>
  </sheetData>
  <mergeCells count="5">
    <mergeCell ref="C9:D9"/>
    <mergeCell ref="E9:F9"/>
    <mergeCell ref="G9:H9"/>
    <mergeCell ref="I9:J9"/>
    <mergeCell ref="K9:L9"/>
  </mergeCells>
  <printOptions horizontalCentered="1" verticalCentered="1"/>
  <pageMargins left="0.7" right="0.7" top="0.75" bottom="0.75" header="0.3" footer="0.3"/>
  <pageSetup scale="76"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7B32F-4CA1-4F84-B54A-FE6CF749D13D}">
  <sheetPr>
    <tabColor rgb="FF92D050"/>
  </sheetPr>
  <dimension ref="A1:G6"/>
  <sheetViews>
    <sheetView workbookViewId="0">
      <selection activeCell="C10" sqref="C10"/>
    </sheetView>
  </sheetViews>
  <sheetFormatPr defaultRowHeight="15.5" x14ac:dyDescent="0.35"/>
  <cols>
    <col min="1" max="1" width="11.23046875" customWidth="1"/>
  </cols>
  <sheetData>
    <row r="1" spans="1:7" x14ac:dyDescent="0.35">
      <c r="A1" s="1" t="s">
        <v>186</v>
      </c>
      <c r="B1" s="1"/>
      <c r="C1" s="1"/>
      <c r="D1" s="1"/>
    </row>
    <row r="2" spans="1:7" x14ac:dyDescent="0.35">
      <c r="A2" s="1"/>
      <c r="B2" s="1" t="s">
        <v>396</v>
      </c>
      <c r="C2" s="1"/>
      <c r="D2" s="1"/>
      <c r="G2" t="s">
        <v>397</v>
      </c>
    </row>
    <row r="3" spans="1:7" x14ac:dyDescent="0.35">
      <c r="A3" s="1" t="s">
        <v>140</v>
      </c>
      <c r="B3" s="1"/>
      <c r="C3" s="290">
        <v>10000</v>
      </c>
      <c r="D3" s="1"/>
    </row>
    <row r="4" spans="1:7" x14ac:dyDescent="0.35">
      <c r="A4" s="1"/>
      <c r="B4" s="1"/>
      <c r="C4" s="1"/>
      <c r="D4" s="1"/>
    </row>
    <row r="5" spans="1:7" x14ac:dyDescent="0.35">
      <c r="A5" s="1" t="s">
        <v>243</v>
      </c>
      <c r="B5" s="150">
        <v>0.3</v>
      </c>
      <c r="C5" s="149">
        <f>B5*C3</f>
        <v>3000</v>
      </c>
      <c r="D5" s="1"/>
    </row>
    <row r="6" spans="1:7" x14ac:dyDescent="0.35">
      <c r="A6" s="1" t="s">
        <v>139</v>
      </c>
      <c r="B6" s="150">
        <v>0.7</v>
      </c>
      <c r="C6" s="149">
        <f>B6*C3</f>
        <v>7000</v>
      </c>
      <c r="D6" s="1"/>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SAO</vt:lpstr>
      <vt:lpstr>References</vt:lpstr>
      <vt:lpstr>Revenue Requirement</vt:lpstr>
      <vt:lpstr>Wages</vt:lpstr>
      <vt:lpstr>Pur Water</vt:lpstr>
      <vt:lpstr>Medical</vt:lpstr>
      <vt:lpstr>Depreciation</vt:lpstr>
      <vt:lpstr>Debt Service</vt:lpstr>
      <vt:lpstr>Capital</vt:lpstr>
      <vt:lpstr>Water Loss</vt:lpstr>
      <vt:lpstr>Rates ORM</vt:lpstr>
      <vt:lpstr>Bills OR</vt:lpstr>
      <vt:lpstr>Bills with Surcharge OR</vt:lpstr>
      <vt:lpstr>ExBA</vt:lpstr>
      <vt:lpstr>PrBA</vt:lpstr>
      <vt:lpstr>'Bills OR'!Print_Area</vt:lpstr>
      <vt:lpstr>'Bills with Surcharge OR'!Print_Area</vt:lpstr>
      <vt:lpstr>'Debt Service'!Print_Area</vt:lpstr>
      <vt:lpstr>Depreciation!Print_Area</vt:lpstr>
      <vt:lpstr>ExBA!Print_Area</vt:lpstr>
      <vt:lpstr>'Rates ORM'!Print_Area</vt:lpstr>
      <vt:lpstr>'Revenue Requirement'!Print_Area</vt:lpstr>
      <vt:lpstr>SAO!Print_Area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dc:creator>
  <cp:lastModifiedBy>Janet Reid</cp:lastModifiedBy>
  <cp:lastPrinted>2022-08-12T21:00:33Z</cp:lastPrinted>
  <dcterms:created xsi:type="dcterms:W3CDTF">2016-05-18T14:12:06Z</dcterms:created>
  <dcterms:modified xsi:type="dcterms:W3CDTF">2026-02-22T20:46:08Z</dcterms:modified>
</cp:coreProperties>
</file>