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B:\CKY\02 Gas Cost Related Filings\EGC\2026\03-2026\Filing\"/>
    </mc:Choice>
  </mc:AlternateContent>
  <xr:revisionPtr revIDLastSave="0" documentId="13_ncr:1_{E5E10E7A-61A2-40FD-80F6-51C24A4E24BE}" xr6:coauthVersionLast="47" xr6:coauthVersionMax="47" xr10:uidLastSave="{00000000-0000-0000-0000-000000000000}"/>
  <bookViews>
    <workbookView xWindow="-28910" yWindow="-110" windowWidth="29020" windowHeight="15820" tabRatio="913"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2" r:id="rId10"/>
    <sheet name="StoCommCost" sheetId="31" r:id="rId11"/>
    <sheet name="detail TariffSplit" sheetId="25"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s>
  <definedNames>
    <definedName name="_Key1" localSheetId="12" hidden="1">[1]Summ!#REF!</definedName>
    <definedName name="_Key1" hidden="1">Summ!#REF!</definedName>
    <definedName name="_Order1" hidden="1">255</definedName>
    <definedName name="_Regression_Int" localSheetId="0" hidden="1">1</definedName>
    <definedName name="_Sort" localSheetId="12" hidden="1">[1]Summ!#REF!</definedName>
    <definedName name="_Sort" hidden="1">Summ!#REF!</definedName>
    <definedName name="AnnualPeriod" localSheetId="12">#REF!</definedName>
    <definedName name="AnnualPeriod">#REF!</definedName>
    <definedName name="BTU" localSheetId="12">#REF!</definedName>
    <definedName name="BTU">#REF!</definedName>
    <definedName name="COST">Summ!$A$31:$G$68</definedName>
    <definedName name="FirstMonth" localSheetId="12">#REF!</definedName>
    <definedName name="FirstMonth">#REF!</definedName>
    <definedName name="LAUF" localSheetId="12">#REF!</definedName>
    <definedName name="LAUF">#REF!</definedName>
    <definedName name="OLE_LINK1" localSheetId="12">'Page 5 DO NOT FILE'!$B$2</definedName>
    <definedName name="Period" localSheetId="12">#REF!</definedName>
    <definedName name="Period">#REF!</definedName>
    <definedName name="PGACOMP">Summ!$A$1:$G$30</definedName>
    <definedName name="_xlnm.Print_Area" localSheetId="1">'1 EGC'!$A:$K</definedName>
    <definedName name="_xlnm.Print_Area" localSheetId="2">'2 UnitDemCost'!$A$1:$G$32</definedName>
    <definedName name="_xlnm.Print_Area" localSheetId="3">'3 DemCost'!$A:$L</definedName>
    <definedName name="_xlnm.Print_Area" localSheetId="5">'5 NonApp'!$A$1:$M$23</definedName>
    <definedName name="_xlnm.Print_Area" localSheetId="6">'6 App'!$A$1:$G$17</definedName>
    <definedName name="_xlnm.Print_Area" localSheetId="7">'7 AnnRet'!$A$1:$J$35</definedName>
    <definedName name="_xlnm.Print_Area" localSheetId="8">'8 BankBal'!$A$1:$H$55</definedName>
    <definedName name="_xlnm.Print_Area" localSheetId="9">'AttE ChoBalCharge'!$A$1:$L$39</definedName>
    <definedName name="_xlnm.Print_Area" localSheetId="11">'detail TariffSplit'!$A$1:$D$39</definedName>
    <definedName name="_xlnm.Print_Area" localSheetId="0">Summ!$A$1:$H$69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7" l="1"/>
  <c r="F52" i="17" l="1"/>
  <c r="B37" i="25"/>
  <c r="C21" i="25"/>
  <c r="C37" i="25" s="1"/>
  <c r="C19" i="25"/>
  <c r="D54" i="17" l="1"/>
  <c r="F43" i="17"/>
  <c r="C11" i="25" l="1"/>
  <c r="D14" i="31" l="1"/>
  <c r="F39" i="30" l="1"/>
  <c r="C35" i="25" l="1"/>
  <c r="E27" i="11" l="1"/>
  <c r="F33" i="30" l="1"/>
  <c r="K32" i="10" l="1"/>
  <c r="E14" i="17" l="1"/>
  <c r="G54" i="17"/>
  <c r="A22" i="10" l="1"/>
  <c r="K18" i="10"/>
  <c r="K16" i="10"/>
  <c r="C17" i="11" l="1"/>
  <c r="K36" i="10" l="1"/>
  <c r="K26" i="10"/>
  <c r="E18" i="17" l="1"/>
  <c r="G14" i="17" l="1"/>
  <c r="D10" i="17" l="1"/>
  <c r="D22" i="17" s="1"/>
  <c r="A23" i="32" l="1"/>
  <c r="A19" i="32"/>
  <c r="A15" i="32"/>
  <c r="A11" i="10"/>
  <c r="A16" i="10" s="1"/>
  <c r="A24" i="10" s="1"/>
  <c r="A16" i="11"/>
  <c r="A17" i="11" s="1"/>
  <c r="A19" i="11" s="1"/>
  <c r="A21" i="11" s="1"/>
  <c r="A23" i="11" s="1"/>
  <c r="A25" i="11" s="1"/>
  <c r="A27" i="11" s="1"/>
  <c r="A29" i="11" s="1"/>
  <c r="A26" i="10" l="1"/>
  <c r="A28" i="10" s="1"/>
  <c r="A32" i="10" s="1"/>
  <c r="A36" i="10" l="1"/>
  <c r="A38" i="10" s="1"/>
  <c r="C15" i="32" l="1"/>
  <c r="K11" i="10"/>
  <c r="H23" i="34" l="1"/>
  <c r="H22" i="34"/>
  <c r="H21" i="34"/>
  <c r="H33" i="33"/>
  <c r="H22" i="33"/>
  <c r="H14" i="33"/>
  <c r="H9" i="33"/>
  <c r="B38" i="25"/>
  <c r="B36" i="25"/>
  <c r="B35" i="25"/>
  <c r="C22" i="25"/>
  <c r="C38" i="25" s="1"/>
  <c r="D19" i="31"/>
  <c r="D18" i="31"/>
  <c r="D9" i="31"/>
  <c r="I24" i="32"/>
  <c r="G24" i="32"/>
  <c r="F24" i="32"/>
  <c r="G23" i="32"/>
  <c r="F23" i="32"/>
  <c r="A16" i="32"/>
  <c r="A17" i="32" s="1"/>
  <c r="A18" i="32" s="1"/>
  <c r="A24" i="32" s="1"/>
  <c r="A26" i="32" s="1"/>
  <c r="A28" i="32" s="1"/>
  <c r="A32" i="32" s="1"/>
  <c r="A33" i="32" s="1"/>
  <c r="A34" i="32" s="1"/>
  <c r="A36" i="32" s="1"/>
  <c r="G51" i="30"/>
  <c r="F27" i="30"/>
  <c r="D16" i="30"/>
  <c r="F34" i="30" s="1"/>
  <c r="A18" i="28"/>
  <c r="A19" i="28" s="1"/>
  <c r="A21" i="28" s="1"/>
  <c r="A22" i="28" s="1"/>
  <c r="A23" i="28" s="1"/>
  <c r="A24" i="28" s="1"/>
  <c r="A27" i="28" s="1"/>
  <c r="A30" i="28" s="1"/>
  <c r="A31" i="28" s="1"/>
  <c r="A34" i="28" s="1"/>
  <c r="A14" i="15"/>
  <c r="A15" i="15" s="1"/>
  <c r="A19" i="19"/>
  <c r="A18" i="19"/>
  <c r="D17" i="11"/>
  <c r="E17" i="11" s="1"/>
  <c r="D16" i="11"/>
  <c r="C16" i="11"/>
  <c r="K24" i="10"/>
  <c r="K22" i="10"/>
  <c r="K10" i="10"/>
  <c r="A4" i="11"/>
  <c r="A3" i="28"/>
  <c r="A52" i="17"/>
  <c r="A54" i="17" s="1"/>
  <c r="A56" i="17" s="1"/>
  <c r="A58" i="17" s="1"/>
  <c r="A59" i="17" s="1"/>
  <c r="A61" i="17" s="1"/>
  <c r="A62" i="17" s="1"/>
  <c r="G18" i="17"/>
  <c r="E20" i="17"/>
  <c r="G20" i="17" s="1"/>
  <c r="E12" i="17"/>
  <c r="C12" i="25" s="1"/>
  <c r="K28" i="10" l="1"/>
  <c r="K38" i="10" s="1"/>
  <c r="D29" i="31"/>
  <c r="D28" i="31"/>
  <c r="G16" i="17"/>
  <c r="F41" i="30"/>
  <c r="D25" i="31"/>
  <c r="H16" i="4" s="1"/>
  <c r="F28" i="30"/>
  <c r="H21" i="28"/>
  <c r="H23" i="28" s="1"/>
  <c r="G12" i="17"/>
  <c r="D18" i="30"/>
  <c r="F21" i="28"/>
  <c r="F23" i="28" s="1"/>
  <c r="E16" i="11"/>
  <c r="E19" i="11" s="1"/>
  <c r="E23" i="11" s="1"/>
  <c r="C20" i="25"/>
  <c r="C36" i="25" s="1"/>
  <c r="C39" i="25" s="1"/>
  <c r="D17" i="15"/>
  <c r="J28" i="4" s="1"/>
  <c r="J27" i="28"/>
  <c r="E29" i="4"/>
  <c r="C17" i="15"/>
  <c r="E28" i="4" s="1"/>
  <c r="C21" i="19"/>
  <c r="G21" i="28"/>
  <c r="G23" i="28" s="1"/>
  <c r="A3" i="29"/>
  <c r="A3" i="15"/>
  <c r="A5" i="32"/>
  <c r="A3" i="19"/>
  <c r="C16" i="32"/>
  <c r="C19" i="32" s="1"/>
  <c r="D20" i="30" l="1"/>
  <c r="F23" i="30" s="1"/>
  <c r="F24" i="29"/>
  <c r="F28" i="29" s="1"/>
  <c r="J13" i="4"/>
  <c r="C31" i="35"/>
  <c r="E21" i="19"/>
  <c r="G21" i="19" s="1"/>
  <c r="D10" i="31"/>
  <c r="D30" i="31" s="1"/>
  <c r="K19" i="19"/>
  <c r="J14" i="4"/>
  <c r="K18" i="19"/>
  <c r="J18" i="28"/>
  <c r="E21" i="28"/>
  <c r="H24" i="32"/>
  <c r="K24" i="32" s="1"/>
  <c r="H23" i="32"/>
  <c r="K23" i="32" s="1"/>
  <c r="G35" i="30" l="1"/>
  <c r="G29" i="30"/>
  <c r="G42" i="30"/>
  <c r="F30" i="29"/>
  <c r="D15" i="31"/>
  <c r="D32" i="31" s="1"/>
  <c r="J16" i="4"/>
  <c r="I21" i="19"/>
  <c r="J14" i="28"/>
  <c r="D31" i="31"/>
  <c r="E23" i="28"/>
  <c r="J21" i="28"/>
  <c r="K26" i="32"/>
  <c r="L28" i="32" s="1"/>
  <c r="L33" i="32" s="1"/>
  <c r="G45" i="30" l="1"/>
  <c r="G53" i="30" s="1"/>
  <c r="E33" i="34" s="1"/>
  <c r="E39" i="34" s="1"/>
  <c r="H39" i="34" s="1"/>
  <c r="J13" i="28"/>
  <c r="J15" i="28" s="1"/>
  <c r="G30" i="28" s="1"/>
  <c r="D33" i="31"/>
  <c r="D36" i="31"/>
  <c r="F14" i="29"/>
  <c r="E19" i="4"/>
  <c r="E21" i="4" s="1"/>
  <c r="J20" i="4"/>
  <c r="J21" i="4" s="1"/>
  <c r="K17" i="19"/>
  <c r="K21" i="19" s="1"/>
  <c r="E27" i="4" s="1"/>
  <c r="E31" i="4" s="1"/>
  <c r="J23" i="28"/>
  <c r="E25" i="17" l="1"/>
  <c r="G25" i="17" s="1"/>
  <c r="H33" i="34"/>
  <c r="D38" i="31"/>
  <c r="L34" i="32" s="1"/>
  <c r="E34" i="4"/>
  <c r="E37" i="4" s="1"/>
  <c r="E38" i="4" s="1"/>
  <c r="D40" i="4" s="1"/>
  <c r="H30" i="28"/>
  <c r="M21" i="19"/>
  <c r="E30" i="28"/>
  <c r="J29" i="4" s="1"/>
  <c r="F30" i="28"/>
  <c r="F24" i="28"/>
  <c r="J24" i="28"/>
  <c r="G24" i="28"/>
  <c r="H24" i="28"/>
  <c r="E24" i="28"/>
  <c r="J27" i="4" l="1"/>
  <c r="J30" i="28"/>
  <c r="H31" i="28" s="1"/>
  <c r="H34" i="28" s="1"/>
  <c r="J31" i="4" l="1"/>
  <c r="E31" i="28"/>
  <c r="E34" i="28" s="1"/>
  <c r="G45" i="4" s="1"/>
  <c r="G31" i="28"/>
  <c r="G34" i="28" s="1"/>
  <c r="F31" i="28"/>
  <c r="F34" i="28" s="1"/>
  <c r="J34" i="4" l="1"/>
  <c r="G44" i="4" s="1"/>
  <c r="J31" i="28"/>
  <c r="J34" i="28" s="1"/>
  <c r="G46" i="4" l="1"/>
  <c r="G48" i="4" s="1"/>
  <c r="G49" i="4" s="1"/>
  <c r="E6" i="17" l="1"/>
  <c r="G6" i="17" s="1"/>
  <c r="C18" i="25"/>
  <c r="C23" i="25" s="1"/>
  <c r="F12" i="34" l="1"/>
  <c r="H12" i="34" s="1"/>
  <c r="C29" i="25" l="1"/>
  <c r="F10" i="33"/>
  <c r="F24" i="33" s="1"/>
  <c r="H24" i="33" s="1"/>
  <c r="F25" i="33" l="1"/>
  <c r="H25" i="33" s="1"/>
  <c r="F16" i="33"/>
  <c r="F17" i="33" s="1"/>
  <c r="F18" i="33" s="1"/>
  <c r="F19" i="33" s="1"/>
  <c r="F26" i="33"/>
  <c r="H26" i="33" s="1"/>
  <c r="F35" i="33"/>
  <c r="F8" i="29" l="1"/>
  <c r="H12" i="11"/>
  <c r="E25" i="11" s="1"/>
  <c r="H29" i="11" s="1"/>
  <c r="F12" i="29" l="1"/>
  <c r="F16" i="29" s="1"/>
  <c r="F32" i="29" s="1"/>
  <c r="G51" i="4" s="1"/>
  <c r="E28" i="17"/>
  <c r="F62" i="17" s="1"/>
  <c r="E29" i="33"/>
  <c r="H29" i="33" s="1"/>
  <c r="E11" i="34"/>
  <c r="H11" i="34" s="1"/>
  <c r="E8" i="17" l="1"/>
  <c r="G53" i="4"/>
  <c r="F41" i="17" s="1"/>
  <c r="C10" i="25"/>
  <c r="C13" i="25" s="1"/>
  <c r="G28" i="17"/>
  <c r="C28" i="25" l="1"/>
  <c r="C30" i="25" s="1"/>
  <c r="E10" i="33"/>
  <c r="L32" i="32"/>
  <c r="L36" i="32" s="1"/>
  <c r="C36" i="35" s="1"/>
  <c r="F41" i="33"/>
  <c r="E10" i="17"/>
  <c r="G8" i="17"/>
  <c r="G10" i="17" l="1"/>
  <c r="E22" i="17"/>
  <c r="G22" i="17" s="1"/>
  <c r="H10" i="33"/>
  <c r="E16" i="33"/>
  <c r="E35" i="33"/>
  <c r="H35" i="33" s="1"/>
  <c r="E17" i="33" l="1"/>
  <c r="H16" i="33"/>
  <c r="H17" i="33" l="1"/>
  <c r="E18" i="33"/>
  <c r="H18" i="33" l="1"/>
  <c r="E19" i="33"/>
  <c r="H19" i="33" s="1"/>
</calcChain>
</file>

<file path=xl/sharedStrings.xml><?xml version="1.0" encoding="utf-8"?>
<sst xmlns="http://schemas.openxmlformats.org/spreadsheetml/2006/main" count="574" uniqueCount="415">
  <si>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</si>
  <si>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</si>
  <si>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</si>
  <si>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</si>
  <si>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</si>
  <si>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</si>
  <si>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</si>
  <si>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</si>
  <si>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</si>
  <si>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</si>
  <si>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</si>
  <si>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</si>
  <si>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</si>
  <si>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</si>
  <si>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</si>
  <si>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</si>
  <si>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</si>
  <si>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</si>
  <si>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</si>
  <si>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</si>
  <si>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</si>
  <si>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</si>
  <si>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</si>
  <si>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</si>
  <si>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</si>
  <si>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</si>
  <si>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</si>
  <si>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</si>
  <si>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</si>
  <si>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</si>
  <si>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</si>
  <si>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</si>
  <si>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</si>
  <si>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</si>
  <si>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</si>
  <si>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</si>
  <si>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</si>
  <si>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</si>
  <si>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</si>
  <si>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</si>
  <si>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</si>
  <si>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</si>
  <si>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</si>
  <si>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</si>
  <si>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</si>
  <si>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</si>
  <si>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</si>
  <si>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</si>
  <si>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</si>
  <si>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</si>
  <si>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</si>
  <si>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</si>
  <si>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</si>
  <si>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</si>
  <si>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</si>
  <si>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</si>
  <si>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</si>
  <si>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</si>
  <si>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</si>
  <si>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</si>
  <si>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</si>
  <si>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</si>
  <si>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</si>
  <si>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</si>
  <si>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</si>
  <si>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</si>
  <si>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</si>
  <si>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</si>
  <si>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</si>
  <si>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</si>
  <si>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</si>
  <si>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</si>
  <si>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</si>
  <si>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</si>
  <si>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</si>
  <si>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</si>
  <si>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</si>
  <si>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</si>
  <si>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</si>
  <si>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</si>
  <si>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</si>
  <si>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</si>
  <si>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</si>
  <si>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</si>
  <si>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</si>
  <si>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</si>
  <si>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</si>
  <si>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</si>
  <si>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</si>
  <si>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</si>
  <si>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t>
  </si>
  <si>
    <t>CALCULATION OF DEMAND/COMMODITY SPLIT OF GAS COST ADJUSTMENT FOR TARIFFS</t>
  </si>
  <si>
    <t>Demand Component of Gas Cost Adjustment</t>
  </si>
  <si>
    <t xml:space="preserve">     Total Demand Rate per Mcf</t>
  </si>
  <si>
    <t>Commodity Component of Gas Cost Adjustment</t>
  </si>
  <si>
    <t xml:space="preserve">     Total Commodity Rate per Mcf</t>
  </si>
  <si>
    <t xml:space="preserve">                                                                        CHECK:</t>
  </si>
  <si>
    <t xml:space="preserve">           COST OF GAS TO TARIFF CUSTOMERS (GCA)</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</si>
  <si>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</si>
  <si>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</si>
  <si>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</si>
  <si>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</si>
  <si>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</si>
  <si>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</si>
  <si>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</si>
  <si>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</si>
  <si>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</si>
  <si>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</si>
  <si>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</si>
  <si>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</si>
  <si>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</si>
  <si>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</si>
  <si>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</si>
  <si>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</si>
  <si>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</si>
  <si>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</si>
  <si>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</si>
  <si>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</si>
  <si>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</si>
  <si>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</si>
  <si>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</si>
  <si>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</si>
  <si>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</si>
  <si>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</si>
  <si>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</si>
  <si>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</si>
  <si>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</si>
  <si>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</si>
  <si>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</si>
  <si>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</si>
  <si>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</si>
  <si>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</si>
  <si>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</si>
  <si>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</si>
  <si>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</si>
  <si>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</si>
  <si>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</si>
  <si>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</si>
  <si>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</si>
  <si>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</si>
  <si>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</si>
  <si>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</si>
  <si>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</si>
  <si>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</si>
  <si>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</si>
  <si>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Unit Costs</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</si>
  <si>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</si>
  <si>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</si>
  <si>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</si>
  <si>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</si>
  <si>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</si>
  <si>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</si>
  <si>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</si>
  <si>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</si>
  <si>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</si>
  <si>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</si>
  <si>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</si>
  <si>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</si>
  <si>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</si>
  <si>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</si>
  <si>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</si>
  <si>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</si>
  <si>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</si>
  <si>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</si>
  <si>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</si>
  <si>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</si>
  <si>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</si>
  <si>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</si>
  <si>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</si>
  <si>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</si>
  <si>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</si>
  <si>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</si>
  <si>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</si>
  <si>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</si>
  <si>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</si>
  <si>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</si>
  <si>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</si>
  <si>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</si>
  <si>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</si>
  <si>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</si>
  <si>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</si>
  <si>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</si>
  <si>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</si>
  <si>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</si>
  <si>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</si>
  <si>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</si>
  <si>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Calculation of Storage Injection, Withdrawal, Retention and Commodity Cost Credit</t>
  </si>
  <si>
    <t>Value</t>
  </si>
  <si>
    <t>Storage Withdrawal: Dth</t>
  </si>
  <si>
    <t>Projected Annual Withdrawal at storage, Dth</t>
  </si>
  <si>
    <t>SST Retention @</t>
  </si>
  <si>
    <t>Storage Injection: Dth</t>
  </si>
  <si>
    <t xml:space="preserve">Retention Rate = </t>
  </si>
  <si>
    <t>Injection and Withdrawal Charge, per Dth</t>
  </si>
  <si>
    <t>SST Commodity Transportation Rate, per Dth</t>
  </si>
  <si>
    <t>Annual Storage Commodity Costs</t>
  </si>
  <si>
    <t>Projected Annual Sales + Choice Throughput, Mcf, at</t>
  </si>
  <si>
    <t xml:space="preserve">    customer meter</t>
  </si>
  <si>
    <t>per Mcf</t>
  </si>
  <si>
    <t>&lt;-- from Sheet 2, line 8</t>
  </si>
  <si>
    <t>BTU factor Dth/MCF</t>
  </si>
  <si>
    <t>Units $/MCF</t>
  </si>
  <si>
    <t>TCO FTS</t>
  </si>
  <si>
    <t>Total Demand Cost of Assigned FTS, per unit</t>
  </si>
  <si>
    <t>Balancing Charge</t>
  </si>
  <si>
    <t>100% Load Factor Rate of Assigned FTS Capacity</t>
  </si>
  <si>
    <t>CKY Choice Program</t>
  </si>
  <si>
    <t>Gas Cost Adjustment</t>
  </si>
  <si>
    <t>Sheet 3</t>
  </si>
  <si>
    <t>Retention</t>
  </si>
  <si>
    <t>Contract</t>
  </si>
  <si>
    <t>Assignment Proportions</t>
  </si>
  <si>
    <t>(4)</t>
  </si>
  <si>
    <t>(5)</t>
  </si>
  <si>
    <t>Adjustment for retention on downstream pipe, if any</t>
  </si>
  <si>
    <t>Monthly demand charges</t>
  </si>
  <si>
    <t>TGP FTS-A, upstream to TCO FTS</t>
  </si>
  <si>
    <t>Annual demand cost of capacity assigned to choice marketers</t>
  </si>
  <si>
    <t>City gate capacity assigned to Choice marketers</t>
  </si>
  <si>
    <t>Demand Cost Recovery Factor in GCA, per Mcf per CKY Tariff Sheet No. 5</t>
  </si>
  <si>
    <t>Less credit for cost of assigned capacity</t>
  </si>
  <si>
    <t>Plus storage commodity costs incurred by CKY for the Choice marketer</t>
  </si>
  <si>
    <t>Annual costs</t>
  </si>
  <si>
    <t>Balancing charge, paid by Choice marketers</t>
  </si>
  <si>
    <t>11a</t>
  </si>
  <si>
    <t>11b</t>
  </si>
  <si>
    <t>Storage weighted average commodity cost of gas (WACCOG) rate.</t>
  </si>
  <si>
    <t>Includes pipeline retention and comm costs, but excludes demand charges.</t>
  </si>
  <si>
    <t>Calculation of Rate Schedule SVGTS - Actual Gas Cost Adjustment</t>
  </si>
  <si>
    <t xml:space="preserve"> Withdrawals: gas cost includes pipeline fuel and commodity charges </t>
  </si>
  <si>
    <t>Schedule No. 4</t>
  </si>
  <si>
    <t xml:space="preserve">Summer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</si>
  <si>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</si>
  <si>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</si>
  <si>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</si>
  <si>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</si>
  <si>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</si>
  <si>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</si>
  <si>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</si>
  <si>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</si>
  <si>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</si>
  <si>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Commodity Cost of Gas (Schedule No. 1, Sheet 1, Line 22)</t>
  </si>
  <si>
    <t>Demand Cost of Gas (Schedule No. 1, Sheet 1, Line 23)</t>
  </si>
  <si>
    <t>To Sheet 1, line 18</t>
  </si>
  <si>
    <t>Net of pipeline retention volumes and cost.  Add unit retention cost on line 18</t>
  </si>
  <si>
    <t>Schedule No. 3</t>
  </si>
  <si>
    <t>Schedule No. 6</t>
  </si>
  <si>
    <t>100% Load Factor Rate (Line 13 / 365 days)</t>
  </si>
  <si>
    <t>SAS Refund Adjustment  (Schedule No. 5)</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</si>
  <si>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</si>
  <si>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</si>
  <si>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</si>
  <si>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</si>
  <si>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</si>
  <si>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</si>
  <si>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</si>
  <si>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</si>
  <si>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</si>
  <si>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</si>
  <si>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</si>
  <si>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</si>
  <si>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</si>
  <si>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</si>
  <si>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</si>
  <si>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</si>
  <si>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</si>
  <si>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</si>
  <si>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</si>
  <si>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</si>
  <si>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</si>
  <si>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</si>
  <si>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</si>
  <si>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</si>
  <si>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</si>
  <si>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</si>
  <si>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</si>
  <si>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</si>
  <si>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</si>
  <si>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</si>
  <si>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</si>
  <si>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</si>
  <si>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</si>
  <si>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</si>
  <si>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</si>
  <si>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</si>
  <si>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</si>
  <si>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</si>
  <si>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</si>
  <si>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</si>
  <si>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</si>
  <si>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</si>
  <si>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</si>
  <si>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</si>
  <si>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</si>
  <si>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</si>
  <si>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</si>
  <si>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</si>
  <si>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</si>
  <si>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</si>
  <si>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</si>
  <si>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</si>
  <si>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</si>
  <si>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</si>
  <si>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</si>
  <si>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</si>
  <si>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</si>
  <si>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</si>
  <si>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</si>
  <si>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</si>
  <si>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</si>
  <si>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</si>
  <si>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</si>
  <si>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</si>
  <si>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</si>
  <si>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</si>
  <si>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</si>
  <si>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</si>
  <si>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</si>
  <si>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</si>
  <si>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</si>
  <si>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</si>
  <si>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</si>
  <si>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</si>
  <si>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</si>
  <si>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</si>
  <si>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</si>
  <si>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</si>
  <si>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</si>
  <si>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</si>
  <si>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</si>
  <si>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</si>
  <si>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</si>
  <si>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</si>
  <si>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</si>
  <si>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</si>
  <si>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</si>
  <si>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</si>
  <si>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</si>
  <si>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</si>
  <si>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</si>
  <si>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</si>
  <si>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</si>
  <si>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</si>
  <si>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</si>
  <si>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</si>
  <si>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</si>
  <si>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</si>
  <si>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</si>
  <si>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</si>
  <si>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</si>
  <si>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</si>
  <si>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</si>
  <si>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</si>
  <si>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</si>
  <si>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</si>
  <si>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</si>
  <si>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</si>
  <si>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</si>
  <si>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</si>
  <si>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</si>
  <si>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</si>
  <si>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</si>
  <si>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</si>
  <si>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</si>
  <si>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</si>
  <si>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</si>
  <si>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</si>
  <si>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Number of Months</t>
  </si>
  <si>
    <t>Line 7 or Line 8</t>
  </si>
  <si>
    <t>(6) = 1 / (100% - (2))</t>
  </si>
  <si>
    <t>(7) = (3)x(4)x(5)x(6)</t>
  </si>
  <si>
    <t>Balancing Charge, per Mcf -- Sum of Lines 15 through 17</t>
  </si>
  <si>
    <t>TCO FTS -- Line 3 / Line 4</t>
  </si>
  <si>
    <t>Storage withdrawal @ the city-gate: Line 2 * (1- Line 3)</t>
  </si>
  <si>
    <t>Volume Injected Line 2 / (1- Line 6)</t>
  </si>
  <si>
    <t>Projected Annual Storage Retention (Line 7- Line 2)</t>
  </si>
  <si>
    <t>Units $/Dth  -- Line 11a / Line 11b</t>
  </si>
  <si>
    <t>Storage Injection (Line 7 x Line 9)</t>
  </si>
  <si>
    <t>SST Commodity (Line 4 x Line 10)</t>
  </si>
  <si>
    <t xml:space="preserve">Storage Withdrawal  (Line 2 x Line 9)   </t>
  </si>
  <si>
    <t>SST Fuel  (Line 2 - Line 4) x Line 11</t>
  </si>
  <si>
    <t>Storage Retention (Line 8 x Line 11)</t>
  </si>
  <si>
    <t>Total (Sum of Lines 13 through 17)</t>
  </si>
  <si>
    <t>Storage Inj, W/D Retention &amp; Commodity Cost Credit (Line 18 / Line 19)</t>
  </si>
  <si>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</si>
  <si>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</si>
  <si>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 xml:space="preserve">Contract Volume </t>
  </si>
  <si>
    <t>CN 2024-00092</t>
  </si>
  <si>
    <t>Columbia Gulf</t>
  </si>
  <si>
    <t>Firm Transportation      FTS-1</t>
  </si>
  <si>
    <t>Winter</t>
  </si>
  <si>
    <t>Unit 21 May  (05-28 -2026)</t>
  </si>
  <si>
    <t>Case No. 2025-00126</t>
  </si>
  <si>
    <t>Unit 21 August (08-26-2026)</t>
  </si>
  <si>
    <t>Jun 26 - Aug 26</t>
  </si>
  <si>
    <t>Performance Based Rate Adjustment (Schedule No. 6, Case No. 2025-00126)</t>
  </si>
  <si>
    <t>Case No. 2025-00253</t>
  </si>
  <si>
    <t>Sep 26 - Nov 26</t>
  </si>
  <si>
    <t>Dec 25</t>
  </si>
  <si>
    <t>Unit 21 November (11-24-2026)</t>
  </si>
  <si>
    <t>Case No. 2025-00350</t>
  </si>
  <si>
    <t>Mar 26</t>
  </si>
  <si>
    <t>Mar 26 - May  26</t>
  </si>
  <si>
    <t>Dec 26 - Feb 27</t>
  </si>
  <si>
    <t>Mar 26 - Feb 27</t>
  </si>
  <si>
    <t>Subtotal -- Sum of Lines 1 through 7</t>
  </si>
  <si>
    <r>
      <t xml:space="preserve">Total </t>
    </r>
    <r>
      <rPr>
        <sz val="10"/>
        <rFont val="Calibri"/>
        <family val="2"/>
        <scheme val="minor"/>
      </rPr>
      <t>-- Sum of Lines 8 through 10</t>
    </r>
    <r>
      <rPr>
        <b/>
        <sz val="10"/>
        <rFont val="Calibri"/>
        <family val="2"/>
        <scheme val="minor"/>
      </rPr>
      <t xml:space="preserve"> --</t>
    </r>
    <r>
      <rPr>
        <sz val="10"/>
        <rFont val="Calibri"/>
        <family val="2"/>
        <scheme val="minor"/>
      </rPr>
      <t xml:space="preserve">  To Sheet 2, line 1</t>
    </r>
  </si>
  <si>
    <t>DATE FILED: JANUARY 30, 2026</t>
  </si>
  <si>
    <t>Case No. 2026-00022</t>
  </si>
  <si>
    <t>Commodity ACA (Schedule No. 2, Sheet 1, Case No. 2025-00126, Case No. 2025-00253, Case No. 2025-00350 &amp; Case No. 2026-00022)</t>
  </si>
  <si>
    <t>Refund Adjustment  (Schedule No. 4, Case No. 2026-00022)</t>
  </si>
  <si>
    <t>Demand ACA (Schedule No. 2, Sheet 1, Case No. 2025-00126, Case No. 2025-00253, Case No. 2025-00350 &amp; Case No. 2026-00022)</t>
  </si>
  <si>
    <t>CASE NO. 2026-00022    Effective Unit 1 March 2026 Billing Cycle (March 2, 2026)</t>
  </si>
  <si>
    <t>FOR THE PERIOD BEGINNING UNIT 1 MARCH 2026 (March 2, 2026 )</t>
  </si>
  <si>
    <t>Unit 21 February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</si>
</sst>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 #,##0.0000_);_(* \(#,##0.0000\);_(* &quot;-&quot;??_);_(@_)"/>
    <numFmt numFmtId="170" formatCode="_(&quot;$&quot;* #,##0.0000_);_(&quot;$&quot;* \(#,##0.0000\);_(&quot;$&quot;* &quot;-&quot;??_);_(@_)"/>
    <numFmt numFmtId="171" formatCode="_(&quot;$&quot;* #,##0_);_(&quot;$&quot;* \(#,##0\);_(&quot;$&quot;* &quot;-&quot;??_);_(@_)"/>
    <numFmt numFmtId="172" formatCode="0.0%"/>
    <numFmt numFmtId="173" formatCode="#,##0.0_);\(#,##0.0\)"/>
    <numFmt numFmtId="174" formatCode="#,##0.000_);\(#,##0.000\)"/>
    <numFmt numFmtId="175" formatCode="_(* #,##0_);_(* \(#,##0\);_(* &quot;-&quot;??_);_(@_)"/>
    <numFmt numFmtId="176" formatCode="#,##0.0000"/>
    <numFmt numFmtId="177" formatCode="0.000%"/>
    <numFmt numFmtId="178" formatCode="&quot;$&quot;#,##0.0000"/>
    <numFmt numFmtId="179" formatCode="&quot;$&quot;#,##0"/>
    <numFmt numFmtId="180" formatCode="_(&quot;$&quot;* #,##0.0000_);_(&quot;$&quot;* \(#,##0.0000\);_(&quot;$&quot;* &quot;-&quot;????_);_(@_)"/>
    <numFmt numFmtId="181" formatCode="mmmm\-yy"/>
    <numFmt numFmtId="182" formatCode="0.0000"/>
    <numFmt numFmtId="183" formatCode="0.000"/>
    <numFmt numFmtId="184" formatCode="#,##0.00000000_);\(#,##0.00000000\)"/>
    <numFmt numFmtId="185" formatCode="&quot;$&quot;#,##0.0000_);[Red]\(&quot;$&quot;#,##0.0000\)"/>
    <numFmt numFmtId="186" formatCode="#,##0.00000_);\(#,##0.00000\)"/>
  </numFmts>
  <fonts count="60"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u/>
      <sz val="12"/>
      <name val="Calibri"/>
      <family val="2"/>
      <scheme val="minor"/>
    </font>
    <font>
      <u/>
      <sz val="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u val="double"/>
      <sz val="9"/>
      <name val="Calibri"/>
      <family val="2"/>
      <scheme val="minor"/>
    </font>
    <font>
      <b/>
      <sz val="9"/>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sz val="11"/>
      <name val="Calibri"/>
      <family val="2"/>
      <scheme val="minor"/>
    </font>
    <font>
      <b/>
      <sz val="11"/>
      <color rgb="FF0000FF"/>
      <name val="Calibri"/>
      <family val="2"/>
      <scheme val="minor"/>
    </font>
    <font>
      <u/>
      <sz val="11"/>
      <name val="Calibri"/>
      <family val="2"/>
      <scheme val="minor"/>
    </font>
    <font>
      <sz val="9"/>
      <color theme="1"/>
      <name val="Calibri"/>
      <family val="2"/>
      <scheme val="minor"/>
    </font>
    <font>
      <b/>
      <sz val="9"/>
      <color rgb="FF0000FF"/>
      <name val="Calibri"/>
      <family val="2"/>
      <scheme val="minor"/>
    </font>
    <font>
      <sz val="10"/>
      <name val="Arial"/>
      <family val="2"/>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5">
    <xf numFmtId="37"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0" fontId="59" fillId="0" borderId="0"/>
    <xf numFmtId="0" fontId="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288">
    <xf numFmtId="37" fontId="0" fillId="0" borderId="0" xfId="0"/>
    <xf numFmtId="179" fontId="11" fillId="0" borderId="0" xfId="2" applyNumberFormat="1" applyFont="1" applyFill="1" applyProtection="1"/>
    <xf numFmtId="175" fontId="11" fillId="0" borderId="0" xfId="1" applyNumberFormat="1" applyFont="1" applyFill="1"/>
    <xf numFmtId="178" fontId="11" fillId="0" borderId="0" xfId="2" applyNumberFormat="1" applyFont="1" applyFill="1"/>
    <xf numFmtId="0" fontId="5" fillId="0" borderId="0" xfId="7"/>
    <xf numFmtId="0" fontId="38" fillId="0" borderId="0" xfId="7" applyFont="1" applyAlignment="1">
      <alignment vertical="center"/>
    </xf>
    <xf numFmtId="0" fontId="39" fillId="0" borderId="0" xfId="7" applyFont="1" applyAlignment="1">
      <alignment vertical="center"/>
    </xf>
    <xf numFmtId="0" fontId="40" fillId="0" borderId="0" xfId="7" applyFont="1"/>
    <xf numFmtId="0" fontId="41" fillId="0" borderId="0" xfId="7" applyFont="1" applyAlignment="1">
      <alignment horizontal="center" vertical="center"/>
    </xf>
    <xf numFmtId="0" fontId="5" fillId="0" borderId="0" xfId="7" applyAlignment="1">
      <alignment horizontal="center"/>
    </xf>
    <xf numFmtId="0" fontId="41" fillId="0" borderId="0" xfId="7" applyFont="1" applyAlignment="1">
      <alignment vertical="center"/>
    </xf>
    <xf numFmtId="0" fontId="41" fillId="0" borderId="0" xfId="7" applyFont="1" applyAlignment="1">
      <alignment horizontal="left" vertical="center"/>
    </xf>
    <xf numFmtId="2" fontId="42" fillId="0" borderId="0" xfId="7" applyNumberFormat="1" applyFont="1" applyAlignment="1">
      <alignment vertical="center"/>
    </xf>
    <xf numFmtId="2" fontId="5" fillId="0" borderId="0" xfId="7" applyNumberFormat="1"/>
    <xf numFmtId="0" fontId="42" fillId="0" borderId="0" xfId="7" applyFont="1" applyAlignment="1">
      <alignment vertical="center"/>
    </xf>
    <xf numFmtId="0" fontId="43" fillId="0" borderId="0" xfId="7" applyFont="1" applyAlignment="1">
      <alignment vertical="center"/>
    </xf>
    <xf numFmtId="0" fontId="44" fillId="0" borderId="0" xfId="7" applyFont="1" applyAlignment="1">
      <alignment vertical="center"/>
    </xf>
    <xf numFmtId="0" fontId="45" fillId="0" borderId="0" xfId="7" applyFont="1" applyAlignment="1">
      <alignment vertical="center"/>
    </xf>
    <xf numFmtId="0" fontId="41" fillId="0" borderId="0" xfId="7" applyFont="1" applyAlignment="1">
      <alignment horizontal="justify" vertical="center"/>
    </xf>
    <xf numFmtId="4" fontId="42" fillId="0" borderId="0" xfId="7" applyNumberFormat="1" applyFont="1" applyAlignment="1">
      <alignment vertical="center"/>
    </xf>
    <xf numFmtId="176" fontId="42" fillId="0" borderId="0" xfId="7" applyNumberFormat="1" applyFont="1" applyAlignment="1">
      <alignment vertical="center"/>
    </xf>
    <xf numFmtId="4" fontId="5" fillId="0" borderId="0" xfId="7" applyNumberFormat="1"/>
    <xf numFmtId="0" fontId="41" fillId="0" borderId="0" xfId="7" applyFont="1" applyAlignment="1">
      <alignment horizontal="left" vertical="center" indent="2"/>
    </xf>
    <xf numFmtId="178" fontId="42" fillId="0" borderId="0" xfId="7" applyNumberFormat="1" applyFont="1" applyAlignment="1">
      <alignment vertical="center"/>
    </xf>
    <xf numFmtId="0" fontId="39" fillId="0" borderId="0" xfId="7" applyFont="1" applyAlignment="1">
      <alignment horizontal="center" vertical="center"/>
    </xf>
    <xf numFmtId="0" fontId="41" fillId="0" borderId="0" xfId="7" applyFont="1"/>
    <xf numFmtId="0" fontId="36" fillId="0" borderId="0" xfId="7" applyFont="1"/>
    <xf numFmtId="2" fontId="3" fillId="0" borderId="0" xfId="7" applyNumberFormat="1" applyFont="1"/>
    <xf numFmtId="182" fontId="41" fillId="0" borderId="0" xfId="7" applyNumberFormat="1" applyFont="1" applyAlignment="1">
      <alignment vertical="center"/>
    </xf>
    <xf numFmtId="182" fontId="3" fillId="0" borderId="0" xfId="7" applyNumberFormat="1" applyFont="1" applyAlignment="1">
      <alignment vertical="center"/>
    </xf>
    <xf numFmtId="0" fontId="36" fillId="0" borderId="0" xfId="7" applyFont="1" applyAlignment="1">
      <alignment horizontal="center"/>
    </xf>
    <xf numFmtId="0" fontId="3" fillId="0" borderId="0" xfId="7" applyFont="1"/>
    <xf numFmtId="0" fontId="38" fillId="0" borderId="0" xfId="7" applyFont="1" applyAlignment="1">
      <alignment horizontal="center" vertical="center"/>
    </xf>
    <xf numFmtId="182" fontId="5" fillId="0" borderId="0" xfId="7" applyNumberFormat="1"/>
    <xf numFmtId="0" fontId="46" fillId="0" borderId="0" xfId="7" applyFont="1" applyAlignment="1">
      <alignment vertical="center"/>
    </xf>
    <xf numFmtId="0" fontId="47" fillId="0" borderId="0" xfId="7" applyFont="1" applyAlignment="1">
      <alignment vertical="center"/>
    </xf>
    <xf numFmtId="0" fontId="48" fillId="0" borderId="0" xfId="7" applyFont="1" applyAlignment="1">
      <alignment vertical="center"/>
    </xf>
    <xf numFmtId="0" fontId="52" fillId="0" borderId="0" xfId="7" applyFont="1"/>
    <xf numFmtId="0" fontId="47" fillId="0" borderId="0" xfId="7" applyFont="1" applyAlignment="1">
      <alignment horizontal="justify" vertical="center"/>
    </xf>
    <xf numFmtId="5" fontId="11" fillId="0" borderId="0" xfId="2" applyNumberFormat="1" applyFont="1" applyFill="1"/>
    <xf numFmtId="179" fontId="11" fillId="0" borderId="0" xfId="1" applyNumberFormat="1" applyFont="1" applyFill="1" applyAlignment="1">
      <alignment vertical="center"/>
    </xf>
    <xf numFmtId="5" fontId="11" fillId="0" borderId="3" xfId="2" applyNumberFormat="1" applyFont="1" applyFill="1" applyBorder="1"/>
    <xf numFmtId="178" fontId="5" fillId="0" borderId="0" xfId="7" applyNumberFormat="1" applyAlignment="1">
      <alignment horizontal="center"/>
    </xf>
    <xf numFmtId="8" fontId="41" fillId="0" borderId="0" xfId="7" applyNumberFormat="1" applyFont="1" applyAlignment="1">
      <alignment vertical="center"/>
    </xf>
    <xf numFmtId="0" fontId="55" fillId="2" borderId="12" xfId="7" applyFont="1" applyFill="1" applyBorder="1"/>
    <xf numFmtId="44" fontId="10" fillId="0" borderId="0" xfId="2" applyFont="1" applyFill="1" applyAlignment="1" applyProtection="1">
      <alignment horizontal="center"/>
    </xf>
    <xf numFmtId="164" fontId="11" fillId="0" borderId="0" xfId="2" applyNumberFormat="1" applyFont="1" applyFill="1" applyAlignment="1">
      <alignment vertical="center"/>
    </xf>
    <xf numFmtId="164" fontId="17" fillId="0" borderId="0" xfId="2" applyNumberFormat="1" applyFont="1" applyFill="1"/>
    <xf numFmtId="169" fontId="54" fillId="0" borderId="0" xfId="1" applyNumberFormat="1" applyFont="1" applyFill="1"/>
    <xf numFmtId="37" fontId="9" fillId="0" borderId="0" xfId="0" applyFont="1" applyAlignment="1">
      <alignment horizontal="left"/>
    </xf>
    <xf numFmtId="37" fontId="10" fillId="0" borderId="0" xfId="0" applyFont="1"/>
    <xf numFmtId="37" fontId="11" fillId="0" borderId="0" xfId="0" applyFont="1"/>
    <xf numFmtId="37" fontId="9" fillId="0" borderId="0" xfId="0" applyFont="1"/>
    <xf numFmtId="37" fontId="9" fillId="0" borderId="0" xfId="0" applyFont="1" applyAlignment="1">
      <alignment horizontal="right"/>
    </xf>
    <xf numFmtId="37" fontId="12" fillId="0" borderId="0" xfId="0" applyFont="1" applyAlignment="1">
      <alignment horizontal="center"/>
    </xf>
    <xf numFmtId="37" fontId="13" fillId="0" borderId="0" xfId="0" applyFont="1"/>
    <xf numFmtId="37" fontId="14" fillId="0" borderId="0" xfId="0" applyFont="1" applyAlignment="1">
      <alignment horizontal="left"/>
    </xf>
    <xf numFmtId="37" fontId="10" fillId="0" borderId="0" xfId="0" applyFont="1" applyAlignment="1">
      <alignment horizontal="right"/>
    </xf>
    <xf numFmtId="37" fontId="10" fillId="0" borderId="0" xfId="0" applyFont="1" applyAlignment="1">
      <alignment horizontal="center"/>
    </xf>
    <xf numFmtId="37" fontId="15" fillId="0" borderId="0" xfId="0" quotePrefix="1" applyFont="1"/>
    <xf numFmtId="181" fontId="10" fillId="0" borderId="0" xfId="0" applyNumberFormat="1" applyFont="1" applyAlignment="1">
      <alignment horizontal="center"/>
    </xf>
    <xf numFmtId="37" fontId="11" fillId="0" borderId="0" xfId="0" quotePrefix="1" applyFont="1" applyAlignment="1">
      <alignment horizontal="center"/>
    </xf>
    <xf numFmtId="37" fontId="11" fillId="0" borderId="0" xfId="0" applyFont="1" applyAlignment="1">
      <alignment horizontal="center"/>
    </xf>
    <xf numFmtId="37" fontId="16" fillId="0" borderId="0" xfId="0" applyFont="1" applyAlignment="1">
      <alignment horizontal="center"/>
    </xf>
    <xf numFmtId="37" fontId="16" fillId="0" borderId="0" xfId="0" quotePrefix="1" applyFont="1"/>
    <xf numFmtId="37" fontId="17" fillId="0" borderId="0" xfId="0" applyFont="1" applyAlignment="1">
      <alignment horizontal="center"/>
    </xf>
    <xf numFmtId="37" fontId="17" fillId="0" borderId="0" xfId="0" applyFont="1"/>
    <xf numFmtId="37" fontId="10" fillId="0" borderId="0" xfId="0" applyFont="1" applyAlignment="1">
      <alignment horizontal="left"/>
    </xf>
    <xf numFmtId="164" fontId="10" fillId="0" borderId="0" xfId="0" applyNumberFormat="1" applyFont="1" applyAlignment="1">
      <alignment horizontal="center"/>
    </xf>
    <xf numFmtId="164" fontId="10" fillId="0" borderId="0" xfId="0" applyNumberFormat="1" applyFont="1"/>
    <xf numFmtId="164" fontId="11" fillId="0" borderId="0" xfId="0" applyNumberFormat="1" applyFont="1" applyAlignment="1">
      <alignment horizontal="center"/>
    </xf>
    <xf numFmtId="165" fontId="11" fillId="0" borderId="0" xfId="0" applyNumberFormat="1" applyFont="1" applyAlignment="1">
      <alignment horizontal="center"/>
    </xf>
    <xf numFmtId="37" fontId="11" fillId="0" borderId="0" xfId="0" applyFont="1" applyAlignment="1">
      <alignment horizontal="left"/>
    </xf>
    <xf numFmtId="164" fontId="11" fillId="0" borderId="0" xfId="0" applyNumberFormat="1" applyFont="1"/>
    <xf numFmtId="164" fontId="16" fillId="0" borderId="0" xfId="0" applyNumberFormat="1" applyFont="1" applyAlignment="1">
      <alignment horizontal="center"/>
    </xf>
    <xf numFmtId="164" fontId="16" fillId="0" borderId="0" xfId="0" applyNumberFormat="1" applyFont="1"/>
    <xf numFmtId="174" fontId="11" fillId="0" borderId="0" xfId="0" applyNumberFormat="1" applyFont="1"/>
    <xf numFmtId="164" fontId="17" fillId="0" borderId="0" xfId="0" applyNumberFormat="1" applyFont="1" applyAlignment="1">
      <alignment horizontal="center"/>
    </xf>
    <xf numFmtId="165" fontId="17" fillId="0" borderId="0" xfId="0" applyNumberFormat="1" applyFont="1" applyAlignment="1">
      <alignment horizontal="center"/>
    </xf>
    <xf numFmtId="165" fontId="11" fillId="0" borderId="0" xfId="0" applyNumberFormat="1" applyFont="1"/>
    <xf numFmtId="165" fontId="17" fillId="0" borderId="0" xfId="0" applyNumberFormat="1" applyFont="1"/>
    <xf numFmtId="165" fontId="10" fillId="0" borderId="0" xfId="0" applyNumberFormat="1" applyFont="1"/>
    <xf numFmtId="37" fontId="18" fillId="0" borderId="0" xfId="0" applyFont="1"/>
    <xf numFmtId="37" fontId="19" fillId="0" borderId="0" xfId="0" applyFont="1"/>
    <xf numFmtId="37" fontId="32" fillId="0" borderId="0" xfId="0" applyFont="1" applyAlignment="1">
      <alignment horizontal="left"/>
    </xf>
    <xf numFmtId="37" fontId="20" fillId="0" borderId="0" xfId="0" applyFont="1" applyAlignment="1">
      <alignment horizontal="center"/>
    </xf>
    <xf numFmtId="37" fontId="21" fillId="0" borderId="0" xfId="0" applyFont="1"/>
    <xf numFmtId="37" fontId="21" fillId="0" borderId="0" xfId="0" applyFont="1" applyAlignment="1">
      <alignment horizontal="center"/>
    </xf>
    <xf numFmtId="37" fontId="16" fillId="0" borderId="0" xfId="0" applyFont="1"/>
    <xf numFmtId="37" fontId="22" fillId="0" borderId="0" xfId="0" applyFont="1" applyAlignment="1">
      <alignment horizontal="center"/>
    </xf>
    <xf numFmtId="37" fontId="22" fillId="0" borderId="0" xfId="0" applyFont="1"/>
    <xf numFmtId="37" fontId="21" fillId="0" borderId="0" xfId="0" applyFont="1" applyAlignment="1">
      <alignment horizontal="left"/>
    </xf>
    <xf numFmtId="164" fontId="21" fillId="0" borderId="0" xfId="0" applyNumberFormat="1" applyFont="1"/>
    <xf numFmtId="37" fontId="21" fillId="0" borderId="0" xfId="0" quotePrefix="1" applyFont="1" applyAlignment="1">
      <alignment horizontal="center"/>
    </xf>
    <xf numFmtId="37" fontId="10" fillId="0" borderId="0" xfId="0" quotePrefix="1" applyFont="1" applyAlignment="1">
      <alignment horizontal="center"/>
    </xf>
    <xf numFmtId="49" fontId="10" fillId="0" borderId="0" xfId="0" applyNumberFormat="1" applyFont="1" applyAlignment="1">
      <alignment horizontal="center"/>
    </xf>
    <xf numFmtId="168" fontId="21" fillId="0" borderId="0" xfId="0" applyNumberFormat="1" applyFont="1"/>
    <xf numFmtId="37" fontId="13" fillId="0" borderId="0" xfId="0" applyFont="1" applyAlignment="1">
      <alignment horizontal="center"/>
    </xf>
    <xf numFmtId="164" fontId="23" fillId="0" borderId="0" xfId="0" applyNumberFormat="1" applyFont="1"/>
    <xf numFmtId="164" fontId="24" fillId="0" borderId="0" xfId="0" applyNumberFormat="1" applyFont="1"/>
    <xf numFmtId="168" fontId="10" fillId="0" borderId="0" xfId="0" applyNumberFormat="1" applyFont="1"/>
    <xf numFmtId="186" fontId="10" fillId="0" borderId="0" xfId="0" applyNumberFormat="1" applyFont="1"/>
    <xf numFmtId="37" fontId="25" fillId="0" borderId="0" xfId="0" applyFont="1"/>
    <xf numFmtId="37" fontId="13" fillId="0" borderId="0" xfId="0" applyFont="1" applyAlignment="1">
      <alignment horizontal="left"/>
    </xf>
    <xf numFmtId="166" fontId="10" fillId="0" borderId="0" xfId="0" applyNumberFormat="1" applyFont="1"/>
    <xf numFmtId="166" fontId="11" fillId="0" borderId="0" xfId="0" applyNumberFormat="1" applyFont="1"/>
    <xf numFmtId="168" fontId="11" fillId="0" borderId="0" xfId="0" applyNumberFormat="1" applyFont="1"/>
    <xf numFmtId="167" fontId="11" fillId="0" borderId="0" xfId="0" applyNumberFormat="1" applyFont="1"/>
    <xf numFmtId="37" fontId="26" fillId="0" borderId="0" xfId="0" applyFont="1"/>
    <xf numFmtId="37" fontId="26" fillId="0" borderId="0" xfId="0" applyFont="1" applyAlignment="1">
      <alignment horizontal="center"/>
    </xf>
    <xf numFmtId="37" fontId="26" fillId="0" borderId="0" xfId="0" applyFont="1" applyAlignment="1">
      <alignment horizontal="left"/>
    </xf>
    <xf numFmtId="37" fontId="15" fillId="0" borderId="0" xfId="0" applyFont="1" applyAlignment="1">
      <alignment horizontal="left"/>
    </xf>
    <xf numFmtId="37" fontId="13" fillId="0" borderId="0" xfId="0" applyFont="1" applyAlignment="1">
      <alignment horizontal="right"/>
    </xf>
    <xf numFmtId="37" fontId="11" fillId="0" borderId="0" xfId="0" applyFont="1" applyAlignment="1">
      <alignment horizontal="right"/>
    </xf>
    <xf numFmtId="37" fontId="13" fillId="0" borderId="3" xfId="0" applyFont="1" applyBorder="1" applyAlignment="1">
      <alignment horizontal="center"/>
    </xf>
    <xf numFmtId="37" fontId="20" fillId="0" borderId="0" xfId="0" applyFont="1" applyAlignment="1">
      <alignment horizontal="right"/>
    </xf>
    <xf numFmtId="37" fontId="11" fillId="0" borderId="0" xfId="0" applyFont="1" applyAlignment="1">
      <alignment horizontal="left" indent="1"/>
    </xf>
    <xf numFmtId="37" fontId="11" fillId="0" borderId="0" xfId="0" applyFont="1" applyAlignment="1">
      <alignment horizontal="left" indent="2"/>
    </xf>
    <xf numFmtId="171" fontId="11" fillId="0" borderId="0" xfId="2" applyNumberFormat="1" applyFont="1" applyFill="1" applyProtection="1"/>
    <xf numFmtId="179" fontId="11" fillId="0" borderId="0" xfId="1" applyNumberFormat="1" applyFont="1" applyFill="1" applyProtection="1"/>
    <xf numFmtId="178" fontId="11" fillId="0" borderId="0" xfId="2" applyNumberFormat="1" applyFont="1" applyFill="1" applyProtection="1"/>
    <xf numFmtId="179" fontId="31" fillId="0" borderId="0" xfId="1" applyNumberFormat="1" applyFont="1" applyFill="1" applyProtection="1"/>
    <xf numFmtId="179" fontId="11" fillId="0" borderId="0" xfId="0" applyNumberFormat="1" applyFont="1"/>
    <xf numFmtId="179" fontId="11" fillId="0" borderId="0" xfId="2" applyNumberFormat="1" applyFont="1" applyFill="1"/>
    <xf numFmtId="37" fontId="30" fillId="0" borderId="0" xfId="0" applyFont="1"/>
    <xf numFmtId="170" fontId="11" fillId="0" borderId="0" xfId="2" applyNumberFormat="1" applyFont="1" applyFill="1" applyBorder="1"/>
    <xf numFmtId="171" fontId="11" fillId="0" borderId="0" xfId="2" applyNumberFormat="1" applyFont="1" applyFill="1"/>
    <xf numFmtId="172" fontId="11" fillId="0" borderId="0" xfId="0" applyNumberFormat="1" applyFont="1"/>
    <xf numFmtId="178" fontId="17" fillId="0" borderId="0" xfId="1" applyNumberFormat="1" applyFont="1" applyFill="1" applyBorder="1"/>
    <xf numFmtId="178" fontId="11" fillId="0" borderId="0" xfId="0" applyNumberFormat="1" applyFont="1"/>
    <xf numFmtId="178" fontId="11" fillId="0" borderId="3" xfId="0" applyNumberFormat="1" applyFont="1" applyBorder="1"/>
    <xf numFmtId="178" fontId="17" fillId="0" borderId="0" xfId="0" applyNumberFormat="1" applyFont="1"/>
    <xf numFmtId="184" fontId="17" fillId="0" borderId="0" xfId="0" applyNumberFormat="1" applyFont="1" applyAlignment="1">
      <alignment horizontal="right"/>
    </xf>
    <xf numFmtId="37" fontId="32" fillId="0" borderId="0" xfId="0" applyFont="1"/>
    <xf numFmtId="179" fontId="11" fillId="0" borderId="0" xfId="6" applyNumberFormat="1" applyFont="1" applyFill="1"/>
    <xf numFmtId="37" fontId="11" fillId="0" borderId="0" xfId="0" applyFont="1" applyAlignment="1">
      <alignment horizontal="center" vertical="center"/>
    </xf>
    <xf numFmtId="37" fontId="11" fillId="0" borderId="0" xfId="0" applyFont="1" applyAlignment="1">
      <alignment vertical="center" wrapText="1"/>
    </xf>
    <xf numFmtId="37" fontId="11" fillId="0" borderId="0" xfId="0" applyFont="1" applyAlignment="1">
      <alignment vertical="center"/>
    </xf>
    <xf numFmtId="37" fontId="11" fillId="0" borderId="0" xfId="0" applyFont="1" applyAlignment="1">
      <alignment horizontal="right" vertical="center"/>
    </xf>
    <xf numFmtId="49" fontId="11" fillId="0" borderId="0" xfId="0" applyNumberFormat="1" applyFont="1" applyAlignment="1">
      <alignment horizontal="left" indent="1"/>
    </xf>
    <xf numFmtId="182" fontId="11" fillId="0" borderId="0" xfId="2" applyNumberFormat="1" applyFont="1" applyFill="1"/>
    <xf numFmtId="37" fontId="17" fillId="0" borderId="3" xfId="0" applyFont="1" applyBorder="1"/>
    <xf numFmtId="178" fontId="13" fillId="0" borderId="0" xfId="0" applyNumberFormat="1" applyFont="1"/>
    <xf numFmtId="1" fontId="13" fillId="0" borderId="0" xfId="0" applyNumberFormat="1" applyFont="1"/>
    <xf numFmtId="179" fontId="13" fillId="0" borderId="0" xfId="0" applyNumberFormat="1" applyFont="1"/>
    <xf numFmtId="37" fontId="13" fillId="0" borderId="3" xfId="0" applyFont="1" applyBorder="1" applyAlignment="1">
      <alignment horizontal="center" wrapText="1"/>
    </xf>
    <xf numFmtId="37" fontId="13" fillId="0" borderId="0" xfId="0" applyFont="1" applyAlignment="1">
      <alignment horizontal="center" wrapText="1"/>
    </xf>
    <xf numFmtId="37" fontId="20" fillId="0" borderId="0" xfId="0" applyFont="1"/>
    <xf numFmtId="1" fontId="11" fillId="0" borderId="0" xfId="0" applyNumberFormat="1" applyFont="1"/>
    <xf numFmtId="1" fontId="27" fillId="0" borderId="0" xfId="0" applyNumberFormat="1" applyFont="1"/>
    <xf numFmtId="37" fontId="33" fillId="0" borderId="0" xfId="0" applyFont="1"/>
    <xf numFmtId="37" fontId="11" fillId="0" borderId="0" xfId="0" applyFont="1" applyAlignment="1">
      <alignment horizontal="center" wrapText="1"/>
    </xf>
    <xf numFmtId="179" fontId="11" fillId="0" borderId="0" xfId="2" applyNumberFormat="1" applyFont="1" applyFill="1" applyBorder="1" applyProtection="1"/>
    <xf numFmtId="171" fontId="34" fillId="0" borderId="0" xfId="2" applyNumberFormat="1" applyFont="1" applyFill="1" applyBorder="1" applyProtection="1"/>
    <xf numFmtId="173" fontId="11" fillId="0" borderId="0" xfId="0" applyNumberFormat="1" applyFont="1" applyAlignment="1">
      <alignment horizontal="left" indent="3"/>
    </xf>
    <xf numFmtId="182" fontId="11" fillId="0" borderId="0" xfId="0" applyNumberFormat="1" applyFont="1"/>
    <xf numFmtId="37" fontId="11" fillId="0" borderId="0" xfId="0" applyFont="1" applyAlignment="1">
      <alignment horizontal="left" vertical="center" wrapText="1"/>
    </xf>
    <xf numFmtId="164" fontId="11" fillId="0" borderId="0" xfId="0" applyNumberFormat="1" applyFont="1" applyAlignment="1">
      <alignment vertical="center"/>
    </xf>
    <xf numFmtId="37" fontId="11" fillId="0" borderId="0" xfId="0" applyFont="1" applyAlignment="1">
      <alignment horizontal="left" vertical="center"/>
    </xf>
    <xf numFmtId="179" fontId="11" fillId="0" borderId="0" xfId="2" applyNumberFormat="1" applyFont="1" applyFill="1" applyBorder="1" applyAlignment="1" applyProtection="1">
      <alignment vertical="center"/>
    </xf>
    <xf numFmtId="37" fontId="20" fillId="0" borderId="0" xfId="0" applyFont="1" applyAlignment="1">
      <alignment horizontal="center" wrapText="1"/>
    </xf>
    <xf numFmtId="37" fontId="13" fillId="0" borderId="0" xfId="0" applyFont="1" applyAlignment="1">
      <alignment wrapText="1"/>
    </xf>
    <xf numFmtId="37" fontId="11" fillId="0" borderId="0" xfId="0" applyFont="1" applyAlignment="1">
      <alignment wrapText="1"/>
    </xf>
    <xf numFmtId="37" fontId="30" fillId="0" borderId="0" xfId="0" applyFont="1" applyAlignment="1">
      <alignment horizontal="center"/>
    </xf>
    <xf numFmtId="17" fontId="11" fillId="0" borderId="0" xfId="0" applyNumberFormat="1" applyFont="1" applyAlignment="1">
      <alignment horizontal="left"/>
    </xf>
    <xf numFmtId="7" fontId="11" fillId="0" borderId="0" xfId="2" applyNumberFormat="1" applyFont="1" applyFill="1" applyBorder="1"/>
    <xf numFmtId="164" fontId="11" fillId="0" borderId="0" xfId="2" applyNumberFormat="1" applyFont="1" applyFill="1" applyBorder="1"/>
    <xf numFmtId="49" fontId="28" fillId="0" borderId="0" xfId="2" quotePrefix="1" applyNumberFormat="1" applyFont="1" applyFill="1"/>
    <xf numFmtId="49" fontId="28" fillId="0" borderId="0" xfId="0" quotePrefix="1" applyNumberFormat="1" applyFont="1"/>
    <xf numFmtId="49" fontId="33" fillId="0" borderId="0" xfId="0" applyNumberFormat="1" applyFont="1"/>
    <xf numFmtId="49" fontId="29" fillId="0" borderId="0" xfId="0" quotePrefix="1" applyNumberFormat="1" applyFont="1"/>
    <xf numFmtId="164" fontId="11" fillId="0" borderId="0" xfId="2" applyNumberFormat="1" applyFont="1" applyFill="1"/>
    <xf numFmtId="170" fontId="11" fillId="0" borderId="0" xfId="2" applyNumberFormat="1" applyFont="1" applyFill="1"/>
    <xf numFmtId="37" fontId="11" fillId="0" borderId="0" xfId="0" applyFont="1" applyAlignment="1">
      <alignment horizontal="center" vertical="center" wrapText="1"/>
    </xf>
    <xf numFmtId="37" fontId="17" fillId="0" borderId="0" xfId="0" applyFont="1" applyAlignment="1">
      <alignment horizontal="center" vertical="center" wrapText="1"/>
    </xf>
    <xf numFmtId="49" fontId="11" fillId="0" borderId="0" xfId="0" applyNumberFormat="1" applyFont="1" applyAlignment="1">
      <alignment horizontal="left"/>
    </xf>
    <xf numFmtId="7" fontId="11" fillId="0" borderId="0" xfId="2" applyNumberFormat="1" applyFont="1" applyFill="1"/>
    <xf numFmtId="37" fontId="17" fillId="0" borderId="0" xfId="0" applyFont="1" applyAlignment="1">
      <alignment horizontal="right"/>
    </xf>
    <xf numFmtId="5" fontId="11" fillId="0" borderId="0" xfId="0" applyNumberFormat="1" applyFont="1"/>
    <xf numFmtId="179" fontId="11" fillId="0" borderId="0" xfId="2" applyNumberFormat="1" applyFont="1" applyFill="1" applyBorder="1"/>
    <xf numFmtId="171" fontId="11" fillId="0" borderId="0" xfId="2" applyNumberFormat="1" applyFont="1" applyFill="1" applyBorder="1"/>
    <xf numFmtId="5" fontId="11" fillId="0" borderId="0" xfId="2" applyNumberFormat="1" applyFont="1" applyFill="1" applyBorder="1"/>
    <xf numFmtId="5" fontId="13" fillId="0" borderId="0" xfId="2" applyNumberFormat="1" applyFont="1" applyFill="1" applyBorder="1"/>
    <xf numFmtId="180" fontId="11" fillId="0" borderId="0" xfId="0" applyNumberFormat="1" applyFont="1"/>
    <xf numFmtId="170" fontId="11" fillId="0" borderId="0" xfId="0" applyNumberFormat="1" applyFont="1"/>
    <xf numFmtId="7" fontId="11" fillId="0" borderId="0" xfId="2" applyNumberFormat="1" applyFont="1" applyFill="1" applyAlignment="1">
      <alignment horizontal="right"/>
    </xf>
    <xf numFmtId="7" fontId="13" fillId="0" borderId="0" xfId="2" applyNumberFormat="1" applyFont="1" applyFill="1"/>
    <xf numFmtId="0" fontId="11" fillId="0" borderId="0" xfId="5" applyFont="1"/>
    <xf numFmtId="0" fontId="9" fillId="0" borderId="0" xfId="5" applyFont="1"/>
    <xf numFmtId="37" fontId="13" fillId="0" borderId="0" xfId="5" applyNumberFormat="1" applyFont="1"/>
    <xf numFmtId="0" fontId="13" fillId="0" borderId="0" xfId="5" applyFont="1"/>
    <xf numFmtId="0" fontId="11" fillId="0" borderId="0" xfId="5" applyFont="1" applyAlignment="1">
      <alignment horizontal="center"/>
    </xf>
    <xf numFmtId="0" fontId="13" fillId="0" borderId="0" xfId="5" applyFont="1" applyAlignment="1">
      <alignment horizontal="center"/>
    </xf>
    <xf numFmtId="0" fontId="13" fillId="0" borderId="3" xfId="5" applyFont="1" applyBorder="1" applyAlignment="1">
      <alignment horizontal="center" wrapText="1"/>
    </xf>
    <xf numFmtId="0" fontId="13" fillId="0" borderId="0" xfId="5" applyFont="1" applyAlignment="1">
      <alignment horizontal="center" wrapText="1"/>
    </xf>
    <xf numFmtId="0" fontId="11" fillId="0" borderId="0" xfId="5" applyFont="1" applyAlignment="1">
      <alignment horizontal="center" wrapText="1"/>
    </xf>
    <xf numFmtId="0" fontId="11" fillId="0" borderId="0" xfId="5" applyFont="1" applyAlignment="1">
      <alignment horizontal="left" indent="1"/>
    </xf>
    <xf numFmtId="37" fontId="11" fillId="0" borderId="0" xfId="5" applyNumberFormat="1" applyFont="1"/>
    <xf numFmtId="3" fontId="27" fillId="0" borderId="0" xfId="5" applyNumberFormat="1" applyFont="1"/>
    <xf numFmtId="5" fontId="11" fillId="0" borderId="0" xfId="5" applyNumberFormat="1" applyFont="1"/>
    <xf numFmtId="178" fontId="11" fillId="0" borderId="0" xfId="5" applyNumberFormat="1" applyFont="1"/>
    <xf numFmtId="3" fontId="11" fillId="0" borderId="0" xfId="5" applyNumberFormat="1" applyFont="1"/>
    <xf numFmtId="10" fontId="11" fillId="0" borderId="0" xfId="5" applyNumberFormat="1" applyFont="1"/>
    <xf numFmtId="10" fontId="27" fillId="0" borderId="0" xfId="5" applyNumberFormat="1" applyFont="1"/>
    <xf numFmtId="0" fontId="11" fillId="0" borderId="0" xfId="5" applyFont="1" applyAlignment="1">
      <alignment horizontal="left" indent="2"/>
    </xf>
    <xf numFmtId="176" fontId="11" fillId="0" borderId="0" xfId="5" applyNumberFormat="1" applyFont="1"/>
    <xf numFmtId="172" fontId="11" fillId="0" borderId="0" xfId="5" applyNumberFormat="1" applyFont="1"/>
    <xf numFmtId="179" fontId="11" fillId="0" borderId="1" xfId="5" applyNumberFormat="1" applyFont="1" applyBorder="1" applyAlignment="1">
      <alignment horizontal="right"/>
    </xf>
    <xf numFmtId="179" fontId="11" fillId="0" borderId="2" xfId="5" applyNumberFormat="1" applyFont="1" applyBorder="1"/>
    <xf numFmtId="179" fontId="11" fillId="0" borderId="0" xfId="5" applyNumberFormat="1" applyFont="1"/>
    <xf numFmtId="178" fontId="11" fillId="0" borderId="2" xfId="5" applyNumberFormat="1" applyFont="1" applyBorder="1"/>
    <xf numFmtId="37" fontId="15" fillId="0" borderId="0" xfId="0" applyFont="1"/>
    <xf numFmtId="10" fontId="11" fillId="0" borderId="0" xfId="0" applyNumberFormat="1" applyFont="1"/>
    <xf numFmtId="5" fontId="17" fillId="0" borderId="0" xfId="0" applyNumberFormat="1" applyFont="1"/>
    <xf numFmtId="5" fontId="13" fillId="0" borderId="0" xfId="0" applyNumberFormat="1" applyFont="1"/>
    <xf numFmtId="168" fontId="13" fillId="0" borderId="0" xfId="0" applyNumberFormat="1" applyFont="1"/>
    <xf numFmtId="186" fontId="11" fillId="0" borderId="0" xfId="0" applyNumberFormat="1" applyFont="1"/>
    <xf numFmtId="0" fontId="11" fillId="0" borderId="0" xfId="3" applyFont="1"/>
    <xf numFmtId="175" fontId="11" fillId="0" borderId="0" xfId="0" applyNumberFormat="1" applyFont="1"/>
    <xf numFmtId="5" fontId="20" fillId="0" borderId="0" xfId="0" applyNumberFormat="1" applyFont="1"/>
    <xf numFmtId="5" fontId="35" fillId="0" borderId="0" xfId="0" applyNumberFormat="1" applyFont="1"/>
    <xf numFmtId="168" fontId="17" fillId="0" borderId="0" xfId="0" applyNumberFormat="1" applyFont="1"/>
    <xf numFmtId="173" fontId="11" fillId="0" borderId="0" xfId="0" applyNumberFormat="1" applyFont="1"/>
    <xf numFmtId="164" fontId="13" fillId="0" borderId="0" xfId="0" applyNumberFormat="1" applyFont="1"/>
    <xf numFmtId="164" fontId="35" fillId="0" borderId="0" xfId="0" applyNumberFormat="1" applyFont="1"/>
    <xf numFmtId="0" fontId="9" fillId="0" borderId="0" xfId="3" applyFont="1" applyAlignment="1">
      <alignment horizontal="left"/>
    </xf>
    <xf numFmtId="0" fontId="13" fillId="0" borderId="0" xfId="3" applyFont="1"/>
    <xf numFmtId="0" fontId="11" fillId="0" borderId="0" xfId="3" applyFont="1" applyAlignment="1">
      <alignment horizontal="right"/>
    </xf>
    <xf numFmtId="0" fontId="11" fillId="0" borderId="0" xfId="3" applyFont="1" applyAlignment="1">
      <alignment horizontal="left"/>
    </xf>
    <xf numFmtId="37" fontId="13" fillId="0" borderId="0" xfId="3" applyNumberFormat="1" applyFont="1" applyAlignment="1">
      <alignment horizontal="left"/>
    </xf>
    <xf numFmtId="0" fontId="13" fillId="0" borderId="3" xfId="3" applyFont="1" applyBorder="1" applyAlignment="1">
      <alignment horizontal="center" wrapText="1"/>
    </xf>
    <xf numFmtId="0" fontId="13" fillId="0" borderId="0" xfId="3" applyFont="1" applyAlignment="1">
      <alignment horizontal="center" wrapText="1"/>
    </xf>
    <xf numFmtId="0" fontId="11" fillId="0" borderId="0" xfId="3" applyFont="1" applyAlignment="1">
      <alignment wrapText="1"/>
    </xf>
    <xf numFmtId="0" fontId="11" fillId="0" borderId="0" xfId="3" applyFont="1" applyAlignment="1">
      <alignment horizontal="center" wrapText="1"/>
    </xf>
    <xf numFmtId="49" fontId="11" fillId="0" borderId="0" xfId="3" applyNumberFormat="1" applyFont="1" applyAlignment="1">
      <alignment horizontal="center" wrapText="1"/>
    </xf>
    <xf numFmtId="49" fontId="11" fillId="0" borderId="0" xfId="3" applyNumberFormat="1" applyFont="1" applyAlignment="1">
      <alignment wrapText="1"/>
    </xf>
    <xf numFmtId="0" fontId="13" fillId="0" borderId="0" xfId="3" applyFont="1" applyAlignment="1">
      <alignment horizontal="center"/>
    </xf>
    <xf numFmtId="0" fontId="13" fillId="0" borderId="0" xfId="3" applyFont="1" applyAlignment="1">
      <alignment horizontal="left"/>
    </xf>
    <xf numFmtId="0" fontId="11" fillId="0" borderId="0" xfId="3" applyFont="1" applyAlignment="1">
      <alignment horizontal="center"/>
    </xf>
    <xf numFmtId="0" fontId="11" fillId="0" borderId="0" xfId="3" applyFont="1" applyAlignment="1">
      <alignment horizontal="left" indent="1"/>
    </xf>
    <xf numFmtId="175" fontId="31" fillId="0" borderId="0" xfId="1" applyNumberFormat="1" applyFont="1" applyFill="1"/>
    <xf numFmtId="10" fontId="11" fillId="0" borderId="0" xfId="6" applyNumberFormat="1" applyFont="1" applyFill="1"/>
    <xf numFmtId="1" fontId="11" fillId="0" borderId="0" xfId="1" applyNumberFormat="1" applyFont="1" applyFill="1"/>
    <xf numFmtId="170" fontId="11" fillId="0" borderId="0" xfId="3" applyNumberFormat="1" applyFont="1"/>
    <xf numFmtId="164" fontId="11" fillId="0" borderId="0" xfId="3" applyNumberFormat="1" applyFont="1"/>
    <xf numFmtId="0" fontId="11" fillId="0" borderId="0" xfId="3" quotePrefix="1" applyFont="1" applyAlignment="1">
      <alignment horizontal="center"/>
    </xf>
    <xf numFmtId="0" fontId="11" fillId="0" borderId="0" xfId="3" applyFont="1" applyAlignment="1">
      <alignment horizontal="center" vertical="center"/>
    </xf>
    <xf numFmtId="0" fontId="11" fillId="0" borderId="0" xfId="3" applyFont="1" applyAlignment="1">
      <alignment vertical="center"/>
    </xf>
    <xf numFmtId="170" fontId="11" fillId="0" borderId="0" xfId="2" applyNumberFormat="1" applyFont="1" applyFill="1" applyAlignment="1">
      <alignment vertical="center"/>
    </xf>
    <xf numFmtId="0" fontId="21" fillId="0" borderId="0" xfId="3" applyFont="1"/>
    <xf numFmtId="177" fontId="11" fillId="0" borderId="0" xfId="6" applyNumberFormat="1" applyFont="1" applyFill="1"/>
    <xf numFmtId="0" fontId="15" fillId="0" borderId="0" xfId="3" applyFont="1" applyAlignment="1">
      <alignment horizontal="left"/>
    </xf>
    <xf numFmtId="0" fontId="11" fillId="0" borderId="3" xfId="3" applyFont="1" applyBorder="1" applyAlignment="1">
      <alignment wrapText="1"/>
    </xf>
    <xf numFmtId="0" fontId="13" fillId="0" borderId="0" xfId="3" applyFont="1" applyAlignment="1">
      <alignment horizontal="left" indent="2"/>
    </xf>
    <xf numFmtId="175" fontId="11" fillId="0" borderId="0" xfId="3" applyNumberFormat="1" applyFont="1"/>
    <xf numFmtId="183" fontId="11" fillId="0" borderId="0" xfId="2" applyNumberFormat="1" applyFont="1" applyFill="1"/>
    <xf numFmtId="44" fontId="11" fillId="0" borderId="0" xfId="2" applyFont="1" applyFill="1"/>
    <xf numFmtId="179" fontId="17" fillId="0" borderId="0" xfId="2" applyNumberFormat="1" applyFont="1" applyFill="1"/>
    <xf numFmtId="179" fontId="11" fillId="0" borderId="0" xfId="3" applyNumberFormat="1" applyFont="1"/>
    <xf numFmtId="171" fontId="11" fillId="0" borderId="0" xfId="3" applyNumberFormat="1" applyFont="1"/>
    <xf numFmtId="0" fontId="32" fillId="0" borderId="0" xfId="4" applyFont="1"/>
    <xf numFmtId="0" fontId="54" fillId="0" borderId="0" xfId="4" applyFont="1"/>
    <xf numFmtId="0" fontId="32" fillId="0" borderId="0" xfId="4" applyFont="1" applyAlignment="1">
      <alignment horizontal="right"/>
    </xf>
    <xf numFmtId="0" fontId="54" fillId="0" borderId="0" xfId="4" applyFont="1" applyAlignment="1">
      <alignment horizontal="right"/>
    </xf>
    <xf numFmtId="0" fontId="54" fillId="0" borderId="0" xfId="4" applyFont="1" applyAlignment="1">
      <alignment horizontal="center"/>
    </xf>
    <xf numFmtId="178" fontId="54" fillId="0" borderId="0" xfId="4" applyNumberFormat="1" applyFont="1"/>
    <xf numFmtId="185" fontId="56" fillId="0" borderId="0" xfId="4" applyNumberFormat="1" applyFont="1"/>
    <xf numFmtId="0" fontId="54" fillId="0" borderId="0" xfId="4" applyFont="1" applyAlignment="1">
      <alignment horizontal="centerContinuous"/>
    </xf>
    <xf numFmtId="179" fontId="54" fillId="0" borderId="0" xfId="4" applyNumberFormat="1" applyFont="1"/>
    <xf numFmtId="182" fontId="54" fillId="0" borderId="0" xfId="4" applyNumberFormat="1" applyFont="1"/>
    <xf numFmtId="185" fontId="54" fillId="0" borderId="0" xfId="4" applyNumberFormat="1" applyFont="1"/>
    <xf numFmtId="178" fontId="56" fillId="0" borderId="0" xfId="4" applyNumberFormat="1" applyFont="1"/>
    <xf numFmtId="164" fontId="54" fillId="0" borderId="0" xfId="4" applyNumberFormat="1" applyFont="1"/>
    <xf numFmtId="164" fontId="32" fillId="0" borderId="11" xfId="4" applyNumberFormat="1" applyFont="1" applyBorder="1"/>
    <xf numFmtId="37" fontId="13" fillId="0" borderId="3" xfId="0" applyFont="1" applyBorder="1" applyAlignment="1">
      <alignment horizontal="center"/>
    </xf>
    <xf numFmtId="37" fontId="13" fillId="0" borderId="3" xfId="0" applyFont="1" applyBorder="1" applyAlignment="1">
      <alignment horizontal="center" wrapText="1"/>
    </xf>
    <xf numFmtId="0" fontId="13" fillId="0" borderId="3" xfId="3" applyFont="1" applyBorder="1" applyAlignment="1">
      <alignment horizontal="center" wrapText="1"/>
    </xf>
    <xf numFmtId="0" fontId="37" fillId="0" borderId="0" xfId="7" applyFont="1" applyAlignment="1">
      <alignment horizontal="center"/>
    </xf>
    <xf numFmtId="0" fontId="38" fillId="0" borderId="0" xfId="7" applyFont="1" applyAlignment="1">
      <alignment horizontal="center" vertical="center"/>
    </xf>
    <xf numFmtId="0" fontId="57" fillId="0" borderId="5" xfId="7" applyFont="1" applyBorder="1" applyAlignment="1">
      <alignment horizontal="left" wrapText="1"/>
    </xf>
    <xf numFmtId="0" fontId="57" fillId="0" borderId="4" xfId="7" applyFont="1" applyBorder="1" applyAlignment="1">
      <alignment horizontal="left" wrapText="1"/>
    </xf>
    <xf numFmtId="0" fontId="57" fillId="0" borderId="6" xfId="7" applyFont="1" applyBorder="1" applyAlignment="1">
      <alignment horizontal="left" wrapText="1"/>
    </xf>
    <xf numFmtId="0" fontId="57" fillId="0" borderId="7" xfId="7" applyFont="1" applyBorder="1" applyAlignment="1">
      <alignment horizontal="left" wrapText="1"/>
    </xf>
    <xf numFmtId="0" fontId="57" fillId="0" borderId="0" xfId="7" applyFont="1" applyAlignment="1">
      <alignment horizontal="left" wrapText="1"/>
    </xf>
    <xf numFmtId="0" fontId="57" fillId="0" borderId="8" xfId="7" applyFont="1" applyBorder="1" applyAlignment="1">
      <alignment horizontal="left" wrapText="1"/>
    </xf>
    <xf numFmtId="0" fontId="57" fillId="0" borderId="9" xfId="7" applyFont="1" applyBorder="1" applyAlignment="1">
      <alignment horizontal="left" wrapText="1"/>
    </xf>
    <xf numFmtId="0" fontId="57" fillId="0" borderId="3" xfId="7" applyFont="1" applyBorder="1" applyAlignment="1">
      <alignment horizontal="left" wrapText="1"/>
    </xf>
    <xf numFmtId="0" fontId="57" fillId="0" borderId="10" xfId="7" applyFont="1" applyBorder="1" applyAlignment="1">
      <alignment horizontal="left" wrapText="1"/>
    </xf>
  </cellXfs>
  <cellStyles count="25">
    <cellStyle name="Comma" xfId="1" builtinId="3"/>
    <cellStyle name="Comma 2" xfId="8" xr:uid="{00000000-0005-0000-0000-000001000000}"/>
    <cellStyle name="Comma 2 2" xfId="16" xr:uid="{00000000-0005-0000-0000-000002000000}"/>
    <cellStyle name="Comma 2 2 2" xfId="24" xr:uid="{5B6939FE-7FEE-4C62-B281-7351E208C8A1}"/>
    <cellStyle name="Comma 2 3" xfId="18" xr:uid="{361671AC-90AF-4A43-9EBC-14B71F921CBD}"/>
    <cellStyle name="Comma 3" xfId="10" xr:uid="{00000000-0005-0000-0000-000003000000}"/>
    <cellStyle name="Comma 3 2" xfId="20" xr:uid="{87517BC9-AF21-46EC-B8A2-E5A5873FFF74}"/>
    <cellStyle name="Currency" xfId="2" builtinId="4"/>
    <cellStyle name="Normal" xfId="0" builtinId="0"/>
    <cellStyle name="Normal 2" xfId="7" xr:uid="{00000000-0005-0000-0000-000006000000}"/>
    <cellStyle name="Normal 2 2" xfId="12" xr:uid="{00000000-0005-0000-0000-000007000000}"/>
    <cellStyle name="Normal 2 3" xfId="15" xr:uid="{00000000-0005-0000-0000-000008000000}"/>
    <cellStyle name="Normal 2 3 2" xfId="23" xr:uid="{2011033A-BD72-45F8-9A76-118DD99C6467}"/>
    <cellStyle name="Normal 2 4" xfId="17" xr:uid="{F954375D-07D6-488B-A9C2-44294CE9CB84}"/>
    <cellStyle name="Normal 3" xfId="9" xr:uid="{00000000-0005-0000-0000-000009000000}"/>
    <cellStyle name="Normal 3 2" xfId="19" xr:uid="{CF02BF5D-5B0E-4809-AE38-A53B2A617B6E}"/>
    <cellStyle name="Normal 4" xfId="13" xr:uid="{00000000-0005-0000-0000-00000A000000}"/>
    <cellStyle name="Normal 4 2" xfId="22" xr:uid="{3015E623-6DE0-4D44-B62F-BD8ADBCB4E6E}"/>
    <cellStyle name="Normal 6" xfId="14" xr:uid="{00000000-0005-0000-0000-00000B000000}"/>
    <cellStyle name="Normal_Bal charge Apr05" xfId="3" xr:uid="{00000000-0005-0000-0000-00000C000000}"/>
    <cellStyle name="Normal_Demand-Commodity Split for tariff" xfId="4" xr:uid="{00000000-0005-0000-0000-00000D000000}"/>
    <cellStyle name="Normal_GCR allocate retention cost" xfId="5" xr:uid="{00000000-0005-0000-0000-00000E000000}"/>
    <cellStyle name="Percent" xfId="6" builtinId="5"/>
    <cellStyle name="Percent 2" xfId="11" xr:uid="{00000000-0005-0000-0000-000010000000}"/>
    <cellStyle name="Percent 2 2" xfId="21" xr:uid="{9A9847C4-9EC7-49DE-B761-B9F95197EC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CC99FF"/>
      <color rgb="FF66CCFF"/>
      <color rgb="FFCCFF99"/>
      <color rgb="FFFF00FF"/>
      <color rgb="FFFFFF66"/>
      <color rgb="FFCCFFCC"/>
      <color rgb="FF99CCFF"/>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28" transitionEvaluation="1" transitionEntry="1" codeName="Sheet2">
    <pageSetUpPr fitToPage="1"/>
  </sheetPr>
  <dimension ref="A1:BE269"/>
  <sheetViews>
    <sheetView showGridLines="0" tabSelected="1" topLeftCell="A28" zoomScaleNormal="100" zoomScaleSheetLayoutView="90" workbookViewId="0">
      <selection activeCell="G41" sqref="G41"/>
    </sheetView>
  </sheetViews>
  <sheetFormatPr defaultColWidth="9.7265625" defaultRowHeight="13" x14ac:dyDescent="0.3"/>
  <cols>
    <col min="1" max="1" width="5" style="51" customWidth="1"/>
    <col min="2" max="2" width="41" style="51" customWidth="1"/>
    <col min="3" max="3" width="11.7265625" style="51" customWidth="1"/>
    <col min="4" max="4" width="24" style="51" bestFit="1" customWidth="1"/>
    <col min="5" max="5" width="15.7265625" style="51" bestFit="1" customWidth="1"/>
    <col min="6" max="6" width="10.6328125" style="51" customWidth="1"/>
    <col min="7" max="7" width="14.26953125" style="51" customWidth="1"/>
    <col min="8" max="8" width="10.54296875" style="51" customWidth="1"/>
    <col min="9" max="9" width="12.26953125" style="51" customWidth="1"/>
    <col min="10" max="10" width="12.54296875" style="51" customWidth="1"/>
    <col min="11" max="11" width="8.453125" style="51" customWidth="1"/>
    <col min="12" max="12" width="12.453125" style="51" customWidth="1"/>
    <col min="13" max="13" width="2.26953125" style="51" customWidth="1"/>
    <col min="14" max="14" width="3.26953125" style="51" customWidth="1"/>
    <col min="15" max="15" width="2.26953125" style="51" customWidth="1"/>
    <col min="16" max="16" width="3.7265625" style="51" customWidth="1"/>
    <col min="17" max="17" width="35.26953125" style="51" customWidth="1"/>
    <col min="18" max="18" width="12.7265625" style="51" customWidth="1"/>
    <col min="19" max="19" width="9.54296875" style="51" customWidth="1"/>
    <col min="20" max="20" width="12.7265625" style="51" customWidth="1"/>
    <col min="21" max="21" width="11.7265625" style="51" customWidth="1"/>
    <col min="22" max="22" width="13.7265625" style="51" customWidth="1"/>
    <col min="23" max="23" width="12.7265625" style="51" customWidth="1"/>
    <col min="24" max="25" width="9.7265625" style="51"/>
    <col min="26" max="26" width="7.7265625" style="51" customWidth="1"/>
    <col min="27" max="27" width="5" style="51" customWidth="1"/>
    <col min="28" max="28" width="35.7265625" style="51" customWidth="1"/>
    <col min="29" max="29" width="12.7265625" style="51" customWidth="1"/>
    <col min="30" max="30" width="14" style="51" customWidth="1"/>
    <col min="31" max="31" width="14.26953125" style="51" customWidth="1"/>
    <col min="32" max="32" width="13.7265625" style="51" customWidth="1"/>
    <col min="33" max="33" width="10" style="51" customWidth="1"/>
    <col min="34" max="34" width="11.7265625" style="51" customWidth="1"/>
    <col min="35" max="38" width="9.7265625" style="51"/>
    <col min="39" max="40" width="12.7265625" style="51" customWidth="1"/>
    <col min="41" max="41" width="9.7265625" style="51"/>
    <col min="42" max="42" width="11.7265625" style="51" customWidth="1"/>
    <col min="43" max="43" width="9.7265625" style="51"/>
    <col min="44" max="45" width="11.7265625" style="51" customWidth="1"/>
    <col min="46" max="46" width="12.7265625" style="51" customWidth="1"/>
    <col min="47" max="47" width="1.7265625" style="51" customWidth="1"/>
    <col min="48" max="48" width="12.7265625" style="51" customWidth="1"/>
    <col min="49" max="51" width="11.7265625" style="51" customWidth="1"/>
    <col min="52" max="52" width="9.7265625" style="51" customWidth="1"/>
    <col min="53" max="53" width="11.7265625" style="51" customWidth="1"/>
    <col min="54" max="54" width="10.7265625" style="51" customWidth="1"/>
    <col min="55" max="55" width="30.7265625" style="51" customWidth="1"/>
    <col min="56" max="56" width="12.7265625" style="51" customWidth="1"/>
    <col min="57" max="57" width="13.7265625" style="51" customWidth="1"/>
    <col min="58" max="58" width="11.7265625" style="51" customWidth="1"/>
    <col min="59" max="16384" width="9.7265625" style="51"/>
  </cols>
  <sheetData>
    <row r="1" spans="1:22" ht="18.5" x14ac:dyDescent="0.45">
      <c r="A1" s="49" t="s">
        <v>98</v>
      </c>
      <c r="B1" s="50"/>
      <c r="D1" s="50"/>
      <c r="E1" s="50"/>
      <c r="F1" s="52"/>
      <c r="G1" s="53"/>
      <c r="K1" s="55"/>
      <c r="L1" s="55"/>
      <c r="R1" s="54"/>
      <c r="U1" s="55"/>
      <c r="V1" s="55"/>
    </row>
    <row r="2" spans="1:22" ht="18.5" x14ac:dyDescent="0.45">
      <c r="A2" s="52" t="s">
        <v>252</v>
      </c>
      <c r="B2" s="50"/>
      <c r="D2" s="50"/>
      <c r="E2" s="56"/>
      <c r="F2" s="50"/>
      <c r="G2" s="50"/>
      <c r="R2" s="54"/>
    </row>
    <row r="3" spans="1:22" ht="18.5" x14ac:dyDescent="0.45">
      <c r="A3" s="50"/>
      <c r="B3" s="50"/>
      <c r="C3" s="50"/>
      <c r="D3" s="57"/>
      <c r="E3" s="58"/>
      <c r="F3" s="50"/>
      <c r="G3" s="50"/>
      <c r="R3" s="59"/>
    </row>
    <row r="4" spans="1:22" ht="15.5" x14ac:dyDescent="0.35">
      <c r="A4" s="58" t="s">
        <v>4</v>
      </c>
      <c r="B4" s="50"/>
      <c r="C4" s="50"/>
      <c r="D4" s="60" t="s">
        <v>398</v>
      </c>
      <c r="E4" s="60" t="s">
        <v>401</v>
      </c>
      <c r="F4" s="50"/>
      <c r="G4" s="50"/>
      <c r="I4" s="61"/>
      <c r="J4" s="61"/>
      <c r="P4" s="62"/>
      <c r="S4" s="61"/>
      <c r="T4" s="61"/>
    </row>
    <row r="5" spans="1:22" ht="15.5" x14ac:dyDescent="0.35">
      <c r="A5" s="63" t="s">
        <v>5</v>
      </c>
      <c r="B5" s="50"/>
      <c r="C5" s="50"/>
      <c r="D5" s="63" t="s">
        <v>6</v>
      </c>
      <c r="E5" s="63" t="s">
        <v>7</v>
      </c>
      <c r="F5" s="64"/>
      <c r="G5" s="63" t="s">
        <v>8</v>
      </c>
      <c r="I5" s="65"/>
      <c r="J5" s="65"/>
      <c r="K5" s="66"/>
      <c r="L5" s="65"/>
      <c r="P5" s="65"/>
      <c r="S5" s="65"/>
      <c r="T5" s="65"/>
      <c r="U5" s="66"/>
      <c r="V5" s="65"/>
    </row>
    <row r="6" spans="1:22" ht="15.5" x14ac:dyDescent="0.35">
      <c r="A6" s="50">
        <v>1</v>
      </c>
      <c r="B6" s="67" t="s">
        <v>150</v>
      </c>
      <c r="C6" s="50"/>
      <c r="D6" s="68">
        <v>4.7265999999999995</v>
      </c>
      <c r="E6" s="68">
        <f>'1 EGC'!G49</f>
        <v>3.7112000000000003</v>
      </c>
      <c r="F6" s="69"/>
      <c r="G6" s="68">
        <f>E6-D6</f>
        <v>-1.0153999999999992</v>
      </c>
      <c r="I6" s="70"/>
      <c r="J6" s="70"/>
      <c r="L6" s="71"/>
      <c r="Q6" s="72"/>
      <c r="S6" s="70"/>
      <c r="T6" s="70"/>
      <c r="V6" s="71"/>
    </row>
    <row r="7" spans="1:22" ht="15.5" x14ac:dyDescent="0.35">
      <c r="A7" s="50"/>
      <c r="B7" s="50"/>
      <c r="C7" s="50"/>
      <c r="D7" s="73"/>
      <c r="E7" s="68"/>
      <c r="F7" s="69"/>
      <c r="G7" s="68"/>
      <c r="I7" s="70"/>
      <c r="J7" s="70"/>
      <c r="L7" s="62"/>
      <c r="S7" s="70"/>
      <c r="T7" s="70"/>
      <c r="V7" s="62"/>
    </row>
    <row r="8" spans="1:22" ht="15.5" x14ac:dyDescent="0.35">
      <c r="A8" s="50">
        <v>2</v>
      </c>
      <c r="B8" s="67" t="s">
        <v>151</v>
      </c>
      <c r="C8" s="50"/>
      <c r="D8" s="74">
        <v>3.3029000000000002</v>
      </c>
      <c r="E8" s="74">
        <f>'1 EGC'!G51</f>
        <v>3.2745000000000002</v>
      </c>
      <c r="F8" s="75"/>
      <c r="G8" s="74">
        <f>E8-D8</f>
        <v>-2.8399999999999981E-2</v>
      </c>
      <c r="H8" s="76"/>
      <c r="I8" s="77"/>
      <c r="J8" s="77"/>
      <c r="K8" s="66"/>
      <c r="L8" s="78"/>
      <c r="Q8" s="72"/>
      <c r="S8" s="77"/>
      <c r="T8" s="77"/>
      <c r="U8" s="66"/>
      <c r="V8" s="78"/>
    </row>
    <row r="9" spans="1:22" ht="15.5" x14ac:dyDescent="0.35">
      <c r="A9" s="50"/>
      <c r="B9" s="50"/>
      <c r="C9" s="50"/>
      <c r="D9" s="68"/>
      <c r="E9" s="68"/>
      <c r="F9" s="69"/>
      <c r="G9" s="68"/>
      <c r="I9" s="62"/>
      <c r="J9" s="62"/>
      <c r="L9" s="62"/>
      <c r="S9" s="62"/>
      <c r="T9" s="62"/>
      <c r="V9" s="62"/>
    </row>
    <row r="10" spans="1:22" ht="15.5" x14ac:dyDescent="0.35">
      <c r="A10" s="50">
        <v>3</v>
      </c>
      <c r="B10" s="67" t="s">
        <v>152</v>
      </c>
      <c r="C10" s="50"/>
      <c r="D10" s="68">
        <f>D6+D8</f>
        <v>8.0294999999999987</v>
      </c>
      <c r="E10" s="68">
        <f>E6+E8</f>
        <v>6.9857000000000005</v>
      </c>
      <c r="F10" s="69"/>
      <c r="G10" s="68">
        <f>E10-D10</f>
        <v>-1.0437999999999983</v>
      </c>
      <c r="I10" s="70"/>
      <c r="J10" s="70"/>
      <c r="L10" s="71"/>
      <c r="Q10" s="72"/>
      <c r="S10" s="70"/>
      <c r="T10" s="70"/>
      <c r="V10" s="71"/>
    </row>
    <row r="11" spans="1:22" ht="15.5" x14ac:dyDescent="0.35">
      <c r="A11" s="50"/>
      <c r="B11" s="50"/>
      <c r="C11" s="50"/>
      <c r="D11" s="68"/>
      <c r="E11" s="68"/>
      <c r="F11" s="69"/>
      <c r="G11" s="68"/>
      <c r="I11" s="62"/>
      <c r="J11" s="62"/>
      <c r="L11" s="62"/>
      <c r="S11" s="62"/>
      <c r="T11" s="62"/>
      <c r="V11" s="62"/>
    </row>
    <row r="12" spans="1:22" ht="15.5" x14ac:dyDescent="0.35">
      <c r="A12" s="50">
        <v>4</v>
      </c>
      <c r="B12" s="67" t="s">
        <v>9</v>
      </c>
      <c r="C12" s="50"/>
      <c r="D12" s="68">
        <v>0</v>
      </c>
      <c r="E12" s="68">
        <f>F50</f>
        <v>0</v>
      </c>
      <c r="F12" s="69"/>
      <c r="G12" s="68">
        <f>E12-D12</f>
        <v>0</v>
      </c>
      <c r="I12" s="71"/>
      <c r="J12" s="71"/>
      <c r="K12" s="79"/>
      <c r="L12" s="71"/>
      <c r="Q12" s="72"/>
      <c r="S12" s="71"/>
      <c r="T12" s="71"/>
      <c r="U12" s="79"/>
      <c r="V12" s="71"/>
    </row>
    <row r="13" spans="1:22" ht="15.5" x14ac:dyDescent="0.35">
      <c r="A13" s="50"/>
      <c r="B13" s="50"/>
      <c r="C13" s="50"/>
      <c r="D13" s="68"/>
      <c r="E13" s="68"/>
      <c r="F13" s="69"/>
      <c r="G13" s="68"/>
      <c r="I13" s="71"/>
      <c r="J13" s="71"/>
      <c r="K13" s="79"/>
      <c r="L13" s="71"/>
      <c r="Q13" s="72"/>
      <c r="S13" s="62"/>
      <c r="T13" s="62"/>
      <c r="V13" s="62"/>
    </row>
    <row r="14" spans="1:22" ht="15.5" x14ac:dyDescent="0.35">
      <c r="A14" s="50">
        <v>5</v>
      </c>
      <c r="B14" s="67" t="s">
        <v>10</v>
      </c>
      <c r="C14" s="50"/>
      <c r="D14" s="68">
        <v>-3.7228245505461842E-3</v>
      </c>
      <c r="E14" s="68">
        <f>F54</f>
        <v>0.1678</v>
      </c>
      <c r="F14" s="69"/>
      <c r="G14" s="68">
        <f>E14-D14</f>
        <v>0.17152282455054618</v>
      </c>
      <c r="I14" s="71"/>
      <c r="J14" s="71"/>
      <c r="K14" s="79"/>
      <c r="L14" s="71"/>
      <c r="Q14" s="72"/>
      <c r="S14" s="71"/>
      <c r="T14" s="71"/>
      <c r="U14" s="79"/>
      <c r="V14" s="71"/>
    </row>
    <row r="15" spans="1:22" ht="15.5" x14ac:dyDescent="0.35">
      <c r="A15" s="50"/>
      <c r="B15" s="50"/>
      <c r="C15" s="50"/>
      <c r="D15" s="68"/>
      <c r="E15" s="68"/>
      <c r="F15" s="69"/>
      <c r="G15" s="68"/>
      <c r="I15" s="71"/>
      <c r="J15" s="71"/>
      <c r="K15" s="79"/>
      <c r="L15" s="71"/>
      <c r="Q15" s="72"/>
      <c r="S15" s="62"/>
      <c r="T15" s="62"/>
      <c r="V15" s="62"/>
    </row>
    <row r="16" spans="1:22" ht="15.5" x14ac:dyDescent="0.35">
      <c r="A16" s="50">
        <v>6</v>
      </c>
      <c r="B16" s="67" t="s">
        <v>11</v>
      </c>
      <c r="C16" s="50"/>
      <c r="D16" s="68">
        <v>0</v>
      </c>
      <c r="E16" s="68">
        <v>-0.38030000000000003</v>
      </c>
      <c r="F16" s="69"/>
      <c r="G16" s="68">
        <f>E16-D16</f>
        <v>-0.38030000000000003</v>
      </c>
      <c r="I16" s="71"/>
      <c r="J16" s="71"/>
      <c r="K16" s="79"/>
      <c r="L16" s="71"/>
      <c r="Q16" s="72"/>
      <c r="S16" s="71"/>
      <c r="T16" s="71"/>
      <c r="U16" s="79"/>
      <c r="V16" s="71"/>
    </row>
    <row r="17" spans="1:22" ht="15.5" x14ac:dyDescent="0.35">
      <c r="A17" s="50"/>
      <c r="B17" s="50"/>
      <c r="C17" s="50"/>
      <c r="D17" s="68"/>
      <c r="E17" s="68"/>
      <c r="F17" s="69"/>
      <c r="G17" s="68"/>
      <c r="I17" s="71"/>
      <c r="J17" s="71"/>
      <c r="K17" s="79"/>
      <c r="L17" s="71"/>
      <c r="Q17" s="72"/>
      <c r="S17" s="62"/>
      <c r="T17" s="62"/>
      <c r="V17" s="62"/>
    </row>
    <row r="18" spans="1:22" ht="15.5" x14ac:dyDescent="0.35">
      <c r="A18" s="50">
        <v>7</v>
      </c>
      <c r="B18" s="67" t="s">
        <v>12</v>
      </c>
      <c r="C18" s="50"/>
      <c r="D18" s="68">
        <v>-0.53</v>
      </c>
      <c r="E18" s="68">
        <f>F43</f>
        <v>-0.3755</v>
      </c>
      <c r="F18" s="69"/>
      <c r="G18" s="68">
        <f>E18-D18</f>
        <v>0.15450000000000003</v>
      </c>
      <c r="I18" s="71"/>
      <c r="J18" s="71"/>
      <c r="K18" s="79"/>
      <c r="L18" s="71"/>
      <c r="Q18" s="72"/>
      <c r="S18" s="71"/>
      <c r="T18" s="71"/>
      <c r="U18" s="79"/>
      <c r="V18" s="71"/>
    </row>
    <row r="19" spans="1:22" ht="15.5" x14ac:dyDescent="0.35">
      <c r="A19" s="50"/>
      <c r="B19" s="50"/>
      <c r="C19" s="50"/>
      <c r="D19" s="68"/>
      <c r="E19" s="68"/>
      <c r="F19" s="69"/>
      <c r="G19" s="68"/>
      <c r="I19" s="71"/>
      <c r="J19" s="71"/>
      <c r="K19" s="79"/>
      <c r="L19" s="71"/>
      <c r="Q19" s="72"/>
      <c r="S19" s="62"/>
      <c r="T19" s="62"/>
      <c r="V19" s="62"/>
    </row>
    <row r="20" spans="1:22" ht="15.5" x14ac:dyDescent="0.35">
      <c r="A20" s="50">
        <v>8</v>
      </c>
      <c r="B20" s="67" t="s">
        <v>250</v>
      </c>
      <c r="C20" s="50"/>
      <c r="D20" s="74">
        <v>0.38819999999999999</v>
      </c>
      <c r="E20" s="74">
        <f>F56</f>
        <v>0.38819999999999999</v>
      </c>
      <c r="F20" s="75"/>
      <c r="G20" s="74">
        <f>E20-D20</f>
        <v>0</v>
      </c>
      <c r="I20" s="78"/>
      <c r="J20" s="78"/>
      <c r="K20" s="80"/>
      <c r="L20" s="78"/>
      <c r="Q20" s="72"/>
      <c r="S20" s="78"/>
      <c r="T20" s="78"/>
      <c r="U20" s="80"/>
      <c r="V20" s="78"/>
    </row>
    <row r="21" spans="1:22" ht="15.5" x14ac:dyDescent="0.35">
      <c r="A21" s="50"/>
      <c r="B21" s="50"/>
      <c r="C21" s="50"/>
      <c r="D21" s="68"/>
      <c r="E21" s="68"/>
      <c r="F21" s="69"/>
      <c r="G21" s="68"/>
      <c r="I21" s="71"/>
      <c r="J21" s="71"/>
      <c r="K21" s="79"/>
      <c r="L21" s="71"/>
      <c r="S21" s="71"/>
      <c r="T21" s="71"/>
      <c r="U21" s="79"/>
      <c r="V21" s="71"/>
    </row>
    <row r="22" spans="1:22" ht="15.5" x14ac:dyDescent="0.35">
      <c r="A22" s="50">
        <v>9</v>
      </c>
      <c r="B22" s="67" t="s">
        <v>122</v>
      </c>
      <c r="C22" s="50"/>
      <c r="D22" s="68">
        <f>SUM(D10:D20)</f>
        <v>7.8839771754494521</v>
      </c>
      <c r="E22" s="68">
        <f>SUM(E10:E20)</f>
        <v>6.7859000000000007</v>
      </c>
      <c r="F22" s="69"/>
      <c r="G22" s="68">
        <f>E22-D22</f>
        <v>-1.0980771754494514</v>
      </c>
      <c r="I22" s="70"/>
      <c r="J22" s="70"/>
      <c r="K22" s="73"/>
      <c r="L22" s="71"/>
      <c r="Q22" s="72"/>
      <c r="S22" s="70"/>
      <c r="T22" s="70"/>
      <c r="U22" s="73"/>
      <c r="V22" s="71"/>
    </row>
    <row r="23" spans="1:22" ht="15.5" x14ac:dyDescent="0.35">
      <c r="A23" s="50"/>
      <c r="B23" s="50"/>
      <c r="C23" s="50"/>
      <c r="D23" s="68"/>
      <c r="E23" s="68"/>
      <c r="F23" s="69"/>
      <c r="G23" s="68"/>
      <c r="I23" s="71"/>
      <c r="J23" s="71"/>
      <c r="K23" s="79"/>
      <c r="L23" s="71"/>
      <c r="S23" s="71"/>
      <c r="T23" s="71"/>
      <c r="U23" s="79"/>
      <c r="V23" s="71"/>
    </row>
    <row r="24" spans="1:22" ht="15.5" x14ac:dyDescent="0.35">
      <c r="A24" s="50"/>
      <c r="B24" s="50"/>
      <c r="C24" s="50"/>
      <c r="D24" s="68"/>
      <c r="E24" s="68"/>
      <c r="F24" s="69"/>
      <c r="G24" s="68"/>
      <c r="I24" s="71"/>
      <c r="J24" s="71"/>
      <c r="K24" s="79"/>
      <c r="L24" s="71"/>
      <c r="S24" s="71"/>
      <c r="T24" s="71"/>
      <c r="U24" s="79"/>
      <c r="V24" s="71"/>
    </row>
    <row r="25" spans="1:22" ht="15.5" x14ac:dyDescent="0.35">
      <c r="A25" s="50">
        <v>10</v>
      </c>
      <c r="B25" s="67" t="s">
        <v>123</v>
      </c>
      <c r="C25" s="50"/>
      <c r="D25" s="68">
        <v>4.7300000000000002E-2</v>
      </c>
      <c r="E25" s="68">
        <f>'8 BankBal'!G53</f>
        <v>4.6899999999999997E-2</v>
      </c>
      <c r="F25" s="69"/>
      <c r="G25" s="68">
        <f>E25-D25</f>
        <v>-4.0000000000000452E-4</v>
      </c>
      <c r="I25" s="71"/>
      <c r="J25" s="71"/>
      <c r="K25" s="79"/>
      <c r="L25" s="71"/>
      <c r="Q25" s="72"/>
      <c r="S25" s="71"/>
      <c r="T25" s="71"/>
      <c r="U25" s="79"/>
      <c r="V25" s="71"/>
    </row>
    <row r="26" spans="1:22" ht="15.5" x14ac:dyDescent="0.35">
      <c r="A26" s="50"/>
      <c r="B26" s="50"/>
      <c r="C26" s="50"/>
      <c r="D26" s="45"/>
      <c r="E26" s="68"/>
      <c r="F26" s="69"/>
      <c r="G26" s="68"/>
      <c r="I26" s="71"/>
      <c r="J26" s="71"/>
      <c r="K26" s="79"/>
      <c r="L26" s="71"/>
      <c r="S26" s="71"/>
      <c r="T26" s="71"/>
      <c r="U26" s="79"/>
      <c r="V26" s="71"/>
    </row>
    <row r="27" spans="1:22" ht="15.5" x14ac:dyDescent="0.35">
      <c r="A27" s="50">
        <v>11</v>
      </c>
      <c r="B27" s="67" t="s">
        <v>13</v>
      </c>
      <c r="C27" s="52"/>
      <c r="D27" s="68"/>
      <c r="E27" s="68"/>
      <c r="F27" s="69"/>
      <c r="G27" s="68"/>
      <c r="I27" s="62"/>
      <c r="J27" s="62"/>
      <c r="L27" s="62"/>
      <c r="Q27" s="72"/>
      <c r="S27" s="62"/>
      <c r="T27" s="62"/>
      <c r="V27" s="62"/>
    </row>
    <row r="28" spans="1:22" ht="15.5" x14ac:dyDescent="0.35">
      <c r="A28" s="50">
        <v>12</v>
      </c>
      <c r="B28" s="67" t="s">
        <v>14</v>
      </c>
      <c r="C28" s="50"/>
      <c r="D28" s="68">
        <v>18.840599999999998</v>
      </c>
      <c r="E28" s="68">
        <f>'4 DemCr'!E25</f>
        <v>18.623999999999999</v>
      </c>
      <c r="F28" s="69"/>
      <c r="G28" s="68">
        <f>E28-D28</f>
        <v>-0.21659999999999968</v>
      </c>
      <c r="I28" s="62"/>
      <c r="J28" s="62"/>
      <c r="K28" s="73"/>
      <c r="L28" s="71"/>
      <c r="Q28" s="72"/>
      <c r="S28" s="70"/>
      <c r="T28" s="70"/>
      <c r="U28" s="73"/>
      <c r="V28" s="71"/>
    </row>
    <row r="29" spans="1:22" ht="15.5" x14ac:dyDescent="0.35">
      <c r="A29" s="50"/>
      <c r="B29" s="50"/>
      <c r="C29" s="50"/>
      <c r="D29" s="50"/>
      <c r="E29" s="50"/>
      <c r="F29" s="50"/>
      <c r="G29" s="50"/>
      <c r="I29" s="62"/>
      <c r="J29" s="62"/>
    </row>
    <row r="30" spans="1:22" ht="15.5" x14ac:dyDescent="0.35">
      <c r="A30" s="50"/>
      <c r="B30" s="50"/>
      <c r="C30" s="50"/>
      <c r="D30" s="81"/>
      <c r="E30" s="81"/>
      <c r="F30" s="81"/>
      <c r="G30" s="81"/>
      <c r="H30" s="79"/>
      <c r="I30" s="79"/>
      <c r="J30" s="79"/>
      <c r="K30" s="79"/>
      <c r="L30" s="79"/>
      <c r="S30" s="79"/>
      <c r="T30" s="79"/>
      <c r="U30" s="79"/>
      <c r="V30" s="79"/>
    </row>
    <row r="31" spans="1:22" ht="18.5" x14ac:dyDescent="0.45">
      <c r="A31" s="49" t="s">
        <v>98</v>
      </c>
      <c r="B31" s="50"/>
      <c r="D31" s="50"/>
      <c r="E31" s="50"/>
      <c r="F31" s="50"/>
      <c r="G31" s="53"/>
      <c r="I31" s="82"/>
      <c r="J31" s="82"/>
      <c r="K31" s="82"/>
      <c r="Q31" s="82"/>
      <c r="R31" s="54"/>
      <c r="S31" s="82"/>
      <c r="T31" s="82"/>
      <c r="U31" s="82"/>
    </row>
    <row r="32" spans="1:22" ht="18.5" x14ac:dyDescent="0.45">
      <c r="A32" s="49" t="s">
        <v>184</v>
      </c>
      <c r="B32" s="50"/>
      <c r="D32" s="50"/>
      <c r="E32" s="50"/>
      <c r="F32" s="52"/>
      <c r="G32" s="50"/>
      <c r="I32" s="82"/>
      <c r="J32" s="82"/>
      <c r="K32" s="83"/>
      <c r="L32" s="82"/>
      <c r="P32" s="82"/>
      <c r="Q32" s="82"/>
      <c r="R32" s="54"/>
      <c r="S32" s="82"/>
      <c r="T32" s="82"/>
      <c r="U32" s="83"/>
      <c r="V32" s="82"/>
    </row>
    <row r="33" spans="1:22" ht="18.5" x14ac:dyDescent="0.45">
      <c r="A33" s="49" t="s">
        <v>253</v>
      </c>
      <c r="B33" s="50"/>
      <c r="D33" s="50"/>
      <c r="E33" s="50"/>
      <c r="F33" s="50"/>
      <c r="G33" s="50"/>
      <c r="I33" s="82"/>
      <c r="J33" s="82"/>
      <c r="K33" s="82"/>
      <c r="L33" s="82"/>
      <c r="P33" s="82"/>
      <c r="Q33" s="82"/>
      <c r="R33" s="54"/>
      <c r="S33" s="82"/>
      <c r="T33" s="82"/>
      <c r="U33" s="82"/>
      <c r="V33" s="82"/>
    </row>
    <row r="34" spans="1:22" ht="14.5" x14ac:dyDescent="0.35">
      <c r="A34" s="84" t="s">
        <v>402</v>
      </c>
      <c r="R34" s="85"/>
    </row>
    <row r="35" spans="1:22" ht="18.5" x14ac:dyDescent="0.45">
      <c r="A35" s="50"/>
      <c r="B35" s="50"/>
      <c r="C35" s="50"/>
      <c r="D35" s="50"/>
      <c r="E35" s="50"/>
      <c r="F35" s="50"/>
      <c r="G35" s="50"/>
      <c r="I35" s="82"/>
      <c r="J35" s="82"/>
      <c r="K35" s="82"/>
      <c r="L35" s="82"/>
      <c r="P35" s="82"/>
      <c r="Q35" s="82"/>
      <c r="R35" s="59"/>
      <c r="S35" s="82"/>
      <c r="T35" s="82"/>
      <c r="U35" s="82"/>
      <c r="V35" s="82"/>
    </row>
    <row r="36" spans="1:22" ht="15.5" x14ac:dyDescent="0.35">
      <c r="A36" s="50"/>
      <c r="B36" s="50"/>
      <c r="C36" s="50"/>
      <c r="D36" s="50"/>
      <c r="E36" s="50"/>
      <c r="F36" s="50"/>
      <c r="G36" s="50"/>
      <c r="I36" s="82"/>
      <c r="J36" s="82"/>
      <c r="K36" s="82"/>
      <c r="L36" s="82"/>
      <c r="P36" s="82"/>
      <c r="Q36" s="82"/>
      <c r="R36" s="82"/>
      <c r="S36" s="82"/>
      <c r="T36" s="82"/>
      <c r="U36" s="82"/>
      <c r="V36" s="82"/>
    </row>
    <row r="37" spans="1:22" ht="15.5" x14ac:dyDescent="0.35">
      <c r="A37" s="58" t="s">
        <v>4</v>
      </c>
      <c r="B37" s="50"/>
      <c r="C37" s="50"/>
      <c r="D37" s="50"/>
      <c r="E37" s="50"/>
      <c r="F37" s="50"/>
      <c r="G37" s="50"/>
      <c r="I37" s="82"/>
      <c r="J37" s="82"/>
      <c r="K37" s="82"/>
      <c r="L37" s="86"/>
      <c r="P37" s="87"/>
      <c r="Q37" s="86"/>
      <c r="R37" s="86"/>
      <c r="S37" s="86"/>
      <c r="T37" s="86"/>
      <c r="U37" s="86"/>
      <c r="V37" s="86"/>
    </row>
    <row r="38" spans="1:22" ht="15.5" x14ac:dyDescent="0.35">
      <c r="A38" s="63" t="s">
        <v>5</v>
      </c>
      <c r="B38" s="63" t="s">
        <v>15</v>
      </c>
      <c r="C38" s="88"/>
      <c r="D38" s="88"/>
      <c r="E38" s="88"/>
      <c r="F38" s="63" t="s">
        <v>16</v>
      </c>
      <c r="G38" s="63" t="s">
        <v>17</v>
      </c>
      <c r="H38" s="66"/>
      <c r="I38" s="82"/>
      <c r="J38" s="82"/>
      <c r="K38" s="82"/>
      <c r="L38" s="89"/>
      <c r="P38" s="89"/>
      <c r="Q38" s="89"/>
      <c r="R38" s="90"/>
      <c r="S38" s="90"/>
      <c r="T38" s="90"/>
      <c r="U38" s="89"/>
      <c r="V38" s="89"/>
    </row>
    <row r="39" spans="1:22" ht="15.5" x14ac:dyDescent="0.35">
      <c r="A39" s="50"/>
      <c r="B39" s="50"/>
      <c r="C39" s="50"/>
      <c r="D39" s="50"/>
      <c r="E39" s="50"/>
      <c r="F39" s="50"/>
      <c r="G39" s="50"/>
      <c r="I39" s="82"/>
      <c r="J39" s="82"/>
      <c r="K39" s="82"/>
      <c r="L39" s="86"/>
      <c r="P39" s="86"/>
      <c r="Q39" s="86"/>
      <c r="R39" s="86"/>
      <c r="S39" s="86"/>
      <c r="T39" s="86"/>
      <c r="U39" s="86"/>
      <c r="V39" s="86"/>
    </row>
    <row r="40" spans="1:22" ht="15.5" x14ac:dyDescent="0.35">
      <c r="A40" s="50"/>
      <c r="B40" s="50"/>
      <c r="C40" s="50"/>
      <c r="D40" s="50"/>
      <c r="E40" s="50"/>
      <c r="F40" s="50"/>
      <c r="G40" s="50"/>
      <c r="I40" s="82"/>
      <c r="J40" s="82"/>
      <c r="K40" s="82"/>
      <c r="L40" s="86"/>
      <c r="P40" s="86"/>
      <c r="Q40" s="86"/>
      <c r="R40" s="86"/>
      <c r="S40" s="86"/>
      <c r="T40" s="86"/>
      <c r="U40" s="86"/>
      <c r="V40" s="86"/>
    </row>
    <row r="41" spans="1:22" ht="15.5" x14ac:dyDescent="0.35">
      <c r="A41" s="50">
        <v>1</v>
      </c>
      <c r="B41" s="67" t="s">
        <v>18</v>
      </c>
      <c r="C41" s="67" t="s">
        <v>19</v>
      </c>
      <c r="D41" s="50"/>
      <c r="E41" s="50"/>
      <c r="F41" s="69">
        <f>'1 EGC'!G53</f>
        <v>6.9857000000000005</v>
      </c>
      <c r="G41" s="55" t="s">
        <v>391</v>
      </c>
      <c r="I41" s="82"/>
      <c r="J41" s="82"/>
      <c r="K41" s="82"/>
      <c r="L41" s="86"/>
      <c r="P41" s="86"/>
      <c r="Q41" s="91"/>
      <c r="R41" s="91"/>
      <c r="S41" s="86"/>
      <c r="T41" s="86"/>
      <c r="U41" s="92"/>
      <c r="V41" s="86"/>
    </row>
    <row r="42" spans="1:22" ht="15.5" x14ac:dyDescent="0.35">
      <c r="A42" s="50"/>
      <c r="B42" s="50"/>
      <c r="C42" s="50"/>
      <c r="D42" s="50"/>
      <c r="E42" s="50"/>
      <c r="F42" s="69"/>
      <c r="I42" s="82"/>
      <c r="J42" s="82"/>
      <c r="K42" s="82"/>
      <c r="L42" s="86"/>
      <c r="P42" s="86"/>
      <c r="Q42" s="86"/>
      <c r="R42" s="86"/>
      <c r="S42" s="86"/>
      <c r="T42" s="86"/>
      <c r="U42" s="92"/>
      <c r="V42" s="86"/>
    </row>
    <row r="43" spans="1:22" ht="15.5" x14ac:dyDescent="0.35">
      <c r="A43" s="50">
        <v>2</v>
      </c>
      <c r="B43" s="67" t="s">
        <v>254</v>
      </c>
      <c r="C43" s="67" t="s">
        <v>21</v>
      </c>
      <c r="D43" s="50"/>
      <c r="E43" s="50"/>
      <c r="F43" s="69">
        <f>SUM(E44:E47)</f>
        <v>-0.3755</v>
      </c>
      <c r="I43" s="82"/>
      <c r="J43" s="82"/>
      <c r="K43" s="82"/>
      <c r="L43" s="93"/>
      <c r="P43" s="86"/>
      <c r="Q43" s="91"/>
      <c r="R43" s="91"/>
      <c r="S43" s="86"/>
      <c r="T43" s="86"/>
      <c r="U43" s="92"/>
      <c r="V43" s="93"/>
    </row>
    <row r="44" spans="1:22" ht="15.5" x14ac:dyDescent="0.35">
      <c r="A44" s="50"/>
      <c r="B44" s="50"/>
      <c r="C44" s="50"/>
      <c r="D44" s="50" t="s">
        <v>392</v>
      </c>
      <c r="E44" s="69">
        <v>-0.7127</v>
      </c>
      <c r="G44" s="55" t="s">
        <v>391</v>
      </c>
      <c r="I44" s="82"/>
      <c r="J44" s="82"/>
      <c r="K44" s="82"/>
      <c r="L44" s="86"/>
      <c r="P44" s="86"/>
      <c r="Q44" s="86"/>
      <c r="R44" s="86"/>
      <c r="S44" s="86"/>
      <c r="T44" s="86"/>
      <c r="U44" s="92"/>
      <c r="V44" s="86"/>
    </row>
    <row r="45" spans="1:22" ht="15.5" x14ac:dyDescent="0.35">
      <c r="A45" s="50"/>
      <c r="B45" s="50"/>
      <c r="C45" s="50"/>
      <c r="D45" s="50" t="s">
        <v>396</v>
      </c>
      <c r="E45" s="69">
        <v>-5.9400000000000001E-2</v>
      </c>
      <c r="G45" s="55" t="s">
        <v>393</v>
      </c>
      <c r="I45" s="82"/>
      <c r="J45" s="82"/>
      <c r="K45" s="82"/>
      <c r="P45" s="86"/>
      <c r="Q45" s="86"/>
      <c r="R45" s="86"/>
      <c r="S45" s="86"/>
      <c r="T45" s="86"/>
      <c r="U45" s="92"/>
      <c r="V45" s="86"/>
    </row>
    <row r="46" spans="1:22" ht="15.5" x14ac:dyDescent="0.35">
      <c r="A46" s="50"/>
      <c r="B46" s="50"/>
      <c r="C46" s="50"/>
      <c r="D46" s="50" t="s">
        <v>400</v>
      </c>
      <c r="E46" s="69">
        <v>-5.0599999999999999E-2</v>
      </c>
      <c r="G46" s="55" t="s">
        <v>399</v>
      </c>
      <c r="I46" s="82"/>
      <c r="J46" s="82"/>
      <c r="K46" s="82"/>
      <c r="L46" s="86"/>
      <c r="P46" s="86"/>
      <c r="Q46" s="86"/>
      <c r="R46" s="86"/>
      <c r="S46" s="86"/>
      <c r="T46" s="86"/>
      <c r="U46" s="92"/>
      <c r="V46" s="86"/>
    </row>
    <row r="47" spans="1:22" ht="15.5" x14ac:dyDescent="0.35">
      <c r="A47" s="50"/>
      <c r="B47" s="50"/>
      <c r="C47" s="50"/>
      <c r="D47" s="50" t="s">
        <v>408</v>
      </c>
      <c r="E47" s="69">
        <v>0.44719999999999999</v>
      </c>
      <c r="G47" s="55" t="s">
        <v>414</v>
      </c>
      <c r="I47" s="82"/>
      <c r="J47" s="82"/>
      <c r="K47" s="82"/>
      <c r="L47" s="86"/>
      <c r="P47" s="86"/>
      <c r="Q47" s="86"/>
      <c r="R47" s="86"/>
      <c r="S47" s="86"/>
      <c r="T47" s="86"/>
      <c r="U47" s="92"/>
      <c r="V47" s="86"/>
    </row>
    <row r="48" spans="1:22" ht="15.5" x14ac:dyDescent="0.35">
      <c r="A48" s="50"/>
      <c r="B48" s="50"/>
      <c r="C48" s="50"/>
      <c r="D48" s="50"/>
      <c r="E48" s="50"/>
      <c r="F48" s="69"/>
      <c r="G48" s="55"/>
      <c r="I48" s="82"/>
      <c r="J48" s="82"/>
      <c r="K48" s="82"/>
      <c r="L48" s="86"/>
      <c r="P48" s="86"/>
      <c r="Q48" s="86"/>
      <c r="R48" s="86"/>
      <c r="S48" s="86"/>
      <c r="T48" s="86"/>
      <c r="U48" s="92"/>
      <c r="V48" s="86"/>
    </row>
    <row r="49" spans="1:22" ht="15.5" hidden="1" x14ac:dyDescent="0.35">
      <c r="A49" s="50"/>
      <c r="B49" s="50"/>
      <c r="C49" s="50"/>
      <c r="D49" s="50"/>
      <c r="E49" s="50"/>
      <c r="F49" s="69"/>
      <c r="G49" s="50"/>
      <c r="I49" s="82"/>
      <c r="J49" s="82"/>
      <c r="K49" s="82"/>
      <c r="L49" s="86"/>
      <c r="P49" s="86"/>
      <c r="Q49" s="86"/>
      <c r="R49" s="86"/>
      <c r="S49" s="86"/>
      <c r="T49" s="86"/>
      <c r="U49" s="92"/>
      <c r="V49" s="86"/>
    </row>
    <row r="50" spans="1:22" ht="15.5" hidden="1" x14ac:dyDescent="0.35">
      <c r="A50" s="50">
        <v>3</v>
      </c>
      <c r="B50" s="67" t="s">
        <v>20</v>
      </c>
      <c r="C50" s="67" t="s">
        <v>88</v>
      </c>
      <c r="D50" s="50"/>
      <c r="E50" s="50"/>
      <c r="F50" s="69">
        <v>0</v>
      </c>
      <c r="G50" s="94"/>
      <c r="I50" s="82"/>
      <c r="J50" s="82"/>
      <c r="K50" s="82"/>
      <c r="L50" s="93"/>
      <c r="P50" s="86"/>
      <c r="Q50" s="91"/>
      <c r="R50" s="91"/>
      <c r="S50" s="86"/>
      <c r="T50" s="86"/>
      <c r="U50" s="92"/>
      <c r="V50" s="93"/>
    </row>
    <row r="51" spans="1:22" ht="15.5" hidden="1" x14ac:dyDescent="0.35">
      <c r="A51" s="50"/>
      <c r="B51" s="50"/>
      <c r="C51" s="50"/>
      <c r="D51" s="50"/>
      <c r="E51" s="50"/>
      <c r="F51" s="69"/>
      <c r="G51" s="50"/>
      <c r="I51" s="82"/>
      <c r="J51" s="82"/>
      <c r="K51" s="82"/>
      <c r="L51" s="86"/>
      <c r="P51" s="86"/>
      <c r="Q51" s="86"/>
      <c r="R51" s="86"/>
      <c r="S51" s="86"/>
      <c r="T51" s="86"/>
      <c r="U51" s="92"/>
      <c r="V51" s="86"/>
    </row>
    <row r="52" spans="1:22" ht="15.5" x14ac:dyDescent="0.35">
      <c r="A52" s="50">
        <f>A43+1</f>
        <v>3</v>
      </c>
      <c r="B52" s="67" t="s">
        <v>255</v>
      </c>
      <c r="C52" s="50" t="s">
        <v>230</v>
      </c>
      <c r="D52" s="50"/>
      <c r="F52" s="69">
        <f>E16</f>
        <v>-0.38030000000000003</v>
      </c>
      <c r="G52" s="95"/>
      <c r="I52" s="82"/>
      <c r="J52" s="82"/>
      <c r="K52" s="82"/>
      <c r="U52" s="96"/>
      <c r="V52" s="93"/>
    </row>
    <row r="53" spans="1:22" ht="13.5" customHeight="1" x14ac:dyDescent="0.35">
      <c r="A53" s="50"/>
      <c r="B53" s="50"/>
      <c r="C53" s="50"/>
      <c r="D53" s="50"/>
      <c r="E53" s="50"/>
      <c r="F53" s="69"/>
      <c r="G53" s="50"/>
      <c r="I53" s="82"/>
      <c r="J53" s="82"/>
      <c r="K53" s="82"/>
      <c r="L53" s="86"/>
      <c r="P53" s="86"/>
      <c r="Q53" s="86"/>
      <c r="R53" s="86"/>
      <c r="S53" s="86"/>
      <c r="T53" s="86"/>
      <c r="U53" s="92"/>
      <c r="V53" s="86"/>
    </row>
    <row r="54" spans="1:22" ht="15.5" x14ac:dyDescent="0.35">
      <c r="A54" s="50">
        <f>A52+1</f>
        <v>4</v>
      </c>
      <c r="B54" s="67" t="s">
        <v>22</v>
      </c>
      <c r="C54" s="67" t="s">
        <v>245</v>
      </c>
      <c r="D54" s="50" t="str">
        <f>D47</f>
        <v>Case No. 2026-00022</v>
      </c>
      <c r="E54" s="50"/>
      <c r="F54" s="69">
        <v>0.1678</v>
      </c>
      <c r="G54" s="55" t="str">
        <f>G41</f>
        <v>Unit 21 May  (05-28 -2026)</v>
      </c>
      <c r="I54" s="82"/>
      <c r="J54" s="82"/>
      <c r="K54" s="82"/>
      <c r="L54" s="93"/>
      <c r="P54" s="86"/>
      <c r="Q54" s="91"/>
      <c r="R54" s="86"/>
      <c r="S54" s="86"/>
      <c r="T54" s="86"/>
      <c r="U54" s="92"/>
      <c r="V54" s="93"/>
    </row>
    <row r="55" spans="1:22" ht="15.5" x14ac:dyDescent="0.35">
      <c r="A55" s="50"/>
      <c r="B55" s="50"/>
      <c r="D55" s="50"/>
      <c r="E55" s="50"/>
      <c r="I55" s="82"/>
      <c r="J55" s="82"/>
      <c r="K55" s="82"/>
      <c r="L55" s="91"/>
      <c r="P55" s="86"/>
      <c r="Q55" s="86"/>
      <c r="R55" s="86"/>
      <c r="S55" s="86"/>
      <c r="T55" s="86"/>
      <c r="U55" s="92"/>
      <c r="V55" s="91"/>
    </row>
    <row r="56" spans="1:22" ht="15.5" x14ac:dyDescent="0.35">
      <c r="A56" s="50">
        <f>A54+1</f>
        <v>5</v>
      </c>
      <c r="B56" s="67" t="s">
        <v>251</v>
      </c>
      <c r="C56" s="67" t="s">
        <v>246</v>
      </c>
      <c r="D56" s="50" t="s">
        <v>392</v>
      </c>
      <c r="E56" s="50"/>
      <c r="F56" s="69">
        <v>0.38819999999999999</v>
      </c>
      <c r="G56" s="55" t="s">
        <v>391</v>
      </c>
      <c r="I56" s="82"/>
      <c r="J56" s="82"/>
      <c r="K56" s="82"/>
      <c r="L56" s="86"/>
      <c r="P56" s="86"/>
      <c r="Q56" s="91"/>
      <c r="R56" s="91"/>
      <c r="S56" s="86"/>
      <c r="T56" s="86"/>
      <c r="U56" s="92"/>
      <c r="V56" s="86"/>
    </row>
    <row r="57" spans="1:22" ht="15.5" x14ac:dyDescent="0.35">
      <c r="A57" s="50"/>
      <c r="B57" s="50"/>
      <c r="C57" s="50"/>
      <c r="D57" s="50"/>
      <c r="E57" s="50"/>
      <c r="F57" s="69"/>
      <c r="G57" s="94"/>
      <c r="I57" s="82"/>
      <c r="J57" s="82"/>
      <c r="K57" s="82"/>
      <c r="L57" s="86"/>
      <c r="P57" s="86"/>
      <c r="Q57" s="86"/>
      <c r="R57" s="86"/>
      <c r="S57" s="86"/>
      <c r="T57" s="86"/>
      <c r="U57" s="92"/>
      <c r="V57" s="86"/>
    </row>
    <row r="58" spans="1:22" ht="15.5" x14ac:dyDescent="0.35">
      <c r="A58" s="50">
        <f>A56+1</f>
        <v>6</v>
      </c>
      <c r="B58" s="67" t="s">
        <v>207</v>
      </c>
      <c r="C58" s="50"/>
      <c r="D58" s="50"/>
      <c r="E58" s="50"/>
      <c r="F58" s="69"/>
      <c r="G58" s="50"/>
      <c r="I58" s="82"/>
      <c r="J58" s="82"/>
      <c r="K58" s="82"/>
      <c r="L58" s="86"/>
      <c r="P58" s="86"/>
      <c r="Q58" s="97"/>
      <c r="R58" s="86"/>
      <c r="S58" s="86"/>
      <c r="T58" s="86"/>
      <c r="U58" s="92"/>
      <c r="V58" s="86"/>
    </row>
    <row r="59" spans="1:22" ht="15.5" x14ac:dyDescent="0.35">
      <c r="A59" s="50">
        <f>A58+1</f>
        <v>7</v>
      </c>
      <c r="B59" s="67" t="s">
        <v>402</v>
      </c>
      <c r="C59" s="50"/>
      <c r="D59" s="50"/>
      <c r="E59" s="50"/>
      <c r="F59" s="98">
        <f>F41+F43+F50+F52+F54+F56</f>
        <v>6.7859000000000007</v>
      </c>
      <c r="G59" s="50"/>
      <c r="I59" s="82"/>
      <c r="J59" s="82"/>
      <c r="K59" s="82"/>
      <c r="L59" s="86"/>
      <c r="P59" s="86"/>
      <c r="Q59" s="97"/>
      <c r="R59" s="86"/>
      <c r="S59" s="86"/>
      <c r="T59" s="86"/>
      <c r="U59" s="99"/>
      <c r="V59" s="86"/>
    </row>
    <row r="60" spans="1:22" ht="15.5" x14ac:dyDescent="0.35">
      <c r="A60" s="50"/>
      <c r="B60" s="50"/>
      <c r="C60" s="50"/>
      <c r="E60" s="50"/>
      <c r="F60" s="69"/>
      <c r="G60" s="50"/>
      <c r="I60" s="82"/>
      <c r="J60" s="82"/>
      <c r="K60" s="82"/>
      <c r="L60" s="86"/>
      <c r="P60" s="86"/>
      <c r="Q60" s="86"/>
      <c r="R60" s="86"/>
      <c r="S60" s="86"/>
      <c r="T60" s="86"/>
      <c r="U60" s="92"/>
      <c r="V60" s="86"/>
    </row>
    <row r="61" spans="1:22" ht="15.5" x14ac:dyDescent="0.35">
      <c r="A61" s="50">
        <f>A59+1</f>
        <v>8</v>
      </c>
      <c r="B61" s="67" t="s">
        <v>23</v>
      </c>
      <c r="C61" s="50"/>
      <c r="D61" s="50"/>
      <c r="E61" s="50"/>
      <c r="F61" s="69"/>
      <c r="G61" s="50"/>
      <c r="I61" s="82"/>
      <c r="J61" s="82"/>
      <c r="K61" s="82"/>
      <c r="L61" s="86"/>
      <c r="P61" s="86"/>
      <c r="Q61" s="91"/>
      <c r="R61" s="86"/>
      <c r="S61" s="86"/>
      <c r="T61" s="86"/>
      <c r="U61" s="92"/>
      <c r="V61" s="86"/>
    </row>
    <row r="62" spans="1:22" ht="15.5" x14ac:dyDescent="0.35">
      <c r="A62" s="50">
        <f>A61+1</f>
        <v>9</v>
      </c>
      <c r="B62" s="67" t="s">
        <v>24</v>
      </c>
      <c r="C62" s="67" t="s">
        <v>89</v>
      </c>
      <c r="D62" s="50"/>
      <c r="E62" s="50"/>
      <c r="F62" s="98">
        <f>E28</f>
        <v>18.623999999999999</v>
      </c>
      <c r="G62" s="50"/>
      <c r="I62" s="82"/>
      <c r="J62" s="82"/>
      <c r="K62" s="82"/>
      <c r="L62" s="86"/>
      <c r="P62" s="86"/>
      <c r="Q62" s="91"/>
      <c r="R62" s="91"/>
      <c r="S62" s="86"/>
      <c r="T62" s="86"/>
      <c r="U62" s="99"/>
      <c r="V62" s="86"/>
    </row>
    <row r="63" spans="1:22" ht="15.5" x14ac:dyDescent="0.35">
      <c r="A63" s="50"/>
      <c r="B63" s="50"/>
      <c r="C63" s="50"/>
      <c r="D63" s="50"/>
      <c r="E63" s="50"/>
      <c r="F63" s="100"/>
      <c r="G63" s="50"/>
      <c r="I63" s="82"/>
      <c r="J63" s="82"/>
      <c r="K63" s="82"/>
      <c r="L63" s="86"/>
      <c r="P63" s="86"/>
      <c r="Q63" s="86"/>
      <c r="R63" s="86"/>
      <c r="S63" s="86"/>
      <c r="T63" s="86"/>
      <c r="U63" s="86"/>
      <c r="V63" s="86"/>
    </row>
    <row r="64" spans="1:22" ht="15.5" x14ac:dyDescent="0.35">
      <c r="A64" s="50"/>
      <c r="B64" s="50"/>
      <c r="C64" s="50"/>
      <c r="D64" s="50"/>
      <c r="E64" s="50"/>
      <c r="F64" s="101"/>
      <c r="G64" s="50"/>
      <c r="I64" s="82"/>
      <c r="J64" s="82"/>
      <c r="K64" s="82"/>
      <c r="L64" s="86"/>
      <c r="P64" s="86"/>
      <c r="Q64" s="86"/>
      <c r="R64" s="86"/>
      <c r="S64" s="86"/>
      <c r="T64" s="86"/>
      <c r="U64" s="86"/>
      <c r="V64" s="86"/>
    </row>
    <row r="65" spans="1:22" ht="15.5" x14ac:dyDescent="0.35">
      <c r="A65" s="50"/>
      <c r="B65" s="50"/>
      <c r="C65" s="50"/>
      <c r="D65" s="50"/>
      <c r="E65" s="50"/>
      <c r="F65" s="50"/>
      <c r="G65" s="50"/>
      <c r="I65" s="86"/>
      <c r="J65" s="86"/>
      <c r="K65" s="86"/>
      <c r="L65" s="86"/>
      <c r="P65" s="86"/>
      <c r="Q65" s="86"/>
      <c r="R65" s="86"/>
      <c r="S65" s="86"/>
      <c r="T65" s="86"/>
      <c r="U65" s="86"/>
      <c r="V65" s="86"/>
    </row>
    <row r="66" spans="1:22" ht="15.5" x14ac:dyDescent="0.35">
      <c r="A66" s="50"/>
      <c r="B66" s="50"/>
      <c r="C66" s="50"/>
      <c r="D66" s="50"/>
      <c r="E66" s="50"/>
      <c r="F66" s="50"/>
      <c r="G66" s="52"/>
      <c r="I66" s="86"/>
      <c r="J66" s="86"/>
      <c r="K66" s="86"/>
      <c r="L66" s="102"/>
      <c r="P66" s="86"/>
      <c r="Q66" s="86"/>
      <c r="R66" s="86"/>
      <c r="S66" s="86"/>
      <c r="T66" s="86"/>
      <c r="U66" s="86"/>
      <c r="V66" s="102"/>
    </row>
    <row r="67" spans="1:22" ht="15.5" x14ac:dyDescent="0.35">
      <c r="A67" s="49" t="s">
        <v>407</v>
      </c>
      <c r="B67" s="52"/>
      <c r="C67" s="52"/>
      <c r="D67" s="49" t="s">
        <v>56</v>
      </c>
      <c r="E67" s="52"/>
      <c r="F67" s="52"/>
      <c r="G67" s="50"/>
      <c r="I67" s="103"/>
      <c r="J67" s="55"/>
      <c r="K67" s="102"/>
      <c r="L67" s="86"/>
      <c r="P67" s="103"/>
      <c r="Q67" s="55"/>
      <c r="R67" s="55"/>
      <c r="S67" s="103"/>
      <c r="T67" s="55"/>
      <c r="U67" s="102"/>
      <c r="V67" s="86"/>
    </row>
    <row r="68" spans="1:22" ht="15.5" x14ac:dyDescent="0.35">
      <c r="A68" s="50"/>
      <c r="B68" s="50"/>
      <c r="C68" s="50"/>
      <c r="D68" s="104"/>
      <c r="E68" s="50"/>
      <c r="F68" s="50"/>
      <c r="G68" s="50"/>
      <c r="I68" s="105"/>
      <c r="S68" s="105"/>
    </row>
    <row r="70" spans="1:22" x14ac:dyDescent="0.3">
      <c r="P70" s="62"/>
      <c r="Q70" s="72"/>
      <c r="T70" s="79"/>
    </row>
    <row r="71" spans="1:22" x14ac:dyDescent="0.3">
      <c r="P71" s="62"/>
      <c r="Q71" s="72"/>
      <c r="T71" s="79"/>
    </row>
    <row r="92" spans="3:4" x14ac:dyDescent="0.3">
      <c r="C92" s="106"/>
      <c r="D92" s="106"/>
    </row>
    <row r="97" spans="38:48" x14ac:dyDescent="0.3">
      <c r="AM97" s="72"/>
      <c r="AO97" s="79"/>
    </row>
    <row r="98" spans="38:48" x14ac:dyDescent="0.3">
      <c r="AO98" s="79"/>
      <c r="AV98" s="72"/>
    </row>
    <row r="99" spans="38:48" x14ac:dyDescent="0.3">
      <c r="AO99" s="79"/>
    </row>
    <row r="100" spans="38:48" x14ac:dyDescent="0.3">
      <c r="AM100" s="62"/>
      <c r="AO100" s="79"/>
    </row>
    <row r="101" spans="38:48" x14ac:dyDescent="0.3">
      <c r="AO101" s="79"/>
      <c r="AT101" s="66"/>
      <c r="AV101" s="72"/>
    </row>
    <row r="102" spans="38:48" x14ac:dyDescent="0.3">
      <c r="AO102" s="79"/>
      <c r="AV102" s="72"/>
    </row>
    <row r="103" spans="38:48" x14ac:dyDescent="0.3">
      <c r="AO103" s="79"/>
    </row>
    <row r="104" spans="38:48" x14ac:dyDescent="0.3">
      <c r="AO104" s="79"/>
      <c r="AV104" s="72"/>
    </row>
    <row r="105" spans="38:48" x14ac:dyDescent="0.3">
      <c r="AL105" s="72"/>
      <c r="AM105" s="72"/>
      <c r="AO105" s="79"/>
      <c r="AV105" s="72"/>
    </row>
    <row r="106" spans="38:48" x14ac:dyDescent="0.3">
      <c r="AL106" s="72"/>
      <c r="AM106" s="72"/>
      <c r="AT106" s="66"/>
      <c r="AV106" s="72"/>
    </row>
    <row r="108" spans="38:48" x14ac:dyDescent="0.3">
      <c r="AS108" s="73"/>
    </row>
    <row r="109" spans="38:48" x14ac:dyDescent="0.3">
      <c r="AS109" s="73"/>
    </row>
    <row r="110" spans="38:48" x14ac:dyDescent="0.3">
      <c r="AS110" s="73"/>
    </row>
    <row r="111" spans="38:48" x14ac:dyDescent="0.3">
      <c r="AS111" s="73"/>
    </row>
    <row r="112" spans="38:48" x14ac:dyDescent="0.3">
      <c r="AS112" s="73"/>
    </row>
    <row r="113" spans="45:45" x14ac:dyDescent="0.3">
      <c r="AS113" s="73"/>
    </row>
    <row r="114" spans="45:45" x14ac:dyDescent="0.3">
      <c r="AS114" s="73"/>
    </row>
    <row r="115" spans="45:45" x14ac:dyDescent="0.3">
      <c r="AS115" s="73"/>
    </row>
    <row r="185" spans="29:56" x14ac:dyDescent="0.3">
      <c r="AC185" s="107"/>
    </row>
    <row r="186" spans="29:56" x14ac:dyDescent="0.3">
      <c r="AC186" s="107"/>
    </row>
    <row r="188" spans="29:56" x14ac:dyDescent="0.3">
      <c r="AS188" s="108"/>
      <c r="AT188" s="108"/>
      <c r="AU188" s="108"/>
      <c r="AV188" s="108"/>
      <c r="AW188" s="108"/>
      <c r="AX188" s="108"/>
      <c r="AY188" s="108"/>
      <c r="AZ188" s="108"/>
      <c r="BA188" s="108"/>
      <c r="BB188" s="108"/>
      <c r="BC188" s="108"/>
      <c r="BD188" s="108"/>
    </row>
    <row r="189" spans="29:56" x14ac:dyDescent="0.3">
      <c r="AS189" s="108"/>
      <c r="AT189" s="108"/>
      <c r="AU189" s="108"/>
      <c r="AV189" s="108"/>
      <c r="AW189" s="108"/>
      <c r="AX189" s="108"/>
      <c r="AY189" s="108"/>
      <c r="AZ189" s="108"/>
      <c r="BA189" s="108"/>
      <c r="BB189" s="108"/>
      <c r="BC189" s="108"/>
      <c r="BD189" s="108"/>
    </row>
    <row r="190" spans="29:56" x14ac:dyDescent="0.3">
      <c r="AS190" s="108"/>
      <c r="AT190" s="108"/>
      <c r="AU190" s="108"/>
      <c r="AV190" s="108"/>
      <c r="AW190" s="108"/>
      <c r="AX190" s="109"/>
      <c r="AY190" s="108"/>
      <c r="AZ190" s="108"/>
      <c r="BA190" s="108"/>
      <c r="BB190" s="108"/>
      <c r="BC190" s="108"/>
      <c r="BD190" s="108"/>
    </row>
    <row r="191" spans="29:56" x14ac:dyDescent="0.3">
      <c r="AS191" s="110"/>
      <c r="AT191" s="108"/>
      <c r="AU191" s="108"/>
      <c r="AV191" s="108"/>
      <c r="AW191" s="108"/>
      <c r="AX191" s="109"/>
      <c r="AY191" s="108"/>
      <c r="AZ191" s="108"/>
      <c r="BA191" s="108"/>
      <c r="BB191" s="109"/>
      <c r="BC191" s="109"/>
      <c r="BD191" s="109"/>
    </row>
    <row r="192" spans="29:56" x14ac:dyDescent="0.3">
      <c r="AS192" s="108"/>
      <c r="AT192" s="109"/>
      <c r="AU192" s="108"/>
      <c r="AV192" s="109"/>
      <c r="AW192" s="108"/>
      <c r="AX192" s="109"/>
      <c r="AY192" s="109"/>
      <c r="AZ192" s="109"/>
      <c r="BA192" s="110"/>
      <c r="BB192" s="109"/>
      <c r="BC192" s="109"/>
      <c r="BD192" s="109"/>
    </row>
    <row r="193" spans="45:56" x14ac:dyDescent="0.3">
      <c r="AS193" s="108"/>
      <c r="AT193" s="109"/>
      <c r="AU193" s="108"/>
      <c r="AV193" s="109"/>
      <c r="AW193" s="108"/>
      <c r="AX193" s="110"/>
      <c r="AY193" s="110"/>
      <c r="AZ193" s="110"/>
      <c r="BA193" s="109"/>
      <c r="BB193" s="110"/>
      <c r="BC193" s="109"/>
      <c r="BD193" s="109"/>
    </row>
    <row r="194" spans="45:56" x14ac:dyDescent="0.3">
      <c r="AS194" s="108"/>
      <c r="AT194" s="110"/>
      <c r="AU194" s="108"/>
      <c r="AV194" s="108"/>
      <c r="AW194" s="108"/>
      <c r="AX194" s="110"/>
      <c r="AY194" s="110"/>
      <c r="AZ194" s="110"/>
      <c r="BA194" s="108"/>
      <c r="BB194" s="110"/>
      <c r="BC194" s="108"/>
      <c r="BD194" s="108"/>
    </row>
    <row r="195" spans="45:56" x14ac:dyDescent="0.3">
      <c r="AS195" s="110"/>
      <c r="AT195" s="110"/>
      <c r="AU195" s="108"/>
      <c r="AV195" s="108"/>
      <c r="AW195" s="108"/>
      <c r="AX195" s="108"/>
      <c r="AY195" s="108"/>
      <c r="AZ195" s="108"/>
      <c r="BA195" s="108"/>
      <c r="BB195" s="108"/>
      <c r="BC195" s="108"/>
      <c r="BD195" s="108"/>
    </row>
    <row r="196" spans="45:56" x14ac:dyDescent="0.3">
      <c r="AS196" s="110"/>
      <c r="AT196" s="108"/>
      <c r="AU196" s="108"/>
      <c r="AV196" s="108"/>
      <c r="AW196" s="108"/>
      <c r="AX196" s="108"/>
      <c r="AY196" s="108"/>
      <c r="AZ196" s="108"/>
      <c r="BA196" s="108"/>
      <c r="BB196" s="108"/>
      <c r="BC196" s="108"/>
      <c r="BD196" s="108"/>
    </row>
    <row r="197" spans="45:56" x14ac:dyDescent="0.3">
      <c r="AS197" s="110"/>
      <c r="AT197" s="108"/>
      <c r="AU197" s="108"/>
      <c r="AV197" s="108"/>
      <c r="AW197" s="108"/>
      <c r="AX197" s="108"/>
      <c r="AY197" s="108"/>
      <c r="AZ197" s="108"/>
      <c r="BA197" s="108"/>
      <c r="BB197" s="108"/>
      <c r="BC197" s="108"/>
      <c r="BD197" s="108"/>
    </row>
    <row r="198" spans="45:56" x14ac:dyDescent="0.3">
      <c r="AS198" s="110"/>
      <c r="AT198" s="108"/>
      <c r="AU198" s="108"/>
      <c r="AV198" s="108"/>
      <c r="AW198" s="108"/>
      <c r="AX198" s="108"/>
      <c r="AY198" s="108"/>
      <c r="AZ198" s="108"/>
      <c r="BA198" s="108"/>
      <c r="BB198" s="108"/>
      <c r="BC198" s="108"/>
      <c r="BD198" s="108"/>
    </row>
    <row r="199" spans="45:56" x14ac:dyDescent="0.3">
      <c r="AS199" s="110"/>
      <c r="AT199" s="108"/>
      <c r="AU199" s="108"/>
      <c r="AV199" s="108"/>
      <c r="AW199" s="108"/>
      <c r="AX199" s="108"/>
      <c r="AY199" s="108"/>
      <c r="AZ199" s="108"/>
      <c r="BA199" s="108"/>
      <c r="BB199" s="108"/>
      <c r="BC199" s="108"/>
      <c r="BD199" s="108"/>
    </row>
    <row r="200" spans="45:56" x14ac:dyDescent="0.3">
      <c r="AS200" s="110"/>
      <c r="AT200" s="108"/>
      <c r="AU200" s="108"/>
      <c r="AV200" s="108"/>
      <c r="AW200" s="108"/>
      <c r="AX200" s="108"/>
      <c r="AY200" s="108"/>
      <c r="AZ200" s="108"/>
      <c r="BA200" s="108"/>
      <c r="BB200" s="108"/>
      <c r="BC200" s="108"/>
      <c r="BD200" s="108"/>
    </row>
    <row r="201" spans="45:56" x14ac:dyDescent="0.3">
      <c r="AS201" s="110"/>
      <c r="AT201" s="108"/>
      <c r="AU201" s="108"/>
      <c r="AV201" s="108"/>
      <c r="AW201" s="108"/>
      <c r="AX201" s="108"/>
      <c r="AY201" s="108"/>
      <c r="AZ201" s="108"/>
      <c r="BA201" s="108"/>
      <c r="BB201" s="108"/>
      <c r="BC201" s="108"/>
      <c r="BD201" s="108"/>
    </row>
    <row r="202" spans="45:56" x14ac:dyDescent="0.3">
      <c r="AS202" s="110"/>
      <c r="AT202" s="108"/>
      <c r="AU202" s="108"/>
      <c r="AV202" s="108"/>
      <c r="AW202" s="108"/>
      <c r="AX202" s="108"/>
      <c r="AY202" s="108"/>
      <c r="AZ202" s="108"/>
      <c r="BA202" s="108"/>
      <c r="BB202" s="108"/>
      <c r="BC202" s="108"/>
      <c r="BD202" s="108"/>
    </row>
    <row r="203" spans="45:56" x14ac:dyDescent="0.3">
      <c r="AS203" s="110"/>
      <c r="AT203" s="108"/>
      <c r="AU203" s="108"/>
      <c r="AV203" s="108"/>
      <c r="AW203" s="108"/>
      <c r="AX203" s="108"/>
      <c r="AY203" s="108"/>
      <c r="AZ203" s="108"/>
      <c r="BA203" s="108"/>
      <c r="BB203" s="108"/>
      <c r="BC203" s="108"/>
      <c r="BD203" s="108"/>
    </row>
    <row r="204" spans="45:56" x14ac:dyDescent="0.3">
      <c r="AS204" s="110"/>
      <c r="AT204" s="108"/>
      <c r="AU204" s="108"/>
      <c r="AV204" s="108"/>
      <c r="AW204" s="108"/>
      <c r="AX204" s="108"/>
      <c r="AY204" s="108"/>
      <c r="AZ204" s="108"/>
      <c r="BA204" s="108"/>
      <c r="BB204" s="108"/>
      <c r="BC204" s="108"/>
      <c r="BD204" s="108"/>
    </row>
    <row r="205" spans="45:56" x14ac:dyDescent="0.3">
      <c r="AS205" s="110"/>
      <c r="AT205" s="108"/>
      <c r="AU205" s="108"/>
      <c r="AV205" s="108"/>
      <c r="AW205" s="108"/>
      <c r="AX205" s="108"/>
      <c r="AY205" s="108"/>
      <c r="AZ205" s="108"/>
      <c r="BA205" s="108"/>
      <c r="BB205" s="108"/>
      <c r="BC205" s="108"/>
      <c r="BD205" s="108"/>
    </row>
    <row r="206" spans="45:56" x14ac:dyDescent="0.3">
      <c r="AS206" s="110"/>
      <c r="AT206" s="108"/>
      <c r="AU206" s="108"/>
      <c r="AV206" s="108"/>
      <c r="AW206" s="108"/>
      <c r="AX206" s="108"/>
      <c r="AY206" s="108"/>
      <c r="AZ206" s="108"/>
      <c r="BA206" s="108"/>
      <c r="BB206" s="108"/>
      <c r="BC206" s="108"/>
      <c r="BD206" s="108"/>
    </row>
    <row r="207" spans="45:56" x14ac:dyDescent="0.3">
      <c r="AS207" s="110"/>
      <c r="AT207" s="108"/>
      <c r="AU207" s="108"/>
      <c r="AV207" s="108"/>
      <c r="AW207" s="108"/>
      <c r="AX207" s="108"/>
      <c r="AY207" s="108"/>
      <c r="AZ207" s="108"/>
      <c r="BA207" s="108"/>
      <c r="BB207" s="108"/>
      <c r="BC207" s="108"/>
      <c r="BD207" s="108"/>
    </row>
    <row r="208" spans="45:56" x14ac:dyDescent="0.3">
      <c r="AS208" s="108"/>
      <c r="AT208" s="108"/>
      <c r="AU208" s="108"/>
      <c r="AV208" s="108"/>
      <c r="AW208" s="108"/>
      <c r="AX208" s="108"/>
      <c r="AY208" s="108"/>
      <c r="AZ208" s="108"/>
      <c r="BA208" s="108"/>
      <c r="BB208" s="108"/>
      <c r="BC208" s="108"/>
      <c r="BD208" s="108"/>
    </row>
    <row r="209" spans="45:56" x14ac:dyDescent="0.3">
      <c r="AS209" s="110"/>
      <c r="AT209" s="108"/>
      <c r="AU209" s="108"/>
      <c r="AV209" s="108"/>
      <c r="AW209" s="108"/>
      <c r="AX209" s="108"/>
      <c r="AY209" s="108"/>
      <c r="AZ209" s="108"/>
      <c r="BA209" s="108"/>
      <c r="BB209" s="108"/>
      <c r="BC209" s="108"/>
      <c r="BD209" s="108"/>
    </row>
    <row r="210" spans="45:56" x14ac:dyDescent="0.3">
      <c r="AS210" s="108"/>
      <c r="AT210" s="108"/>
      <c r="AU210" s="108"/>
      <c r="AV210" s="108"/>
      <c r="AW210" s="108"/>
      <c r="AX210" s="108"/>
      <c r="AY210" s="108"/>
      <c r="AZ210" s="108"/>
      <c r="BA210" s="108"/>
      <c r="BB210" s="108"/>
      <c r="BC210" s="108"/>
      <c r="BD210" s="108"/>
    </row>
    <row r="211" spans="45:56" x14ac:dyDescent="0.3">
      <c r="AS211" s="110"/>
      <c r="AT211" s="108"/>
      <c r="AU211" s="108"/>
      <c r="AV211" s="108"/>
      <c r="AW211" s="108"/>
      <c r="AX211" s="108"/>
      <c r="AY211" s="108"/>
      <c r="AZ211" s="108"/>
      <c r="BA211" s="108"/>
      <c r="BB211" s="108"/>
      <c r="BC211" s="108"/>
      <c r="BD211" s="108"/>
    </row>
    <row r="212" spans="45:56" x14ac:dyDescent="0.3">
      <c r="AS212" s="110"/>
      <c r="AT212" s="108"/>
      <c r="AU212" s="108"/>
      <c r="AV212" s="108"/>
      <c r="AW212" s="108"/>
      <c r="AX212" s="108"/>
      <c r="AY212" s="108"/>
      <c r="AZ212" s="108"/>
      <c r="BA212" s="108"/>
      <c r="BB212" s="108"/>
      <c r="BC212" s="108"/>
      <c r="BD212" s="108"/>
    </row>
    <row r="213" spans="45:56" x14ac:dyDescent="0.3">
      <c r="AS213" s="108"/>
      <c r="AT213" s="108"/>
      <c r="AU213" s="108"/>
      <c r="AV213" s="108"/>
      <c r="AW213" s="108"/>
      <c r="AX213" s="108"/>
      <c r="AY213" s="108"/>
      <c r="AZ213" s="108"/>
      <c r="BA213" s="108"/>
      <c r="BB213" s="108"/>
      <c r="BC213" s="108"/>
      <c r="BD213" s="108"/>
    </row>
    <row r="268" spans="57:57" x14ac:dyDescent="0.3">
      <c r="BE268" s="73"/>
    </row>
    <row r="269" spans="57:57" x14ac:dyDescent="0.3">
      <c r="BE269" s="79"/>
    </row>
  </sheetData>
  <phoneticPr fontId="7" type="noConversion"/>
  <pageMargins left="0.7" right="0.7" top="0.75" bottom="0.75" header="0.3" footer="0.3"/>
  <pageSetup scale="70" fitToHeight="0" orientation="portrait" r:id="rId1"/>
  <headerFooter alignWithMargins="0"/>
  <rowBreaks count="1" manualBreakCount="1">
    <brk id="29" max="16383" man="1"/>
  </rowBreaks>
  <colBreaks count="1" manualBreakCount="1">
    <brk id="12" max="7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40"/>
  <sheetViews>
    <sheetView zoomScaleNormal="100" workbookViewId="0">
      <selection activeCell="E16" sqref="E16"/>
    </sheetView>
  </sheetViews>
  <sheetFormatPr defaultColWidth="9.26953125" defaultRowHeight="13" x14ac:dyDescent="0.3"/>
  <cols>
    <col min="1" max="1" width="5.7265625" style="227" customWidth="1"/>
    <col min="2" max="2" width="28.7265625" style="217" customWidth="1"/>
    <col min="3" max="3" width="8.54296875" style="217" customWidth="1"/>
    <col min="4" max="4" width="9.7265625" style="217" customWidth="1"/>
    <col min="5" max="5" width="2.453125" style="217" customWidth="1"/>
    <col min="6" max="6" width="10.54296875" style="217" customWidth="1"/>
    <col min="7" max="7" width="10.453125" style="217" customWidth="1"/>
    <col min="8" max="8" width="14.7265625" style="217" customWidth="1"/>
    <col min="9" max="9" width="17.54296875" style="217" bestFit="1" customWidth="1"/>
    <col min="10" max="10" width="1.7265625" style="217" customWidth="1"/>
    <col min="11" max="11" width="16.7265625" style="217" bestFit="1" customWidth="1"/>
    <col min="12" max="12" width="10.26953125" style="217" customWidth="1"/>
    <col min="13" max="13" width="6.26953125" style="217" customWidth="1"/>
    <col min="14" max="14" width="4.453125" style="217" customWidth="1"/>
    <col min="15" max="16384" width="9.26953125" style="217"/>
  </cols>
  <sheetData>
    <row r="1" spans="1:12" ht="15.5" x14ac:dyDescent="0.35">
      <c r="A1" s="225" t="s">
        <v>98</v>
      </c>
      <c r="K1" s="226"/>
      <c r="L1" s="227"/>
    </row>
    <row r="2" spans="1:12" ht="15.5" x14ac:dyDescent="0.35">
      <c r="A2" s="225" t="s">
        <v>206</v>
      </c>
    </row>
    <row r="3" spans="1:12" ht="15.5" x14ac:dyDescent="0.35">
      <c r="A3" s="225" t="s">
        <v>205</v>
      </c>
      <c r="B3" s="228"/>
    </row>
    <row r="4" spans="1:12" ht="15.5" x14ac:dyDescent="0.35">
      <c r="A4" s="225" t="s">
        <v>204</v>
      </c>
      <c r="B4" s="228"/>
    </row>
    <row r="5" spans="1:12" x14ac:dyDescent="0.3">
      <c r="A5" s="229" t="str">
        <f>'1 EGC'!A3</f>
        <v>Mar 26 - May  26</v>
      </c>
    </row>
    <row r="7" spans="1:12" s="232" customFormat="1" ht="52" x14ac:dyDescent="0.3">
      <c r="A7" s="230" t="s">
        <v>162</v>
      </c>
      <c r="B7" s="230" t="s">
        <v>15</v>
      </c>
      <c r="C7" s="230" t="s">
        <v>386</v>
      </c>
      <c r="D7" s="230" t="s">
        <v>209</v>
      </c>
      <c r="E7" s="230"/>
      <c r="F7" s="230" t="s">
        <v>215</v>
      </c>
      <c r="G7" s="230" t="s">
        <v>367</v>
      </c>
      <c r="H7" s="230" t="s">
        <v>211</v>
      </c>
      <c r="I7" s="230" t="s">
        <v>214</v>
      </c>
      <c r="J7" s="231"/>
      <c r="K7" s="276" t="s">
        <v>222</v>
      </c>
      <c r="L7" s="276"/>
    </row>
    <row r="8" spans="1:12" s="232" customFormat="1" ht="14.25" customHeight="1" x14ac:dyDescent="0.3">
      <c r="A8" s="233"/>
      <c r="B8" s="233"/>
      <c r="C8" s="233" t="s">
        <v>33</v>
      </c>
      <c r="D8" s="233"/>
      <c r="E8" s="233"/>
      <c r="F8" s="233" t="s">
        <v>1</v>
      </c>
      <c r="G8" s="233"/>
      <c r="H8" s="233"/>
      <c r="I8" s="233"/>
      <c r="J8" s="233"/>
      <c r="K8" s="233" t="s">
        <v>1</v>
      </c>
      <c r="L8" s="233" t="s">
        <v>108</v>
      </c>
    </row>
    <row r="9" spans="1:12" s="232" customFormat="1" ht="14.25" customHeight="1" x14ac:dyDescent="0.3">
      <c r="A9" s="233"/>
      <c r="B9" s="233"/>
      <c r="C9" s="233" t="s">
        <v>208</v>
      </c>
      <c r="D9" s="233"/>
      <c r="E9" s="233"/>
      <c r="F9" s="233" t="s">
        <v>208</v>
      </c>
      <c r="G9" s="233"/>
      <c r="H9" s="233" t="s">
        <v>368</v>
      </c>
      <c r="I9" s="233"/>
      <c r="J9" s="233"/>
      <c r="K9" s="233"/>
    </row>
    <row r="10" spans="1:12" s="235" customFormat="1" ht="14.25" customHeight="1" x14ac:dyDescent="0.3">
      <c r="A10" s="234"/>
      <c r="B10" s="234"/>
      <c r="C10" s="234" t="s">
        <v>30</v>
      </c>
      <c r="D10" s="234" t="s">
        <v>31</v>
      </c>
      <c r="E10" s="234"/>
      <c r="F10" s="234" t="s">
        <v>32</v>
      </c>
      <c r="G10" s="234" t="s">
        <v>212</v>
      </c>
      <c r="H10" s="234" t="s">
        <v>213</v>
      </c>
      <c r="I10" s="234" t="s">
        <v>369</v>
      </c>
      <c r="J10" s="234"/>
      <c r="K10" s="234" t="s">
        <v>370</v>
      </c>
    </row>
    <row r="11" spans="1:12" s="232" customFormat="1" x14ac:dyDescent="0.3">
      <c r="A11" s="233"/>
      <c r="B11" s="233"/>
      <c r="C11" s="233"/>
      <c r="D11" s="233"/>
      <c r="E11" s="233"/>
      <c r="F11" s="233"/>
      <c r="G11" s="233"/>
      <c r="H11" s="233"/>
      <c r="I11" s="233"/>
      <c r="J11" s="233"/>
      <c r="K11" s="233"/>
    </row>
    <row r="12" spans="1:12" x14ac:dyDescent="0.3">
      <c r="A12" s="236"/>
      <c r="B12" s="236"/>
      <c r="C12" s="236"/>
      <c r="D12" s="236"/>
      <c r="E12" s="236"/>
      <c r="F12" s="236"/>
      <c r="G12" s="236"/>
      <c r="H12" s="236"/>
      <c r="I12" s="236"/>
      <c r="J12" s="236"/>
      <c r="K12" s="236"/>
    </row>
    <row r="13" spans="1:12" x14ac:dyDescent="0.3">
      <c r="A13" s="237" t="s">
        <v>218</v>
      </c>
    </row>
    <row r="14" spans="1:12" x14ac:dyDescent="0.3">
      <c r="A14" s="238">
        <v>1</v>
      </c>
      <c r="B14" s="217" t="s">
        <v>210</v>
      </c>
    </row>
    <row r="15" spans="1:12" ht="14.5" x14ac:dyDescent="0.45">
      <c r="A15" s="238">
        <f>A14+1</f>
        <v>2</v>
      </c>
      <c r="B15" s="239" t="s">
        <v>202</v>
      </c>
      <c r="C15" s="240">
        <f>+'3 DemCost'!C22+'3 DemCost'!C24</f>
        <v>14224</v>
      </c>
      <c r="D15" s="250">
        <v>1.8270000000000002E-2</v>
      </c>
      <c r="E15" s="240"/>
      <c r="F15" s="240"/>
      <c r="G15" s="240"/>
      <c r="H15" s="240"/>
      <c r="I15" s="240"/>
      <c r="J15" s="240"/>
      <c r="K15" s="240"/>
    </row>
    <row r="16" spans="1:12" x14ac:dyDescent="0.3">
      <c r="A16" s="238">
        <f t="shared" ref="A16:A18" si="0">A15+1</f>
        <v>3</v>
      </c>
      <c r="B16" s="239" t="s">
        <v>57</v>
      </c>
      <c r="C16" s="2">
        <f>SUM(C15:C15)</f>
        <v>14224</v>
      </c>
      <c r="D16" s="2"/>
      <c r="E16" s="2"/>
      <c r="F16" s="2"/>
      <c r="G16" s="2"/>
      <c r="H16" s="2"/>
      <c r="I16" s="2"/>
      <c r="J16" s="2"/>
      <c r="K16" s="2"/>
    </row>
    <row r="17" spans="1:20" x14ac:dyDescent="0.3">
      <c r="A17" s="238">
        <f t="shared" si="0"/>
        <v>4</v>
      </c>
      <c r="C17" s="2"/>
      <c r="D17" s="2"/>
      <c r="E17" s="2"/>
      <c r="F17" s="2"/>
      <c r="G17" s="2"/>
      <c r="H17" s="2"/>
      <c r="I17" s="2"/>
      <c r="J17" s="2"/>
      <c r="K17" s="2"/>
    </row>
    <row r="18" spans="1:20" x14ac:dyDescent="0.3">
      <c r="A18" s="238">
        <f t="shared" si="0"/>
        <v>5</v>
      </c>
      <c r="B18" s="217" t="s">
        <v>211</v>
      </c>
      <c r="C18" s="2"/>
      <c r="D18" s="2"/>
      <c r="E18" s="2"/>
      <c r="F18" s="2"/>
      <c r="G18" s="2"/>
      <c r="H18" s="2"/>
      <c r="I18" s="2"/>
      <c r="J18" s="2"/>
      <c r="K18" s="2"/>
    </row>
    <row r="19" spans="1:20" ht="14.5" x14ac:dyDescent="0.45">
      <c r="A19" s="238">
        <f>A18+1</f>
        <v>6</v>
      </c>
      <c r="B19" s="239" t="s">
        <v>372</v>
      </c>
      <c r="C19" s="241">
        <f>ROUND(C15/C16,4)</f>
        <v>1</v>
      </c>
      <c r="D19" s="241"/>
      <c r="E19" s="241"/>
      <c r="F19" s="241"/>
      <c r="G19" s="241"/>
      <c r="H19" s="241"/>
      <c r="I19" s="241"/>
      <c r="J19" s="241"/>
      <c r="K19" s="241"/>
      <c r="L19" s="240"/>
    </row>
    <row r="22" spans="1:20" x14ac:dyDescent="0.3">
      <c r="A22" s="226" t="s">
        <v>217</v>
      </c>
    </row>
    <row r="23" spans="1:20" x14ac:dyDescent="0.3">
      <c r="A23" s="238">
        <f>A19+1</f>
        <v>7</v>
      </c>
      <c r="B23" s="217" t="s">
        <v>202</v>
      </c>
      <c r="E23" s="3"/>
      <c r="F23" s="3">
        <f>+'3 DemCost'!E22</f>
        <v>13.318</v>
      </c>
      <c r="G23" s="242">
        <f>+'3 DemCost'!G22</f>
        <v>12</v>
      </c>
      <c r="H23" s="140">
        <f>+C19</f>
        <v>1</v>
      </c>
      <c r="I23" s="140">
        <v>1</v>
      </c>
      <c r="J23" s="140"/>
      <c r="K23" s="3">
        <f>+ROUND(F23*G23*H23*I23,4)</f>
        <v>159.816</v>
      </c>
    </row>
    <row r="24" spans="1:20" x14ac:dyDescent="0.3">
      <c r="A24" s="238">
        <f>A23+1</f>
        <v>8</v>
      </c>
      <c r="B24" s="217" t="s">
        <v>216</v>
      </c>
      <c r="E24" s="3"/>
      <c r="F24" s="3">
        <f>'3 DemCost'!E32</f>
        <v>5.2084999999999999</v>
      </c>
      <c r="G24" s="242">
        <f>'3 DemCost'!G32</f>
        <v>12</v>
      </c>
      <c r="H24" s="140">
        <f>+C19</f>
        <v>1</v>
      </c>
      <c r="I24" s="140">
        <f>1/(1-D15)</f>
        <v>1.0186100047874671</v>
      </c>
      <c r="J24" s="140"/>
      <c r="K24" s="3">
        <f>+ROUND(F24*G24*H24*I24,4)</f>
        <v>63.665199999999999</v>
      </c>
    </row>
    <row r="25" spans="1:20" x14ac:dyDescent="0.3">
      <c r="A25" s="238"/>
    </row>
    <row r="26" spans="1:20" x14ac:dyDescent="0.3">
      <c r="A26" s="238">
        <f>A24+1</f>
        <v>9</v>
      </c>
      <c r="B26" s="217" t="s">
        <v>203</v>
      </c>
      <c r="G26" s="243"/>
      <c r="H26" s="243"/>
      <c r="I26" s="243"/>
      <c r="J26" s="243"/>
      <c r="K26" s="3">
        <f>+SUM(K23:K24)</f>
        <v>223.4812</v>
      </c>
      <c r="L26" s="244">
        <v>244.22030000000001</v>
      </c>
      <c r="M26" s="245"/>
    </row>
    <row r="27" spans="1:20" x14ac:dyDescent="0.3">
      <c r="A27" s="238"/>
      <c r="L27" s="244"/>
    </row>
    <row r="28" spans="1:20" x14ac:dyDescent="0.3">
      <c r="A28" s="238">
        <f>A26+1</f>
        <v>10</v>
      </c>
      <c r="B28" s="217" t="s">
        <v>247</v>
      </c>
      <c r="C28" s="172"/>
      <c r="D28" s="172"/>
      <c r="E28" s="172"/>
      <c r="F28" s="172"/>
      <c r="G28" s="172"/>
      <c r="H28" s="172"/>
      <c r="I28" s="172"/>
      <c r="J28" s="172"/>
      <c r="K28" s="172"/>
      <c r="L28" s="171">
        <f>ROUND(L26/365,4)</f>
        <v>0.66910000000000003</v>
      </c>
    </row>
    <row r="29" spans="1:20" x14ac:dyDescent="0.3">
      <c r="A29" s="238"/>
      <c r="L29" s="244"/>
    </row>
    <row r="30" spans="1:20" x14ac:dyDescent="0.3">
      <c r="A30" s="238"/>
      <c r="L30" s="244"/>
    </row>
    <row r="31" spans="1:20" x14ac:dyDescent="0.3">
      <c r="A31" s="226" t="s">
        <v>223</v>
      </c>
      <c r="K31" s="244"/>
      <c r="L31" s="244"/>
    </row>
    <row r="32" spans="1:20" s="247" customFormat="1" x14ac:dyDescent="0.3">
      <c r="A32" s="246">
        <f>A28+1</f>
        <v>11</v>
      </c>
      <c r="B32" s="247" t="s">
        <v>219</v>
      </c>
      <c r="C32" s="248"/>
      <c r="D32" s="248"/>
      <c r="E32" s="248"/>
      <c r="F32" s="248"/>
      <c r="G32" s="248"/>
      <c r="H32" s="248"/>
      <c r="I32" s="248"/>
      <c r="J32" s="248"/>
      <c r="K32" s="248"/>
      <c r="L32" s="46">
        <f>+'detail TariffSplit'!C13</f>
        <v>3.6160000000000001</v>
      </c>
      <c r="N32" s="217"/>
      <c r="O32" s="217"/>
      <c r="P32" s="217"/>
      <c r="Q32" s="217"/>
      <c r="R32" s="217"/>
      <c r="S32" s="217"/>
      <c r="T32" s="217"/>
    </row>
    <row r="33" spans="1:20" s="247" customFormat="1" x14ac:dyDescent="0.3">
      <c r="A33" s="246">
        <f>A32+1</f>
        <v>12</v>
      </c>
      <c r="B33" s="247" t="s">
        <v>220</v>
      </c>
      <c r="C33" s="248"/>
      <c r="D33" s="248"/>
      <c r="E33" s="248"/>
      <c r="F33" s="248"/>
      <c r="G33" s="248"/>
      <c r="H33" s="248"/>
      <c r="I33" s="248"/>
      <c r="J33" s="248"/>
      <c r="K33" s="248"/>
      <c r="L33" s="46">
        <f>-L28</f>
        <v>-0.66910000000000003</v>
      </c>
      <c r="N33" s="217"/>
      <c r="O33" s="217"/>
      <c r="P33" s="217"/>
      <c r="Q33" s="217"/>
      <c r="R33" s="217"/>
      <c r="S33" s="217"/>
      <c r="T33" s="217"/>
    </row>
    <row r="34" spans="1:20" x14ac:dyDescent="0.3">
      <c r="A34" s="246">
        <f>A33+1</f>
        <v>13</v>
      </c>
      <c r="B34" s="217" t="s">
        <v>221</v>
      </c>
      <c r="C34" s="172"/>
      <c r="D34" s="172"/>
      <c r="E34" s="172"/>
      <c r="F34" s="172"/>
      <c r="G34" s="172"/>
      <c r="H34" s="172"/>
      <c r="I34" s="172"/>
      <c r="J34" s="172"/>
      <c r="K34" s="172"/>
      <c r="L34" s="47">
        <f>+StoCommCost!D38</f>
        <v>9.2600000000000002E-2</v>
      </c>
    </row>
    <row r="35" spans="1:20" x14ac:dyDescent="0.3">
      <c r="A35" s="238"/>
      <c r="C35" s="243"/>
      <c r="D35" s="243"/>
      <c r="E35" s="243"/>
      <c r="F35" s="243"/>
      <c r="G35" s="243"/>
      <c r="H35" s="243"/>
      <c r="I35" s="243"/>
      <c r="J35" s="243"/>
      <c r="K35" s="243"/>
      <c r="L35" s="244"/>
    </row>
    <row r="36" spans="1:20" x14ac:dyDescent="0.3">
      <c r="A36" s="238">
        <f>A34+1</f>
        <v>14</v>
      </c>
      <c r="B36" s="217" t="s">
        <v>371</v>
      </c>
      <c r="C36" s="243"/>
      <c r="D36" s="243"/>
      <c r="E36" s="243"/>
      <c r="F36" s="243"/>
      <c r="G36" s="243"/>
      <c r="H36" s="243"/>
      <c r="I36" s="243"/>
      <c r="J36" s="243"/>
      <c r="K36" s="243"/>
      <c r="L36" s="244">
        <f>+SUM(L32:L34)</f>
        <v>3.0395000000000003</v>
      </c>
    </row>
    <row r="37" spans="1:20" x14ac:dyDescent="0.3">
      <c r="L37" s="244"/>
    </row>
    <row r="38" spans="1:20" x14ac:dyDescent="0.3">
      <c r="L38" s="244"/>
    </row>
    <row r="39" spans="1:20" x14ac:dyDescent="0.3">
      <c r="B39" s="249"/>
      <c r="L39" s="244"/>
    </row>
    <row r="40" spans="1:20" x14ac:dyDescent="0.3">
      <c r="L40" s="244"/>
    </row>
  </sheetData>
  <mergeCells count="1">
    <mergeCell ref="K7:L7"/>
  </mergeCells>
  <phoneticPr fontId="6" type="noConversion"/>
  <pageMargins left="0.75" right="0.75" top="1" bottom="1" header="0.5" footer="0.5"/>
  <pageSetup scale="65" orientation="portrait" r:id="rId1"/>
  <headerFooter alignWithMargins="0">
    <oddHeader xml:space="preserve">&amp;RAttachment E
</oddHeader>
  </headerFooter>
  <ignoredErrors>
    <ignoredError sqref="C10:H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38"/>
  <sheetViews>
    <sheetView topLeftCell="A35" zoomScaleNormal="100" workbookViewId="0">
      <selection activeCell="E16" sqref="E16"/>
    </sheetView>
  </sheetViews>
  <sheetFormatPr defaultColWidth="9.26953125" defaultRowHeight="13" x14ac:dyDescent="0.3"/>
  <cols>
    <col min="1" max="1" width="4.7265625" style="217" customWidth="1"/>
    <col min="2" max="2" width="59.26953125" style="217" customWidth="1"/>
    <col min="3" max="3" width="3.54296875" style="217" customWidth="1"/>
    <col min="4" max="4" width="12.7265625" style="217" bestFit="1" customWidth="1"/>
    <col min="5" max="5" width="9.26953125" style="217"/>
    <col min="6" max="6" width="10" style="217" customWidth="1"/>
    <col min="7" max="16384" width="9.26953125" style="217"/>
  </cols>
  <sheetData>
    <row r="1" spans="1:7" ht="18.5" x14ac:dyDescent="0.45">
      <c r="A1" s="251" t="s">
        <v>98</v>
      </c>
      <c r="G1" s="227"/>
    </row>
    <row r="2" spans="1:7" x14ac:dyDescent="0.3">
      <c r="A2" s="237" t="s">
        <v>186</v>
      </c>
    </row>
    <row r="5" spans="1:7" s="232" customFormat="1" ht="26" x14ac:dyDescent="0.3">
      <c r="A5" s="230" t="s">
        <v>162</v>
      </c>
      <c r="B5" s="230" t="s">
        <v>15</v>
      </c>
      <c r="C5" s="252"/>
      <c r="D5" s="230" t="s">
        <v>187</v>
      </c>
    </row>
    <row r="6" spans="1:7" s="232" customFormat="1" x14ac:dyDescent="0.3">
      <c r="A6" s="231"/>
      <c r="B6" s="231"/>
      <c r="D6" s="231"/>
    </row>
    <row r="7" spans="1:7" x14ac:dyDescent="0.3">
      <c r="A7" s="238">
        <v>1</v>
      </c>
      <c r="B7" s="253" t="s">
        <v>188</v>
      </c>
    </row>
    <row r="8" spans="1:7" x14ac:dyDescent="0.3">
      <c r="A8" s="238">
        <v>2</v>
      </c>
      <c r="B8" s="217" t="s">
        <v>189</v>
      </c>
      <c r="D8" s="2">
        <v>9263000</v>
      </c>
      <c r="E8" s="254"/>
    </row>
    <row r="9" spans="1:7" x14ac:dyDescent="0.3">
      <c r="A9" s="238">
        <v>3</v>
      </c>
      <c r="B9" s="217" t="s">
        <v>190</v>
      </c>
      <c r="D9" s="250">
        <f>+'AttE ChoBalCharge'!D15</f>
        <v>1.8270000000000002E-2</v>
      </c>
    </row>
    <row r="10" spans="1:7" x14ac:dyDescent="0.3">
      <c r="A10" s="238">
        <v>4</v>
      </c>
      <c r="B10" s="217" t="s">
        <v>373</v>
      </c>
      <c r="D10" s="2">
        <f>+ROUND(D8*(1-D9),0)</f>
        <v>9093765</v>
      </c>
    </row>
    <row r="11" spans="1:7" x14ac:dyDescent="0.3">
      <c r="A11" s="238"/>
      <c r="D11" s="2"/>
      <c r="E11" s="254"/>
    </row>
    <row r="12" spans="1:7" x14ac:dyDescent="0.3">
      <c r="A12" s="238">
        <v>5</v>
      </c>
      <c r="B12" s="253" t="s">
        <v>191</v>
      </c>
      <c r="D12" s="2"/>
    </row>
    <row r="13" spans="1:7" x14ac:dyDescent="0.3">
      <c r="A13" s="238">
        <v>6</v>
      </c>
      <c r="B13" s="217" t="s">
        <v>192</v>
      </c>
      <c r="D13" s="250">
        <v>5.4299999999999999E-3</v>
      </c>
    </row>
    <row r="14" spans="1:7" x14ac:dyDescent="0.3">
      <c r="A14" s="238">
        <v>7</v>
      </c>
      <c r="B14" s="217" t="s">
        <v>374</v>
      </c>
      <c r="D14" s="2">
        <f>+D8/(1-D13)</f>
        <v>9313572.6997596957</v>
      </c>
      <c r="F14" s="254"/>
    </row>
    <row r="15" spans="1:7" x14ac:dyDescent="0.3">
      <c r="A15" s="238">
        <v>8</v>
      </c>
      <c r="B15" s="217" t="s">
        <v>375</v>
      </c>
      <c r="D15" s="2">
        <f>+D14-D8</f>
        <v>50572.699759695679</v>
      </c>
    </row>
    <row r="16" spans="1:7" x14ac:dyDescent="0.3">
      <c r="A16" s="238"/>
      <c r="D16" s="2"/>
    </row>
    <row r="17" spans="1:4" x14ac:dyDescent="0.3">
      <c r="A17" s="238"/>
      <c r="B17" s="253" t="s">
        <v>145</v>
      </c>
      <c r="D17" s="250"/>
    </row>
    <row r="18" spans="1:4" x14ac:dyDescent="0.3">
      <c r="A18" s="238">
        <v>9</v>
      </c>
      <c r="B18" s="217" t="s">
        <v>193</v>
      </c>
      <c r="D18" s="3">
        <f>+'1 EGC'!H13</f>
        <v>2.4199999999999999E-2</v>
      </c>
    </row>
    <row r="19" spans="1:4" x14ac:dyDescent="0.3">
      <c r="A19" s="238">
        <v>10</v>
      </c>
      <c r="B19" s="217" t="s">
        <v>194</v>
      </c>
      <c r="D19" s="3">
        <f>'8 BankBal'!F39</f>
        <v>1.7899999999999999E-2</v>
      </c>
    </row>
    <row r="20" spans="1:4" x14ac:dyDescent="0.3">
      <c r="A20" s="238"/>
      <c r="D20" s="3"/>
    </row>
    <row r="21" spans="1:4" x14ac:dyDescent="0.3">
      <c r="A21" s="238"/>
      <c r="B21" s="217" t="s">
        <v>226</v>
      </c>
      <c r="D21" s="3"/>
    </row>
    <row r="22" spans="1:4" x14ac:dyDescent="0.3">
      <c r="A22" s="238"/>
      <c r="B22" s="239" t="s">
        <v>227</v>
      </c>
      <c r="D22" s="3"/>
    </row>
    <row r="23" spans="1:4" x14ac:dyDescent="0.3">
      <c r="A23" s="238" t="s">
        <v>224</v>
      </c>
      <c r="B23" s="239" t="s">
        <v>201</v>
      </c>
      <c r="D23" s="3">
        <v>3.5466666666666664</v>
      </c>
    </row>
    <row r="24" spans="1:4" x14ac:dyDescent="0.3">
      <c r="A24" s="238" t="s">
        <v>225</v>
      </c>
      <c r="B24" s="239" t="s">
        <v>200</v>
      </c>
      <c r="D24" s="255">
        <v>1.0928</v>
      </c>
    </row>
    <row r="25" spans="1:4" x14ac:dyDescent="0.3">
      <c r="A25" s="238">
        <v>11</v>
      </c>
      <c r="B25" s="239" t="s">
        <v>376</v>
      </c>
      <c r="D25" s="171">
        <f>+ROUND(D23/D24,4)</f>
        <v>3.2454999999999998</v>
      </c>
    </row>
    <row r="26" spans="1:4" x14ac:dyDescent="0.3">
      <c r="A26" s="238"/>
      <c r="D26" s="256"/>
    </row>
    <row r="27" spans="1:4" x14ac:dyDescent="0.3">
      <c r="A27" s="238">
        <v>12</v>
      </c>
      <c r="B27" s="253" t="s">
        <v>195</v>
      </c>
    </row>
    <row r="28" spans="1:4" x14ac:dyDescent="0.3">
      <c r="A28" s="238">
        <v>13</v>
      </c>
      <c r="B28" s="217" t="s">
        <v>377</v>
      </c>
      <c r="D28" s="123">
        <f>ROUND(D14*D18,0)</f>
        <v>225388</v>
      </c>
    </row>
    <row r="29" spans="1:4" x14ac:dyDescent="0.3">
      <c r="A29" s="238">
        <v>14</v>
      </c>
      <c r="B29" s="217" t="s">
        <v>379</v>
      </c>
      <c r="D29" s="123">
        <f>ROUND(D8*D18,0)</f>
        <v>224165</v>
      </c>
    </row>
    <row r="30" spans="1:4" x14ac:dyDescent="0.3">
      <c r="A30" s="238">
        <v>15</v>
      </c>
      <c r="B30" s="217" t="s">
        <v>378</v>
      </c>
      <c r="D30" s="123">
        <f>ROUND(D19*D10,0)</f>
        <v>162778</v>
      </c>
    </row>
    <row r="31" spans="1:4" x14ac:dyDescent="0.3">
      <c r="A31" s="238">
        <v>16</v>
      </c>
      <c r="B31" s="217" t="s">
        <v>380</v>
      </c>
      <c r="D31" s="123">
        <f>ROUND((+D8-D10)*D25,0)</f>
        <v>549252</v>
      </c>
    </row>
    <row r="32" spans="1:4" x14ac:dyDescent="0.3">
      <c r="A32" s="238">
        <v>17</v>
      </c>
      <c r="B32" s="217" t="s">
        <v>381</v>
      </c>
      <c r="D32" s="257">
        <f>ROUND(D15*D25,0)</f>
        <v>164134</v>
      </c>
    </row>
    <row r="33" spans="1:5" x14ac:dyDescent="0.3">
      <c r="A33" s="238">
        <v>18</v>
      </c>
      <c r="B33" s="217" t="s">
        <v>382</v>
      </c>
      <c r="D33" s="258">
        <f>SUM(D28:D32)</f>
        <v>1325717</v>
      </c>
    </row>
    <row r="34" spans="1:5" x14ac:dyDescent="0.3">
      <c r="A34" s="238"/>
      <c r="D34" s="259"/>
    </row>
    <row r="35" spans="1:5" x14ac:dyDescent="0.3">
      <c r="A35" s="238"/>
      <c r="B35" s="253" t="s">
        <v>179</v>
      </c>
    </row>
    <row r="36" spans="1:5" x14ac:dyDescent="0.3">
      <c r="A36" s="238">
        <v>19</v>
      </c>
      <c r="B36" s="228" t="s">
        <v>196</v>
      </c>
      <c r="D36" s="2">
        <f>+'2 UnitDemCost'!F30</f>
        <v>14314404</v>
      </c>
      <c r="E36" s="217" t="s">
        <v>199</v>
      </c>
    </row>
    <row r="37" spans="1:5" x14ac:dyDescent="0.3">
      <c r="A37" s="238"/>
      <c r="B37" s="217" t="s">
        <v>197</v>
      </c>
    </row>
    <row r="38" spans="1:5" x14ac:dyDescent="0.3">
      <c r="A38" s="238">
        <v>20</v>
      </c>
      <c r="B38" s="217" t="s">
        <v>383</v>
      </c>
      <c r="D38" s="3">
        <f>ROUND(D33/D36,4)</f>
        <v>9.2600000000000002E-2</v>
      </c>
      <c r="E38" s="238" t="s">
        <v>198</v>
      </c>
    </row>
  </sheetData>
  <phoneticPr fontId="6" type="noConversion"/>
  <pageMargins left="0.75" right="0.75" top="1" bottom="1" header="0.5" footer="0.5"/>
  <pageSetup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44"/>
  <sheetViews>
    <sheetView topLeftCell="A32" zoomScale="80" zoomScaleNormal="80" workbookViewId="0">
      <selection activeCell="E16" sqref="E16"/>
    </sheetView>
  </sheetViews>
  <sheetFormatPr defaultColWidth="9.26953125" defaultRowHeight="14.5" x14ac:dyDescent="0.35"/>
  <cols>
    <col min="1" max="1" width="1.54296875" style="261" customWidth="1"/>
    <col min="2" max="2" width="118.26953125" style="261" customWidth="1"/>
    <col min="3" max="3" width="9.54296875" style="261" customWidth="1"/>
    <col min="4" max="8" width="9.26953125" style="261"/>
    <col min="9" max="9" width="14.26953125" style="261" customWidth="1"/>
    <col min="10" max="10" width="13.26953125" style="261" bestFit="1" customWidth="1"/>
    <col min="11" max="16384" width="9.26953125" style="261"/>
  </cols>
  <sheetData>
    <row r="1" spans="1:10" x14ac:dyDescent="0.35">
      <c r="A1" s="260" t="s">
        <v>90</v>
      </c>
      <c r="C1" s="262"/>
      <c r="D1" s="263"/>
    </row>
    <row r="2" spans="1:10" x14ac:dyDescent="0.35">
      <c r="A2" s="260" t="s">
        <v>412</v>
      </c>
    </row>
    <row r="4" spans="1:10" x14ac:dyDescent="0.35">
      <c r="A4" s="261" t="s">
        <v>91</v>
      </c>
    </row>
    <row r="7" spans="1:10" x14ac:dyDescent="0.35">
      <c r="C7" s="264" t="s">
        <v>108</v>
      </c>
    </row>
    <row r="8" spans="1:10" x14ac:dyDescent="0.35">
      <c r="A8" s="261" t="s">
        <v>92</v>
      </c>
    </row>
    <row r="10" spans="1:10" x14ac:dyDescent="0.35">
      <c r="B10" s="261" t="s">
        <v>242</v>
      </c>
      <c r="C10" s="265">
        <f>'1 EGC'!G51</f>
        <v>3.2745000000000002</v>
      </c>
    </row>
    <row r="11" spans="1:10" x14ac:dyDescent="0.35">
      <c r="B11" s="261" t="s">
        <v>411</v>
      </c>
      <c r="C11" s="272">
        <f>-0.608+0.2547+0.2541+0.4407</f>
        <v>0.34149999999999997</v>
      </c>
    </row>
    <row r="12" spans="1:10" hidden="1" x14ac:dyDescent="0.35">
      <c r="B12" s="261" t="s">
        <v>248</v>
      </c>
      <c r="C12" s="266">
        <f>Summ!E12</f>
        <v>0</v>
      </c>
    </row>
    <row r="13" spans="1:10" x14ac:dyDescent="0.35">
      <c r="B13" s="261" t="s">
        <v>93</v>
      </c>
      <c r="C13" s="265">
        <f>SUM(C10:C12)</f>
        <v>3.6160000000000001</v>
      </c>
      <c r="D13" s="267"/>
    </row>
    <row r="14" spans="1:10" x14ac:dyDescent="0.35">
      <c r="G14" s="265"/>
      <c r="H14" s="265"/>
      <c r="I14" s="48"/>
      <c r="J14" s="268"/>
    </row>
    <row r="15" spans="1:10" x14ac:dyDescent="0.35">
      <c r="F15" s="269"/>
      <c r="G15" s="265"/>
      <c r="H15" s="265"/>
      <c r="I15" s="48"/>
    </row>
    <row r="16" spans="1:10" x14ac:dyDescent="0.35">
      <c r="A16" s="261" t="s">
        <v>94</v>
      </c>
      <c r="F16" s="269"/>
      <c r="G16" s="265"/>
      <c r="H16" s="265"/>
      <c r="I16" s="48"/>
    </row>
    <row r="17" spans="1:9" x14ac:dyDescent="0.35">
      <c r="G17" s="265"/>
      <c r="H17" s="265"/>
      <c r="I17" s="48"/>
    </row>
    <row r="18" spans="1:9" x14ac:dyDescent="0.35">
      <c r="B18" s="261" t="s">
        <v>241</v>
      </c>
      <c r="C18" s="265">
        <f>'1 EGC'!G49</f>
        <v>3.7112000000000003</v>
      </c>
    </row>
    <row r="19" spans="1:9" x14ac:dyDescent="0.35">
      <c r="B19" s="261" t="s">
        <v>409</v>
      </c>
      <c r="C19" s="272">
        <f>-0.1047-0.3141-0.3047+0.0065</f>
        <v>-0.71700000000000008</v>
      </c>
    </row>
    <row r="20" spans="1:9" x14ac:dyDescent="0.35">
      <c r="A20" s="261" t="s">
        <v>0</v>
      </c>
      <c r="B20" s="261" t="s">
        <v>10</v>
      </c>
      <c r="C20" s="270">
        <f>Summ!E14</f>
        <v>0.1678</v>
      </c>
    </row>
    <row r="21" spans="1:9" x14ac:dyDescent="0.35">
      <c r="B21" s="261" t="s">
        <v>410</v>
      </c>
      <c r="C21" s="272">
        <f>Summ!E16</f>
        <v>-0.38030000000000003</v>
      </c>
    </row>
    <row r="22" spans="1:9" x14ac:dyDescent="0.35">
      <c r="B22" s="261" t="s">
        <v>395</v>
      </c>
      <c r="C22" s="266">
        <f>Summ!F56</f>
        <v>0.38819999999999999</v>
      </c>
    </row>
    <row r="23" spans="1:9" x14ac:dyDescent="0.35">
      <c r="B23" s="261" t="s">
        <v>95</v>
      </c>
      <c r="C23" s="265">
        <f>SUM(C18:C22)</f>
        <v>3.1699000000000002</v>
      </c>
    </row>
    <row r="25" spans="1:9" x14ac:dyDescent="0.35">
      <c r="F25" s="265"/>
    </row>
    <row r="26" spans="1:9" x14ac:dyDescent="0.35">
      <c r="F26" s="265"/>
    </row>
    <row r="27" spans="1:9" x14ac:dyDescent="0.35">
      <c r="F27" s="265"/>
    </row>
    <row r="28" spans="1:9" x14ac:dyDescent="0.35">
      <c r="B28" s="261" t="s">
        <v>96</v>
      </c>
      <c r="C28" s="265">
        <f>C13</f>
        <v>3.6160000000000001</v>
      </c>
      <c r="F28" s="265"/>
    </row>
    <row r="29" spans="1:9" x14ac:dyDescent="0.35">
      <c r="C29" s="271">
        <f>C23</f>
        <v>3.1699000000000002</v>
      </c>
      <c r="F29" s="265"/>
    </row>
    <row r="30" spans="1:9" x14ac:dyDescent="0.35">
      <c r="B30" s="261" t="s">
        <v>97</v>
      </c>
      <c r="C30" s="265">
        <f>SUM(C28:C29)</f>
        <v>6.7858999999999998</v>
      </c>
      <c r="D30" s="265"/>
      <c r="F30" s="265"/>
    </row>
    <row r="31" spans="1:9" x14ac:dyDescent="0.35">
      <c r="C31" s="265"/>
      <c r="F31" s="265"/>
    </row>
    <row r="32" spans="1:9" x14ac:dyDescent="0.35">
      <c r="F32" s="265"/>
    </row>
    <row r="33" spans="1:6" x14ac:dyDescent="0.35">
      <c r="A33" s="260" t="s">
        <v>228</v>
      </c>
      <c r="B33" s="260"/>
      <c r="F33" s="265"/>
    </row>
    <row r="35" spans="1:6" x14ac:dyDescent="0.35">
      <c r="B35" s="261" t="str">
        <f t="shared" ref="B35:C37" si="0">B19</f>
        <v>Commodity ACA (Schedule No. 2, Sheet 1, Case No. 2025-00126, Case No. 2025-00253, Case No. 2025-00350 &amp; Case No. 2026-00022)</v>
      </c>
      <c r="C35" s="272">
        <f>C19</f>
        <v>-0.71700000000000008</v>
      </c>
    </row>
    <row r="36" spans="1:6" x14ac:dyDescent="0.35">
      <c r="B36" s="261" t="str">
        <f t="shared" si="0"/>
        <v>Balancing Adjustment</v>
      </c>
      <c r="C36" s="270">
        <f t="shared" si="0"/>
        <v>0.1678</v>
      </c>
    </row>
    <row r="37" spans="1:6" x14ac:dyDescent="0.35">
      <c r="B37" s="261" t="str">
        <f t="shared" si="0"/>
        <v>Refund Adjustment  (Schedule No. 4, Case No. 2026-00022)</v>
      </c>
      <c r="C37" s="272">
        <f t="shared" si="0"/>
        <v>-0.38030000000000003</v>
      </c>
    </row>
    <row r="38" spans="1:6" x14ac:dyDescent="0.35">
      <c r="B38" s="261" t="str">
        <f>B22</f>
        <v>Performance Based Rate Adjustment (Schedule No. 6, Case No. 2025-00126)</v>
      </c>
      <c r="C38" s="266">
        <f>C22</f>
        <v>0.38819999999999999</v>
      </c>
    </row>
    <row r="39" spans="1:6" ht="15" thickBot="1" x14ac:dyDescent="0.4">
      <c r="B39" s="261" t="s">
        <v>95</v>
      </c>
      <c r="C39" s="273">
        <f>SUM(C35:C38)</f>
        <v>-0.54130000000000023</v>
      </c>
    </row>
    <row r="40" spans="1:6" ht="15" thickTop="1" x14ac:dyDescent="0.35"/>
    <row r="41" spans="1:6" x14ac:dyDescent="0.35">
      <c r="C41" s="270"/>
    </row>
    <row r="43" spans="1:6" x14ac:dyDescent="0.35">
      <c r="C43" s="270"/>
    </row>
    <row r="44" spans="1:6" x14ac:dyDescent="0.35">
      <c r="C44" s="270"/>
    </row>
  </sheetData>
  <phoneticPr fontId="7" type="noConversion"/>
  <pageMargins left="0.2" right="0.2" top="0.75" bottom="0.75" header="0.3" footer="0.3"/>
  <pageSetup scale="83" orientation="portrait" blackAndWhite="1" r:id="rId1"/>
  <headerFooter alignWithMargins="0">
    <oddHeader xml:space="preserve">&amp;R&amp;"Helv,Bold"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26953125" defaultRowHeight="14.5" x14ac:dyDescent="0.35"/>
  <cols>
    <col min="1" max="1" width="6.7265625" style="4" customWidth="1"/>
    <col min="2" max="2" width="51.26953125" style="4" bestFit="1" customWidth="1"/>
    <col min="3" max="3" width="13.7265625" style="4" bestFit="1" customWidth="1"/>
    <col min="4" max="4" width="2.7265625" style="4" customWidth="1"/>
    <col min="5" max="5" width="19.54296875" style="4" customWidth="1"/>
    <col min="6" max="6" width="19.453125" style="4" customWidth="1"/>
    <col min="7" max="7" width="2.7265625" style="4" customWidth="1"/>
    <col min="8" max="8" width="21.54296875" style="4" bestFit="1" customWidth="1"/>
    <col min="9" max="9" width="8.26953125" style="4" bestFit="1" customWidth="1"/>
    <col min="10" max="11" width="7" style="4" bestFit="1" customWidth="1"/>
    <col min="12" max="12" width="17.54296875" style="4" bestFit="1" customWidth="1"/>
    <col min="13" max="13" width="9.26953125" style="4"/>
    <col min="14" max="14" width="5.453125" style="4" bestFit="1" customWidth="1"/>
    <col min="15" max="16384" width="9.26953125" style="4"/>
  </cols>
  <sheetData>
    <row r="1" spans="2:11" x14ac:dyDescent="0.35">
      <c r="B1" s="277" t="s">
        <v>256</v>
      </c>
      <c r="C1" s="277"/>
      <c r="D1" s="277"/>
      <c r="E1" s="277"/>
      <c r="F1" s="277"/>
      <c r="G1" s="277"/>
      <c r="H1" s="277"/>
    </row>
    <row r="2" spans="2:11" x14ac:dyDescent="0.35">
      <c r="B2" s="278" t="s">
        <v>257</v>
      </c>
      <c r="C2" s="278"/>
      <c r="D2" s="278"/>
      <c r="E2" s="278"/>
      <c r="F2" s="278"/>
      <c r="G2" s="278"/>
      <c r="H2" s="278"/>
    </row>
    <row r="3" spans="2:11" x14ac:dyDescent="0.35">
      <c r="E3" s="5"/>
    </row>
    <row r="4" spans="2:11" x14ac:dyDescent="0.35">
      <c r="B4" s="6" t="s">
        <v>258</v>
      </c>
      <c r="C4" s="5"/>
      <c r="D4" s="5"/>
      <c r="E4" s="278" t="s">
        <v>207</v>
      </c>
      <c r="F4" s="278"/>
      <c r="H4" s="6" t="s">
        <v>259</v>
      </c>
      <c r="I4" s="26"/>
    </row>
    <row r="5" spans="2:11" x14ac:dyDescent="0.35">
      <c r="C5" s="4" t="s">
        <v>260</v>
      </c>
      <c r="E5" s="7" t="s">
        <v>261</v>
      </c>
      <c r="F5" s="7" t="s">
        <v>262</v>
      </c>
      <c r="G5" s="6"/>
      <c r="H5" s="6"/>
      <c r="I5" s="26"/>
      <c r="J5" s="6"/>
    </row>
    <row r="6" spans="2:11" x14ac:dyDescent="0.35">
      <c r="C6" s="8" t="s">
        <v>263</v>
      </c>
      <c r="D6" s="8"/>
      <c r="E6" s="8" t="s">
        <v>263</v>
      </c>
      <c r="F6" s="8" t="s">
        <v>263</v>
      </c>
      <c r="G6" s="9"/>
      <c r="H6" s="8" t="s">
        <v>263</v>
      </c>
      <c r="I6" s="5"/>
    </row>
    <row r="7" spans="2:11" x14ac:dyDescent="0.35">
      <c r="B7" s="10"/>
      <c r="I7" s="26"/>
    </row>
    <row r="8" spans="2:11" x14ac:dyDescent="0.35">
      <c r="B8" s="6" t="s">
        <v>264</v>
      </c>
      <c r="I8" s="26"/>
    </row>
    <row r="9" spans="2:11" x14ac:dyDescent="0.35">
      <c r="B9" s="11" t="s">
        <v>265</v>
      </c>
      <c r="C9" s="12">
        <v>16</v>
      </c>
      <c r="D9" s="10"/>
      <c r="E9" s="10"/>
      <c r="H9" s="27">
        <f>+C9</f>
        <v>16</v>
      </c>
      <c r="I9" s="26"/>
    </row>
    <row r="10" spans="2:11" x14ac:dyDescent="0.35">
      <c r="B10" s="10" t="s">
        <v>266</v>
      </c>
      <c r="C10" s="14">
        <v>3.5665</v>
      </c>
      <c r="D10" s="10"/>
      <c r="E10" s="10">
        <f>'detail TariffSplit'!C13</f>
        <v>3.6160000000000001</v>
      </c>
      <c r="F10" s="28">
        <f>'detail TariffSplit'!C23</f>
        <v>3.1699000000000002</v>
      </c>
      <c r="G10" s="10"/>
      <c r="H10" s="29">
        <f>SUM(C10:G10)</f>
        <v>10.352399999999999</v>
      </c>
      <c r="I10" s="30" t="s">
        <v>333</v>
      </c>
    </row>
    <row r="11" spans="2:11" x14ac:dyDescent="0.35">
      <c r="B11" s="5"/>
      <c r="H11" s="31"/>
      <c r="I11" s="30"/>
    </row>
    <row r="12" spans="2:11" x14ac:dyDescent="0.35">
      <c r="B12" s="6" t="s">
        <v>267</v>
      </c>
      <c r="H12" s="31"/>
      <c r="I12" s="30"/>
    </row>
    <row r="13" spans="2:11" x14ac:dyDescent="0.35">
      <c r="B13" s="15" t="s">
        <v>268</v>
      </c>
      <c r="H13" s="31"/>
      <c r="I13" s="30"/>
    </row>
    <row r="14" spans="2:11" x14ac:dyDescent="0.35">
      <c r="B14" s="16" t="s">
        <v>269</v>
      </c>
      <c r="C14" s="12">
        <v>44.69</v>
      </c>
      <c r="F14" s="10"/>
      <c r="H14" s="31">
        <f>+C14</f>
        <v>44.69</v>
      </c>
      <c r="I14" s="32"/>
    </row>
    <row r="15" spans="2:11" x14ac:dyDescent="0.35">
      <c r="B15" s="10" t="s">
        <v>270</v>
      </c>
      <c r="C15" s="13"/>
      <c r="H15" s="31"/>
      <c r="I15" s="30"/>
    </row>
    <row r="16" spans="2:11" x14ac:dyDescent="0.35">
      <c r="B16" s="10" t="s">
        <v>271</v>
      </c>
      <c r="C16" s="14">
        <v>3.0181</v>
      </c>
      <c r="E16" s="10">
        <f>+E10</f>
        <v>3.6160000000000001</v>
      </c>
      <c r="F16" s="33">
        <f>+F10</f>
        <v>3.1699000000000002</v>
      </c>
      <c r="H16" s="29">
        <f>SUM(C16:G16)</f>
        <v>9.8040000000000003</v>
      </c>
      <c r="I16" s="32" t="s">
        <v>333</v>
      </c>
      <c r="J16" s="10"/>
      <c r="K16" s="5"/>
    </row>
    <row r="17" spans="2:12" x14ac:dyDescent="0.35">
      <c r="B17" s="10" t="s">
        <v>272</v>
      </c>
      <c r="C17" s="14">
        <v>2.3294999999999999</v>
      </c>
      <c r="E17" s="10">
        <f t="shared" ref="E17:F19" si="0">+E16</f>
        <v>3.6160000000000001</v>
      </c>
      <c r="F17" s="33">
        <f t="shared" si="0"/>
        <v>3.1699000000000002</v>
      </c>
      <c r="H17" s="29">
        <f>SUM(C17:G17)</f>
        <v>9.1154000000000011</v>
      </c>
      <c r="I17" s="32" t="s">
        <v>333</v>
      </c>
      <c r="J17" s="10"/>
      <c r="K17" s="10"/>
      <c r="L17" s="5"/>
    </row>
    <row r="18" spans="2:12" x14ac:dyDescent="0.35">
      <c r="B18" s="10" t="s">
        <v>273</v>
      </c>
      <c r="C18" s="14">
        <v>2.2143000000000002</v>
      </c>
      <c r="D18" s="17"/>
      <c r="E18" s="17">
        <f t="shared" si="0"/>
        <v>3.6160000000000001</v>
      </c>
      <c r="F18" s="33">
        <f t="shared" si="0"/>
        <v>3.1699000000000002</v>
      </c>
      <c r="G18" s="10"/>
      <c r="H18" s="29">
        <f>SUM(C18:G18)</f>
        <v>9.0001999999999995</v>
      </c>
      <c r="I18" s="32" t="s">
        <v>333</v>
      </c>
      <c r="J18" s="5"/>
    </row>
    <row r="19" spans="2:12" x14ac:dyDescent="0.35">
      <c r="B19" s="10" t="s">
        <v>274</v>
      </c>
      <c r="C19" s="14">
        <v>2.0143</v>
      </c>
      <c r="E19" s="10">
        <f t="shared" si="0"/>
        <v>3.6160000000000001</v>
      </c>
      <c r="F19" s="33">
        <f t="shared" si="0"/>
        <v>3.1699000000000002</v>
      </c>
      <c r="G19" s="10"/>
      <c r="H19" s="29">
        <f>SUM(C19:G19)</f>
        <v>8.8002000000000002</v>
      </c>
      <c r="I19" s="32" t="s">
        <v>333</v>
      </c>
      <c r="J19" s="10"/>
      <c r="K19" s="10"/>
    </row>
    <row r="20" spans="2:12" x14ac:dyDescent="0.35">
      <c r="B20" s="16" t="s">
        <v>0</v>
      </c>
      <c r="H20" s="31"/>
      <c r="I20" s="30"/>
    </row>
    <row r="21" spans="2:12" x14ac:dyDescent="0.35">
      <c r="B21" s="10" t="s">
        <v>275</v>
      </c>
      <c r="H21" s="31"/>
      <c r="I21" s="30"/>
    </row>
    <row r="22" spans="2:12" x14ac:dyDescent="0.35">
      <c r="B22" s="10" t="s">
        <v>276</v>
      </c>
      <c r="C22" s="12">
        <v>2007</v>
      </c>
      <c r="F22" s="10"/>
      <c r="H22" s="27">
        <f>+C22</f>
        <v>2007</v>
      </c>
      <c r="I22" s="32"/>
    </row>
    <row r="23" spans="2:12" x14ac:dyDescent="0.35">
      <c r="B23" s="10" t="s">
        <v>277</v>
      </c>
      <c r="H23" s="31"/>
      <c r="I23" s="30"/>
    </row>
    <row r="24" spans="2:12" x14ac:dyDescent="0.35">
      <c r="B24" s="10" t="s">
        <v>278</v>
      </c>
      <c r="C24" s="14">
        <v>0.62849999999999995</v>
      </c>
      <c r="F24" s="28">
        <f>+F10</f>
        <v>3.1699000000000002</v>
      </c>
      <c r="H24" s="29">
        <f>SUM(C24:G24)</f>
        <v>3.7984</v>
      </c>
      <c r="I24" s="32" t="s">
        <v>333</v>
      </c>
      <c r="J24" s="5"/>
    </row>
    <row r="25" spans="2:12" x14ac:dyDescent="0.35">
      <c r="B25" s="10" t="s">
        <v>279</v>
      </c>
      <c r="C25" s="14">
        <v>0.37369999999999998</v>
      </c>
      <c r="F25" s="28">
        <f>+F10</f>
        <v>3.1699000000000002</v>
      </c>
      <c r="H25" s="29">
        <f>SUM(C25:G25)</f>
        <v>3.5436000000000001</v>
      </c>
      <c r="I25" s="32" t="s">
        <v>333</v>
      </c>
      <c r="J25" s="5"/>
    </row>
    <row r="26" spans="2:12" x14ac:dyDescent="0.35">
      <c r="B26" s="10" t="s">
        <v>280</v>
      </c>
      <c r="C26" s="14">
        <v>0.32469999999999999</v>
      </c>
      <c r="E26" s="10"/>
      <c r="F26" s="28">
        <f>+F10</f>
        <v>3.1699000000000002</v>
      </c>
      <c r="H26" s="29">
        <f>SUM(C26:G26)</f>
        <v>3.4946000000000002</v>
      </c>
      <c r="I26" s="32" t="s">
        <v>333</v>
      </c>
      <c r="J26" s="10"/>
      <c r="K26" s="5"/>
    </row>
    <row r="27" spans="2:12" x14ac:dyDescent="0.35">
      <c r="B27" s="10" t="s">
        <v>281</v>
      </c>
      <c r="H27" s="31"/>
      <c r="I27" s="30"/>
    </row>
    <row r="28" spans="2:12" x14ac:dyDescent="0.35">
      <c r="B28" s="10" t="s">
        <v>282</v>
      </c>
      <c r="H28" s="31"/>
      <c r="I28" s="30"/>
    </row>
    <row r="29" spans="2:12" x14ac:dyDescent="0.35">
      <c r="B29" s="10" t="s">
        <v>283</v>
      </c>
      <c r="E29" s="10">
        <f>'4 DemCr'!E25</f>
        <v>18.623999999999999</v>
      </c>
      <c r="G29" s="10"/>
      <c r="H29" s="29">
        <f>SUM(C29:G29)</f>
        <v>18.623999999999999</v>
      </c>
      <c r="I29" s="32" t="s">
        <v>333</v>
      </c>
    </row>
    <row r="30" spans="2:12" x14ac:dyDescent="0.35">
      <c r="B30" s="10"/>
      <c r="H30" s="31"/>
      <c r="I30" s="30"/>
    </row>
    <row r="31" spans="2:12" x14ac:dyDescent="0.35">
      <c r="B31" s="6" t="s">
        <v>284</v>
      </c>
      <c r="H31" s="31"/>
      <c r="I31" s="30"/>
    </row>
    <row r="32" spans="2:12" x14ac:dyDescent="0.35">
      <c r="B32" s="10"/>
      <c r="H32" s="31"/>
      <c r="I32" s="30"/>
    </row>
    <row r="33" spans="2:9" x14ac:dyDescent="0.35">
      <c r="B33" s="10" t="s">
        <v>285</v>
      </c>
      <c r="C33" s="12">
        <v>567.4</v>
      </c>
      <c r="E33" s="10"/>
      <c r="H33" s="27">
        <f>+C33</f>
        <v>567.4</v>
      </c>
      <c r="I33" s="30"/>
    </row>
    <row r="34" spans="2:9" x14ac:dyDescent="0.35">
      <c r="B34" s="10" t="s">
        <v>286</v>
      </c>
      <c r="H34" s="31"/>
      <c r="I34" s="30"/>
    </row>
    <row r="35" spans="2:9" x14ac:dyDescent="0.35">
      <c r="B35" s="10" t="s">
        <v>287</v>
      </c>
      <c r="C35" s="14">
        <v>1.1544000000000001</v>
      </c>
      <c r="D35" s="10"/>
      <c r="E35" s="10">
        <f>E10</f>
        <v>3.6160000000000001</v>
      </c>
      <c r="F35" s="28">
        <f>F10</f>
        <v>3.1699000000000002</v>
      </c>
      <c r="G35" s="10"/>
      <c r="H35" s="29">
        <f>SUM(C35:G35)</f>
        <v>7.9403000000000006</v>
      </c>
      <c r="I35" s="32" t="s">
        <v>333</v>
      </c>
    </row>
    <row r="36" spans="2:9" x14ac:dyDescent="0.35">
      <c r="B36" s="18"/>
    </row>
    <row r="38" spans="2:9" ht="14.75" customHeight="1" x14ac:dyDescent="0.35">
      <c r="B38" s="279" t="s">
        <v>385</v>
      </c>
      <c r="C38" s="280"/>
      <c r="D38" s="280"/>
      <c r="E38" s="280"/>
      <c r="F38" s="280"/>
      <c r="G38" s="280"/>
      <c r="H38" s="280"/>
      <c r="I38" s="281"/>
    </row>
    <row r="39" spans="2:9" x14ac:dyDescent="0.35">
      <c r="B39" s="282"/>
      <c r="C39" s="283"/>
      <c r="D39" s="283"/>
      <c r="E39" s="283"/>
      <c r="F39" s="283"/>
      <c r="G39" s="283"/>
      <c r="H39" s="283"/>
      <c r="I39" s="284"/>
    </row>
    <row r="40" spans="2:9" x14ac:dyDescent="0.35">
      <c r="B40" s="285"/>
      <c r="C40" s="286"/>
      <c r="D40" s="286"/>
      <c r="E40" s="286"/>
      <c r="F40" s="286"/>
      <c r="G40" s="286"/>
      <c r="H40" s="286"/>
      <c r="I40" s="287"/>
    </row>
    <row r="41" spans="2:9" x14ac:dyDescent="0.35">
      <c r="F41" s="44">
        <f>'1 EGC'!G53</f>
        <v>6.9857000000000005</v>
      </c>
    </row>
  </sheetData>
  <mergeCells count="4">
    <mergeCell ref="B1:H1"/>
    <mergeCell ref="B2:H2"/>
    <mergeCell ref="E4:F4"/>
    <mergeCell ref="B38:I40"/>
  </mergeCells>
  <pageMargins left="0.7" right="0.7" top="0.75" bottom="0.75" header="0.3" footer="0.3"/>
  <pageSetup scale="63"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26953125" defaultRowHeight="14.5" x14ac:dyDescent="0.35"/>
  <cols>
    <col min="1" max="1" width="5.7265625" style="4" customWidth="1"/>
    <col min="2" max="2" width="51.7265625" style="4" customWidth="1"/>
    <col min="3" max="3" width="11.7265625" style="4" bestFit="1" customWidth="1"/>
    <col min="4" max="4" width="2.54296875" style="4" customWidth="1"/>
    <col min="5" max="5" width="9.7265625" style="4" bestFit="1" customWidth="1"/>
    <col min="6" max="6" width="13.7265625" style="4" customWidth="1"/>
    <col min="7" max="7" width="2.54296875" style="4" customWidth="1"/>
    <col min="8" max="8" width="21.7265625" style="4" bestFit="1" customWidth="1"/>
    <col min="9" max="16384" width="9.26953125" style="4"/>
  </cols>
  <sheetData>
    <row r="1" spans="2:9" x14ac:dyDescent="0.35">
      <c r="B1" s="277" t="s">
        <v>288</v>
      </c>
      <c r="C1" s="277"/>
      <c r="D1" s="277"/>
      <c r="E1" s="277"/>
      <c r="F1" s="277"/>
      <c r="G1" s="277"/>
      <c r="H1" s="277"/>
    </row>
    <row r="2" spans="2:9" x14ac:dyDescent="0.35">
      <c r="B2" s="278" t="s">
        <v>257</v>
      </c>
      <c r="C2" s="278"/>
      <c r="D2" s="278"/>
      <c r="E2" s="278"/>
      <c r="F2" s="278"/>
      <c r="G2" s="278"/>
      <c r="H2" s="278"/>
    </row>
    <row r="3" spans="2:9" x14ac:dyDescent="0.35">
      <c r="E3" s="5"/>
    </row>
    <row r="4" spans="2:9" x14ac:dyDescent="0.35">
      <c r="C4" s="5"/>
      <c r="D4" s="5"/>
      <c r="E4" s="278" t="s">
        <v>207</v>
      </c>
      <c r="F4" s="278"/>
      <c r="H4" s="6" t="s">
        <v>259</v>
      </c>
    </row>
    <row r="5" spans="2:9" x14ac:dyDescent="0.35">
      <c r="C5" s="4" t="s">
        <v>260</v>
      </c>
      <c r="E5" s="7" t="s">
        <v>261</v>
      </c>
      <c r="F5" s="7" t="s">
        <v>262</v>
      </c>
      <c r="G5" s="6"/>
      <c r="H5" s="6"/>
    </row>
    <row r="6" spans="2:9" x14ac:dyDescent="0.35">
      <c r="B6" s="6" t="s">
        <v>289</v>
      </c>
      <c r="C6" s="8" t="s">
        <v>263</v>
      </c>
      <c r="D6" s="8"/>
      <c r="E6" s="8" t="s">
        <v>263</v>
      </c>
      <c r="F6" s="8" t="s">
        <v>263</v>
      </c>
      <c r="G6" s="9"/>
      <c r="H6" s="8" t="s">
        <v>263</v>
      </c>
    </row>
    <row r="8" spans="2:9" x14ac:dyDescent="0.35">
      <c r="B8" s="34" t="s">
        <v>290</v>
      </c>
    </row>
    <row r="9" spans="2:9" x14ac:dyDescent="0.35">
      <c r="B9" s="35" t="s">
        <v>291</v>
      </c>
    </row>
    <row r="10" spans="2:9" x14ac:dyDescent="0.35">
      <c r="B10" s="35" t="s">
        <v>282</v>
      </c>
    </row>
    <row r="11" spans="2:9" x14ac:dyDescent="0.35">
      <c r="B11" s="35" t="s">
        <v>283</v>
      </c>
      <c r="E11" s="4">
        <f>'4 DemCr'!E25</f>
        <v>18.623999999999999</v>
      </c>
      <c r="H11" s="28">
        <f>SUM(C11:G11)</f>
        <v>18.623999999999999</v>
      </c>
      <c r="I11" s="30" t="s">
        <v>333</v>
      </c>
    </row>
    <row r="12" spans="2:9" x14ac:dyDescent="0.35">
      <c r="B12" s="35" t="s">
        <v>292</v>
      </c>
      <c r="F12" s="33">
        <f>'detail TariffSplit'!C23</f>
        <v>3.1699000000000002</v>
      </c>
      <c r="H12" s="28">
        <f>SUM(C12:G12)</f>
        <v>3.1699000000000002</v>
      </c>
      <c r="I12" s="30" t="s">
        <v>333</v>
      </c>
    </row>
    <row r="13" spans="2:9" x14ac:dyDescent="0.35">
      <c r="B13" s="35"/>
    </row>
    <row r="14" spans="2:9" x14ac:dyDescent="0.35">
      <c r="B14" s="34" t="s">
        <v>293</v>
      </c>
    </row>
    <row r="15" spans="2:9" x14ac:dyDescent="0.35">
      <c r="B15" s="36" t="s">
        <v>294</v>
      </c>
    </row>
    <row r="16" spans="2:9" x14ac:dyDescent="0.35">
      <c r="B16" s="35" t="s">
        <v>295</v>
      </c>
      <c r="H16" s="14">
        <v>2007</v>
      </c>
    </row>
    <row r="17" spans="2:8" x14ac:dyDescent="0.35">
      <c r="B17" s="35" t="s">
        <v>296</v>
      </c>
      <c r="H17" s="14">
        <v>44.69</v>
      </c>
    </row>
    <row r="18" spans="2:8" x14ac:dyDescent="0.35">
      <c r="B18" s="35" t="s">
        <v>297</v>
      </c>
      <c r="H18" s="14">
        <v>567.4</v>
      </c>
    </row>
    <row r="19" spans="2:8" x14ac:dyDescent="0.35">
      <c r="B19" s="35"/>
    </row>
    <row r="20" spans="2:8" x14ac:dyDescent="0.35">
      <c r="B20" s="35" t="s">
        <v>298</v>
      </c>
    </row>
    <row r="21" spans="2:8" x14ac:dyDescent="0.35">
      <c r="B21" s="35" t="s">
        <v>299</v>
      </c>
      <c r="C21" s="14">
        <v>0.62849999999999995</v>
      </c>
      <c r="H21" s="4">
        <f>SUM(C21:G21)</f>
        <v>0.62849999999999995</v>
      </c>
    </row>
    <row r="22" spans="2:8" x14ac:dyDescent="0.35">
      <c r="B22" s="35" t="s">
        <v>300</v>
      </c>
      <c r="C22" s="14">
        <v>0.37369999999999998</v>
      </c>
      <c r="H22" s="4">
        <f>SUM(C22:G22)</f>
        <v>0.37369999999999998</v>
      </c>
    </row>
    <row r="23" spans="2:8" x14ac:dyDescent="0.35">
      <c r="B23" s="35" t="s">
        <v>301</v>
      </c>
      <c r="C23" s="14">
        <v>0.32469999999999999</v>
      </c>
      <c r="H23" s="4">
        <f>SUM(C23:G23)</f>
        <v>0.32469999999999999</v>
      </c>
    </row>
    <row r="24" spans="2:8" x14ac:dyDescent="0.35">
      <c r="B24" s="35" t="s">
        <v>302</v>
      </c>
    </row>
    <row r="25" spans="2:8" x14ac:dyDescent="0.35">
      <c r="B25" s="35" t="s">
        <v>303</v>
      </c>
      <c r="H25" s="37">
        <v>3.0181</v>
      </c>
    </row>
    <row r="26" spans="2:8" x14ac:dyDescent="0.35">
      <c r="B26" s="35" t="s">
        <v>304</v>
      </c>
      <c r="H26" s="37">
        <v>2.3294999999999999</v>
      </c>
    </row>
    <row r="27" spans="2:8" x14ac:dyDescent="0.35">
      <c r="B27" s="35" t="s">
        <v>305</v>
      </c>
      <c r="H27" s="37">
        <v>2.2143000000000002</v>
      </c>
    </row>
    <row r="28" spans="2:8" x14ac:dyDescent="0.35">
      <c r="B28" s="35" t="s">
        <v>306</v>
      </c>
      <c r="H28" s="37">
        <v>2.0143</v>
      </c>
    </row>
    <row r="29" spans="2:8" x14ac:dyDescent="0.35">
      <c r="B29" s="35" t="s">
        <v>307</v>
      </c>
      <c r="H29" s="37"/>
    </row>
    <row r="30" spans="2:8" x14ac:dyDescent="0.35">
      <c r="B30" s="35" t="s">
        <v>308</v>
      </c>
      <c r="H30" s="37">
        <v>1.1544000000000001</v>
      </c>
    </row>
    <row r="31" spans="2:8" x14ac:dyDescent="0.35">
      <c r="B31" s="35" t="s">
        <v>0</v>
      </c>
    </row>
    <row r="32" spans="2:8" x14ac:dyDescent="0.35">
      <c r="B32" s="35" t="s">
        <v>123</v>
      </c>
    </row>
    <row r="33" spans="2:8" x14ac:dyDescent="0.35">
      <c r="B33" s="38" t="s">
        <v>309</v>
      </c>
      <c r="E33" s="4">
        <f>'8 BankBal'!G53</f>
        <v>4.6899999999999997E-2</v>
      </c>
      <c r="H33" s="4">
        <f>SUM(C33:G33)</f>
        <v>4.6899999999999997E-2</v>
      </c>
    </row>
    <row r="34" spans="2:8" x14ac:dyDescent="0.35">
      <c r="B34" s="34" t="s">
        <v>310</v>
      </c>
    </row>
    <row r="35" spans="2:8" x14ac:dyDescent="0.35">
      <c r="B35" s="36"/>
    </row>
    <row r="36" spans="2:8" x14ac:dyDescent="0.35">
      <c r="B36" s="35" t="s">
        <v>311</v>
      </c>
      <c r="H36" s="14">
        <v>255.9</v>
      </c>
    </row>
    <row r="37" spans="2:8" x14ac:dyDescent="0.35">
      <c r="B37" s="35" t="s">
        <v>312</v>
      </c>
      <c r="H37" s="37">
        <v>8.5800000000000001E-2</v>
      </c>
    </row>
    <row r="38" spans="2:8" x14ac:dyDescent="0.35">
      <c r="B38" s="35" t="s">
        <v>313</v>
      </c>
    </row>
    <row r="39" spans="2:8" x14ac:dyDescent="0.35">
      <c r="B39" s="35" t="s">
        <v>314</v>
      </c>
      <c r="E39" s="4">
        <f>E33</f>
        <v>4.6899999999999997E-2</v>
      </c>
      <c r="H39" s="4">
        <f>SUM(C39:G39)</f>
        <v>4.6899999999999997E-2</v>
      </c>
    </row>
    <row r="40" spans="2:8" x14ac:dyDescent="0.35">
      <c r="B40" s="35"/>
    </row>
  </sheetData>
  <mergeCells count="3">
    <mergeCell ref="B1:H1"/>
    <mergeCell ref="B2:H2"/>
    <mergeCell ref="E4:F4"/>
  </mergeCells>
  <pageMargins left="0.7" right="0.7" top="0.75" bottom="0.75" header="0.3" footer="0.3"/>
  <pageSetup scale="57"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26953125" defaultRowHeight="14.5" x14ac:dyDescent="0.35"/>
  <cols>
    <col min="1" max="1" width="9.26953125" style="4"/>
    <col min="2" max="2" width="55.26953125" style="4" bestFit="1" customWidth="1"/>
    <col min="3" max="3" width="30.453125" style="4" bestFit="1" customWidth="1"/>
    <col min="4" max="4" width="17.54296875" style="4" bestFit="1" customWidth="1"/>
    <col min="5" max="5" width="2.7265625" style="4" bestFit="1" customWidth="1"/>
    <col min="6" max="6" width="9.26953125" style="4"/>
    <col min="7" max="7" width="5" style="4" bestFit="1" customWidth="1"/>
    <col min="8" max="16384" width="9.26953125" style="4"/>
  </cols>
  <sheetData>
    <row r="1" spans="2:8" x14ac:dyDescent="0.35">
      <c r="B1" s="277" t="s">
        <v>315</v>
      </c>
      <c r="C1" s="277"/>
      <c r="D1" s="277"/>
      <c r="E1" s="277"/>
      <c r="F1" s="277"/>
      <c r="G1" s="277"/>
      <c r="H1" s="277"/>
    </row>
    <row r="2" spans="2:8" x14ac:dyDescent="0.35">
      <c r="B2" s="278" t="s">
        <v>257</v>
      </c>
      <c r="C2" s="278"/>
      <c r="D2" s="278"/>
      <c r="E2" s="278"/>
      <c r="F2" s="278"/>
      <c r="G2" s="278"/>
      <c r="H2" s="278"/>
    </row>
    <row r="3" spans="2:8" x14ac:dyDescent="0.35">
      <c r="E3" s="5"/>
    </row>
    <row r="8" spans="2:8" x14ac:dyDescent="0.35">
      <c r="B8" s="6" t="s">
        <v>316</v>
      </c>
      <c r="D8" s="6" t="s">
        <v>317</v>
      </c>
    </row>
    <row r="10" spans="2:8" x14ac:dyDescent="0.35">
      <c r="B10" s="15" t="s">
        <v>318</v>
      </c>
    </row>
    <row r="11" spans="2:8" x14ac:dyDescent="0.35">
      <c r="B11" s="10"/>
    </row>
    <row r="12" spans="2:8" x14ac:dyDescent="0.35">
      <c r="B12" s="10" t="s">
        <v>319</v>
      </c>
      <c r="D12" s="19">
        <v>16</v>
      </c>
    </row>
    <row r="13" spans="2:8" x14ac:dyDescent="0.35">
      <c r="B13" s="10" t="s">
        <v>320</v>
      </c>
      <c r="D13" s="20">
        <v>3.5665</v>
      </c>
    </row>
    <row r="14" spans="2:8" x14ac:dyDescent="0.35">
      <c r="B14" s="10"/>
      <c r="D14" s="21"/>
    </row>
    <row r="15" spans="2:8" x14ac:dyDescent="0.35">
      <c r="B15" s="15" t="s">
        <v>321</v>
      </c>
      <c r="D15" s="21"/>
    </row>
    <row r="16" spans="2:8" x14ac:dyDescent="0.35">
      <c r="B16" s="10"/>
      <c r="D16" s="21"/>
    </row>
    <row r="17" spans="2:6" x14ac:dyDescent="0.35">
      <c r="B17" s="10" t="s">
        <v>276</v>
      </c>
      <c r="D17" s="19">
        <v>44.69</v>
      </c>
    </row>
    <row r="18" spans="2:6" x14ac:dyDescent="0.35">
      <c r="B18" s="10" t="s">
        <v>322</v>
      </c>
      <c r="D18" s="21"/>
    </row>
    <row r="19" spans="2:6" x14ac:dyDescent="0.35">
      <c r="B19" s="11" t="s">
        <v>303</v>
      </c>
      <c r="D19" s="20">
        <v>3.0181</v>
      </c>
    </row>
    <row r="20" spans="2:6" x14ac:dyDescent="0.35">
      <c r="B20" s="22" t="s">
        <v>323</v>
      </c>
      <c r="D20" s="20">
        <v>2.3294999999999999</v>
      </c>
    </row>
    <row r="21" spans="2:6" x14ac:dyDescent="0.35">
      <c r="B21" s="22" t="s">
        <v>324</v>
      </c>
      <c r="D21" s="20">
        <v>2.2143000000000002</v>
      </c>
    </row>
    <row r="22" spans="2:6" x14ac:dyDescent="0.35">
      <c r="B22" s="10" t="s">
        <v>325</v>
      </c>
      <c r="D22" s="20">
        <v>2.0143</v>
      </c>
    </row>
    <row r="23" spans="2:6" x14ac:dyDescent="0.35">
      <c r="B23" s="10"/>
      <c r="D23" s="21"/>
    </row>
    <row r="24" spans="2:6" x14ac:dyDescent="0.35">
      <c r="B24" s="15" t="s">
        <v>326</v>
      </c>
      <c r="D24" s="21"/>
    </row>
    <row r="25" spans="2:6" x14ac:dyDescent="0.35">
      <c r="B25" s="10"/>
      <c r="D25" s="21"/>
    </row>
    <row r="26" spans="2:6" x14ac:dyDescent="0.35">
      <c r="B26" s="10" t="s">
        <v>276</v>
      </c>
      <c r="D26" s="19">
        <v>567.4</v>
      </c>
    </row>
    <row r="27" spans="2:6" x14ac:dyDescent="0.35">
      <c r="B27" s="10" t="s">
        <v>327</v>
      </c>
      <c r="D27" s="23">
        <v>1.1544000000000001</v>
      </c>
    </row>
    <row r="28" spans="2:6" x14ac:dyDescent="0.35">
      <c r="B28" s="10"/>
    </row>
    <row r="29" spans="2:6" x14ac:dyDescent="0.35">
      <c r="C29" s="24" t="s">
        <v>328</v>
      </c>
    </row>
    <row r="30" spans="2:6" x14ac:dyDescent="0.35">
      <c r="B30" s="10"/>
    </row>
    <row r="31" spans="2:6" x14ac:dyDescent="0.35">
      <c r="B31" s="15" t="s">
        <v>329</v>
      </c>
      <c r="C31" s="42">
        <f>'detail TariffSplit'!C39</f>
        <v>-0.54130000000000023</v>
      </c>
      <c r="F31" s="30" t="s">
        <v>333</v>
      </c>
    </row>
    <row r="32" spans="2:6" x14ac:dyDescent="0.35">
      <c r="B32" s="10"/>
      <c r="F32" s="30"/>
    </row>
    <row r="33" spans="2:6" x14ac:dyDescent="0.35">
      <c r="B33" s="10" t="s">
        <v>330</v>
      </c>
      <c r="C33" s="43"/>
      <c r="F33" s="30"/>
    </row>
    <row r="34" spans="2:6" x14ac:dyDescent="0.35">
      <c r="B34" s="6" t="s">
        <v>331</v>
      </c>
      <c r="F34" s="30"/>
    </row>
    <row r="35" spans="2:6" x14ac:dyDescent="0.35">
      <c r="B35" s="10"/>
      <c r="F35" s="30"/>
    </row>
    <row r="36" spans="2:6" x14ac:dyDescent="0.35">
      <c r="B36" s="25" t="s">
        <v>332</v>
      </c>
      <c r="C36" s="42">
        <f>'AttE ChoBalCharge'!L36</f>
        <v>3.0395000000000003</v>
      </c>
      <c r="E36" s="25"/>
      <c r="F36" s="30" t="s">
        <v>334</v>
      </c>
    </row>
  </sheetData>
  <mergeCells count="2">
    <mergeCell ref="B1:H1"/>
    <mergeCell ref="B2:H2"/>
  </mergeCells>
  <pageMargins left="0.7" right="0.7" top="0.75" bottom="0.75" header="0.3" footer="0.3"/>
  <pageSetup scale="66"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6"/>
  <sheetViews>
    <sheetView zoomScale="120" zoomScaleNormal="120" workbookViewId="0">
      <selection activeCell="E16" sqref="E16"/>
    </sheetView>
  </sheetViews>
  <sheetFormatPr defaultColWidth="9.26953125" defaultRowHeight="13" x14ac:dyDescent="0.3"/>
  <cols>
    <col min="1" max="1" width="4" style="51" customWidth="1"/>
    <col min="2" max="2" width="39.453125" style="51" customWidth="1"/>
    <col min="3" max="3" width="17.54296875" style="51" customWidth="1"/>
    <col min="4" max="4" width="11" style="51" customWidth="1"/>
    <col min="5" max="5" width="10.26953125" style="51" customWidth="1"/>
    <col min="6" max="6" width="2.7265625" style="51" customWidth="1"/>
    <col min="7" max="7" width="12" style="51" customWidth="1"/>
    <col min="8" max="8" width="9.7265625" style="51" customWidth="1"/>
    <col min="9" max="9" width="2.7265625" style="51" customWidth="1"/>
    <col min="10" max="10" width="11.7265625" style="51" customWidth="1"/>
    <col min="11" max="11" width="2.7265625" style="51" customWidth="1"/>
    <col min="12" max="16384" width="9.26953125" style="51"/>
  </cols>
  <sheetData>
    <row r="1" spans="1:11" ht="18.5" x14ac:dyDescent="0.45">
      <c r="A1" s="49" t="s">
        <v>98</v>
      </c>
      <c r="C1" s="111"/>
      <c r="D1" s="111"/>
      <c r="H1" s="112"/>
      <c r="I1" s="113"/>
      <c r="J1" s="112" t="s">
        <v>19</v>
      </c>
    </row>
    <row r="2" spans="1:11" ht="18.5" x14ac:dyDescent="0.45">
      <c r="A2" s="49" t="s">
        <v>139</v>
      </c>
      <c r="C2" s="111"/>
      <c r="D2" s="111"/>
      <c r="J2" s="112" t="s">
        <v>62</v>
      </c>
    </row>
    <row r="3" spans="1:11" x14ac:dyDescent="0.3">
      <c r="A3" s="55" t="s">
        <v>402</v>
      </c>
      <c r="J3" s="55"/>
    </row>
    <row r="4" spans="1:11" x14ac:dyDescent="0.3">
      <c r="B4" s="55"/>
    </row>
    <row r="5" spans="1:11" x14ac:dyDescent="0.3">
      <c r="B5" s="55"/>
    </row>
    <row r="6" spans="1:11" x14ac:dyDescent="0.3">
      <c r="A6" s="55"/>
      <c r="B6" s="55"/>
      <c r="C6" s="55"/>
      <c r="D6" s="55"/>
      <c r="E6" s="55"/>
      <c r="F6" s="55"/>
      <c r="G6" s="55"/>
      <c r="H6" s="55"/>
      <c r="I6" s="55"/>
      <c r="J6" s="55"/>
    </row>
    <row r="7" spans="1:11" x14ac:dyDescent="0.3">
      <c r="A7" s="97" t="s">
        <v>4</v>
      </c>
      <c r="B7" s="55"/>
      <c r="C7" s="55"/>
      <c r="D7" s="274" t="s">
        <v>156</v>
      </c>
      <c r="E7" s="274"/>
      <c r="F7" s="55"/>
      <c r="G7" s="274" t="s">
        <v>35</v>
      </c>
      <c r="H7" s="274"/>
      <c r="I7" s="55"/>
      <c r="J7" s="55"/>
    </row>
    <row r="8" spans="1:11" x14ac:dyDescent="0.3">
      <c r="A8" s="115" t="s">
        <v>5</v>
      </c>
      <c r="B8" s="85" t="s">
        <v>15</v>
      </c>
      <c r="C8" s="85" t="s">
        <v>64</v>
      </c>
      <c r="D8" s="85" t="s">
        <v>2</v>
      </c>
      <c r="E8" s="85" t="s">
        <v>59</v>
      </c>
      <c r="F8" s="55"/>
      <c r="G8" s="85" t="s">
        <v>63</v>
      </c>
      <c r="H8" s="85" t="s">
        <v>61</v>
      </c>
      <c r="I8" s="85"/>
      <c r="J8" s="85" t="s">
        <v>60</v>
      </c>
    </row>
    <row r="9" spans="1:11" x14ac:dyDescent="0.3">
      <c r="C9" s="65"/>
      <c r="D9" s="62">
        <v>-1</v>
      </c>
      <c r="E9" s="62">
        <v>-2</v>
      </c>
      <c r="G9" s="62">
        <v>-3</v>
      </c>
      <c r="H9" s="62">
        <v>-4</v>
      </c>
      <c r="I9" s="62"/>
      <c r="J9" s="62">
        <v>-5</v>
      </c>
    </row>
    <row r="10" spans="1:11" x14ac:dyDescent="0.3">
      <c r="B10" s="55" t="s">
        <v>74</v>
      </c>
    </row>
    <row r="11" spans="1:11" x14ac:dyDescent="0.3">
      <c r="B11" s="116" t="s">
        <v>154</v>
      </c>
    </row>
    <row r="12" spans="1:11" x14ac:dyDescent="0.3">
      <c r="B12" s="116" t="s">
        <v>141</v>
      </c>
    </row>
    <row r="13" spans="1:11" x14ac:dyDescent="0.3">
      <c r="A13" s="51">
        <v>1</v>
      </c>
      <c r="B13" s="117" t="s">
        <v>135</v>
      </c>
      <c r="E13" s="51">
        <v>-1336000</v>
      </c>
      <c r="H13" s="120">
        <v>2.4199999999999999E-2</v>
      </c>
      <c r="J13" s="1">
        <f>ROUND(-E13*H13,0)</f>
        <v>32331</v>
      </c>
      <c r="K13" s="118"/>
    </row>
    <row r="14" spans="1:11" x14ac:dyDescent="0.3">
      <c r="A14" s="51">
        <v>2</v>
      </c>
      <c r="B14" s="117" t="s">
        <v>136</v>
      </c>
      <c r="E14" s="51">
        <v>2575000</v>
      </c>
      <c r="H14" s="120">
        <v>2.4199999999999999E-2</v>
      </c>
      <c r="J14" s="119">
        <f>+ROUND(E14*H14,0)</f>
        <v>62315</v>
      </c>
      <c r="K14" s="118"/>
    </row>
    <row r="15" spans="1:11" x14ac:dyDescent="0.3">
      <c r="B15" s="117"/>
      <c r="H15" s="120"/>
      <c r="J15" s="119"/>
      <c r="K15" s="118"/>
    </row>
    <row r="16" spans="1:11" x14ac:dyDescent="0.3">
      <c r="A16" s="51">
        <v>3</v>
      </c>
      <c r="B16" s="116" t="s">
        <v>229</v>
      </c>
      <c r="E16" s="51">
        <v>1336000</v>
      </c>
      <c r="H16" s="3">
        <f>StoCommCost!D25</f>
        <v>3.2454999999999998</v>
      </c>
      <c r="J16" s="119">
        <f>+IF(H16 = "NA", 0, ROUND(E16*H16,0))</f>
        <v>4335988</v>
      </c>
      <c r="K16" s="118"/>
    </row>
    <row r="17" spans="1:11" ht="14.5" x14ac:dyDescent="0.45">
      <c r="B17" s="116"/>
      <c r="H17" s="120"/>
      <c r="J17" s="121"/>
      <c r="K17" s="118"/>
    </row>
    <row r="18" spans="1:11" ht="14.5" x14ac:dyDescent="0.45">
      <c r="B18" s="116" t="s">
        <v>57</v>
      </c>
      <c r="H18" s="120"/>
      <c r="J18" s="121"/>
      <c r="K18" s="118"/>
    </row>
    <row r="19" spans="1:11" x14ac:dyDescent="0.3">
      <c r="A19" s="51">
        <v>4</v>
      </c>
      <c r="B19" s="117" t="s">
        <v>85</v>
      </c>
      <c r="C19" s="51" t="s">
        <v>335</v>
      </c>
      <c r="E19" s="51">
        <f>+E16</f>
        <v>1336000</v>
      </c>
      <c r="J19" s="122"/>
    </row>
    <row r="20" spans="1:11" x14ac:dyDescent="0.3">
      <c r="A20" s="51">
        <v>5</v>
      </c>
      <c r="B20" s="117" t="s">
        <v>60</v>
      </c>
      <c r="C20" s="51" t="s">
        <v>338</v>
      </c>
      <c r="J20" s="123">
        <f>SUM(J13:J16)</f>
        <v>4430634</v>
      </c>
    </row>
    <row r="21" spans="1:11" x14ac:dyDescent="0.3">
      <c r="A21" s="51">
        <v>6</v>
      </c>
      <c r="B21" s="117" t="s">
        <v>336</v>
      </c>
      <c r="C21" s="51" t="s">
        <v>339</v>
      </c>
      <c r="E21" s="51">
        <f>+E19</f>
        <v>1336000</v>
      </c>
      <c r="J21" s="123">
        <f>+J20</f>
        <v>4430634</v>
      </c>
    </row>
    <row r="22" spans="1:11" x14ac:dyDescent="0.3">
      <c r="J22" s="123"/>
    </row>
    <row r="23" spans="1:11" x14ac:dyDescent="0.3">
      <c r="B23" s="55" t="s">
        <v>138</v>
      </c>
      <c r="E23" s="124"/>
      <c r="J23" s="122"/>
    </row>
    <row r="24" spans="1:11" x14ac:dyDescent="0.3">
      <c r="B24" s="116" t="s">
        <v>137</v>
      </c>
      <c r="E24" s="124"/>
      <c r="J24" s="122"/>
    </row>
    <row r="25" spans="1:11" x14ac:dyDescent="0.3">
      <c r="B25" s="116" t="s">
        <v>244</v>
      </c>
      <c r="E25" s="124"/>
      <c r="J25" s="122"/>
    </row>
    <row r="26" spans="1:11" x14ac:dyDescent="0.3">
      <c r="B26" s="116"/>
      <c r="E26" s="124"/>
      <c r="J26" s="122"/>
    </row>
    <row r="27" spans="1:11" x14ac:dyDescent="0.3">
      <c r="A27" s="51">
        <v>7</v>
      </c>
      <c r="B27" s="116" t="s">
        <v>58</v>
      </c>
      <c r="C27" s="51" t="s">
        <v>70</v>
      </c>
      <c r="E27" s="51">
        <f>+'5 NonApp'!K21</f>
        <v>1586000</v>
      </c>
      <c r="H27" s="125"/>
      <c r="J27" s="123">
        <f>+'5 NonApp'!M21</f>
        <v>5043480</v>
      </c>
    </row>
    <row r="28" spans="1:11" x14ac:dyDescent="0.3">
      <c r="A28" s="51">
        <v>8</v>
      </c>
      <c r="B28" s="116" t="s">
        <v>87</v>
      </c>
      <c r="C28" s="51" t="s">
        <v>72</v>
      </c>
      <c r="E28" s="51">
        <f>+'6 App'!C17</f>
        <v>48000</v>
      </c>
      <c r="H28" s="125"/>
      <c r="J28" s="122">
        <f>+'6 App'!D17</f>
        <v>170000</v>
      </c>
    </row>
    <row r="29" spans="1:11" x14ac:dyDescent="0.3">
      <c r="A29" s="51">
        <v>9</v>
      </c>
      <c r="B29" s="116" t="s">
        <v>75</v>
      </c>
      <c r="C29" s="51" t="s">
        <v>160</v>
      </c>
      <c r="D29" s="66"/>
      <c r="E29" s="51">
        <f>-'7 AnnRet'!E27</f>
        <v>-121000</v>
      </c>
      <c r="H29" s="125"/>
      <c r="J29" s="39">
        <f>-'7 AnnRet'!E30</f>
        <v>-437278</v>
      </c>
      <c r="K29" s="126"/>
    </row>
    <row r="30" spans="1:11" x14ac:dyDescent="0.3">
      <c r="D30" s="66"/>
      <c r="H30" s="125"/>
      <c r="J30" s="123"/>
      <c r="K30" s="126"/>
    </row>
    <row r="31" spans="1:11" x14ac:dyDescent="0.3">
      <c r="A31" s="51">
        <v>10</v>
      </c>
      <c r="B31" s="116" t="s">
        <v>57</v>
      </c>
      <c r="C31" s="51" t="s">
        <v>340</v>
      </c>
      <c r="D31" s="66"/>
      <c r="E31" s="51">
        <f>+SUM(E27:E29)</f>
        <v>1513000</v>
      </c>
      <c r="H31" s="125"/>
      <c r="J31" s="122">
        <f>+SUM(J27:J29)</f>
        <v>4776202</v>
      </c>
      <c r="K31" s="126"/>
    </row>
    <row r="32" spans="1:11" x14ac:dyDescent="0.3">
      <c r="D32" s="66"/>
      <c r="E32" s="66"/>
      <c r="H32" s="125"/>
      <c r="J32" s="123"/>
      <c r="K32" s="126"/>
    </row>
    <row r="33" spans="1:10" x14ac:dyDescent="0.3">
      <c r="B33" s="103" t="s">
        <v>142</v>
      </c>
      <c r="J33" s="122"/>
    </row>
    <row r="34" spans="1:10" x14ac:dyDescent="0.3">
      <c r="A34" s="51">
        <v>11</v>
      </c>
      <c r="B34" s="116" t="s">
        <v>76</v>
      </c>
      <c r="C34" s="51" t="s">
        <v>341</v>
      </c>
      <c r="E34" s="51">
        <f>+E21+E31</f>
        <v>2849000</v>
      </c>
      <c r="J34" s="123">
        <f>+J21+J31</f>
        <v>9206836</v>
      </c>
    </row>
    <row r="35" spans="1:10" x14ac:dyDescent="0.3">
      <c r="B35" s="116" t="s">
        <v>143</v>
      </c>
      <c r="J35" s="123"/>
    </row>
    <row r="36" spans="1:10" x14ac:dyDescent="0.3">
      <c r="A36" s="51">
        <v>12</v>
      </c>
      <c r="B36" s="117" t="s">
        <v>118</v>
      </c>
      <c r="E36" s="127">
        <v>-4.0000000000000001E-3</v>
      </c>
      <c r="J36" s="123"/>
    </row>
    <row r="37" spans="1:10" x14ac:dyDescent="0.3">
      <c r="A37" s="51">
        <v>13</v>
      </c>
      <c r="B37" s="117" t="s">
        <v>85</v>
      </c>
      <c r="C37" s="51" t="s">
        <v>342</v>
      </c>
      <c r="D37" s="66"/>
      <c r="E37" s="66">
        <f>+ROUND(E34*E36,0)</f>
        <v>-11396</v>
      </c>
    </row>
    <row r="38" spans="1:10" x14ac:dyDescent="0.3">
      <c r="A38" s="51">
        <v>14</v>
      </c>
      <c r="B38" s="116" t="s">
        <v>77</v>
      </c>
      <c r="C38" s="51" t="s">
        <v>343</v>
      </c>
      <c r="D38" s="51">
        <v>2596636</v>
      </c>
      <c r="E38" s="51">
        <f>+E34+E37</f>
        <v>2837604</v>
      </c>
    </row>
    <row r="39" spans="1:10" x14ac:dyDescent="0.3">
      <c r="A39" s="51">
        <v>15</v>
      </c>
      <c r="B39" s="51" t="s">
        <v>232</v>
      </c>
      <c r="D39" s="51">
        <v>280.3</v>
      </c>
    </row>
    <row r="40" spans="1:10" x14ac:dyDescent="0.3">
      <c r="A40" s="51">
        <v>16</v>
      </c>
      <c r="B40" s="55" t="s">
        <v>144</v>
      </c>
      <c r="C40" s="51" t="s">
        <v>344</v>
      </c>
      <c r="D40" s="51">
        <f>D38-D39</f>
        <v>2596355.7000000002</v>
      </c>
    </row>
    <row r="41" spans="1:10" x14ac:dyDescent="0.3">
      <c r="D41" s="2"/>
    </row>
    <row r="42" spans="1:10" x14ac:dyDescent="0.3">
      <c r="B42" s="55" t="s">
        <v>180</v>
      </c>
      <c r="D42" s="2"/>
    </row>
    <row r="43" spans="1:10" x14ac:dyDescent="0.3">
      <c r="B43" s="116" t="s">
        <v>140</v>
      </c>
      <c r="D43" s="2"/>
    </row>
    <row r="44" spans="1:10" x14ac:dyDescent="0.3">
      <c r="A44" s="51">
        <v>17</v>
      </c>
      <c r="B44" s="117" t="s">
        <v>146</v>
      </c>
      <c r="C44" s="51" t="s">
        <v>233</v>
      </c>
      <c r="G44" s="3">
        <f>+ROUND(J34/D40,4)</f>
        <v>3.5461</v>
      </c>
    </row>
    <row r="45" spans="1:10" x14ac:dyDescent="0.3">
      <c r="A45" s="51">
        <v>18</v>
      </c>
      <c r="B45" s="117" t="s">
        <v>147</v>
      </c>
      <c r="C45" s="51" t="s">
        <v>161</v>
      </c>
      <c r="G45" s="128">
        <f>+'7 AnnRet'!E34</f>
        <v>0.1497</v>
      </c>
    </row>
    <row r="46" spans="1:10" x14ac:dyDescent="0.3">
      <c r="A46" s="51">
        <v>19</v>
      </c>
      <c r="B46" s="117" t="s">
        <v>148</v>
      </c>
      <c r="C46" s="51" t="s">
        <v>345</v>
      </c>
      <c r="G46" s="129">
        <f>SUM(G44:G45)</f>
        <v>3.6958000000000002</v>
      </c>
    </row>
    <row r="47" spans="1:10" x14ac:dyDescent="0.3">
      <c r="A47" s="51">
        <v>20</v>
      </c>
      <c r="B47" s="117" t="s">
        <v>237</v>
      </c>
      <c r="C47" s="51" t="s">
        <v>387</v>
      </c>
      <c r="G47" s="132">
        <v>4.1700000000000001E-3</v>
      </c>
    </row>
    <row r="48" spans="1:10" x14ac:dyDescent="0.3">
      <c r="A48" s="51">
        <v>21</v>
      </c>
      <c r="B48" s="117" t="s">
        <v>238</v>
      </c>
      <c r="C48" s="51" t="s">
        <v>240</v>
      </c>
      <c r="G48" s="130">
        <f>ROUND(G46*G47,4)</f>
        <v>1.54E-2</v>
      </c>
    </row>
    <row r="49" spans="1:9" x14ac:dyDescent="0.3">
      <c r="A49" s="51">
        <v>22</v>
      </c>
      <c r="B49" s="117" t="s">
        <v>239</v>
      </c>
      <c r="C49" s="51" t="s">
        <v>346</v>
      </c>
      <c r="G49" s="129">
        <f>G46+G48</f>
        <v>3.7112000000000003</v>
      </c>
    </row>
    <row r="50" spans="1:9" x14ac:dyDescent="0.3">
      <c r="B50" s="117"/>
      <c r="G50" s="129"/>
    </row>
    <row r="51" spans="1:9" x14ac:dyDescent="0.3">
      <c r="A51" s="51">
        <v>23</v>
      </c>
      <c r="B51" s="116" t="s">
        <v>149</v>
      </c>
      <c r="C51" s="51" t="s">
        <v>235</v>
      </c>
      <c r="G51" s="131">
        <f>'2 UnitDemCost'!F32</f>
        <v>3.2745000000000002</v>
      </c>
    </row>
    <row r="52" spans="1:9" x14ac:dyDescent="0.3">
      <c r="G52" s="129"/>
      <c r="I52" s="62"/>
    </row>
    <row r="53" spans="1:9" x14ac:dyDescent="0.3">
      <c r="A53" s="51">
        <v>24</v>
      </c>
      <c r="B53" s="116" t="s">
        <v>153</v>
      </c>
      <c r="C53" s="51" t="s">
        <v>347</v>
      </c>
      <c r="G53" s="3">
        <f>(+G49+G51)</f>
        <v>6.9857000000000005</v>
      </c>
      <c r="I53" s="62"/>
    </row>
    <row r="54" spans="1:9" x14ac:dyDescent="0.3">
      <c r="I54" s="62"/>
    </row>
    <row r="56" spans="1:9" x14ac:dyDescent="0.3">
      <c r="D56" s="113" t="s">
        <v>155</v>
      </c>
      <c r="E56" s="106">
        <v>1.0928</v>
      </c>
      <c r="F56" s="51" t="s">
        <v>105</v>
      </c>
    </row>
  </sheetData>
  <mergeCells count="2">
    <mergeCell ref="G7:H7"/>
    <mergeCell ref="D7:E7"/>
  </mergeCells>
  <phoneticPr fontId="7" type="noConversion"/>
  <pageMargins left="0.75" right="0.75" top="1" bottom="1" header="0.5" footer="0.5"/>
  <pageSetup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zoomScale="120" zoomScaleNormal="120" workbookViewId="0">
      <selection activeCell="E16" sqref="E16"/>
    </sheetView>
  </sheetViews>
  <sheetFormatPr defaultColWidth="9.26953125" defaultRowHeight="13" x14ac:dyDescent="0.3"/>
  <cols>
    <col min="1" max="1" width="4.26953125" style="51" customWidth="1"/>
    <col min="2" max="2" width="45.7265625" style="51" customWidth="1"/>
    <col min="3" max="3" width="3.26953125" style="51" customWidth="1"/>
    <col min="4" max="4" width="22.7265625" style="51" customWidth="1"/>
    <col min="5" max="5" width="4" style="51" customWidth="1"/>
    <col min="6" max="6" width="12" style="51" customWidth="1"/>
    <col min="7" max="7" width="9.26953125" style="51"/>
    <col min="8" max="8" width="3.7265625" style="51" customWidth="1"/>
    <col min="9" max="16384" width="9.26953125" style="51"/>
  </cols>
  <sheetData>
    <row r="1" spans="1:7" ht="18.5" x14ac:dyDescent="0.45">
      <c r="A1" s="49" t="s">
        <v>98</v>
      </c>
      <c r="B1" s="55"/>
      <c r="C1" s="111"/>
      <c r="D1" s="112"/>
      <c r="E1" s="111"/>
      <c r="F1" s="112" t="s">
        <v>19</v>
      </c>
    </row>
    <row r="2" spans="1:7" ht="18.5" x14ac:dyDescent="0.45">
      <c r="A2" s="49" t="s">
        <v>181</v>
      </c>
      <c r="B2" s="55"/>
      <c r="C2" s="111"/>
      <c r="D2" s="111"/>
      <c r="E2" s="111"/>
      <c r="F2" s="112" t="s">
        <v>28</v>
      </c>
    </row>
    <row r="3" spans="1:7" ht="14.5" x14ac:dyDescent="0.35">
      <c r="A3" s="133" t="str">
        <f>'1 EGC'!A3</f>
        <v>Mar 26 - May  26</v>
      </c>
      <c r="B3" s="55"/>
      <c r="C3" s="55"/>
      <c r="D3" s="55"/>
      <c r="E3" s="55"/>
      <c r="F3" s="55"/>
    </row>
    <row r="4" spans="1:7" x14ac:dyDescent="0.3">
      <c r="A4" s="55"/>
      <c r="B4" s="55"/>
      <c r="C4" s="55"/>
      <c r="D4" s="55"/>
      <c r="E4" s="55"/>
      <c r="F4" s="55"/>
    </row>
    <row r="5" spans="1:7" x14ac:dyDescent="0.3">
      <c r="A5" s="97" t="s">
        <v>4</v>
      </c>
      <c r="B5" s="55"/>
      <c r="C5" s="55"/>
      <c r="D5" s="55"/>
      <c r="E5" s="55"/>
      <c r="F5" s="55"/>
    </row>
    <row r="6" spans="1:7" x14ac:dyDescent="0.3">
      <c r="A6" s="85" t="s">
        <v>5</v>
      </c>
      <c r="B6" s="85" t="s">
        <v>15</v>
      </c>
      <c r="C6" s="55"/>
      <c r="D6" s="85" t="s">
        <v>64</v>
      </c>
      <c r="E6" s="85"/>
      <c r="F6" s="85" t="s">
        <v>60</v>
      </c>
    </row>
    <row r="7" spans="1:7" x14ac:dyDescent="0.3">
      <c r="D7" s="62"/>
      <c r="E7" s="62"/>
    </row>
    <row r="8" spans="1:7" x14ac:dyDescent="0.3">
      <c r="A8" s="62">
        <v>1</v>
      </c>
      <c r="B8" s="72" t="s">
        <v>128</v>
      </c>
      <c r="C8" s="72"/>
      <c r="D8" s="51" t="s">
        <v>249</v>
      </c>
      <c r="F8" s="1">
        <f>+'3 DemCost'!K38</f>
        <v>47631051</v>
      </c>
    </row>
    <row r="9" spans="1:7" x14ac:dyDescent="0.3">
      <c r="A9" s="62"/>
      <c r="B9" s="116" t="s">
        <v>402</v>
      </c>
      <c r="F9" s="134"/>
    </row>
    <row r="10" spans="1:7" x14ac:dyDescent="0.3">
      <c r="A10" s="62"/>
      <c r="F10" s="134"/>
    </row>
    <row r="11" spans="1:7" x14ac:dyDescent="0.3">
      <c r="A11" s="62"/>
      <c r="F11" s="123"/>
    </row>
    <row r="12" spans="1:7" s="137" customFormat="1" ht="26" x14ac:dyDescent="0.3">
      <c r="A12" s="135">
        <v>2</v>
      </c>
      <c r="B12" s="136" t="s">
        <v>68</v>
      </c>
      <c r="D12" s="137" t="s">
        <v>174</v>
      </c>
      <c r="F12" s="39">
        <f>-'4 DemCr'!H29</f>
        <v>-310425</v>
      </c>
    </row>
    <row r="13" spans="1:7" s="137" customFormat="1" x14ac:dyDescent="0.3">
      <c r="A13" s="135"/>
      <c r="B13" s="136"/>
      <c r="F13" s="40"/>
      <c r="G13" s="138"/>
    </row>
    <row r="14" spans="1:7" s="137" customFormat="1" ht="33" customHeight="1" x14ac:dyDescent="0.3">
      <c r="A14" s="135">
        <v>3</v>
      </c>
      <c r="B14" s="136" t="s">
        <v>69</v>
      </c>
      <c r="F14" s="41">
        <f>-'8 BankBal'!G45</f>
        <v>-448327</v>
      </c>
      <c r="G14" s="138"/>
    </row>
    <row r="15" spans="1:7" x14ac:dyDescent="0.3">
      <c r="A15" s="62"/>
      <c r="F15" s="2"/>
      <c r="G15" s="113"/>
    </row>
    <row r="16" spans="1:7" x14ac:dyDescent="0.3">
      <c r="A16" s="62">
        <v>4</v>
      </c>
      <c r="B16" s="51" t="s">
        <v>337</v>
      </c>
      <c r="D16" s="51" t="s">
        <v>338</v>
      </c>
      <c r="F16" s="1">
        <f>+F8+F12+F14</f>
        <v>46872299</v>
      </c>
    </row>
    <row r="17" spans="1:7" x14ac:dyDescent="0.3">
      <c r="A17" s="62"/>
      <c r="F17" s="126"/>
    </row>
    <row r="18" spans="1:7" x14ac:dyDescent="0.3">
      <c r="A18" s="62"/>
      <c r="B18" s="51" t="s">
        <v>129</v>
      </c>
      <c r="F18" s="126"/>
    </row>
    <row r="19" spans="1:7" x14ac:dyDescent="0.3">
      <c r="A19" s="62"/>
      <c r="B19" s="139"/>
      <c r="F19" s="126"/>
    </row>
    <row r="20" spans="1:7" x14ac:dyDescent="0.3">
      <c r="A20" s="62"/>
      <c r="F20" s="126"/>
    </row>
    <row r="21" spans="1:7" x14ac:dyDescent="0.3">
      <c r="A21" s="62"/>
      <c r="B21" s="116" t="s">
        <v>117</v>
      </c>
      <c r="F21" s="126"/>
    </row>
    <row r="22" spans="1:7" x14ac:dyDescent="0.3">
      <c r="A22" s="62"/>
      <c r="B22" s="117" t="s">
        <v>130</v>
      </c>
      <c r="F22" s="51">
        <v>15708000</v>
      </c>
      <c r="G22" s="51" t="s">
        <v>33</v>
      </c>
    </row>
    <row r="23" spans="1:7" x14ac:dyDescent="0.3">
      <c r="A23" s="62"/>
      <c r="B23" s="117" t="s">
        <v>104</v>
      </c>
      <c r="F23" s="140">
        <v>1.0928</v>
      </c>
      <c r="G23" s="51" t="s">
        <v>105</v>
      </c>
    </row>
    <row r="24" spans="1:7" x14ac:dyDescent="0.3">
      <c r="A24" s="62">
        <v>5</v>
      </c>
      <c r="B24" s="117" t="s">
        <v>131</v>
      </c>
      <c r="F24" s="51">
        <f>+ROUND(F22/F23,0)</f>
        <v>14374085</v>
      </c>
      <c r="G24" s="51" t="s">
        <v>106</v>
      </c>
    </row>
    <row r="25" spans="1:7" x14ac:dyDescent="0.3">
      <c r="A25" s="62"/>
      <c r="B25" s="72"/>
    </row>
    <row r="26" spans="1:7" x14ac:dyDescent="0.3">
      <c r="A26" s="62"/>
      <c r="B26" s="116" t="s">
        <v>78</v>
      </c>
    </row>
    <row r="27" spans="1:7" x14ac:dyDescent="0.3">
      <c r="A27" s="62">
        <v>6</v>
      </c>
      <c r="B27" s="117" t="s">
        <v>118</v>
      </c>
      <c r="F27" s="127">
        <v>4.0000000000000001E-3</v>
      </c>
    </row>
    <row r="28" spans="1:7" x14ac:dyDescent="0.3">
      <c r="A28" s="62">
        <v>7</v>
      </c>
      <c r="B28" s="117" t="s">
        <v>85</v>
      </c>
      <c r="D28" s="51" t="s">
        <v>348</v>
      </c>
      <c r="F28" s="51">
        <f>+ROUND(F24*F27,0)</f>
        <v>57496</v>
      </c>
      <c r="G28" s="51" t="s">
        <v>106</v>
      </c>
    </row>
    <row r="29" spans="1:7" x14ac:dyDescent="0.3">
      <c r="A29" s="62">
        <v>8</v>
      </c>
      <c r="B29" s="117" t="s">
        <v>234</v>
      </c>
      <c r="F29" s="141">
        <v>2185</v>
      </c>
      <c r="G29" s="51" t="s">
        <v>106</v>
      </c>
    </row>
    <row r="30" spans="1:7" x14ac:dyDescent="0.3">
      <c r="A30" s="62">
        <v>9</v>
      </c>
      <c r="B30" s="116" t="s">
        <v>77</v>
      </c>
      <c r="D30" s="51" t="s">
        <v>349</v>
      </c>
      <c r="F30" s="51">
        <f>+F24-F28-F29</f>
        <v>14314404</v>
      </c>
      <c r="G30" s="51" t="s">
        <v>106</v>
      </c>
    </row>
    <row r="31" spans="1:7" x14ac:dyDescent="0.3">
      <c r="A31" s="62"/>
    </row>
    <row r="32" spans="1:7" x14ac:dyDescent="0.3">
      <c r="A32" s="62">
        <v>10</v>
      </c>
      <c r="B32" s="51" t="s">
        <v>351</v>
      </c>
      <c r="D32" s="51" t="s">
        <v>350</v>
      </c>
      <c r="F32" s="3">
        <f>+ROUND(F16/F30,4)</f>
        <v>3.2745000000000002</v>
      </c>
      <c r="G32" s="51" t="s">
        <v>116</v>
      </c>
    </row>
    <row r="33" spans="1:1" x14ac:dyDescent="0.3">
      <c r="A33" s="72"/>
    </row>
    <row r="34" spans="1:1" x14ac:dyDescent="0.3">
      <c r="A34" s="72"/>
    </row>
  </sheetData>
  <phoneticPr fontId="8" type="noConversion"/>
  <pageMargins left="0.75" right="0.75" top="1" bottom="1" header="0.5" footer="0.5"/>
  <pageSetup scale="89"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zoomScale="70" zoomScaleNormal="70" workbookViewId="0">
      <pane ySplit="6" topLeftCell="A7" activePane="bottomLeft" state="frozen"/>
      <selection activeCell="E16" sqref="E16"/>
      <selection pane="bottomLeft" activeCell="E16" sqref="E16"/>
    </sheetView>
  </sheetViews>
  <sheetFormatPr defaultColWidth="9.26953125" defaultRowHeight="13" x14ac:dyDescent="0.3"/>
  <cols>
    <col min="1" max="1" width="5.26953125" style="51" customWidth="1"/>
    <col min="2" max="2" width="46.7265625" style="51" customWidth="1"/>
    <col min="3" max="3" width="10.7265625" style="51" bestFit="1" customWidth="1"/>
    <col min="4" max="4" width="1.54296875" style="51" customWidth="1"/>
    <col min="5" max="5" width="12.26953125" style="129" bestFit="1" customWidth="1"/>
    <col min="6" max="6" width="1.26953125" style="51" customWidth="1"/>
    <col min="7" max="7" width="8.453125" style="148" customWidth="1"/>
    <col min="8" max="8" width="1.7265625" style="148" customWidth="1"/>
    <col min="9" max="9" width="9.7265625" style="148" bestFit="1" customWidth="1"/>
    <col min="10" max="10" width="3" style="51" customWidth="1"/>
    <col min="11" max="11" width="11.26953125" style="122" bestFit="1" customWidth="1"/>
    <col min="12" max="12" width="10.453125" style="51" bestFit="1" customWidth="1"/>
    <col min="13" max="16384" width="9.26953125" style="51"/>
  </cols>
  <sheetData>
    <row r="1" spans="1:11" ht="15.5" x14ac:dyDescent="0.35">
      <c r="A1" s="49" t="s">
        <v>98</v>
      </c>
      <c r="B1" s="55"/>
      <c r="C1" s="55"/>
      <c r="D1" s="55"/>
      <c r="E1" s="142"/>
      <c r="F1" s="55"/>
      <c r="G1" s="112"/>
      <c r="H1" s="112"/>
      <c r="I1" s="112"/>
      <c r="J1" s="55"/>
      <c r="K1" s="112" t="s">
        <v>19</v>
      </c>
    </row>
    <row r="2" spans="1:11" ht="15.5" x14ac:dyDescent="0.35">
      <c r="A2" s="49" t="s">
        <v>182</v>
      </c>
      <c r="B2" s="55"/>
      <c r="C2" s="55"/>
      <c r="D2" s="55"/>
      <c r="E2" s="142"/>
      <c r="F2" s="55"/>
      <c r="G2" s="143"/>
      <c r="H2" s="143"/>
      <c r="I2" s="143"/>
      <c r="J2" s="55"/>
      <c r="K2" s="112" t="s">
        <v>71</v>
      </c>
    </row>
    <row r="3" spans="1:11" x14ac:dyDescent="0.3">
      <c r="A3" s="55" t="s">
        <v>404</v>
      </c>
      <c r="B3" s="55"/>
      <c r="C3" s="55"/>
      <c r="D3" s="55"/>
      <c r="E3" s="142"/>
      <c r="F3" s="55"/>
      <c r="G3" s="143"/>
      <c r="H3" s="143"/>
      <c r="I3" s="143"/>
      <c r="J3" s="55"/>
      <c r="K3" s="144"/>
    </row>
    <row r="4" spans="1:11" x14ac:dyDescent="0.3">
      <c r="A4" s="103"/>
      <c r="B4" s="55"/>
      <c r="C4" s="55"/>
      <c r="D4" s="55"/>
      <c r="E4" s="142"/>
      <c r="F4" s="55"/>
      <c r="G4" s="143"/>
      <c r="H4" s="143"/>
      <c r="I4" s="143"/>
      <c r="J4" s="55"/>
      <c r="K4" s="144"/>
    </row>
    <row r="5" spans="1:11" x14ac:dyDescent="0.3">
      <c r="A5" s="55"/>
      <c r="B5" s="55"/>
      <c r="C5" s="55"/>
      <c r="D5" s="55"/>
      <c r="E5" s="142"/>
      <c r="F5" s="55"/>
      <c r="G5" s="143"/>
      <c r="H5" s="143"/>
      <c r="I5" s="143"/>
      <c r="J5" s="55"/>
      <c r="K5" s="144"/>
    </row>
    <row r="6" spans="1:11" ht="39" x14ac:dyDescent="0.3">
      <c r="A6" s="145" t="s">
        <v>162</v>
      </c>
      <c r="B6" s="114" t="s">
        <v>15</v>
      </c>
      <c r="C6" s="114" t="s">
        <v>33</v>
      </c>
      <c r="D6" s="55"/>
      <c r="E6" s="145" t="s">
        <v>164</v>
      </c>
      <c r="F6" s="97"/>
      <c r="G6" s="145" t="s">
        <v>114</v>
      </c>
      <c r="H6" s="146"/>
      <c r="I6" s="146"/>
      <c r="J6" s="146"/>
      <c r="K6" s="145" t="s">
        <v>163</v>
      </c>
    </row>
    <row r="7" spans="1:11" x14ac:dyDescent="0.3">
      <c r="B7" s="147"/>
    </row>
    <row r="8" spans="1:11" x14ac:dyDescent="0.3">
      <c r="B8" s="103" t="s">
        <v>36</v>
      </c>
      <c r="F8" s="79"/>
    </row>
    <row r="9" spans="1:11" x14ac:dyDescent="0.3">
      <c r="B9" s="116" t="s">
        <v>168</v>
      </c>
      <c r="F9" s="79"/>
    </row>
    <row r="10" spans="1:11" x14ac:dyDescent="0.3">
      <c r="A10" s="51">
        <v>1</v>
      </c>
      <c r="B10" s="117" t="s">
        <v>167</v>
      </c>
      <c r="C10" s="51">
        <v>10703880</v>
      </c>
      <c r="E10" s="129">
        <v>6.6199999999999995E-2</v>
      </c>
      <c r="F10" s="79"/>
      <c r="G10" s="148">
        <v>12</v>
      </c>
      <c r="H10" s="149"/>
      <c r="I10" s="149"/>
      <c r="K10" s="1">
        <f>+ROUND(C10*E10*G10,0)</f>
        <v>8503162</v>
      </c>
    </row>
    <row r="11" spans="1:11" x14ac:dyDescent="0.3">
      <c r="A11" s="51">
        <f>A10+1</f>
        <v>2</v>
      </c>
      <c r="B11" s="117" t="s">
        <v>166</v>
      </c>
      <c r="C11" s="51">
        <v>209880</v>
      </c>
      <c r="E11" s="120">
        <v>3.8180000000000001</v>
      </c>
      <c r="F11" s="79"/>
      <c r="G11" s="148">
        <v>12</v>
      </c>
      <c r="H11" s="149"/>
      <c r="I11" s="149"/>
      <c r="K11" s="1">
        <f>+ROUND(C11*E11*G11,0)</f>
        <v>9615862</v>
      </c>
    </row>
    <row r="12" spans="1:11" x14ac:dyDescent="0.3">
      <c r="B12" s="117"/>
      <c r="F12" s="79"/>
      <c r="H12" s="149"/>
      <c r="I12" s="149"/>
      <c r="K12" s="1"/>
    </row>
    <row r="13" spans="1:11" x14ac:dyDescent="0.3">
      <c r="B13" s="117"/>
      <c r="F13" s="79"/>
      <c r="H13" s="149"/>
      <c r="I13" s="149"/>
      <c r="K13" s="1"/>
    </row>
    <row r="14" spans="1:11" x14ac:dyDescent="0.3">
      <c r="B14" s="72"/>
      <c r="F14" s="79"/>
      <c r="H14" s="149"/>
      <c r="I14" s="149"/>
      <c r="K14" s="1"/>
    </row>
    <row r="15" spans="1:11" x14ac:dyDescent="0.3">
      <c r="B15" s="116" t="s">
        <v>169</v>
      </c>
      <c r="F15" s="79"/>
      <c r="H15" s="149"/>
      <c r="I15" s="149"/>
      <c r="K15" s="1"/>
    </row>
    <row r="16" spans="1:11" x14ac:dyDescent="0.3">
      <c r="A16" s="51">
        <f>A11+1</f>
        <v>3</v>
      </c>
      <c r="B16" s="117" t="s">
        <v>231</v>
      </c>
      <c r="C16" s="51">
        <v>104940</v>
      </c>
      <c r="E16" s="129">
        <v>13.118</v>
      </c>
      <c r="F16" s="79"/>
      <c r="G16" s="148">
        <v>6</v>
      </c>
      <c r="H16" s="149"/>
      <c r="I16" s="149"/>
      <c r="K16" s="1">
        <f>+ROUND(C16*E16*G16,0)</f>
        <v>8259618</v>
      </c>
    </row>
    <row r="17" spans="1:12" x14ac:dyDescent="0.3">
      <c r="B17" s="117"/>
      <c r="F17" s="79"/>
      <c r="H17" s="149"/>
      <c r="I17" s="149"/>
      <c r="K17" s="1"/>
    </row>
    <row r="18" spans="1:12" x14ac:dyDescent="0.3">
      <c r="A18" s="51">
        <v>4</v>
      </c>
      <c r="B18" s="117" t="s">
        <v>390</v>
      </c>
      <c r="C18" s="51">
        <v>209880</v>
      </c>
      <c r="E18" s="129">
        <v>13.118</v>
      </c>
      <c r="F18" s="79"/>
      <c r="G18" s="148">
        <v>6</v>
      </c>
      <c r="H18" s="149"/>
      <c r="I18" s="1"/>
      <c r="K18" s="1">
        <f>+ROUND(C18*E18*G18,0)</f>
        <v>16519235</v>
      </c>
    </row>
    <row r="19" spans="1:12" x14ac:dyDescent="0.3">
      <c r="A19"/>
      <c r="B19"/>
      <c r="C19"/>
      <c r="E19"/>
      <c r="F19" s="79"/>
      <c r="G19"/>
      <c r="H19"/>
      <c r="I19"/>
      <c r="J19"/>
      <c r="K19"/>
      <c r="L19"/>
    </row>
    <row r="20" spans="1:12" x14ac:dyDescent="0.3">
      <c r="A20"/>
      <c r="B20"/>
      <c r="C20"/>
      <c r="E20"/>
      <c r="F20" s="79"/>
      <c r="G20"/>
      <c r="H20"/>
      <c r="I20"/>
      <c r="J20"/>
      <c r="K20"/>
      <c r="L20"/>
    </row>
    <row r="21" spans="1:12" x14ac:dyDescent="0.3">
      <c r="F21" s="79"/>
      <c r="H21" s="149"/>
      <c r="I21" s="149"/>
      <c r="L21"/>
    </row>
    <row r="22" spans="1:12" x14ac:dyDescent="0.3">
      <c r="A22" s="51">
        <f>+A18+1</f>
        <v>5</v>
      </c>
      <c r="B22" s="116" t="s">
        <v>165</v>
      </c>
      <c r="C22" s="51">
        <v>9100</v>
      </c>
      <c r="E22" s="129">
        <v>13.318</v>
      </c>
      <c r="F22" s="79"/>
      <c r="G22" s="148">
        <v>12</v>
      </c>
      <c r="H22" s="149"/>
      <c r="I22" s="149"/>
      <c r="K22" s="1">
        <f>+ROUND(C22*E22*G22,0)</f>
        <v>1454326</v>
      </c>
      <c r="L22"/>
    </row>
    <row r="23" spans="1:12" x14ac:dyDescent="0.3">
      <c r="B23" s="116"/>
      <c r="F23" s="79"/>
      <c r="H23" s="149"/>
      <c r="I23" s="149"/>
      <c r="K23" s="1"/>
      <c r="L23"/>
    </row>
    <row r="24" spans="1:12" x14ac:dyDescent="0.3">
      <c r="A24" s="51">
        <f>A22+1</f>
        <v>6</v>
      </c>
      <c r="B24" s="116" t="s">
        <v>165</v>
      </c>
      <c r="C24" s="51">
        <v>5124</v>
      </c>
      <c r="E24" s="129">
        <v>13.318</v>
      </c>
      <c r="F24" s="79"/>
      <c r="G24" s="148">
        <v>12</v>
      </c>
      <c r="H24" s="149"/>
      <c r="I24" s="149"/>
      <c r="K24" s="1">
        <f>+ROUND(C24*E24*G24,0)</f>
        <v>818897</v>
      </c>
      <c r="L24"/>
    </row>
    <row r="25" spans="1:12" x14ac:dyDescent="0.3">
      <c r="A25" s="51" t="s">
        <v>0</v>
      </c>
      <c r="B25" s="72"/>
      <c r="F25" s="79"/>
      <c r="H25" s="149"/>
      <c r="I25" s="149"/>
      <c r="L25"/>
    </row>
    <row r="26" spans="1:12" x14ac:dyDescent="0.3">
      <c r="A26" s="51">
        <f>+A24+1</f>
        <v>7</v>
      </c>
      <c r="B26" s="116" t="s">
        <v>165</v>
      </c>
      <c r="C26" s="51">
        <v>8800</v>
      </c>
      <c r="E26" s="129">
        <v>13.318</v>
      </c>
      <c r="F26" s="79"/>
      <c r="G26" s="148">
        <v>12</v>
      </c>
      <c r="H26" s="149"/>
      <c r="I26" s="149"/>
      <c r="K26" s="1">
        <f>+ROUND(C26*E26*G26,0)</f>
        <v>1406381</v>
      </c>
      <c r="L26"/>
    </row>
    <row r="27" spans="1:12" x14ac:dyDescent="0.3">
      <c r="B27" s="72"/>
      <c r="F27" s="79"/>
      <c r="H27" s="149"/>
      <c r="I27" s="149"/>
      <c r="L27"/>
    </row>
    <row r="28" spans="1:12" x14ac:dyDescent="0.3">
      <c r="A28" s="51">
        <f>+A26+1</f>
        <v>8</v>
      </c>
      <c r="B28" s="116" t="s">
        <v>405</v>
      </c>
      <c r="F28" s="79"/>
      <c r="H28" s="149"/>
      <c r="I28" s="149"/>
      <c r="K28" s="123">
        <f>SUM(K10:K26)</f>
        <v>46577481</v>
      </c>
    </row>
    <row r="29" spans="1:12" x14ac:dyDescent="0.3">
      <c r="B29" s="116"/>
      <c r="F29" s="79"/>
      <c r="H29" s="149"/>
      <c r="I29" s="149"/>
      <c r="K29" s="123"/>
    </row>
    <row r="30" spans="1:12" x14ac:dyDescent="0.3">
      <c r="B30" s="72"/>
      <c r="F30" s="79"/>
      <c r="H30" s="149"/>
      <c r="I30" s="149"/>
      <c r="K30" s="1"/>
    </row>
    <row r="31" spans="1:12" x14ac:dyDescent="0.3">
      <c r="B31" s="103" t="s">
        <v>37</v>
      </c>
      <c r="F31" s="79"/>
      <c r="H31" s="149"/>
      <c r="I31" s="149"/>
    </row>
    <row r="32" spans="1:12" x14ac:dyDescent="0.3">
      <c r="A32" s="51">
        <f>A28+1</f>
        <v>9</v>
      </c>
      <c r="B32" s="116" t="s">
        <v>170</v>
      </c>
      <c r="C32" s="51">
        <v>16000</v>
      </c>
      <c r="E32" s="129">
        <v>5.2084999999999999</v>
      </c>
      <c r="F32" s="79"/>
      <c r="G32" s="148">
        <v>12</v>
      </c>
      <c r="H32" s="149"/>
      <c r="I32" s="149"/>
      <c r="K32" s="1">
        <f>+ROUND(C32*E32*G32,0)</f>
        <v>1000032</v>
      </c>
    </row>
    <row r="33" spans="1:11" x14ac:dyDescent="0.3">
      <c r="B33" s="72"/>
      <c r="F33" s="79"/>
    </row>
    <row r="34" spans="1:11" x14ac:dyDescent="0.3">
      <c r="B34" s="72"/>
      <c r="F34" s="79"/>
    </row>
    <row r="35" spans="1:11" x14ac:dyDescent="0.3">
      <c r="B35" s="103" t="s">
        <v>388</v>
      </c>
      <c r="F35" s="79"/>
      <c r="H35" s="149"/>
      <c r="I35" s="149"/>
    </row>
    <row r="36" spans="1:11" x14ac:dyDescent="0.3">
      <c r="A36" s="51">
        <f>A32+1</f>
        <v>10</v>
      </c>
      <c r="B36" s="116" t="s">
        <v>389</v>
      </c>
      <c r="C36" s="51">
        <v>8800</v>
      </c>
      <c r="E36" s="129">
        <v>6.0838999999999999</v>
      </c>
      <c r="F36" s="79"/>
      <c r="G36" s="148">
        <v>1</v>
      </c>
      <c r="H36" s="149"/>
      <c r="I36" s="149"/>
      <c r="K36" s="1">
        <f>+ROUND(C36*E36*G36,0)</f>
        <v>53538</v>
      </c>
    </row>
    <row r="37" spans="1:11" x14ac:dyDescent="0.3">
      <c r="B37" s="116"/>
      <c r="F37" s="79"/>
      <c r="H37" s="149"/>
      <c r="I37" s="149"/>
      <c r="K37" s="1"/>
    </row>
    <row r="38" spans="1:11" x14ac:dyDescent="0.3">
      <c r="A38" s="51">
        <f>A36+1</f>
        <v>11</v>
      </c>
      <c r="B38" s="103" t="s">
        <v>406</v>
      </c>
      <c r="F38" s="79"/>
      <c r="K38" s="122">
        <f>K28+K32+K36</f>
        <v>47631051</v>
      </c>
    </row>
    <row r="39" spans="1:11" x14ac:dyDescent="0.3">
      <c r="F39" s="79"/>
    </row>
    <row r="40" spans="1:11" ht="14.5" x14ac:dyDescent="0.3">
      <c r="A40" s="150"/>
      <c r="B40" s="72"/>
      <c r="F40" s="79"/>
    </row>
    <row r="41" spans="1:11" x14ac:dyDescent="0.3">
      <c r="F41" s="79"/>
    </row>
    <row r="42" spans="1:11" x14ac:dyDescent="0.3">
      <c r="F42" s="79"/>
    </row>
    <row r="43" spans="1:11" x14ac:dyDescent="0.3">
      <c r="F43" s="79"/>
    </row>
    <row r="44" spans="1:11" x14ac:dyDescent="0.3">
      <c r="F44" s="79"/>
    </row>
  </sheetData>
  <phoneticPr fontId="7" type="noConversion"/>
  <pageMargins left="0.75" right="0.75" top="1" bottom="1" header="0.5" footer="0.5"/>
  <pageSetup scale="7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0"/>
  <sheetViews>
    <sheetView zoomScaleNormal="100" workbookViewId="0">
      <selection activeCell="E16" sqref="E16"/>
    </sheetView>
  </sheetViews>
  <sheetFormatPr defaultColWidth="9.26953125" defaultRowHeight="13" x14ac:dyDescent="0.3"/>
  <cols>
    <col min="1" max="1" width="5" style="51" customWidth="1"/>
    <col min="2" max="2" width="56.26953125" style="51" customWidth="1"/>
    <col min="3" max="4" width="8.26953125" style="51" bestFit="1" customWidth="1"/>
    <col min="5" max="5" width="12.26953125" style="51" bestFit="1" customWidth="1"/>
    <col min="6" max="6" width="8.7265625" style="51" customWidth="1"/>
    <col min="7" max="7" width="1.7265625" style="51" customWidth="1"/>
    <col min="8" max="8" width="11.26953125" style="51" customWidth="1"/>
    <col min="9" max="9" width="9.26953125" style="51"/>
    <col min="10" max="10" width="9.7265625" style="51" bestFit="1" customWidth="1"/>
    <col min="11" max="16384" width="9.26953125" style="51"/>
  </cols>
  <sheetData>
    <row r="1" spans="1:8" ht="18.5" x14ac:dyDescent="0.45">
      <c r="A1" s="49" t="s">
        <v>98</v>
      </c>
      <c r="D1" s="54"/>
      <c r="E1" s="112"/>
      <c r="H1" s="112" t="s">
        <v>19</v>
      </c>
    </row>
    <row r="2" spans="1:8" ht="15.5" x14ac:dyDescent="0.35">
      <c r="A2" s="49" t="s">
        <v>184</v>
      </c>
      <c r="D2" s="97"/>
      <c r="H2" s="112" t="s">
        <v>25</v>
      </c>
    </row>
    <row r="3" spans="1:8" ht="15.5" x14ac:dyDescent="0.35">
      <c r="A3" s="49" t="s">
        <v>185</v>
      </c>
      <c r="D3" s="97"/>
      <c r="H3" s="55"/>
    </row>
    <row r="4" spans="1:8" x14ac:dyDescent="0.3">
      <c r="A4" s="55" t="str">
        <f>'3 DemCost'!A3</f>
        <v>Mar 26 - Feb 27</v>
      </c>
      <c r="C4" s="85"/>
      <c r="D4" s="85"/>
    </row>
    <row r="6" spans="1:8" x14ac:dyDescent="0.3">
      <c r="A6" s="97"/>
      <c r="B6" s="55"/>
      <c r="C6" s="274" t="s">
        <v>171</v>
      </c>
      <c r="D6" s="274"/>
      <c r="E6" s="274"/>
      <c r="F6" s="274"/>
      <c r="G6" s="97"/>
      <c r="H6" s="97"/>
    </row>
    <row r="7" spans="1:8" s="151" customFormat="1" ht="26.25" customHeight="1" x14ac:dyDescent="0.3">
      <c r="A7" s="145" t="s">
        <v>162</v>
      </c>
      <c r="B7" s="145" t="s">
        <v>15</v>
      </c>
      <c r="C7" s="145" t="s">
        <v>84</v>
      </c>
      <c r="D7" s="145" t="s">
        <v>114</v>
      </c>
      <c r="E7" s="145" t="s">
        <v>79</v>
      </c>
      <c r="F7" s="145" t="s">
        <v>67</v>
      </c>
      <c r="G7" s="146"/>
      <c r="H7" s="145" t="s">
        <v>172</v>
      </c>
    </row>
    <row r="8" spans="1:8" x14ac:dyDescent="0.3">
      <c r="B8" s="85"/>
      <c r="C8" s="62" t="s">
        <v>33</v>
      </c>
      <c r="D8" s="62"/>
      <c r="E8" s="62" t="s">
        <v>33</v>
      </c>
      <c r="F8" s="147"/>
      <c r="G8" s="147"/>
      <c r="H8" s="85"/>
    </row>
    <row r="9" spans="1:8" x14ac:dyDescent="0.3">
      <c r="C9" s="62" t="s">
        <v>30</v>
      </c>
      <c r="D9" s="62">
        <v>-2</v>
      </c>
      <c r="E9" s="62">
        <v>-3</v>
      </c>
      <c r="H9" s="62" t="s">
        <v>32</v>
      </c>
    </row>
    <row r="10" spans="1:8" x14ac:dyDescent="0.3">
      <c r="E10" s="61" t="s">
        <v>115</v>
      </c>
      <c r="H10" s="62"/>
    </row>
    <row r="12" spans="1:8" x14ac:dyDescent="0.3">
      <c r="A12" s="51">
        <v>1</v>
      </c>
      <c r="B12" s="72" t="s">
        <v>80</v>
      </c>
      <c r="E12" s="118"/>
      <c r="H12" s="152">
        <f>+'3 DemCost'!K38</f>
        <v>47631051</v>
      </c>
    </row>
    <row r="13" spans="1:8" x14ac:dyDescent="0.3">
      <c r="B13" s="72"/>
      <c r="E13" s="118"/>
      <c r="H13" s="153"/>
    </row>
    <row r="14" spans="1:8" x14ac:dyDescent="0.3">
      <c r="B14" s="51" t="s">
        <v>82</v>
      </c>
    </row>
    <row r="15" spans="1:8" x14ac:dyDescent="0.3">
      <c r="B15" s="116" t="s">
        <v>83</v>
      </c>
    </row>
    <row r="16" spans="1:8" x14ac:dyDescent="0.3">
      <c r="A16" s="51">
        <f>A12+1</f>
        <v>2</v>
      </c>
      <c r="B16" s="154" t="s">
        <v>119</v>
      </c>
      <c r="C16" s="51">
        <f>'3 DemCost'!C11</f>
        <v>209880</v>
      </c>
      <c r="D16" s="51">
        <f>'3 DemCost'!G11</f>
        <v>12</v>
      </c>
      <c r="E16" s="51">
        <f>+ROUND(C16*D16,0)</f>
        <v>2518560</v>
      </c>
    </row>
    <row r="17" spans="1:8" x14ac:dyDescent="0.3">
      <c r="A17" s="51">
        <f>A16+1</f>
        <v>3</v>
      </c>
      <c r="B17" s="154" t="s">
        <v>120</v>
      </c>
      <c r="C17" s="51">
        <f>+'3 DemCost'!C22+'3 DemCost'!C24+'3 DemCost'!C26</f>
        <v>23024</v>
      </c>
      <c r="D17" s="51">
        <f>+'3 DemCost'!G22</f>
        <v>12</v>
      </c>
      <c r="E17" s="51">
        <f>+ROUND(C17*D17,0)</f>
        <v>276288</v>
      </c>
    </row>
    <row r="18" spans="1:8" x14ac:dyDescent="0.3">
      <c r="B18" s="116"/>
    </row>
    <row r="19" spans="1:8" x14ac:dyDescent="0.3">
      <c r="A19" s="51">
        <f>A17+1</f>
        <v>4</v>
      </c>
      <c r="B19" s="116" t="s">
        <v>352</v>
      </c>
      <c r="E19" s="51">
        <f>SUM(E16:E17)</f>
        <v>2794848</v>
      </c>
      <c r="F19" s="51" t="s">
        <v>33</v>
      </c>
    </row>
    <row r="20" spans="1:8" x14ac:dyDescent="0.3">
      <c r="B20" s="116"/>
    </row>
    <row r="21" spans="1:8" x14ac:dyDescent="0.3">
      <c r="A21" s="51">
        <f>A19+1</f>
        <v>5</v>
      </c>
      <c r="B21" s="116" t="s">
        <v>81</v>
      </c>
      <c r="E21" s="155">
        <v>1.0928</v>
      </c>
      <c r="F21" s="51" t="s">
        <v>105</v>
      </c>
    </row>
    <row r="22" spans="1:8" x14ac:dyDescent="0.3">
      <c r="B22" s="116"/>
    </row>
    <row r="23" spans="1:8" x14ac:dyDescent="0.3">
      <c r="A23" s="51">
        <f>A21+1</f>
        <v>6</v>
      </c>
      <c r="B23" s="116" t="s">
        <v>353</v>
      </c>
      <c r="E23" s="51">
        <f>ROUND(E19/E21,0)</f>
        <v>2557511</v>
      </c>
      <c r="F23" s="72" t="s">
        <v>2</v>
      </c>
      <c r="G23" s="72"/>
    </row>
    <row r="25" spans="1:8" s="137" customFormat="1" ht="28.5" customHeight="1" x14ac:dyDescent="0.3">
      <c r="A25" s="137">
        <f>A23+1</f>
        <v>7</v>
      </c>
      <c r="B25" s="156" t="s">
        <v>354</v>
      </c>
      <c r="E25" s="157">
        <f>ROUND(H12/E23,4)</f>
        <v>18.623999999999999</v>
      </c>
      <c r="F25" s="158" t="s">
        <v>34</v>
      </c>
      <c r="G25" s="158"/>
    </row>
    <row r="27" spans="1:8" x14ac:dyDescent="0.3">
      <c r="A27" s="51">
        <f>A25+1</f>
        <v>8</v>
      </c>
      <c r="B27" s="72" t="s">
        <v>173</v>
      </c>
      <c r="C27" s="51">
        <v>1389</v>
      </c>
      <c r="D27" s="51">
        <v>12</v>
      </c>
      <c r="E27" s="51">
        <f>+ROUND(C27*D27,0)</f>
        <v>16668</v>
      </c>
      <c r="F27" s="72" t="s">
        <v>2</v>
      </c>
      <c r="G27" s="72"/>
    </row>
    <row r="29" spans="1:8" s="137" customFormat="1" ht="26" x14ac:dyDescent="0.3">
      <c r="A29" s="137">
        <f>A27+1</f>
        <v>9</v>
      </c>
      <c r="B29" s="156" t="s">
        <v>355</v>
      </c>
      <c r="F29" s="138" t="s">
        <v>356</v>
      </c>
      <c r="G29" s="138"/>
      <c r="H29" s="159">
        <f>ROUND(E25*E27,0)</f>
        <v>310425</v>
      </c>
    </row>
    <row r="30" spans="1:8" x14ac:dyDescent="0.3">
      <c r="H30" s="73"/>
    </row>
  </sheetData>
  <mergeCells count="1">
    <mergeCell ref="C6:F6"/>
  </mergeCells>
  <phoneticPr fontId="7" type="noConversion"/>
  <pageMargins left="0.5" right="0.5" top="0.5" bottom="0.5" header="0.5" footer="0.5"/>
  <pageSetup scale="85" orientation="portrait" r:id="rId1"/>
  <headerFooter alignWithMargins="0"/>
  <ignoredErrors>
    <ignoredError sqref="C9:H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zoomScale="110" zoomScaleNormal="110" workbookViewId="0">
      <selection activeCell="E16" sqref="E16"/>
    </sheetView>
  </sheetViews>
  <sheetFormatPr defaultColWidth="9.26953125" defaultRowHeight="13" x14ac:dyDescent="0.3"/>
  <cols>
    <col min="1" max="1" width="4.7265625" style="51" customWidth="1"/>
    <col min="2" max="2" width="29.54296875" style="51" bestFit="1" customWidth="1"/>
    <col min="3" max="3" width="10.7265625" style="51" customWidth="1"/>
    <col min="4" max="4" width="2.7265625" style="51" customWidth="1"/>
    <col min="5" max="5" width="11.7265625" style="51" customWidth="1"/>
    <col min="6" max="6" width="1.453125" style="51" customWidth="1"/>
    <col min="7" max="7" width="8.26953125" style="51" bestFit="1" customWidth="1"/>
    <col min="8" max="8" width="1.54296875" style="51" customWidth="1"/>
    <col min="9" max="9" width="10.7265625" style="51" customWidth="1"/>
    <col min="10" max="10" width="2.26953125" style="51" customWidth="1"/>
    <col min="11" max="11" width="14.26953125" style="51" customWidth="1"/>
    <col min="12" max="12" width="0.7265625" style="51" customWidth="1"/>
    <col min="13" max="13" width="13" style="51" customWidth="1"/>
    <col min="14" max="14" width="3.453125" style="51" customWidth="1"/>
    <col min="15" max="15" width="12.26953125" style="51" customWidth="1"/>
    <col min="16" max="16" width="15.453125" style="51" customWidth="1"/>
    <col min="17" max="16384" width="9.26953125" style="51"/>
  </cols>
  <sheetData>
    <row r="1" spans="1:13" ht="18.5" x14ac:dyDescent="0.45">
      <c r="A1" s="49" t="s">
        <v>98</v>
      </c>
      <c r="D1" s="54"/>
      <c r="M1" s="112" t="s">
        <v>19</v>
      </c>
    </row>
    <row r="2" spans="1:13" ht="15.5" x14ac:dyDescent="0.35">
      <c r="A2" s="49" t="s">
        <v>175</v>
      </c>
      <c r="D2" s="97"/>
      <c r="I2" s="113"/>
      <c r="J2" s="113"/>
      <c r="M2" s="112" t="s">
        <v>26</v>
      </c>
    </row>
    <row r="3" spans="1:13" x14ac:dyDescent="0.3">
      <c r="A3" s="55" t="str">
        <f>'1 EGC'!A3</f>
        <v>Mar 26 - May  26</v>
      </c>
      <c r="B3" s="113"/>
      <c r="D3" s="97"/>
      <c r="I3" s="113"/>
      <c r="J3" s="113"/>
      <c r="M3" s="112"/>
    </row>
    <row r="4" spans="1:13" x14ac:dyDescent="0.3">
      <c r="B4" s="55"/>
      <c r="C4" s="85"/>
      <c r="D4" s="85"/>
      <c r="L4" s="55"/>
    </row>
    <row r="5" spans="1:13" x14ac:dyDescent="0.3">
      <c r="A5" s="51" t="s">
        <v>177</v>
      </c>
    </row>
    <row r="6" spans="1:13" x14ac:dyDescent="0.3">
      <c r="A6" s="51" t="s">
        <v>178</v>
      </c>
    </row>
    <row r="7" spans="1:13" x14ac:dyDescent="0.3">
      <c r="A7" s="51" t="s">
        <v>127</v>
      </c>
      <c r="B7" s="55"/>
    </row>
    <row r="10" spans="1:13" x14ac:dyDescent="0.3">
      <c r="I10" s="62"/>
      <c r="J10" s="62"/>
    </row>
    <row r="11" spans="1:13" s="151" customFormat="1" ht="38.25" customHeight="1" x14ac:dyDescent="0.3">
      <c r="A11" s="146"/>
      <c r="B11" s="146"/>
      <c r="C11" s="275" t="s">
        <v>124</v>
      </c>
      <c r="D11" s="275"/>
      <c r="E11" s="275"/>
      <c r="F11" s="275"/>
      <c r="G11" s="275"/>
      <c r="H11" s="146"/>
      <c r="I11" s="146"/>
      <c r="J11" s="146"/>
      <c r="K11" s="275" t="s">
        <v>125</v>
      </c>
      <c r="L11" s="275"/>
      <c r="M11" s="275"/>
    </row>
    <row r="12" spans="1:13" s="162" customFormat="1" ht="26" x14ac:dyDescent="0.3">
      <c r="A12" s="145" t="s">
        <v>162</v>
      </c>
      <c r="B12" s="114" t="s">
        <v>38</v>
      </c>
      <c r="C12" s="145" t="s">
        <v>366</v>
      </c>
      <c r="D12" s="146"/>
      <c r="E12" s="145" t="s">
        <v>60</v>
      </c>
      <c r="F12" s="160"/>
      <c r="G12" s="145" t="s">
        <v>179</v>
      </c>
      <c r="H12" s="146"/>
      <c r="I12" s="145" t="s">
        <v>126</v>
      </c>
      <c r="J12" s="146"/>
      <c r="K12" s="145" t="s">
        <v>85</v>
      </c>
      <c r="L12" s="161"/>
      <c r="M12" s="114" t="s">
        <v>60</v>
      </c>
    </row>
    <row r="13" spans="1:13" x14ac:dyDescent="0.3">
      <c r="A13" s="72"/>
      <c r="C13" s="62" t="s">
        <v>33</v>
      </c>
      <c r="D13" s="62"/>
      <c r="G13" s="62" t="s">
        <v>1</v>
      </c>
      <c r="H13" s="62"/>
      <c r="I13" s="62" t="s">
        <v>33</v>
      </c>
      <c r="J13" s="62"/>
      <c r="K13" s="62" t="s">
        <v>33</v>
      </c>
    </row>
    <row r="14" spans="1:13" x14ac:dyDescent="0.3">
      <c r="C14" s="62">
        <v>-1</v>
      </c>
      <c r="D14" s="62"/>
      <c r="E14" s="62">
        <v>-2</v>
      </c>
      <c r="F14" s="62"/>
      <c r="G14" s="62">
        <v>-3</v>
      </c>
      <c r="H14" s="62"/>
      <c r="I14" s="62">
        <v>-4</v>
      </c>
      <c r="J14" s="62"/>
      <c r="K14" s="62">
        <v>-5</v>
      </c>
      <c r="L14" s="62"/>
      <c r="M14" s="62">
        <v>-6</v>
      </c>
    </row>
    <row r="15" spans="1:13" x14ac:dyDescent="0.3">
      <c r="C15" s="62"/>
      <c r="D15" s="62"/>
      <c r="E15" s="62"/>
      <c r="F15" s="62"/>
      <c r="G15" s="61" t="s">
        <v>65</v>
      </c>
      <c r="H15" s="62"/>
      <c r="K15" s="61" t="s">
        <v>113</v>
      </c>
      <c r="M15" s="61" t="s">
        <v>66</v>
      </c>
    </row>
    <row r="16" spans="1:13" x14ac:dyDescent="0.3">
      <c r="C16" s="163"/>
      <c r="D16" s="163"/>
      <c r="E16" s="62"/>
      <c r="F16" s="62"/>
      <c r="G16" s="163"/>
      <c r="H16" s="163"/>
    </row>
    <row r="17" spans="1:21" x14ac:dyDescent="0.3">
      <c r="A17" s="62">
        <v>1</v>
      </c>
      <c r="B17" s="164" t="s">
        <v>401</v>
      </c>
      <c r="C17" s="51">
        <v>350000</v>
      </c>
      <c r="E17" s="123">
        <v>1227000</v>
      </c>
      <c r="F17" s="126"/>
      <c r="G17" s="165"/>
      <c r="H17" s="166"/>
      <c r="I17" s="51">
        <v>0</v>
      </c>
      <c r="K17" s="51">
        <f>+C17+I17</f>
        <v>350000</v>
      </c>
      <c r="M17" s="123"/>
      <c r="O17" s="167"/>
    </row>
    <row r="18" spans="1:21" x14ac:dyDescent="0.3">
      <c r="A18" s="62">
        <f>A17+1</f>
        <v>2</v>
      </c>
      <c r="B18" s="164">
        <v>46138</v>
      </c>
      <c r="C18" s="51">
        <v>1822000</v>
      </c>
      <c r="E18" s="123">
        <v>5853000</v>
      </c>
      <c r="G18" s="165"/>
      <c r="H18" s="166"/>
      <c r="I18" s="51">
        <v>-975000</v>
      </c>
      <c r="K18" s="51">
        <f>+C18+I18</f>
        <v>847000</v>
      </c>
      <c r="M18" s="123"/>
      <c r="O18" s="168"/>
    </row>
    <row r="19" spans="1:21" ht="14.5" x14ac:dyDescent="0.3">
      <c r="A19" s="62">
        <f>A18+1</f>
        <v>3</v>
      </c>
      <c r="B19" s="164">
        <v>46169</v>
      </c>
      <c r="C19" s="51">
        <v>1989000</v>
      </c>
      <c r="E19" s="123">
        <v>6158000</v>
      </c>
      <c r="F19" s="169"/>
      <c r="G19" s="165"/>
      <c r="H19" s="166"/>
      <c r="I19" s="51">
        <v>-1600000</v>
      </c>
      <c r="K19" s="51">
        <f>+C19+I19</f>
        <v>389000</v>
      </c>
      <c r="M19" s="123"/>
      <c r="O19" s="170"/>
    </row>
    <row r="20" spans="1:21" x14ac:dyDescent="0.3">
      <c r="A20" s="62"/>
      <c r="G20" s="165"/>
      <c r="H20" s="166"/>
      <c r="M20" s="123"/>
    </row>
    <row r="21" spans="1:21" x14ac:dyDescent="0.3">
      <c r="A21" s="62">
        <v>4</v>
      </c>
      <c r="B21" s="72" t="s">
        <v>357</v>
      </c>
      <c r="C21" s="51">
        <f>SUM(C17:C19)</f>
        <v>4161000</v>
      </c>
      <c r="E21" s="39">
        <f>SUM(E17:E19)</f>
        <v>13238000</v>
      </c>
      <c r="F21" s="39"/>
      <c r="G21" s="165">
        <f>ROUND(E21/C21,2)</f>
        <v>3.18</v>
      </c>
      <c r="H21" s="166"/>
      <c r="I21" s="51">
        <f>SUM(I17:I20)</f>
        <v>-2575000</v>
      </c>
      <c r="K21" s="51">
        <f>SUM(K17:K20)</f>
        <v>1586000</v>
      </c>
      <c r="M21" s="123">
        <f>+ROUND(G21*K21,0)</f>
        <v>5043480</v>
      </c>
      <c r="O21"/>
      <c r="P21"/>
      <c r="Q21"/>
      <c r="R21"/>
      <c r="S21"/>
      <c r="T21"/>
      <c r="U21"/>
    </row>
    <row r="22" spans="1:21" x14ac:dyDescent="0.3">
      <c r="A22" s="62"/>
      <c r="G22" s="171"/>
      <c r="H22" s="171"/>
      <c r="M22" s="172"/>
    </row>
    <row r="23" spans="1:21" s="173" customFormat="1" x14ac:dyDescent="0.3">
      <c r="B23" s="51" t="s">
        <v>73</v>
      </c>
      <c r="H23" s="174"/>
    </row>
    <row r="24" spans="1:21" x14ac:dyDescent="0.3">
      <c r="B24" s="175"/>
      <c r="H24" s="66"/>
    </row>
    <row r="25" spans="1:21" x14ac:dyDescent="0.3">
      <c r="B25" s="173" t="s">
        <v>111</v>
      </c>
      <c r="C25" s="173"/>
      <c r="D25" s="173"/>
      <c r="E25" s="173"/>
      <c r="F25" s="173"/>
      <c r="G25" s="173"/>
      <c r="H25" s="174"/>
      <c r="I25" s="173"/>
      <c r="J25" s="173"/>
      <c r="K25" s="173" t="s">
        <v>112</v>
      </c>
      <c r="L25" s="173"/>
      <c r="M25" s="173" t="s">
        <v>112</v>
      </c>
    </row>
    <row r="28" spans="1:21" x14ac:dyDescent="0.3">
      <c r="B28" s="72"/>
      <c r="K28" s="176"/>
    </row>
    <row r="29" spans="1:21" s="136" customFormat="1" x14ac:dyDescent="0.3">
      <c r="A29"/>
      <c r="B29"/>
      <c r="C29"/>
      <c r="D29"/>
      <c r="E29"/>
      <c r="F29"/>
      <c r="G29"/>
      <c r="H29"/>
      <c r="I29"/>
      <c r="J29"/>
    </row>
    <row r="30" spans="1:21" x14ac:dyDescent="0.3">
      <c r="B30" s="72"/>
      <c r="K30" s="176"/>
    </row>
    <row r="31" spans="1:21" x14ac:dyDescent="0.3">
      <c r="K31" s="176"/>
    </row>
    <row r="32" spans="1:21" x14ac:dyDescent="0.3">
      <c r="K32" s="176"/>
    </row>
    <row r="33" spans="1:11" x14ac:dyDescent="0.3">
      <c r="C33" s="72"/>
      <c r="D33" s="72"/>
      <c r="K33" s="176"/>
    </row>
    <row r="34" spans="1:11" x14ac:dyDescent="0.3">
      <c r="G34" s="113"/>
      <c r="H34" s="113"/>
    </row>
    <row r="35" spans="1:11" x14ac:dyDescent="0.3">
      <c r="C35" s="66"/>
      <c r="D35" s="66"/>
      <c r="E35" s="177"/>
      <c r="F35" s="177"/>
      <c r="G35" s="177"/>
      <c r="H35" s="177"/>
    </row>
    <row r="36" spans="1:11" x14ac:dyDescent="0.3">
      <c r="B36" s="72"/>
      <c r="G36" s="176"/>
      <c r="H36" s="176"/>
      <c r="I36" s="73"/>
      <c r="J36" s="73"/>
    </row>
    <row r="37" spans="1:11" x14ac:dyDescent="0.3">
      <c r="G37" s="176"/>
      <c r="H37" s="176"/>
    </row>
    <row r="38" spans="1:11" x14ac:dyDescent="0.3">
      <c r="B38" s="72"/>
      <c r="G38" s="176"/>
      <c r="H38" s="176"/>
    </row>
    <row r="39" spans="1:11" x14ac:dyDescent="0.3">
      <c r="B39" s="72"/>
      <c r="G39" s="171"/>
      <c r="H39" s="171"/>
      <c r="I39" s="178"/>
      <c r="J39" s="178"/>
    </row>
    <row r="42" spans="1:11" x14ac:dyDescent="0.3">
      <c r="A42" s="72" t="s">
        <v>0</v>
      </c>
    </row>
    <row r="43" spans="1:11" x14ac:dyDescent="0.3">
      <c r="A43" s="72" t="s">
        <v>0</v>
      </c>
    </row>
  </sheetData>
  <mergeCells count="2">
    <mergeCell ref="C11:G11"/>
    <mergeCell ref="K11:M11"/>
  </mergeCells>
  <phoneticPr fontId="7" type="noConversion"/>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zoomScaleNormal="100" workbookViewId="0">
      <selection activeCell="E16" sqref="E16"/>
    </sheetView>
  </sheetViews>
  <sheetFormatPr defaultColWidth="9.26953125" defaultRowHeight="13" x14ac:dyDescent="0.3"/>
  <cols>
    <col min="1" max="1" width="4.26953125" style="51" customWidth="1"/>
    <col min="2" max="2" width="29.54296875" style="51" bestFit="1" customWidth="1"/>
    <col min="3" max="3" width="14.26953125" style="51" customWidth="1"/>
    <col min="4" max="4" width="13.7265625" style="51" customWidth="1"/>
    <col min="5" max="5" width="4" style="51" customWidth="1"/>
    <col min="6" max="17" width="9.26953125" style="51"/>
    <col min="18" max="18" width="3.26953125" style="51" customWidth="1"/>
    <col min="19" max="20" width="1.7265625" style="51" customWidth="1"/>
    <col min="21" max="16384" width="9.26953125" style="51"/>
  </cols>
  <sheetData>
    <row r="1" spans="1:24" ht="15.5" x14ac:dyDescent="0.35">
      <c r="A1" s="49" t="s">
        <v>98</v>
      </c>
      <c r="G1" s="112" t="s">
        <v>19</v>
      </c>
    </row>
    <row r="2" spans="1:24" ht="15.5" x14ac:dyDescent="0.35">
      <c r="A2" s="49" t="s">
        <v>176</v>
      </c>
      <c r="F2" s="55"/>
      <c r="G2" s="112" t="s">
        <v>27</v>
      </c>
    </row>
    <row r="3" spans="1:24" x14ac:dyDescent="0.3">
      <c r="A3" s="55" t="str">
        <f>'1 EGC'!A3</f>
        <v>Mar 26 - May  26</v>
      </c>
      <c r="G3" s="55"/>
    </row>
    <row r="5" spans="1:24" x14ac:dyDescent="0.3">
      <c r="A5" s="97"/>
      <c r="B5" s="97"/>
      <c r="C5" s="97"/>
      <c r="D5" s="97"/>
    </row>
    <row r="6" spans="1:24" x14ac:dyDescent="0.3">
      <c r="A6" s="97"/>
      <c r="B6" s="97"/>
      <c r="C6" s="97"/>
      <c r="D6" s="97"/>
    </row>
    <row r="7" spans="1:24" x14ac:dyDescent="0.3">
      <c r="A7" s="97" t="s">
        <v>4</v>
      </c>
      <c r="B7" s="97"/>
      <c r="C7" s="97"/>
      <c r="D7" s="97"/>
      <c r="F7" s="62"/>
    </row>
    <row r="8" spans="1:24" x14ac:dyDescent="0.3">
      <c r="A8" s="85" t="s">
        <v>5</v>
      </c>
      <c r="B8" s="85" t="s">
        <v>38</v>
      </c>
      <c r="C8" s="85" t="s">
        <v>33</v>
      </c>
      <c r="D8" s="85" t="s">
        <v>86</v>
      </c>
      <c r="E8" s="65"/>
      <c r="F8" s="65"/>
    </row>
    <row r="9" spans="1:24" x14ac:dyDescent="0.3">
      <c r="C9" s="62" t="s">
        <v>31</v>
      </c>
      <c r="D9" s="62">
        <v>-3</v>
      </c>
      <c r="E9" s="62"/>
      <c r="F9" s="62"/>
      <c r="X9" s="76"/>
    </row>
    <row r="10" spans="1:24" x14ac:dyDescent="0.3">
      <c r="C10" s="62"/>
      <c r="D10" s="62"/>
      <c r="E10" s="62"/>
      <c r="F10" s="61"/>
    </row>
    <row r="11" spans="1:24" x14ac:dyDescent="0.3">
      <c r="C11" s="62"/>
      <c r="D11" s="62"/>
      <c r="E11" s="62"/>
      <c r="F11" s="61"/>
    </row>
    <row r="12" spans="1:24" x14ac:dyDescent="0.3">
      <c r="C12" s="163"/>
      <c r="D12" s="163"/>
      <c r="E12" s="163"/>
      <c r="F12" s="72"/>
    </row>
    <row r="13" spans="1:24" x14ac:dyDescent="0.3">
      <c r="A13" s="51">
        <v>1</v>
      </c>
      <c r="B13" s="164" t="s">
        <v>401</v>
      </c>
      <c r="C13" s="51">
        <v>27000</v>
      </c>
      <c r="D13" s="179">
        <v>96000</v>
      </c>
      <c r="E13" s="180"/>
      <c r="F13" s="166"/>
    </row>
    <row r="14" spans="1:24" x14ac:dyDescent="0.3">
      <c r="A14" s="51">
        <f>A13+1</f>
        <v>2</v>
      </c>
      <c r="B14" s="164">
        <v>46138</v>
      </c>
      <c r="C14" s="51">
        <v>14000</v>
      </c>
      <c r="D14" s="179">
        <v>49000</v>
      </c>
      <c r="F14" s="166"/>
    </row>
    <row r="15" spans="1:24" x14ac:dyDescent="0.3">
      <c r="A15" s="51">
        <f>A14+1</f>
        <v>3</v>
      </c>
      <c r="B15" s="164">
        <v>46169</v>
      </c>
      <c r="C15" s="51">
        <v>7000</v>
      </c>
      <c r="D15" s="179">
        <v>25000</v>
      </c>
      <c r="E15" s="66"/>
      <c r="F15" s="166"/>
    </row>
    <row r="16" spans="1:24" x14ac:dyDescent="0.3">
      <c r="F16" s="166"/>
    </row>
    <row r="17" spans="1:9" x14ac:dyDescent="0.3">
      <c r="A17" s="51">
        <v>4</v>
      </c>
      <c r="B17" s="72" t="s">
        <v>357</v>
      </c>
      <c r="C17" s="51">
        <f>SUM(C13:C15)</f>
        <v>48000</v>
      </c>
      <c r="D17" s="181">
        <f>SUM(D13:D15)</f>
        <v>170000</v>
      </c>
      <c r="E17" s="182"/>
      <c r="F17" s="166"/>
      <c r="G17" s="183"/>
      <c r="I17" s="76"/>
    </row>
    <row r="18" spans="1:9" x14ac:dyDescent="0.3">
      <c r="F18" s="184"/>
    </row>
    <row r="19" spans="1:9" x14ac:dyDescent="0.3">
      <c r="B19" s="72"/>
      <c r="F19" s="176"/>
    </row>
    <row r="20" spans="1:9" x14ac:dyDescent="0.3">
      <c r="B20" s="72"/>
      <c r="D20" s="106"/>
      <c r="E20" s="106"/>
      <c r="F20" s="185"/>
    </row>
    <row r="21" spans="1:9" x14ac:dyDescent="0.3">
      <c r="F21" s="176"/>
    </row>
    <row r="22" spans="1:9" x14ac:dyDescent="0.3">
      <c r="B22" s="72" t="s">
        <v>111</v>
      </c>
      <c r="C22" s="62" t="s">
        <v>358</v>
      </c>
      <c r="D22" s="62" t="s">
        <v>358</v>
      </c>
      <c r="F22" s="186"/>
    </row>
    <row r="31" spans="1:9" x14ac:dyDescent="0.3">
      <c r="C31" s="177"/>
      <c r="D31" s="177"/>
      <c r="E31" s="177"/>
    </row>
    <row r="36" spans="2:2" x14ac:dyDescent="0.3">
      <c r="B36" s="72"/>
    </row>
  </sheetData>
  <phoneticPr fontId="7"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zoomScaleNormal="100" workbookViewId="0">
      <selection activeCell="E16" sqref="E16"/>
    </sheetView>
  </sheetViews>
  <sheetFormatPr defaultColWidth="9.26953125" defaultRowHeight="13" x14ac:dyDescent="0.3"/>
  <cols>
    <col min="1" max="1" width="5.26953125" style="191" customWidth="1"/>
    <col min="2" max="2" width="46.26953125" style="187" customWidth="1"/>
    <col min="3" max="3" width="8.453125" style="187" bestFit="1" customWidth="1"/>
    <col min="4" max="4" width="2" style="187" customWidth="1"/>
    <col min="5" max="5" width="17.26953125" style="187" bestFit="1" customWidth="1"/>
    <col min="6" max="6" width="14.26953125" style="187" customWidth="1"/>
    <col min="7" max="7" width="14" style="187" customWidth="1"/>
    <col min="8" max="8" width="14.453125" style="187" customWidth="1"/>
    <col min="9" max="9" width="2" style="187" customWidth="1"/>
    <col min="10" max="10" width="15.26953125" style="187" customWidth="1"/>
    <col min="11" max="16384" width="9.26953125" style="187"/>
  </cols>
  <sheetData>
    <row r="1" spans="1:11" ht="15.5" x14ac:dyDescent="0.35">
      <c r="A1" s="49" t="s">
        <v>98</v>
      </c>
      <c r="J1" s="112" t="s">
        <v>19</v>
      </c>
    </row>
    <row r="2" spans="1:11" ht="15.5" x14ac:dyDescent="0.35">
      <c r="A2" s="188" t="s">
        <v>183</v>
      </c>
      <c r="J2" s="112" t="s">
        <v>159</v>
      </c>
    </row>
    <row r="3" spans="1:11" x14ac:dyDescent="0.3">
      <c r="A3" s="189" t="str">
        <f>'1 EGC'!A3</f>
        <v>Mar 26 - May  26</v>
      </c>
      <c r="J3" s="112"/>
    </row>
    <row r="4" spans="1:11" ht="15.5" x14ac:dyDescent="0.35">
      <c r="A4" s="188"/>
      <c r="J4" s="112"/>
    </row>
    <row r="5" spans="1:11" x14ac:dyDescent="0.3">
      <c r="A5" s="190"/>
      <c r="J5" s="113"/>
    </row>
    <row r="6" spans="1:11" x14ac:dyDescent="0.3">
      <c r="A6" s="187" t="s">
        <v>134</v>
      </c>
      <c r="J6" s="113"/>
    </row>
    <row r="7" spans="1:11" x14ac:dyDescent="0.3">
      <c r="J7" s="113"/>
    </row>
    <row r="9" spans="1:11" x14ac:dyDescent="0.3">
      <c r="A9" s="192"/>
      <c r="B9" s="190"/>
      <c r="C9" s="190"/>
      <c r="D9" s="190"/>
      <c r="E9" s="190"/>
      <c r="F9" s="190"/>
      <c r="G9" s="190"/>
      <c r="H9" s="190"/>
      <c r="I9" s="190"/>
      <c r="J9" s="192" t="s">
        <v>132</v>
      </c>
    </row>
    <row r="10" spans="1:11" s="195" customFormat="1" ht="39.75" customHeight="1" x14ac:dyDescent="0.3">
      <c r="A10" s="193" t="s">
        <v>162</v>
      </c>
      <c r="B10" s="193" t="s">
        <v>15</v>
      </c>
      <c r="C10" s="193" t="s">
        <v>67</v>
      </c>
      <c r="D10" s="194"/>
      <c r="E10" s="193" t="s">
        <v>402</v>
      </c>
      <c r="F10" s="193" t="s">
        <v>394</v>
      </c>
      <c r="G10" s="193" t="s">
        <v>397</v>
      </c>
      <c r="H10" s="193" t="s">
        <v>403</v>
      </c>
      <c r="I10" s="194"/>
      <c r="J10" s="193" t="s">
        <v>404</v>
      </c>
    </row>
    <row r="12" spans="1:11" x14ac:dyDescent="0.3">
      <c r="B12" s="187" t="s">
        <v>99</v>
      </c>
    </row>
    <row r="13" spans="1:11" x14ac:dyDescent="0.3">
      <c r="A13" s="191">
        <v>1</v>
      </c>
      <c r="B13" s="196" t="s">
        <v>85</v>
      </c>
      <c r="C13" s="191" t="s">
        <v>33</v>
      </c>
      <c r="D13" s="196"/>
      <c r="E13" s="197">
        <v>4209000</v>
      </c>
      <c r="F13" s="197">
        <v>5136000</v>
      </c>
      <c r="G13" s="197">
        <v>2860000</v>
      </c>
      <c r="H13" s="197">
        <v>1267000</v>
      </c>
      <c r="J13" s="197">
        <f>SUM(E13:H13)</f>
        <v>13472000</v>
      </c>
      <c r="K13" s="198"/>
    </row>
    <row r="14" spans="1:11" x14ac:dyDescent="0.3">
      <c r="A14" s="191">
        <v>2</v>
      </c>
      <c r="B14" s="196" t="s">
        <v>109</v>
      </c>
      <c r="C14" s="191"/>
      <c r="D14" s="196"/>
      <c r="E14" s="199">
        <v>13408000</v>
      </c>
      <c r="F14" s="199">
        <v>16767000</v>
      </c>
      <c r="G14" s="199">
        <v>8875000</v>
      </c>
      <c r="H14" s="199">
        <v>9636000</v>
      </c>
      <c r="I14" s="199"/>
      <c r="J14" s="199">
        <f>SUM(E14:H14)</f>
        <v>48686000</v>
      </c>
    </row>
    <row r="15" spans="1:11" x14ac:dyDescent="0.3">
      <c r="A15" s="191">
        <v>3</v>
      </c>
      <c r="B15" s="196" t="s">
        <v>133</v>
      </c>
      <c r="C15" s="191" t="s">
        <v>1</v>
      </c>
      <c r="D15" s="196"/>
      <c r="E15" s="172"/>
      <c r="J15" s="200">
        <f>+J14/J13</f>
        <v>3.6138657957244655</v>
      </c>
    </row>
    <row r="16" spans="1:11" x14ac:dyDescent="0.3">
      <c r="C16" s="191"/>
      <c r="J16" s="200"/>
    </row>
    <row r="17" spans="1:10" x14ac:dyDescent="0.3">
      <c r="B17" s="187" t="s">
        <v>100</v>
      </c>
      <c r="C17" s="191"/>
      <c r="J17" s="200"/>
    </row>
    <row r="18" spans="1:10" x14ac:dyDescent="0.3">
      <c r="A18" s="191">
        <f>A15+1</f>
        <v>4</v>
      </c>
      <c r="B18" s="196" t="s">
        <v>101</v>
      </c>
      <c r="C18" s="191" t="s">
        <v>33</v>
      </c>
      <c r="D18" s="196"/>
      <c r="E18" s="197">
        <v>2956000</v>
      </c>
      <c r="F18" s="197">
        <v>809000</v>
      </c>
      <c r="G18" s="197">
        <v>2518000</v>
      </c>
      <c r="H18" s="197">
        <v>7246000</v>
      </c>
      <c r="I18" s="201"/>
      <c r="J18" s="197">
        <f>SUM(E18:H18)</f>
        <v>13529000</v>
      </c>
    </row>
    <row r="19" spans="1:10" x14ac:dyDescent="0.3">
      <c r="A19" s="191">
        <f>A18+1</f>
        <v>5</v>
      </c>
      <c r="B19" s="196" t="s">
        <v>102</v>
      </c>
      <c r="C19" s="191"/>
      <c r="D19" s="196"/>
      <c r="E19" s="202">
        <v>4.0000000000000001E-3</v>
      </c>
      <c r="F19" s="202">
        <v>4.0000000000000001E-3</v>
      </c>
      <c r="G19" s="202">
        <v>4.0000000000000001E-3</v>
      </c>
      <c r="H19" s="202">
        <v>4.0000000000000001E-3</v>
      </c>
      <c r="J19" s="200"/>
    </row>
    <row r="20" spans="1:10" x14ac:dyDescent="0.3">
      <c r="B20" s="196" t="s">
        <v>103</v>
      </c>
      <c r="C20" s="191"/>
      <c r="D20" s="196"/>
      <c r="E20" s="203"/>
      <c r="F20" s="202"/>
      <c r="G20" s="202"/>
      <c r="H20" s="202"/>
      <c r="J20" s="200"/>
    </row>
    <row r="21" spans="1:10" x14ac:dyDescent="0.3">
      <c r="A21" s="191">
        <f>A19+1</f>
        <v>6</v>
      </c>
      <c r="B21" s="204" t="s">
        <v>359</v>
      </c>
      <c r="C21" s="191" t="s">
        <v>33</v>
      </c>
      <c r="D21" s="196"/>
      <c r="E21" s="201">
        <f>+ROUND((1-E19)*E18,0)</f>
        <v>2944176</v>
      </c>
      <c r="F21" s="201">
        <f>+ROUND((1-F19)*F18,0)</f>
        <v>805764</v>
      </c>
      <c r="G21" s="201">
        <f>+ROUND((1-G19)*G18,0)</f>
        <v>2507928</v>
      </c>
      <c r="H21" s="201">
        <f>+ROUND((1-H19)*H18,0)</f>
        <v>7217016</v>
      </c>
      <c r="J21" s="201">
        <f>+SUM(E21:H21)</f>
        <v>13474884</v>
      </c>
    </row>
    <row r="22" spans="1:10" x14ac:dyDescent="0.3">
      <c r="A22" s="191">
        <f>A21+1</f>
        <v>7</v>
      </c>
      <c r="B22" s="204" t="s">
        <v>104</v>
      </c>
      <c r="C22" s="191" t="s">
        <v>105</v>
      </c>
      <c r="D22" s="196"/>
      <c r="E22" s="205">
        <v>1.0928</v>
      </c>
      <c r="F22" s="205">
        <v>1.0928</v>
      </c>
      <c r="G22" s="205">
        <v>1.0928</v>
      </c>
      <c r="H22" s="205">
        <v>1.0928</v>
      </c>
      <c r="J22" s="201"/>
    </row>
    <row r="23" spans="1:10" x14ac:dyDescent="0.3">
      <c r="A23" s="191">
        <f>A22+1</f>
        <v>8</v>
      </c>
      <c r="B23" s="204" t="s">
        <v>360</v>
      </c>
      <c r="C23" s="191" t="s">
        <v>106</v>
      </c>
      <c r="D23" s="196"/>
      <c r="E23" s="201">
        <f>+ROUND(E21/E22,0)</f>
        <v>2694158</v>
      </c>
      <c r="F23" s="201">
        <f>+ROUND(F21/F22,0)</f>
        <v>737339</v>
      </c>
      <c r="G23" s="201">
        <f>+ROUND(G21/G22,0)</f>
        <v>2294956</v>
      </c>
      <c r="H23" s="201">
        <f>+ROUND(H21/H22,0)</f>
        <v>6604151</v>
      </c>
      <c r="J23" s="201">
        <f>+SUM(E23:H23)</f>
        <v>12330604</v>
      </c>
    </row>
    <row r="24" spans="1:10" x14ac:dyDescent="0.3">
      <c r="A24" s="191">
        <f>A23+1</f>
        <v>9</v>
      </c>
      <c r="B24" s="196" t="s">
        <v>361</v>
      </c>
      <c r="C24" s="191"/>
      <c r="D24" s="196"/>
      <c r="E24" s="206">
        <f>+ROUND(E23/$J23,3)</f>
        <v>0.218</v>
      </c>
      <c r="F24" s="206">
        <f>+ROUND(F23/$J23,3)</f>
        <v>0.06</v>
      </c>
      <c r="G24" s="206">
        <f>+ROUND(G23/$J23,3)</f>
        <v>0.186</v>
      </c>
      <c r="H24" s="206">
        <f>+ROUND(H23/$J23,3)</f>
        <v>0.53600000000000003</v>
      </c>
      <c r="J24" s="206">
        <f>+J23/$J23</f>
        <v>1</v>
      </c>
    </row>
    <row r="25" spans="1:10" x14ac:dyDescent="0.3">
      <c r="C25" s="191"/>
    </row>
    <row r="26" spans="1:10" x14ac:dyDescent="0.3">
      <c r="B26" s="187" t="s">
        <v>107</v>
      </c>
      <c r="C26" s="191"/>
    </row>
    <row r="27" spans="1:10" x14ac:dyDescent="0.3">
      <c r="A27" s="191">
        <f>A24+1</f>
        <v>10</v>
      </c>
      <c r="B27" s="196" t="s">
        <v>85</v>
      </c>
      <c r="C27" s="191" t="s">
        <v>33</v>
      </c>
      <c r="D27" s="196"/>
      <c r="E27" s="201">
        <v>121000</v>
      </c>
      <c r="F27" s="201">
        <v>119000</v>
      </c>
      <c r="G27" s="201">
        <v>84000</v>
      </c>
      <c r="H27" s="201">
        <v>188000</v>
      </c>
      <c r="J27" s="201">
        <f>SUM(E27:H27)</f>
        <v>512000</v>
      </c>
    </row>
    <row r="28" spans="1:10" x14ac:dyDescent="0.3">
      <c r="B28" s="196"/>
      <c r="C28" s="191"/>
      <c r="D28" s="196"/>
      <c r="E28" s="201"/>
      <c r="F28" s="201"/>
      <c r="G28" s="201"/>
      <c r="H28" s="201"/>
      <c r="J28" s="201"/>
    </row>
    <row r="29" spans="1:10" x14ac:dyDescent="0.3">
      <c r="B29" s="196" t="s">
        <v>60</v>
      </c>
      <c r="C29" s="191"/>
      <c r="D29" s="196"/>
      <c r="E29" s="207" t="s">
        <v>157</v>
      </c>
      <c r="J29" s="201"/>
    </row>
    <row r="30" spans="1:10" x14ac:dyDescent="0.3">
      <c r="A30" s="191">
        <f>A27+1</f>
        <v>11</v>
      </c>
      <c r="B30" s="204" t="s">
        <v>384</v>
      </c>
      <c r="C30" s="191"/>
      <c r="D30" s="204"/>
      <c r="E30" s="208">
        <f>+ROUND(E27*$J15,0)</f>
        <v>437278</v>
      </c>
      <c r="F30" s="209">
        <f>+ROUND(F27*$J15,0)</f>
        <v>430050</v>
      </c>
      <c r="G30" s="209">
        <f>+ROUND(G27*$J15,0)</f>
        <v>303565</v>
      </c>
      <c r="H30" s="209">
        <f>+ROUND(H27*$J15,0)</f>
        <v>679407</v>
      </c>
      <c r="J30" s="209">
        <f>+SUM(E30:H30)</f>
        <v>1850300</v>
      </c>
    </row>
    <row r="31" spans="1:10" x14ac:dyDescent="0.3">
      <c r="A31" s="191">
        <f>A30+1</f>
        <v>12</v>
      </c>
      <c r="B31" s="204" t="s">
        <v>110</v>
      </c>
      <c r="C31" s="191"/>
      <c r="D31" s="204"/>
      <c r="E31" s="209">
        <f>+ROUND(E24*$J30,0)</f>
        <v>403365</v>
      </c>
      <c r="F31" s="209">
        <f>+ROUND(F24*$J30,0)</f>
        <v>111018</v>
      </c>
      <c r="G31" s="209">
        <f>+ROUND(G24*$J30,0)</f>
        <v>344156</v>
      </c>
      <c r="H31" s="209">
        <f>+ROUND(H24*$J30,0)</f>
        <v>991761</v>
      </c>
      <c r="J31" s="209">
        <f>+SUM(E31:H31)</f>
        <v>1850300</v>
      </c>
    </row>
    <row r="32" spans="1:10" x14ac:dyDescent="0.3">
      <c r="B32" s="204"/>
      <c r="C32" s="191"/>
      <c r="D32" s="204"/>
      <c r="F32" s="209"/>
      <c r="G32" s="209"/>
      <c r="H32" s="209"/>
      <c r="J32" s="209"/>
    </row>
    <row r="33" spans="1:10" x14ac:dyDescent="0.3">
      <c r="B33" s="204"/>
      <c r="C33" s="191"/>
      <c r="D33" s="204"/>
      <c r="E33" s="207" t="s">
        <v>243</v>
      </c>
      <c r="F33" s="209"/>
      <c r="G33" s="209"/>
      <c r="H33" s="209"/>
      <c r="J33" s="209"/>
    </row>
    <row r="34" spans="1:10" x14ac:dyDescent="0.3">
      <c r="A34" s="191">
        <f>A31+1</f>
        <v>13</v>
      </c>
      <c r="B34" s="196" t="s">
        <v>362</v>
      </c>
      <c r="C34" s="191" t="s">
        <v>108</v>
      </c>
      <c r="D34" s="196"/>
      <c r="E34" s="210">
        <f>+ROUND(E31/E23,4)</f>
        <v>0.1497</v>
      </c>
      <c r="F34" s="200">
        <f>+ROUND(F31/F23,4)</f>
        <v>0.15060000000000001</v>
      </c>
      <c r="G34" s="200">
        <f>+ROUND(G31/G23,4)</f>
        <v>0.15</v>
      </c>
      <c r="H34" s="200">
        <f>+ROUND(H31/H23,4)</f>
        <v>0.1502</v>
      </c>
      <c r="J34" s="200">
        <f>+ROUND(J31/J23,4)</f>
        <v>0.15010000000000001</v>
      </c>
    </row>
  </sheetData>
  <phoneticPr fontId="7" type="noConversion"/>
  <pageMargins left="0.75" right="0.75" top="1" bottom="1" header="0.5" footer="0.5"/>
  <pageSetup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55"/>
  <sheetViews>
    <sheetView zoomScaleNormal="100" workbookViewId="0">
      <selection activeCell="E16" sqref="E16"/>
    </sheetView>
  </sheetViews>
  <sheetFormatPr defaultColWidth="9.26953125" defaultRowHeight="13" x14ac:dyDescent="0.3"/>
  <cols>
    <col min="1" max="1" width="5.453125" style="51" bestFit="1" customWidth="1"/>
    <col min="2" max="2" width="1.54296875" style="51" customWidth="1"/>
    <col min="3" max="3" width="67.26953125" style="51" customWidth="1"/>
    <col min="4" max="4" width="16.7265625" style="51" customWidth="1"/>
    <col min="5" max="5" width="9.26953125" style="51"/>
    <col min="6" max="6" width="24.54296875" style="51" customWidth="1"/>
    <col min="7" max="7" width="16.26953125" style="51" bestFit="1" customWidth="1"/>
    <col min="8" max="8" width="9.26953125" style="51"/>
    <col min="9" max="9" width="10" style="51" bestFit="1" customWidth="1"/>
    <col min="10" max="16384" width="9.26953125" style="51"/>
  </cols>
  <sheetData>
    <row r="1" spans="1:7" ht="18.5" x14ac:dyDescent="0.45">
      <c r="D1" s="54" t="s">
        <v>3</v>
      </c>
      <c r="G1" s="112" t="s">
        <v>19</v>
      </c>
    </row>
    <row r="2" spans="1:7" ht="18.5" x14ac:dyDescent="0.45">
      <c r="D2" s="211"/>
      <c r="G2" s="112" t="s">
        <v>158</v>
      </c>
    </row>
    <row r="3" spans="1:7" x14ac:dyDescent="0.3">
      <c r="D3" s="97" t="s">
        <v>39</v>
      </c>
      <c r="G3" s="112"/>
    </row>
    <row r="4" spans="1:7" x14ac:dyDescent="0.3">
      <c r="D4" s="97" t="s">
        <v>40</v>
      </c>
    </row>
    <row r="5" spans="1:7" x14ac:dyDescent="0.3">
      <c r="D5" s="85" t="s">
        <v>413</v>
      </c>
    </row>
    <row r="12" spans="1:7" x14ac:dyDescent="0.3">
      <c r="G12" s="97" t="s">
        <v>16</v>
      </c>
    </row>
    <row r="13" spans="1:7" x14ac:dyDescent="0.3">
      <c r="A13" s="97" t="s">
        <v>4</v>
      </c>
      <c r="B13" s="55"/>
      <c r="C13" s="55"/>
      <c r="D13" s="55"/>
      <c r="E13" s="55"/>
      <c r="G13" s="97" t="s">
        <v>41</v>
      </c>
    </row>
    <row r="14" spans="1:7" x14ac:dyDescent="0.3">
      <c r="A14" s="85" t="s">
        <v>5</v>
      </c>
      <c r="B14" s="147"/>
      <c r="C14" s="85" t="s">
        <v>15</v>
      </c>
      <c r="D14" s="85" t="s">
        <v>33</v>
      </c>
      <c r="E14" s="147"/>
      <c r="F14" s="85" t="s">
        <v>29</v>
      </c>
      <c r="G14" s="85" t="s">
        <v>42</v>
      </c>
    </row>
    <row r="16" spans="1:7" x14ac:dyDescent="0.3">
      <c r="A16" s="51">
        <v>1</v>
      </c>
      <c r="C16" s="72" t="s">
        <v>365</v>
      </c>
      <c r="D16" s="51">
        <f>'3 DemCost'!C10</f>
        <v>10703880</v>
      </c>
    </row>
    <row r="18" spans="1:8" x14ac:dyDescent="0.3">
      <c r="A18" s="51">
        <v>2</v>
      </c>
      <c r="C18" s="72" t="s">
        <v>43</v>
      </c>
      <c r="D18" s="51">
        <f>ROUND(+G51*'4 DemCr'!E21,0)</f>
        <v>10437202</v>
      </c>
    </row>
    <row r="20" spans="1:8" x14ac:dyDescent="0.3">
      <c r="A20" s="51">
        <v>3</v>
      </c>
      <c r="C20" s="72" t="s">
        <v>44</v>
      </c>
      <c r="D20" s="51">
        <f>ROUND(D18*0.05,0)</f>
        <v>521860</v>
      </c>
    </row>
    <row r="22" spans="1:8" x14ac:dyDescent="0.3">
      <c r="A22" s="51">
        <v>4</v>
      </c>
      <c r="C22" s="72" t="s">
        <v>45</v>
      </c>
      <c r="E22" s="212"/>
    </row>
    <row r="23" spans="1:8" x14ac:dyDescent="0.3">
      <c r="A23" s="51">
        <v>5</v>
      </c>
      <c r="C23" s="72" t="s">
        <v>46</v>
      </c>
      <c r="F23" s="212">
        <f>ROUND(+D20/D16,4)</f>
        <v>4.8800000000000003E-2</v>
      </c>
    </row>
    <row r="24" spans="1:8" x14ac:dyDescent="0.3">
      <c r="E24" s="212"/>
    </row>
    <row r="25" spans="1:8" x14ac:dyDescent="0.3">
      <c r="H25" s="129"/>
    </row>
    <row r="26" spans="1:8" x14ac:dyDescent="0.3">
      <c r="A26" s="51">
        <v>6</v>
      </c>
      <c r="C26" s="72" t="s">
        <v>121</v>
      </c>
    </row>
    <row r="27" spans="1:8" x14ac:dyDescent="0.3">
      <c r="A27" s="51">
        <v>7</v>
      </c>
      <c r="C27" s="72" t="s">
        <v>47</v>
      </c>
      <c r="E27" s="73"/>
      <c r="F27" s="129">
        <f>'3 DemCost'!E10</f>
        <v>6.6199999999999995E-2</v>
      </c>
      <c r="G27" s="106"/>
    </row>
    <row r="28" spans="1:8" x14ac:dyDescent="0.3">
      <c r="A28" s="51">
        <v>8</v>
      </c>
      <c r="C28" s="72" t="s">
        <v>48</v>
      </c>
      <c r="E28" s="106"/>
      <c r="F28" s="213">
        <f>'3 DemCost'!K10</f>
        <v>8503162</v>
      </c>
      <c r="G28" s="106"/>
    </row>
    <row r="29" spans="1:8" x14ac:dyDescent="0.3">
      <c r="A29" s="51">
        <v>9</v>
      </c>
      <c r="C29" s="72" t="s">
        <v>49</v>
      </c>
      <c r="E29" s="106"/>
      <c r="F29" s="106"/>
      <c r="G29" s="214">
        <f>ROUND(F28*$F$23,0)</f>
        <v>414954</v>
      </c>
    </row>
    <row r="30" spans="1:8" x14ac:dyDescent="0.3">
      <c r="E30" s="106"/>
      <c r="F30" s="73"/>
      <c r="G30" s="215"/>
    </row>
    <row r="31" spans="1:8" x14ac:dyDescent="0.3">
      <c r="E31" s="106"/>
      <c r="F31" s="106"/>
      <c r="G31" s="215"/>
    </row>
    <row r="32" spans="1:8" x14ac:dyDescent="0.3">
      <c r="A32" s="51">
        <v>10</v>
      </c>
      <c r="C32" s="72" t="s">
        <v>50</v>
      </c>
      <c r="E32" s="73"/>
      <c r="F32" s="106"/>
      <c r="G32" s="215"/>
    </row>
    <row r="33" spans="1:9" x14ac:dyDescent="0.3">
      <c r="A33" s="51">
        <v>11</v>
      </c>
      <c r="C33" s="72" t="s">
        <v>47</v>
      </c>
      <c r="E33" s="73"/>
      <c r="F33" s="106">
        <f>0.0242+0.0242</f>
        <v>4.8399999999999999E-2</v>
      </c>
      <c r="G33" s="215"/>
    </row>
    <row r="34" spans="1:9" x14ac:dyDescent="0.3">
      <c r="A34" s="51">
        <v>12</v>
      </c>
      <c r="C34" s="72" t="s">
        <v>51</v>
      </c>
      <c r="E34" s="73"/>
      <c r="F34" s="213">
        <f>ROUND(D16*F33,4)</f>
        <v>518067.79200000002</v>
      </c>
      <c r="G34" s="215"/>
    </row>
    <row r="35" spans="1:9" x14ac:dyDescent="0.3">
      <c r="A35" s="51">
        <v>13</v>
      </c>
      <c r="C35" s="72" t="s">
        <v>49</v>
      </c>
      <c r="E35" s="212"/>
      <c r="F35" s="178"/>
      <c r="G35" s="214">
        <f>ROUND(F34*$F$23,0)</f>
        <v>25282</v>
      </c>
    </row>
    <row r="36" spans="1:9" x14ac:dyDescent="0.3">
      <c r="E36" s="106"/>
      <c r="F36" s="178"/>
      <c r="G36" s="215"/>
    </row>
    <row r="37" spans="1:9" x14ac:dyDescent="0.3">
      <c r="E37" s="106"/>
      <c r="F37" s="106"/>
      <c r="G37" s="215"/>
    </row>
    <row r="38" spans="1:9" x14ac:dyDescent="0.3">
      <c r="A38" s="51">
        <v>14</v>
      </c>
      <c r="C38" s="72" t="s">
        <v>52</v>
      </c>
      <c r="E38" s="73"/>
      <c r="F38" s="106"/>
      <c r="G38" s="215"/>
    </row>
    <row r="39" spans="1:9" x14ac:dyDescent="0.3">
      <c r="A39" s="51">
        <v>15</v>
      </c>
      <c r="C39" s="72" t="s">
        <v>47</v>
      </c>
      <c r="E39" s="212"/>
      <c r="F39" s="106">
        <f>0.0084+0.0011+0.0069+0.0015</f>
        <v>1.7899999999999999E-2</v>
      </c>
      <c r="G39" s="215"/>
      <c r="H39" s="106"/>
      <c r="I39" s="216"/>
    </row>
    <row r="40" spans="1:9" x14ac:dyDescent="0.3">
      <c r="A40" s="51">
        <v>16</v>
      </c>
      <c r="C40" s="217" t="s">
        <v>236</v>
      </c>
      <c r="E40" s="212"/>
      <c r="F40" s="218">
        <v>9263000</v>
      </c>
      <c r="G40" s="215"/>
    </row>
    <row r="41" spans="1:9" x14ac:dyDescent="0.3">
      <c r="A41" s="51">
        <v>17</v>
      </c>
      <c r="C41" s="72" t="s">
        <v>51</v>
      </c>
      <c r="E41" s="106"/>
      <c r="F41" s="213">
        <f>ROUND(F40*F39,4)</f>
        <v>165807.70000000001</v>
      </c>
      <c r="G41" s="215"/>
    </row>
    <row r="42" spans="1:9" x14ac:dyDescent="0.3">
      <c r="A42" s="51">
        <v>18</v>
      </c>
      <c r="C42" s="72" t="s">
        <v>49</v>
      </c>
      <c r="E42" s="106"/>
      <c r="F42" s="106"/>
      <c r="G42" s="219">
        <f>ROUND(F41*$F$23,0)</f>
        <v>8091</v>
      </c>
    </row>
    <row r="43" spans="1:9" x14ac:dyDescent="0.3">
      <c r="G43" s="215"/>
    </row>
    <row r="44" spans="1:9" x14ac:dyDescent="0.3">
      <c r="E44" s="106"/>
      <c r="F44" s="73"/>
      <c r="G44" s="215"/>
    </row>
    <row r="45" spans="1:9" x14ac:dyDescent="0.3">
      <c r="A45" s="51">
        <v>19</v>
      </c>
      <c r="C45" s="72" t="s">
        <v>53</v>
      </c>
      <c r="G45" s="220">
        <f>SUM(G23:G44)</f>
        <v>448327</v>
      </c>
    </row>
    <row r="46" spans="1:9" x14ac:dyDescent="0.3">
      <c r="E46" s="106"/>
      <c r="F46" s="73"/>
      <c r="G46" s="106"/>
    </row>
    <row r="47" spans="1:9" x14ac:dyDescent="0.3">
      <c r="A47" s="51">
        <v>20</v>
      </c>
      <c r="C47" s="51" t="s">
        <v>54</v>
      </c>
      <c r="E47" s="106"/>
      <c r="F47" s="221"/>
      <c r="G47" s="51">
        <v>18387985.5</v>
      </c>
      <c r="I47" s="222"/>
    </row>
    <row r="48" spans="1:9" x14ac:dyDescent="0.3">
      <c r="E48" s="106"/>
      <c r="F48" s="106"/>
      <c r="G48" s="106"/>
    </row>
    <row r="49" spans="1:7" x14ac:dyDescent="0.3">
      <c r="A49" s="51">
        <v>21</v>
      </c>
      <c r="C49" s="72" t="s">
        <v>55</v>
      </c>
      <c r="G49" s="51">
        <v>-8837105.3000000007</v>
      </c>
    </row>
    <row r="51" spans="1:7" x14ac:dyDescent="0.3">
      <c r="A51" s="51">
        <v>22</v>
      </c>
      <c r="C51" s="72" t="s">
        <v>363</v>
      </c>
      <c r="G51" s="51">
        <f>G47+G49</f>
        <v>9550880.1999999993</v>
      </c>
    </row>
    <row r="53" spans="1:7" x14ac:dyDescent="0.3">
      <c r="A53" s="51">
        <v>23</v>
      </c>
      <c r="C53" s="72" t="s">
        <v>364</v>
      </c>
      <c r="F53" s="223"/>
      <c r="G53" s="224">
        <f>ROUND(G45/G51,4)</f>
        <v>4.6899999999999997E-2</v>
      </c>
    </row>
    <row r="55" spans="1:7" x14ac:dyDescent="0.3">
      <c r="G55" s="214"/>
    </row>
  </sheetData>
  <phoneticPr fontId="7" type="noConversion"/>
  <pageMargins left="0.75" right="0.75" top="1" bottom="1" header="0.5" footer="0.5"/>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'3 DemCost'!Print_Area</vt:lpstr>
      <vt:lpstr>'5 NonApp'!Print_Area</vt:lpstr>
      <vt:lpstr>'6 App'!Print_Area</vt:lpstr>
      <vt:lpstr>'7 AnnRet'!Print_Area</vt:lpstr>
      <vt:lpstr>'8 BankBal'!Print_Area</vt:lpstr>
      <vt:lpstr>'AttE ChoBalCharge'!Print_Area</vt:lpstr>
      <vt:lpstr>'detail TariffSplit'!Print_Area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Black \ Linda \ E</cp:lastModifiedBy>
  <cp:lastPrinted>2026-01-31T03:01:32Z</cp:lastPrinted>
  <dcterms:created xsi:type="dcterms:W3CDTF">1997-11-13T14:41:32Z</dcterms:created>
  <dcterms:modified xsi:type="dcterms:W3CDTF">2026-01-31T03:04:06Z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MSIP_Label_ed4922b6-aeec-4a72-96e6-e7f0f1e8ddd5_Enabled">
    <vt:lpwstr>true</vt:lpwstr>
  </property>
  <property fmtid="{D5CDD505-2E9C-101B-9397-08002B2CF9AE}" pid="10" name="MSIP_Label_ed4922b6-aeec-4a72-96e6-e7f0f1e8ddd5_SetDate">
    <vt:lpwstr>2026-01-15T14:49:51Z</vt:lpwstr>
  </property>
  <property fmtid="{D5CDD505-2E9C-101B-9397-08002B2CF9AE}" pid="11" name="MSIP_Label_ed4922b6-aeec-4a72-96e6-e7f0f1e8ddd5_Method">
    <vt:lpwstr>Privileged</vt:lpwstr>
  </property>
  <property fmtid="{D5CDD505-2E9C-101B-9397-08002B2CF9AE}" pid="12" name="MSIP_Label_ed4922b6-aeec-4a72-96e6-e7f0f1e8ddd5_Name">
    <vt:lpwstr>INTERNAL USE</vt:lpwstr>
  </property>
  <property fmtid="{D5CDD505-2E9C-101B-9397-08002B2CF9AE}" pid="13" name="MSIP_Label_ed4922b6-aeec-4a72-96e6-e7f0f1e8ddd5_SiteId">
    <vt:lpwstr>179d26d3-3e59-4051-9377-05d3820e617c</vt:lpwstr>
  </property>
  <property fmtid="{D5CDD505-2E9C-101B-9397-08002B2CF9AE}" pid="14" name="MSIP_Label_ed4922b6-aeec-4a72-96e6-e7f0f1e8ddd5_ActionId">
    <vt:lpwstr>4b7e6efb-ead0-44bb-a032-10970f1f1233</vt:lpwstr>
  </property>
  <property fmtid="{D5CDD505-2E9C-101B-9397-08002B2CF9AE}" pid="15" name="MSIP_Label_ed4922b6-aeec-4a72-96e6-e7f0f1e8ddd5_ContentBits">
    <vt:lpwstr>0</vt:lpwstr>
  </property>
  <property fmtid="{D5CDD505-2E9C-101B-9397-08002B2CF9AE}" pid="16" name="MSIP_Label_ed4922b6-aeec-4a72-96e6-e7f0f1e8ddd5_Tag">
    <vt:lpwstr>10, 0, 1, 1</vt:lpwstr>
  </property>
</Properties>
</file>