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onston Water\OneDrive\Desktop\Response to First Request\"/>
    </mc:Choice>
  </mc:AlternateContent>
  <xr:revisionPtr revIDLastSave="0" documentId="8_{2DD7A097-0A46-4065-8017-C8763C25612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rial 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1" l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C114" i="1"/>
  <c r="C113" i="1"/>
  <c r="C112" i="1"/>
  <c r="C111" i="1"/>
  <c r="C110" i="1"/>
  <c r="C109" i="1"/>
  <c r="C108" i="1"/>
  <c r="B107" i="1"/>
  <c r="C106" i="1"/>
  <c r="C105" i="1"/>
  <c r="C104" i="1"/>
  <c r="B103" i="1"/>
  <c r="B102" i="1"/>
  <c r="B101" i="1"/>
  <c r="B100" i="1"/>
  <c r="B99" i="1"/>
  <c r="B98" i="1"/>
  <c r="B97" i="1"/>
  <c r="B96" i="1"/>
  <c r="B95" i="1"/>
  <c r="B94" i="1"/>
  <c r="C93" i="1"/>
  <c r="B92" i="1"/>
  <c r="B91" i="1"/>
  <c r="B90" i="1"/>
  <c r="C89" i="1"/>
  <c r="C88" i="1"/>
  <c r="C87" i="1"/>
  <c r="C86" i="1"/>
  <c r="C85" i="1"/>
  <c r="B84" i="1"/>
  <c r="C83" i="1"/>
  <c r="C82" i="1"/>
  <c r="C81" i="1"/>
  <c r="C80" i="1"/>
  <c r="C79" i="1"/>
  <c r="B78" i="1"/>
  <c r="C77" i="1"/>
  <c r="C76" i="1"/>
  <c r="B75" i="1"/>
  <c r="B74" i="1"/>
  <c r="C73" i="1"/>
  <c r="C72" i="1"/>
  <c r="B71" i="1"/>
  <c r="C70" i="1"/>
  <c r="C69" i="1"/>
  <c r="C68" i="1"/>
  <c r="C67" i="1"/>
  <c r="B66" i="1"/>
  <c r="C65" i="1"/>
  <c r="C64" i="1"/>
  <c r="B63" i="1"/>
  <c r="C62" i="1"/>
  <c r="C61" i="1"/>
  <c r="C60" i="1"/>
  <c r="C59" i="1"/>
  <c r="C58" i="1"/>
  <c r="C57" i="1"/>
  <c r="B56" i="1"/>
  <c r="B55" i="1"/>
  <c r="C54" i="1"/>
  <c r="C53" i="1"/>
  <c r="C52" i="1"/>
  <c r="C51" i="1"/>
  <c r="C50" i="1"/>
  <c r="C49" i="1"/>
  <c r="B48" i="1"/>
  <c r="C47" i="1"/>
  <c r="B46" i="1"/>
  <c r="B45" i="1"/>
  <c r="B44" i="1"/>
  <c r="B43" i="1"/>
  <c r="B42" i="1"/>
  <c r="B41" i="1"/>
  <c r="B40" i="1"/>
  <c r="B39" i="1"/>
  <c r="B38" i="1"/>
  <c r="B37" i="1"/>
  <c r="B36" i="1"/>
  <c r="C35" i="1"/>
  <c r="B34" i="1"/>
  <c r="C33" i="1"/>
  <c r="C32" i="1"/>
  <c r="C31" i="1"/>
  <c r="C30" i="1"/>
  <c r="C29" i="1"/>
  <c r="B28" i="1"/>
  <c r="B27" i="1"/>
  <c r="B26" i="1"/>
  <c r="C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<sst xmlns="http://schemas.openxmlformats.org/spreadsheetml/2006/main" count="143" uniqueCount="143">
  <si>
    <t>Debit</t>
  </si>
  <si>
    <t>Credit</t>
  </si>
  <si>
    <t>Accumulative Capital #30662520</t>
  </si>
  <si>
    <t>Business Checking</t>
  </si>
  <si>
    <t>BWA Office #30632220</t>
  </si>
  <si>
    <t>Capital Savings #31852520</t>
  </si>
  <si>
    <t>CD - Community Trust</t>
  </si>
  <si>
    <t>Citizens Bank General Business</t>
  </si>
  <si>
    <t>Citizens CDs</t>
  </si>
  <si>
    <t>Customer Deposit Account</t>
  </si>
  <si>
    <t>Depreciation Reserve</t>
  </si>
  <si>
    <t>PROJECT 2025 RESERVE ACCOUNT</t>
  </si>
  <si>
    <t>Revenue Sinking Acct # 3</t>
  </si>
  <si>
    <t>Revenue Sinking Fund #1</t>
  </si>
  <si>
    <t>Revenue Sinking Fund #2,4,5,6</t>
  </si>
  <si>
    <t>Short Lived Assets</t>
  </si>
  <si>
    <t>South Central Bank CD 172100</t>
  </si>
  <si>
    <t>South Central Bank CD 184180</t>
  </si>
  <si>
    <t>Truist CD 8180000875802</t>
  </si>
  <si>
    <t>Truist Money Market</t>
  </si>
  <si>
    <t>Twin Rivers Const Acct</t>
  </si>
  <si>
    <t>Twin Rivers Const Acct:Echo Ridge Water Line Extension</t>
  </si>
  <si>
    <t>United Cumberland Bank CD 89019</t>
  </si>
  <si>
    <t>United Cumberland Bank CD 89240</t>
  </si>
  <si>
    <t>Accounts Receivable</t>
  </si>
  <si>
    <t>Late Fee</t>
  </si>
  <si>
    <t>Membership Fee</t>
  </si>
  <si>
    <t>Meter Re-Set</t>
  </si>
  <si>
    <t>Reconnection Fee</t>
  </si>
  <si>
    <t>Service Call</t>
  </si>
  <si>
    <t>Unbilled Accounts Receivable</t>
  </si>
  <si>
    <t>Accum Depreciation</t>
  </si>
  <si>
    <t>Inventory Asset</t>
  </si>
  <si>
    <t>Office Equipment</t>
  </si>
  <si>
    <t>QuickBooks Tax Holding Account</t>
  </si>
  <si>
    <t>Trans &amp; Dist Mains</t>
  </si>
  <si>
    <t>Undeposited Funds</t>
  </si>
  <si>
    <t>Vehicles</t>
  </si>
  <si>
    <t>CIP</t>
  </si>
  <si>
    <t>Furnishing &amp; Fixtures</t>
  </si>
  <si>
    <t>Land &amp; Land Rights</t>
  </si>
  <si>
    <t>Meters &amp; Installations</t>
  </si>
  <si>
    <t>Office Building</t>
  </si>
  <si>
    <t>Accumulated Amortization</t>
  </si>
  <si>
    <t>Construction Period Interest</t>
  </si>
  <si>
    <t>Accounts Payable</t>
  </si>
  <si>
    <t>AP - Twin Rivers Construction</t>
  </si>
  <si>
    <t>Accrued Interest Payable</t>
  </si>
  <si>
    <t>Customer Deposits</t>
  </si>
  <si>
    <t>Direct Deposit Payable</t>
  </si>
  <si>
    <t>Federal Payroll Taxes Payable</t>
  </si>
  <si>
    <t>KY Sales Tax Payable</t>
  </si>
  <si>
    <t>KY WH Tax</t>
  </si>
  <si>
    <t>Loan Pay-RD RSF1 #91-03</t>
  </si>
  <si>
    <t>Loan Pay-RD RSF2 #91-05</t>
  </si>
  <si>
    <t>Loan Pay-RD RSF3 #91-09</t>
  </si>
  <si>
    <t>Loan Pay-RD RSF4 #91-11</t>
  </si>
  <si>
    <t>Loan Pay-RD RSF5 #91-13</t>
  </si>
  <si>
    <t>Loan Pay-RD RSF6 #91-15-USDA</t>
  </si>
  <si>
    <t>Long Term Debt</t>
  </si>
  <si>
    <t>Members Investments</t>
  </si>
  <si>
    <t>Payroll Liabilities</t>
  </si>
  <si>
    <t>Payroll Liabilities:Aflac</t>
  </si>
  <si>
    <t>Payroll Liabilities:Aflac-Tax</t>
  </si>
  <si>
    <t>Payroll Liabilities:Anthem-EmpChild</t>
  </si>
  <si>
    <t>Payroll Liabilities:Anthem-Family</t>
  </si>
  <si>
    <t>Payroll Liabilities:Federal Taxes (941/943/944)</t>
  </si>
  <si>
    <t>Payroll Liabilities:Federal Unemployment (940)</t>
  </si>
  <si>
    <t>Payroll Liabilities:KY Income Tax</t>
  </si>
  <si>
    <t>Payroll Liabilities:KY Local Tax</t>
  </si>
  <si>
    <t>Payroll Liabilities:KY Unemployment Tax</t>
  </si>
  <si>
    <t>Payroll Liabilities:SIMPLE IRA</t>
  </si>
  <si>
    <t>Payroll Liabilities:SIMPLE IRA - Employee Contribution</t>
  </si>
  <si>
    <t>Payroll taxes withheld</t>
  </si>
  <si>
    <t>School Tax Pay.-Pulaski</t>
  </si>
  <si>
    <t>Cares Act - ERC</t>
  </si>
  <si>
    <t>Federal Grants in Aid of Construction</t>
  </si>
  <si>
    <t>KY Grants In Aid of Construction</t>
  </si>
  <si>
    <t>Membership Fees</t>
  </si>
  <si>
    <t>Opening Balance</t>
  </si>
  <si>
    <t>Retained Earnings</t>
  </si>
  <si>
    <t>Tap On Fees Customers</t>
  </si>
  <si>
    <t>Interest Income</t>
  </si>
  <si>
    <t>Other Income</t>
  </si>
  <si>
    <t>Services</t>
  </si>
  <si>
    <t>Sewer Billing-Woodson Bend</t>
  </si>
  <si>
    <t>Bank Charges &amp; Fees</t>
  </si>
  <si>
    <t>Contractors</t>
  </si>
  <si>
    <t>Insurance - GEN LIABILITY</t>
  </si>
  <si>
    <t>Interest Paid</t>
  </si>
  <si>
    <t>Legal &amp; Professional Services</t>
  </si>
  <si>
    <t>Office Supplies &amp; Software</t>
  </si>
  <si>
    <t>Office/General Administrative Expenses</t>
  </si>
  <si>
    <t>Payroll Expenses:Employee Contributions:SIMPLE IRA - Employee Contribution</t>
  </si>
  <si>
    <t>Payroll Expenses:SIMPLE IRA - Employer Contribution</t>
  </si>
  <si>
    <t>Payroll Expenses:Taxes</t>
  </si>
  <si>
    <t>Payroll Expenses:Wages</t>
  </si>
  <si>
    <t>Repairs &amp; Maintenance</t>
  </si>
  <si>
    <t>Taxes &amp; Licenses</t>
  </si>
  <si>
    <t>Utilities</t>
  </si>
  <si>
    <t>Sales Tax Collected</t>
  </si>
  <si>
    <t>School Tax Collected</t>
  </si>
  <si>
    <t>Sewer Charges - Billed</t>
  </si>
  <si>
    <t>Sewer Charges - Collected</t>
  </si>
  <si>
    <t>Water Miscellaneous Charge:Damaged Equipment</t>
  </si>
  <si>
    <t>Water Miscellaneous Charge:Late Fee</t>
  </si>
  <si>
    <t>Water Miscellaneous Charge:Membership Fee</t>
  </si>
  <si>
    <t>Water Miscellaneous Charge:Meter Re-set Charge</t>
  </si>
  <si>
    <t>Water Miscellaneous Charge:Re-Connection Fee</t>
  </si>
  <si>
    <t>Water Miscellaneous Charge:Service Call</t>
  </si>
  <si>
    <t>Water Miscellaneous Charge:Tap On Charge</t>
  </si>
  <si>
    <t>Advertising Expense</t>
  </si>
  <si>
    <t>Cont Serv-Accounting</t>
  </si>
  <si>
    <t>Contact Services-Audit</t>
  </si>
  <si>
    <t>Directors' Fees</t>
  </si>
  <si>
    <t>Fringe Benefit-Hlth Ins</t>
  </si>
  <si>
    <t>Insurance-Workers Comp</t>
  </si>
  <si>
    <t>KY Rural Water-Annual Fee</t>
  </si>
  <si>
    <t>Miscellaneous Expense</t>
  </si>
  <si>
    <t>Office Expense</t>
  </si>
  <si>
    <t>Office Expense:LAB SERVICES</t>
  </si>
  <si>
    <t>Office Expense:OFFICE MEALS</t>
  </si>
  <si>
    <t>Office Expense:SECURITY</t>
  </si>
  <si>
    <t>Office Supplies Expense</t>
  </si>
  <si>
    <t>Operation &amp; Maint Expense</t>
  </si>
  <si>
    <t>Operation &amp; Maint Expense:TOOLS</t>
  </si>
  <si>
    <t>Other Office Expense</t>
  </si>
  <si>
    <t>Other Taxes &amp; Licenses</t>
  </si>
  <si>
    <t>Postage</t>
  </si>
  <si>
    <t>PSC Assessment Fees</t>
  </si>
  <si>
    <t>Purchased Water</t>
  </si>
  <si>
    <t>Refunds</t>
  </si>
  <si>
    <t>Trans &amp; Dist Expense</t>
  </si>
  <si>
    <t>Trans &amp; Dist Expense:GAS</t>
  </si>
  <si>
    <t>Trans &amp; Dist Expense:MAINTENANCE LABOR</t>
  </si>
  <si>
    <t>Trans &amp; Dist Expense:METERS &amp; PARTS</t>
  </si>
  <si>
    <t>Trans &amp; Dist Expense:TANK, LINE &amp; FIELD</t>
  </si>
  <si>
    <t>Uniforms</t>
  </si>
  <si>
    <t>TOTAL</t>
  </si>
  <si>
    <t>Friday, Feb 20, 2026 11:04:02 AM GMT-8 - Accrual Basis</t>
  </si>
  <si>
    <t>BRONSTON WATER ASSOCIATION</t>
  </si>
  <si>
    <t>Trial Balance</t>
  </si>
  <si>
    <t>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</si>
</sst>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165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6"/>
  <sheetViews>
    <sheetView tabSelected="1" workbookViewId="0">
      <selection sqref="A1:C1"/>
    </sheetView>
  </sheetViews>
  <sheetFormatPr defaultRowHeight="14.4" x14ac:dyDescent="0.3"/>
  <cols>
    <col min="1" max="1" width="64.44140625" customWidth="1"/>
    <col min="2" max="3" width="15.44140625" customWidth="1"/>
  </cols>
  <sheetData>
    <row r="1" spans="1:3" ht="17.399999999999999" x14ac:dyDescent="0.3">
      <c r="A1" s="9" t="s">
        <v>140</v>
      </c>
      <c r="B1" s="8"/>
      <c r="C1" s="8"/>
    </row>
    <row r="2" spans="1:3" ht="17.399999999999999" x14ac:dyDescent="0.3">
      <c r="A2" s="9" t="s">
        <v>141</v>
      </c>
      <c r="B2" s="8"/>
      <c r="C2" s="8"/>
    </row>
    <row r="3" spans="1:3" x14ac:dyDescent="0.3">
      <c r="A3" s="10" t="s">
        <v>142</v>
      </c>
      <c r="B3" s="8"/>
      <c r="C3" s="8"/>
    </row>
    <row r="5" spans="1:3" x14ac:dyDescent="0.3">
      <c r="A5" s="1"/>
      <c r="B5" s="2" t="s">
        <v>0</v>
      </c>
      <c r="C5" s="2" t="s">
        <v>1</v>
      </c>
    </row>
    <row r="6" spans="1:3" x14ac:dyDescent="0.3">
      <c r="A6" s="3" t="s">
        <v>2</v>
      </c>
      <c r="B6" s="4">
        <f>53299.98</f>
        <v>53299.98</v>
      </c>
      <c r="C6" s="5"/>
    </row>
    <row r="7" spans="1:3" x14ac:dyDescent="0.3">
      <c r="A7" s="3" t="s">
        <v>3</v>
      </c>
      <c r="B7" s="4">
        <f>0</f>
        <v>0</v>
      </c>
      <c r="C7" s="5"/>
    </row>
    <row r="8" spans="1:3" x14ac:dyDescent="0.3">
      <c r="A8" s="3" t="s">
        <v>4</v>
      </c>
      <c r="B8" s="4">
        <f>110014.6</f>
        <v>110014.6</v>
      </c>
      <c r="C8" s="5"/>
    </row>
    <row r="9" spans="1:3" x14ac:dyDescent="0.3">
      <c r="A9" s="3" t="s">
        <v>5</v>
      </c>
      <c r="B9" s="4">
        <f>53293.66</f>
        <v>53293.66</v>
      </c>
      <c r="C9" s="5"/>
    </row>
    <row r="10" spans="1:3" x14ac:dyDescent="0.3">
      <c r="A10" s="3" t="s">
        <v>6</v>
      </c>
      <c r="B10" s="4">
        <f>0</f>
        <v>0</v>
      </c>
      <c r="C10" s="5"/>
    </row>
    <row r="11" spans="1:3" x14ac:dyDescent="0.3">
      <c r="A11" s="3" t="s">
        <v>7</v>
      </c>
      <c r="B11" s="4">
        <f>247162.77</f>
        <v>247162.77</v>
      </c>
      <c r="C11" s="5"/>
    </row>
    <row r="12" spans="1:3" x14ac:dyDescent="0.3">
      <c r="A12" s="3" t="s">
        <v>8</v>
      </c>
      <c r="B12" s="4">
        <f>298493.07</f>
        <v>298493.07</v>
      </c>
      <c r="C12" s="5"/>
    </row>
    <row r="13" spans="1:3" x14ac:dyDescent="0.3">
      <c r="A13" s="3" t="s">
        <v>9</v>
      </c>
      <c r="B13" s="4">
        <f>24467.2</f>
        <v>24467.200000000001</v>
      </c>
      <c r="C13" s="5"/>
    </row>
    <row r="14" spans="1:3" x14ac:dyDescent="0.3">
      <c r="A14" s="3" t="s">
        <v>10</v>
      </c>
      <c r="B14" s="4">
        <f>170313.4</f>
        <v>170313.4</v>
      </c>
      <c r="C14" s="5"/>
    </row>
    <row r="15" spans="1:3" x14ac:dyDescent="0.3">
      <c r="A15" s="3" t="s">
        <v>11</v>
      </c>
      <c r="B15" s="4">
        <f>15403.46</f>
        <v>15403.46</v>
      </c>
      <c r="C15" s="5"/>
    </row>
    <row r="16" spans="1:3" x14ac:dyDescent="0.3">
      <c r="A16" s="3" t="s">
        <v>12</v>
      </c>
      <c r="B16" s="4">
        <f>8780.89</f>
        <v>8780.89</v>
      </c>
      <c r="C16" s="5"/>
    </row>
    <row r="17" spans="1:3" x14ac:dyDescent="0.3">
      <c r="A17" s="3" t="s">
        <v>13</v>
      </c>
      <c r="B17" s="4">
        <f>20679.27</f>
        <v>20679.27</v>
      </c>
      <c r="C17" s="5"/>
    </row>
    <row r="18" spans="1:3" x14ac:dyDescent="0.3">
      <c r="A18" s="3" t="s">
        <v>14</v>
      </c>
      <c r="B18" s="4">
        <f>118273.68</f>
        <v>118273.68</v>
      </c>
      <c r="C18" s="5"/>
    </row>
    <row r="19" spans="1:3" x14ac:dyDescent="0.3">
      <c r="A19" s="3" t="s">
        <v>15</v>
      </c>
      <c r="B19" s="4">
        <f>26832.18</f>
        <v>26832.18</v>
      </c>
      <c r="C19" s="5"/>
    </row>
    <row r="20" spans="1:3" x14ac:dyDescent="0.3">
      <c r="A20" s="3" t="s">
        <v>16</v>
      </c>
      <c r="B20" s="4">
        <f>449312.43</f>
        <v>449312.43</v>
      </c>
      <c r="C20" s="5"/>
    </row>
    <row r="21" spans="1:3" x14ac:dyDescent="0.3">
      <c r="A21" s="3" t="s">
        <v>17</v>
      </c>
      <c r="B21" s="4">
        <f>203311.51</f>
        <v>203311.51</v>
      </c>
      <c r="C21" s="5"/>
    </row>
    <row r="22" spans="1:3" x14ac:dyDescent="0.3">
      <c r="A22" s="3" t="s">
        <v>18</v>
      </c>
      <c r="B22" s="4">
        <f>0</f>
        <v>0</v>
      </c>
      <c r="C22" s="5"/>
    </row>
    <row r="23" spans="1:3" x14ac:dyDescent="0.3">
      <c r="A23" s="3" t="s">
        <v>19</v>
      </c>
      <c r="B23" s="4">
        <f>5564.9</f>
        <v>5564.9</v>
      </c>
      <c r="C23" s="5"/>
    </row>
    <row r="24" spans="1:3" x14ac:dyDescent="0.3">
      <c r="A24" s="3" t="s">
        <v>20</v>
      </c>
      <c r="B24" s="4">
        <f>291802.85</f>
        <v>291802.84999999998</v>
      </c>
      <c r="C24" s="5"/>
    </row>
    <row r="25" spans="1:3" x14ac:dyDescent="0.3">
      <c r="A25" s="3" t="s">
        <v>21</v>
      </c>
      <c r="B25" s="5"/>
      <c r="C25" s="4">
        <f>203629.9</f>
        <v>203629.9</v>
      </c>
    </row>
    <row r="26" spans="1:3" x14ac:dyDescent="0.3">
      <c r="A26" s="3" t="s">
        <v>22</v>
      </c>
      <c r="B26" s="4">
        <f>62777.61</f>
        <v>62777.61</v>
      </c>
      <c r="C26" s="5"/>
    </row>
    <row r="27" spans="1:3" x14ac:dyDescent="0.3">
      <c r="A27" s="3" t="s">
        <v>23</v>
      </c>
      <c r="B27" s="4">
        <f>28182.95</f>
        <v>28182.95</v>
      </c>
      <c r="C27" s="5"/>
    </row>
    <row r="28" spans="1:3" x14ac:dyDescent="0.3">
      <c r="A28" s="3" t="s">
        <v>24</v>
      </c>
      <c r="B28" s="4">
        <f>49978.49</f>
        <v>49978.49</v>
      </c>
      <c r="C28" s="5"/>
    </row>
    <row r="29" spans="1:3" x14ac:dyDescent="0.3">
      <c r="A29" s="3" t="s">
        <v>25</v>
      </c>
      <c r="B29" s="5"/>
      <c r="C29" s="4">
        <f>1379.02</f>
        <v>1379.02</v>
      </c>
    </row>
    <row r="30" spans="1:3" x14ac:dyDescent="0.3">
      <c r="A30" s="3" t="s">
        <v>26</v>
      </c>
      <c r="B30" s="5"/>
      <c r="C30" s="4">
        <f>80</f>
        <v>80</v>
      </c>
    </row>
    <row r="31" spans="1:3" x14ac:dyDescent="0.3">
      <c r="A31" s="3" t="s">
        <v>27</v>
      </c>
      <c r="B31" s="5"/>
      <c r="C31" s="4">
        <f>26</f>
        <v>26</v>
      </c>
    </row>
    <row r="32" spans="1:3" x14ac:dyDescent="0.3">
      <c r="A32" s="3" t="s">
        <v>28</v>
      </c>
      <c r="B32" s="5"/>
      <c r="C32" s="4">
        <f>84</f>
        <v>84</v>
      </c>
    </row>
    <row r="33" spans="1:3" x14ac:dyDescent="0.3">
      <c r="A33" s="3" t="s">
        <v>29</v>
      </c>
      <c r="B33" s="5"/>
      <c r="C33" s="4">
        <f>18</f>
        <v>18</v>
      </c>
    </row>
    <row r="34" spans="1:3" x14ac:dyDescent="0.3">
      <c r="A34" s="3" t="s">
        <v>30</v>
      </c>
      <c r="B34" s="4">
        <f>33901</f>
        <v>33901</v>
      </c>
      <c r="C34" s="5"/>
    </row>
    <row r="35" spans="1:3" x14ac:dyDescent="0.3">
      <c r="A35" s="3" t="s">
        <v>31</v>
      </c>
      <c r="B35" s="5"/>
      <c r="C35" s="4">
        <f>4557105</f>
        <v>4557105</v>
      </c>
    </row>
    <row r="36" spans="1:3" x14ac:dyDescent="0.3">
      <c r="A36" s="3" t="s">
        <v>32</v>
      </c>
      <c r="B36" s="4">
        <f>92080</f>
        <v>92080</v>
      </c>
      <c r="C36" s="5"/>
    </row>
    <row r="37" spans="1:3" x14ac:dyDescent="0.3">
      <c r="A37" s="3" t="s">
        <v>33</v>
      </c>
      <c r="B37" s="4">
        <f>125.9</f>
        <v>125.9</v>
      </c>
      <c r="C37" s="5"/>
    </row>
    <row r="38" spans="1:3" x14ac:dyDescent="0.3">
      <c r="A38" s="3" t="s">
        <v>34</v>
      </c>
      <c r="B38" s="4">
        <f>5838.97</f>
        <v>5838.97</v>
      </c>
      <c r="C38" s="5"/>
    </row>
    <row r="39" spans="1:3" x14ac:dyDescent="0.3">
      <c r="A39" s="3" t="s">
        <v>35</v>
      </c>
      <c r="B39" s="4">
        <f>8419604</f>
        <v>8419604</v>
      </c>
      <c r="C39" s="5"/>
    </row>
    <row r="40" spans="1:3" x14ac:dyDescent="0.3">
      <c r="A40" s="3" t="s">
        <v>36</v>
      </c>
      <c r="B40" s="4">
        <f>0</f>
        <v>0</v>
      </c>
      <c r="C40" s="5"/>
    </row>
    <row r="41" spans="1:3" x14ac:dyDescent="0.3">
      <c r="A41" s="3" t="s">
        <v>37</v>
      </c>
      <c r="B41" s="4">
        <f>104396</f>
        <v>104396</v>
      </c>
      <c r="C41" s="5"/>
    </row>
    <row r="42" spans="1:3" x14ac:dyDescent="0.3">
      <c r="A42" s="3" t="s">
        <v>38</v>
      </c>
      <c r="B42" s="4">
        <f>1049148</f>
        <v>1049148</v>
      </c>
      <c r="C42" s="5"/>
    </row>
    <row r="43" spans="1:3" x14ac:dyDescent="0.3">
      <c r="A43" s="3" t="s">
        <v>39</v>
      </c>
      <c r="B43" s="4">
        <f>39058</f>
        <v>39058</v>
      </c>
      <c r="C43" s="5"/>
    </row>
    <row r="44" spans="1:3" x14ac:dyDescent="0.3">
      <c r="A44" s="3" t="s">
        <v>40</v>
      </c>
      <c r="B44" s="4">
        <f>132500</f>
        <v>132500</v>
      </c>
      <c r="C44" s="5"/>
    </row>
    <row r="45" spans="1:3" x14ac:dyDescent="0.3">
      <c r="A45" s="3" t="s">
        <v>41</v>
      </c>
      <c r="B45" s="4">
        <f>997375</f>
        <v>997375</v>
      </c>
      <c r="C45" s="5"/>
    </row>
    <row r="46" spans="1:3" x14ac:dyDescent="0.3">
      <c r="A46" s="3" t="s">
        <v>42</v>
      </c>
      <c r="B46" s="4">
        <f>36447</f>
        <v>36447</v>
      </c>
      <c r="C46" s="5"/>
    </row>
    <row r="47" spans="1:3" x14ac:dyDescent="0.3">
      <c r="A47" s="3" t="s">
        <v>43</v>
      </c>
      <c r="B47" s="5"/>
      <c r="C47" s="4">
        <f>10005</f>
        <v>10005</v>
      </c>
    </row>
    <row r="48" spans="1:3" x14ac:dyDescent="0.3">
      <c r="A48" s="3" t="s">
        <v>44</v>
      </c>
      <c r="B48" s="4">
        <f>17402</f>
        <v>17402</v>
      </c>
      <c r="C48" s="5"/>
    </row>
    <row r="49" spans="1:3" x14ac:dyDescent="0.3">
      <c r="A49" s="3" t="s">
        <v>45</v>
      </c>
      <c r="B49" s="5"/>
      <c r="C49" s="4">
        <f>50663.48</f>
        <v>50663.48</v>
      </c>
    </row>
    <row r="50" spans="1:3" x14ac:dyDescent="0.3">
      <c r="A50" s="3" t="s">
        <v>46</v>
      </c>
      <c r="B50" s="5"/>
      <c r="C50" s="4">
        <f>1049148</f>
        <v>1049148</v>
      </c>
    </row>
    <row r="51" spans="1:3" x14ac:dyDescent="0.3">
      <c r="A51" s="3" t="s">
        <v>47</v>
      </c>
      <c r="B51" s="5"/>
      <c r="C51" s="4">
        <f>60272.51</f>
        <v>60272.51</v>
      </c>
    </row>
    <row r="52" spans="1:3" x14ac:dyDescent="0.3">
      <c r="A52" s="3" t="s">
        <v>48</v>
      </c>
      <c r="B52" s="5"/>
      <c r="C52" s="4">
        <f>21116.06</f>
        <v>21116.06</v>
      </c>
    </row>
    <row r="53" spans="1:3" x14ac:dyDescent="0.3">
      <c r="A53" s="3" t="s">
        <v>49</v>
      </c>
      <c r="B53" s="5"/>
      <c r="C53" s="4">
        <f>3011.04</f>
        <v>3011.04</v>
      </c>
    </row>
    <row r="54" spans="1:3" x14ac:dyDescent="0.3">
      <c r="A54" s="3" t="s">
        <v>50</v>
      </c>
      <c r="B54" s="5"/>
      <c r="C54" s="4">
        <f>0.43</f>
        <v>0.43</v>
      </c>
    </row>
    <row r="55" spans="1:3" x14ac:dyDescent="0.3">
      <c r="A55" s="3" t="s">
        <v>51</v>
      </c>
      <c r="B55" s="4">
        <f>5939.76</f>
        <v>5939.76</v>
      </c>
      <c r="C55" s="5"/>
    </row>
    <row r="56" spans="1:3" x14ac:dyDescent="0.3">
      <c r="A56" s="3" t="s">
        <v>52</v>
      </c>
      <c r="B56" s="4">
        <f>0.15</f>
        <v>0.15</v>
      </c>
      <c r="C56" s="5"/>
    </row>
    <row r="57" spans="1:3" x14ac:dyDescent="0.3">
      <c r="A57" s="3" t="s">
        <v>53</v>
      </c>
      <c r="B57" s="5"/>
      <c r="C57" s="4">
        <f>265037</f>
        <v>265037</v>
      </c>
    </row>
    <row r="58" spans="1:3" x14ac:dyDescent="0.3">
      <c r="A58" s="3" t="s">
        <v>54</v>
      </c>
      <c r="B58" s="5"/>
      <c r="C58" s="4">
        <f>627506</f>
        <v>627506</v>
      </c>
    </row>
    <row r="59" spans="1:3" x14ac:dyDescent="0.3">
      <c r="A59" s="3" t="s">
        <v>55</v>
      </c>
      <c r="B59" s="5"/>
      <c r="C59" s="4">
        <f>340534</f>
        <v>340534</v>
      </c>
    </row>
    <row r="60" spans="1:3" x14ac:dyDescent="0.3">
      <c r="A60" s="3" t="s">
        <v>56</v>
      </c>
      <c r="B60" s="5"/>
      <c r="C60" s="4">
        <f>634843</f>
        <v>634843</v>
      </c>
    </row>
    <row r="61" spans="1:3" x14ac:dyDescent="0.3">
      <c r="A61" s="3" t="s">
        <v>57</v>
      </c>
      <c r="B61" s="5"/>
      <c r="C61" s="4">
        <f>1197857</f>
        <v>1197857</v>
      </c>
    </row>
    <row r="62" spans="1:3" x14ac:dyDescent="0.3">
      <c r="A62" s="3" t="s">
        <v>58</v>
      </c>
      <c r="B62" s="5"/>
      <c r="C62" s="4">
        <f>503108</f>
        <v>503108</v>
      </c>
    </row>
    <row r="63" spans="1:3" x14ac:dyDescent="0.3">
      <c r="A63" s="3" t="s">
        <v>59</v>
      </c>
      <c r="B63" s="4">
        <f>3828.61</f>
        <v>3828.61</v>
      </c>
      <c r="C63" s="5"/>
    </row>
    <row r="64" spans="1:3" x14ac:dyDescent="0.3">
      <c r="A64" s="3" t="s">
        <v>60</v>
      </c>
      <c r="B64" s="5"/>
      <c r="C64" s="4">
        <f>112395</f>
        <v>112395</v>
      </c>
    </row>
    <row r="65" spans="1:3" x14ac:dyDescent="0.3">
      <c r="A65" s="3" t="s">
        <v>61</v>
      </c>
      <c r="B65" s="5"/>
      <c r="C65" s="4">
        <f>2.33</f>
        <v>2.33</v>
      </c>
    </row>
    <row r="66" spans="1:3" x14ac:dyDescent="0.3">
      <c r="A66" s="3" t="s">
        <v>62</v>
      </c>
      <c r="B66" s="4">
        <f>0.25</f>
        <v>0.25</v>
      </c>
      <c r="C66" s="5"/>
    </row>
    <row r="67" spans="1:3" x14ac:dyDescent="0.3">
      <c r="A67" s="3" t="s">
        <v>63</v>
      </c>
      <c r="B67" s="5"/>
      <c r="C67" s="4">
        <f>0.14</f>
        <v>0.14000000000000001</v>
      </c>
    </row>
    <row r="68" spans="1:3" x14ac:dyDescent="0.3">
      <c r="A68" s="3" t="s">
        <v>64</v>
      </c>
      <c r="B68" s="5"/>
      <c r="C68" s="4">
        <f>2066.2</f>
        <v>2066.1999999999998</v>
      </c>
    </row>
    <row r="69" spans="1:3" x14ac:dyDescent="0.3">
      <c r="A69" s="3" t="s">
        <v>65</v>
      </c>
      <c r="B69" s="5"/>
      <c r="C69" s="4">
        <f>5628.1</f>
        <v>5628.1</v>
      </c>
    </row>
    <row r="70" spans="1:3" x14ac:dyDescent="0.3">
      <c r="A70" s="3" t="s">
        <v>66</v>
      </c>
      <c r="B70" s="5"/>
      <c r="C70" s="4">
        <f>3639.54</f>
        <v>3639.54</v>
      </c>
    </row>
    <row r="71" spans="1:3" x14ac:dyDescent="0.3">
      <c r="A71" s="3" t="s">
        <v>67</v>
      </c>
      <c r="B71" s="4">
        <f>1439.11</f>
        <v>1439.11</v>
      </c>
      <c r="C71" s="5"/>
    </row>
    <row r="72" spans="1:3" x14ac:dyDescent="0.3">
      <c r="A72" s="3" t="s">
        <v>68</v>
      </c>
      <c r="B72" s="5"/>
      <c r="C72" s="4">
        <f>660.5</f>
        <v>660.5</v>
      </c>
    </row>
    <row r="73" spans="1:3" x14ac:dyDescent="0.3">
      <c r="A73" s="3" t="s">
        <v>69</v>
      </c>
      <c r="B73" s="5"/>
      <c r="C73" s="4">
        <f>446.3</f>
        <v>446.3</v>
      </c>
    </row>
    <row r="74" spans="1:3" x14ac:dyDescent="0.3">
      <c r="A74" s="3" t="s">
        <v>70</v>
      </c>
      <c r="B74" s="4">
        <f>2.26</f>
        <v>2.2599999999999998</v>
      </c>
      <c r="C74" s="5"/>
    </row>
    <row r="75" spans="1:3" x14ac:dyDescent="0.3">
      <c r="A75" s="3" t="s">
        <v>71</v>
      </c>
      <c r="B75" s="4">
        <f>2834.7</f>
        <v>2834.7</v>
      </c>
      <c r="C75" s="5"/>
    </row>
    <row r="76" spans="1:3" x14ac:dyDescent="0.3">
      <c r="A76" s="3" t="s">
        <v>72</v>
      </c>
      <c r="B76" s="5"/>
      <c r="C76" s="4">
        <f>6359.86</f>
        <v>6359.86</v>
      </c>
    </row>
    <row r="77" spans="1:3" x14ac:dyDescent="0.3">
      <c r="A77" s="3" t="s">
        <v>73</v>
      </c>
      <c r="B77" s="5"/>
      <c r="C77" s="4">
        <f>0</f>
        <v>0</v>
      </c>
    </row>
    <row r="78" spans="1:3" x14ac:dyDescent="0.3">
      <c r="A78" s="3" t="s">
        <v>74</v>
      </c>
      <c r="B78" s="4">
        <f>29985.17</f>
        <v>29985.17</v>
      </c>
      <c r="C78" s="5"/>
    </row>
    <row r="79" spans="1:3" x14ac:dyDescent="0.3">
      <c r="A79" s="3" t="s">
        <v>75</v>
      </c>
      <c r="B79" s="5"/>
      <c r="C79" s="4">
        <f>96039</f>
        <v>96039</v>
      </c>
    </row>
    <row r="80" spans="1:3" x14ac:dyDescent="0.3">
      <c r="A80" s="3" t="s">
        <v>76</v>
      </c>
      <c r="B80" s="5"/>
      <c r="C80" s="4">
        <f>3298823</f>
        <v>3298823</v>
      </c>
    </row>
    <row r="81" spans="1:3" x14ac:dyDescent="0.3">
      <c r="A81" s="3" t="s">
        <v>77</v>
      </c>
      <c r="B81" s="5"/>
      <c r="C81" s="4">
        <f>947000</f>
        <v>947000</v>
      </c>
    </row>
    <row r="82" spans="1:3" x14ac:dyDescent="0.3">
      <c r="A82" s="3" t="s">
        <v>78</v>
      </c>
      <c r="B82" s="5"/>
      <c r="C82" s="4">
        <f>23260</f>
        <v>23260</v>
      </c>
    </row>
    <row r="83" spans="1:3" x14ac:dyDescent="0.3">
      <c r="A83" s="3" t="s">
        <v>79</v>
      </c>
      <c r="B83" s="5"/>
      <c r="C83" s="4">
        <f>251892.16</f>
        <v>251892.16</v>
      </c>
    </row>
    <row r="84" spans="1:3" x14ac:dyDescent="0.3">
      <c r="A84" s="3" t="s">
        <v>80</v>
      </c>
      <c r="B84" s="4">
        <f>1910547.54</f>
        <v>1910547.54</v>
      </c>
      <c r="C84" s="5"/>
    </row>
    <row r="85" spans="1:3" x14ac:dyDescent="0.3">
      <c r="A85" s="3" t="s">
        <v>81</v>
      </c>
      <c r="B85" s="5"/>
      <c r="C85" s="4">
        <f>689697</f>
        <v>689697</v>
      </c>
    </row>
    <row r="86" spans="1:3" x14ac:dyDescent="0.3">
      <c r="A86" s="3" t="s">
        <v>82</v>
      </c>
      <c r="B86" s="5"/>
      <c r="C86" s="4">
        <f>12655.15</f>
        <v>12655.15</v>
      </c>
    </row>
    <row r="87" spans="1:3" x14ac:dyDescent="0.3">
      <c r="A87" s="3" t="s">
        <v>83</v>
      </c>
      <c r="B87" s="5"/>
      <c r="C87" s="4">
        <f>2369237.1</f>
        <v>2369237.1</v>
      </c>
    </row>
    <row r="88" spans="1:3" x14ac:dyDescent="0.3">
      <c r="A88" s="3" t="s">
        <v>84</v>
      </c>
      <c r="B88" s="5"/>
      <c r="C88" s="4">
        <f>1111671.94</f>
        <v>1111671.94</v>
      </c>
    </row>
    <row r="89" spans="1:3" x14ac:dyDescent="0.3">
      <c r="A89" s="3" t="s">
        <v>85</v>
      </c>
      <c r="B89" s="5"/>
      <c r="C89" s="4">
        <f>5235</f>
        <v>5235</v>
      </c>
    </row>
    <row r="90" spans="1:3" x14ac:dyDescent="0.3">
      <c r="A90" s="3" t="s">
        <v>86</v>
      </c>
      <c r="B90" s="4">
        <f>340</f>
        <v>340</v>
      </c>
      <c r="C90" s="5"/>
    </row>
    <row r="91" spans="1:3" x14ac:dyDescent="0.3">
      <c r="A91" s="3" t="s">
        <v>87</v>
      </c>
      <c r="B91" s="4">
        <f>2301947.93</f>
        <v>2301947.9300000002</v>
      </c>
      <c r="C91" s="5"/>
    </row>
    <row r="92" spans="1:3" x14ac:dyDescent="0.3">
      <c r="A92" s="3" t="s">
        <v>88</v>
      </c>
      <c r="B92" s="4">
        <f>17147</f>
        <v>17147</v>
      </c>
      <c r="C92" s="5"/>
    </row>
    <row r="93" spans="1:3" x14ac:dyDescent="0.3">
      <c r="A93" s="3" t="s">
        <v>89</v>
      </c>
      <c r="B93" s="5"/>
      <c r="C93" s="4">
        <f>681.78</f>
        <v>681.78</v>
      </c>
    </row>
    <row r="94" spans="1:3" x14ac:dyDescent="0.3">
      <c r="A94" s="3" t="s">
        <v>90</v>
      </c>
      <c r="B94" s="4">
        <f>256608.5</f>
        <v>256608.5</v>
      </c>
      <c r="C94" s="5"/>
    </row>
    <row r="95" spans="1:3" x14ac:dyDescent="0.3">
      <c r="A95" s="3" t="s">
        <v>91</v>
      </c>
      <c r="B95" s="4">
        <f>4972.91</f>
        <v>4972.91</v>
      </c>
      <c r="C95" s="5"/>
    </row>
    <row r="96" spans="1:3" x14ac:dyDescent="0.3">
      <c r="A96" s="3" t="s">
        <v>92</v>
      </c>
      <c r="B96" s="4">
        <f>23</f>
        <v>23</v>
      </c>
      <c r="C96" s="5"/>
    </row>
    <row r="97" spans="1:3" x14ac:dyDescent="0.3">
      <c r="A97" s="3" t="s">
        <v>93</v>
      </c>
      <c r="B97" s="4">
        <f>3179.93</f>
        <v>3179.93</v>
      </c>
      <c r="C97" s="5"/>
    </row>
    <row r="98" spans="1:3" x14ac:dyDescent="0.3">
      <c r="A98" s="3" t="s">
        <v>94</v>
      </c>
      <c r="B98" s="4">
        <f>3552</f>
        <v>3552</v>
      </c>
      <c r="C98" s="5"/>
    </row>
    <row r="99" spans="1:3" x14ac:dyDescent="0.3">
      <c r="A99" s="3" t="s">
        <v>95</v>
      </c>
      <c r="B99" s="4">
        <f>11334.68</f>
        <v>11334.68</v>
      </c>
      <c r="C99" s="5"/>
    </row>
    <row r="100" spans="1:3" x14ac:dyDescent="0.3">
      <c r="A100" s="3" t="s">
        <v>96</v>
      </c>
      <c r="B100" s="4">
        <f>150605.71</f>
        <v>150605.71</v>
      </c>
      <c r="C100" s="5"/>
    </row>
    <row r="101" spans="1:3" x14ac:dyDescent="0.3">
      <c r="A101" s="3" t="s">
        <v>97</v>
      </c>
      <c r="B101" s="4">
        <f>10796.4</f>
        <v>10796.4</v>
      </c>
      <c r="C101" s="5"/>
    </row>
    <row r="102" spans="1:3" x14ac:dyDescent="0.3">
      <c r="A102" s="3" t="s">
        <v>98</v>
      </c>
      <c r="B102" s="4">
        <f>190</f>
        <v>190</v>
      </c>
      <c r="C102" s="5"/>
    </row>
    <row r="103" spans="1:3" x14ac:dyDescent="0.3">
      <c r="A103" s="3" t="s">
        <v>99</v>
      </c>
      <c r="B103" s="4">
        <f>10801.74</f>
        <v>10801.74</v>
      </c>
      <c r="C103" s="5"/>
    </row>
    <row r="104" spans="1:3" x14ac:dyDescent="0.3">
      <c r="A104" s="3" t="s">
        <v>100</v>
      </c>
      <c r="B104" s="5"/>
      <c r="C104" s="4">
        <f>6385.82</f>
        <v>6385.82</v>
      </c>
    </row>
    <row r="105" spans="1:3" x14ac:dyDescent="0.3">
      <c r="A105" s="3" t="s">
        <v>101</v>
      </c>
      <c r="B105" s="5"/>
      <c r="C105" s="4">
        <f>34782.67</f>
        <v>34782.67</v>
      </c>
    </row>
    <row r="106" spans="1:3" x14ac:dyDescent="0.3">
      <c r="A106" s="3" t="s">
        <v>102</v>
      </c>
      <c r="B106" s="5"/>
      <c r="C106" s="4">
        <f>48682</f>
        <v>48682</v>
      </c>
    </row>
    <row r="107" spans="1:3" x14ac:dyDescent="0.3">
      <c r="A107" s="3" t="s">
        <v>103</v>
      </c>
      <c r="B107" s="4">
        <f>45042.93</f>
        <v>45042.93</v>
      </c>
      <c r="C107" s="5"/>
    </row>
    <row r="108" spans="1:3" x14ac:dyDescent="0.3">
      <c r="A108" s="3" t="s">
        <v>104</v>
      </c>
      <c r="B108" s="5"/>
      <c r="C108" s="4">
        <f>120</f>
        <v>120</v>
      </c>
    </row>
    <row r="109" spans="1:3" x14ac:dyDescent="0.3">
      <c r="A109" s="3" t="s">
        <v>105</v>
      </c>
      <c r="B109" s="5"/>
      <c r="C109" s="4">
        <f>17666.61</f>
        <v>17666.61</v>
      </c>
    </row>
    <row r="110" spans="1:3" x14ac:dyDescent="0.3">
      <c r="A110" s="3" t="s">
        <v>106</v>
      </c>
      <c r="B110" s="5"/>
      <c r="C110" s="4">
        <f>1400</f>
        <v>1400</v>
      </c>
    </row>
    <row r="111" spans="1:3" x14ac:dyDescent="0.3">
      <c r="A111" s="3" t="s">
        <v>107</v>
      </c>
      <c r="B111" s="5"/>
      <c r="C111" s="4">
        <f>208</f>
        <v>208</v>
      </c>
    </row>
    <row r="112" spans="1:3" x14ac:dyDescent="0.3">
      <c r="A112" s="3" t="s">
        <v>108</v>
      </c>
      <c r="B112" s="5"/>
      <c r="C112" s="4">
        <f>624</f>
        <v>624</v>
      </c>
    </row>
    <row r="113" spans="1:3" x14ac:dyDescent="0.3">
      <c r="A113" s="3" t="s">
        <v>109</v>
      </c>
      <c r="B113" s="5"/>
      <c r="C113" s="4">
        <f>2518</f>
        <v>2518</v>
      </c>
    </row>
    <row r="114" spans="1:3" x14ac:dyDescent="0.3">
      <c r="A114" s="3" t="s">
        <v>110</v>
      </c>
      <c r="B114" s="5"/>
      <c r="C114" s="4">
        <f>11061.6</f>
        <v>11061.6</v>
      </c>
    </row>
    <row r="115" spans="1:3" x14ac:dyDescent="0.3">
      <c r="A115" s="3" t="s">
        <v>111</v>
      </c>
      <c r="B115" s="4">
        <f>424.09</f>
        <v>424.09</v>
      </c>
      <c r="C115" s="5"/>
    </row>
    <row r="116" spans="1:3" x14ac:dyDescent="0.3">
      <c r="A116" s="3" t="s">
        <v>112</v>
      </c>
      <c r="B116" s="4">
        <f>12650</f>
        <v>12650</v>
      </c>
      <c r="C116" s="5"/>
    </row>
    <row r="117" spans="1:3" x14ac:dyDescent="0.3">
      <c r="A117" s="3" t="s">
        <v>113</v>
      </c>
      <c r="B117" s="4">
        <f>14500</f>
        <v>14500</v>
      </c>
      <c r="C117" s="5"/>
    </row>
    <row r="118" spans="1:3" x14ac:dyDescent="0.3">
      <c r="A118" s="3" t="s">
        <v>114</v>
      </c>
      <c r="B118" s="4">
        <f>8700</f>
        <v>8700</v>
      </c>
      <c r="C118" s="5"/>
    </row>
    <row r="119" spans="1:3" x14ac:dyDescent="0.3">
      <c r="A119" s="3" t="s">
        <v>115</v>
      </c>
      <c r="B119" s="4">
        <f>47500.28</f>
        <v>47500.28</v>
      </c>
      <c r="C119" s="5"/>
    </row>
    <row r="120" spans="1:3" x14ac:dyDescent="0.3">
      <c r="A120" s="3" t="s">
        <v>116</v>
      </c>
      <c r="B120" s="4">
        <f>1556</f>
        <v>1556</v>
      </c>
      <c r="C120" s="5"/>
    </row>
    <row r="121" spans="1:3" x14ac:dyDescent="0.3">
      <c r="A121" s="3" t="s">
        <v>117</v>
      </c>
      <c r="B121" s="4">
        <f>1342.85</f>
        <v>1342.85</v>
      </c>
      <c r="C121" s="5"/>
    </row>
    <row r="122" spans="1:3" x14ac:dyDescent="0.3">
      <c r="A122" s="3" t="s">
        <v>118</v>
      </c>
      <c r="B122" s="4">
        <f>6619.38</f>
        <v>6619.38</v>
      </c>
      <c r="C122" s="5"/>
    </row>
    <row r="123" spans="1:3" x14ac:dyDescent="0.3">
      <c r="A123" s="3" t="s">
        <v>119</v>
      </c>
      <c r="B123" s="4">
        <f>16167.81</f>
        <v>16167.81</v>
      </c>
      <c r="C123" s="5"/>
    </row>
    <row r="124" spans="1:3" x14ac:dyDescent="0.3">
      <c r="A124" s="3" t="s">
        <v>120</v>
      </c>
      <c r="B124" s="4">
        <f>7461.4</f>
        <v>7461.4</v>
      </c>
      <c r="C124" s="5"/>
    </row>
    <row r="125" spans="1:3" x14ac:dyDescent="0.3">
      <c r="A125" s="3" t="s">
        <v>121</v>
      </c>
      <c r="B125" s="4">
        <f>804.66</f>
        <v>804.66</v>
      </c>
      <c r="C125" s="5"/>
    </row>
    <row r="126" spans="1:3" x14ac:dyDescent="0.3">
      <c r="A126" s="3" t="s">
        <v>122</v>
      </c>
      <c r="B126" s="4">
        <f>254.08</f>
        <v>254.08</v>
      </c>
      <c r="C126" s="5"/>
    </row>
    <row r="127" spans="1:3" x14ac:dyDescent="0.3">
      <c r="A127" s="3" t="s">
        <v>123</v>
      </c>
      <c r="B127" s="4">
        <f>12742.57</f>
        <v>12742.57</v>
      </c>
      <c r="C127" s="5"/>
    </row>
    <row r="128" spans="1:3" x14ac:dyDescent="0.3">
      <c r="A128" s="3" t="s">
        <v>124</v>
      </c>
      <c r="B128" s="4">
        <f>318.25</f>
        <v>318.25</v>
      </c>
      <c r="C128" s="5"/>
    </row>
    <row r="129" spans="1:3" x14ac:dyDescent="0.3">
      <c r="A129" s="3" t="s">
        <v>125</v>
      </c>
      <c r="B129" s="4">
        <f>751.74</f>
        <v>751.74</v>
      </c>
      <c r="C129" s="5"/>
    </row>
    <row r="130" spans="1:3" x14ac:dyDescent="0.3">
      <c r="A130" s="3" t="s">
        <v>126</v>
      </c>
      <c r="B130" s="4">
        <f>26.58</f>
        <v>26.58</v>
      </c>
      <c r="C130" s="5"/>
    </row>
    <row r="131" spans="1:3" x14ac:dyDescent="0.3">
      <c r="A131" s="3" t="s">
        <v>127</v>
      </c>
      <c r="B131" s="4">
        <f>30</f>
        <v>30</v>
      </c>
      <c r="C131" s="5"/>
    </row>
    <row r="132" spans="1:3" x14ac:dyDescent="0.3">
      <c r="A132" s="3" t="s">
        <v>128</v>
      </c>
      <c r="B132" s="4">
        <f>14584</f>
        <v>14584</v>
      </c>
      <c r="C132" s="5"/>
    </row>
    <row r="133" spans="1:3" x14ac:dyDescent="0.3">
      <c r="A133" s="3" t="s">
        <v>129</v>
      </c>
      <c r="B133" s="4">
        <f>1735.15</f>
        <v>1735.15</v>
      </c>
      <c r="C133" s="5"/>
    </row>
    <row r="134" spans="1:3" x14ac:dyDescent="0.3">
      <c r="A134" s="3" t="s">
        <v>130</v>
      </c>
      <c r="B134" s="4">
        <f>331735.95</f>
        <v>331735.95</v>
      </c>
      <c r="C134" s="5"/>
    </row>
    <row r="135" spans="1:3" x14ac:dyDescent="0.3">
      <c r="A135" s="3" t="s">
        <v>131</v>
      </c>
      <c r="B135" s="4">
        <f>1603.21</f>
        <v>1603.21</v>
      </c>
      <c r="C135" s="5"/>
    </row>
    <row r="136" spans="1:3" x14ac:dyDescent="0.3">
      <c r="A136" s="3" t="s">
        <v>132</v>
      </c>
      <c r="B136" s="4">
        <f>6052.04</f>
        <v>6052.04</v>
      </c>
      <c r="C136" s="5"/>
    </row>
    <row r="137" spans="1:3" x14ac:dyDescent="0.3">
      <c r="A137" s="3" t="s">
        <v>133</v>
      </c>
      <c r="B137" s="4">
        <f>6738.79</f>
        <v>6738.79</v>
      </c>
      <c r="C137" s="5"/>
    </row>
    <row r="138" spans="1:3" x14ac:dyDescent="0.3">
      <c r="A138" s="3" t="s">
        <v>134</v>
      </c>
      <c r="B138" s="4">
        <f>48255</f>
        <v>48255</v>
      </c>
      <c r="C138" s="5"/>
    </row>
    <row r="139" spans="1:3" x14ac:dyDescent="0.3">
      <c r="A139" s="3" t="s">
        <v>135</v>
      </c>
      <c r="B139" s="4">
        <f>97911.22</f>
        <v>97911.22</v>
      </c>
      <c r="C139" s="5"/>
    </row>
    <row r="140" spans="1:3" x14ac:dyDescent="0.3">
      <c r="A140" s="3" t="s">
        <v>136</v>
      </c>
      <c r="B140" s="4">
        <f>5182.36</f>
        <v>5182.3599999999997</v>
      </c>
      <c r="C140" s="5"/>
    </row>
    <row r="141" spans="1:3" x14ac:dyDescent="0.3">
      <c r="A141" s="3" t="s">
        <v>137</v>
      </c>
      <c r="B141" s="4">
        <f>3673.78</f>
        <v>3673.78</v>
      </c>
      <c r="C141" s="5"/>
    </row>
    <row r="142" spans="1:3" x14ac:dyDescent="0.3">
      <c r="A142" s="3" t="s">
        <v>138</v>
      </c>
      <c r="B142" s="6">
        <f>(((((((((((((((((((((((((((((((((((((((((((((((((((((((((((((((((((((((((((((((((((((((((((((((((((((((((((((((((((((((((((((((((((((((B6)+(B7))+(B8))+(B9))+(B10))+(B11))+(B12))+(B13))+(B14))+(B15))+(B16))+(B17))+(B18))+(B19))+(B20))+(B21))+(B22))+(B23))+(B24))+(B25))+(B26))+(B27))+(B28))+(B29))+(B30))+(B31))+(B32))+(B33))+(B34))+(B35))+(B36))+(B37))+(B38))+(B39))+(B40))+(B41))+(B42))+(B43))+(B44))+(B45))+(B46))+(B47))+(B48))+(B49))+(B50))+(B51))+(B52))+(B53))+(B54))+(B55))+(B56))+(B57))+(B58))+(B59))+(B60))+(B61))+(B62))+(B63))+(B64))+(B65))+(B66))+(B67))+(B68))+(B69))+(B70))+(B71))+(B72))+(B73))+(B74))+(B75))+(B76))+(B77))+(B78))+(B79))+(B80))+(B81))+(B82))+(B83))+(B84))+(B85))+(B86))+(B87))+(B88))+(B89))+(B90))+(B91))+(B92))+(B93))+(B94))+(B95))+(B96))+(B97))+(B98))+(B99))+(B100))+(B101))+(B102))+(B103))+(B104))+(B105))+(B106))+(B107))+(B108))+(B109))+(B110))+(B111))+(B112))+(B113))+(B114))+(B115))+(B116))+(B117))+(B118))+(B119))+(B120))+(B121))+(B122))+(B123))+(B124))+(B125))+(B126))+(B127))+(B128))+(B129))+(B130))+(B131))+(B132))+(B133))+(B134))+(B135))+(B136))+(B137))+(B138))+(B139))+(B140))+(B141)</f>
        <v>18586262.239999983</v>
      </c>
      <c r="C142" s="6">
        <f>(((((((((((((((((((((((((((((((((((((((((((((((((((((((((((((((((((((((((((((((((((((((((((((((((((((((((((((((((((((((((((((((((((((((C6)+(C7))+(C8))+(C9))+(C10)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55))+(C56))+(C57))+(C58))+(C59))+(C60))+(C61))+(C62))+(C63))+(C64))+(C65))+(C66))+(C67))+(C68))+(C69))+(C70))+(C71))+(C72))+(C73))+(C74))+(C75))+(C76))+(C77))+(C78))+(C79))+(C80))+(C81))+(C82))+(C83))+(C84))+(C85))+(C86))+(C87))+(C88))+(C89))+(C90))+(C91))+(C92))+(C93))+(C94))+(C95))+(C96))+(C97))+(C98))+(C99))+(C100))+(C101))+(C102))+(C103))+(C104))+(C105))+(C106))+(C107))+(C108))+(C109))+(C110))+(C111))+(C112))+(C113))+(C114))+(C115))+(C116))+(C117))+(C118))+(C119))+(C120))+(C121))+(C122))+(C123))+(C124))+(C125))+(C126))+(C127))+(C128))+(C129))+(C130))+(C131))+(C132))+(C133))+(C134))+(C135))+(C136))+(C137))+(C138))+(C139))+(C140))+(C141)</f>
        <v>18586262.240000006</v>
      </c>
    </row>
    <row r="143" spans="1:3" x14ac:dyDescent="0.3">
      <c r="A143" s="3"/>
      <c r="B143" s="5"/>
      <c r="C143" s="5"/>
    </row>
    <row r="146" spans="1:3" x14ac:dyDescent="0.3">
      <c r="A146" s="7" t="s">
        <v>139</v>
      </c>
      <c r="B146" s="8"/>
      <c r="C146" s="8"/>
    </row>
  </sheetData>
  <mergeCells count="4">
    <mergeCell ref="A146:C146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 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Bronston Water Association Inc</cp:lastModifiedBy>
  <dcterms:created xsi:type="dcterms:W3CDTF">2026-02-20T19:04:02Z</dcterms:created>
  <dcterms:modified xsi:type="dcterms:W3CDTF">2026-02-20T19:05:31Z</dcterms:modified>
</cp:coreProperties>
</file>