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3b9c8fbfb41fa2d/JSLawless Consulting/Bronston/Application/Supplemental Information/"/>
    </mc:Choice>
  </mc:AlternateContent>
  <xr:revisionPtr revIDLastSave="22" documentId="8_{E4E2857E-A493-4A85-8626-B35CB454A85A}" xr6:coauthVersionLast="47" xr6:coauthVersionMax="47" xr10:uidLastSave="{F59B0662-84DB-4946-A26E-AD013E3DA63D}"/>
  <bookViews>
    <workbookView xWindow="28680" yWindow="-120" windowWidth="38640" windowHeight="21120" xr2:uid="{6C63D07A-C069-467A-9766-98B896E55395}"/>
  </bookViews>
  <sheets>
    <sheet name="Rates" sheetId="1" r:id="rId1"/>
    <sheet name="Rev. Req. Debt Service" sheetId="2" r:id="rId2"/>
    <sheet name="Pro Forma Statement" sheetId="4" r:id="rId3"/>
    <sheet name="Rev" sheetId="7" r:id="rId4"/>
    <sheet name="Billing Analysis" sheetId="11" r:id="rId5"/>
    <sheet name="Employee Wages Benefits" sheetId="8" r:id="rId6"/>
    <sheet name="Mat Supp and Misc Exp" sheetId="10" r:id="rId7"/>
    <sheet name="Purchased Water" sheetId="9" r:id="rId8"/>
    <sheet name="Depreciation" sheetId="6" r:id="rId9"/>
    <sheet name="Reconcile GL to AR" sheetId="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1" l="1"/>
  <c r="F57" i="11"/>
  <c r="R51" i="11"/>
  <c r="F51" i="11"/>
  <c r="Q74" i="11"/>
  <c r="U67" i="11"/>
  <c r="W67" i="11" s="1"/>
  <c r="T67" i="11"/>
  <c r="R72" i="11" s="1"/>
  <c r="S67" i="11"/>
  <c r="R71" i="11" s="1"/>
  <c r="R74" i="11" s="1"/>
  <c r="R13" i="11" s="1"/>
  <c r="R67" i="11"/>
  <c r="Q67" i="11"/>
  <c r="U65" i="11"/>
  <c r="R65" i="11"/>
  <c r="U64" i="11"/>
  <c r="R58" i="11"/>
  <c r="Q57" i="11"/>
  <c r="Q60" i="11" s="1"/>
  <c r="T53" i="11"/>
  <c r="R53" i="11"/>
  <c r="Q53" i="11"/>
  <c r="U51" i="11"/>
  <c r="S50" i="11"/>
  <c r="S53" i="11" s="1"/>
  <c r="R57" i="11" s="1"/>
  <c r="R60" i="11" s="1"/>
  <c r="R12" i="11" s="1"/>
  <c r="Q46" i="11"/>
  <c r="R43" i="11"/>
  <c r="Q43" i="11"/>
  <c r="T39" i="11"/>
  <c r="R44" i="11" s="1"/>
  <c r="S39" i="11"/>
  <c r="R39" i="11"/>
  <c r="Q39" i="11"/>
  <c r="U37" i="11"/>
  <c r="T37" i="11"/>
  <c r="U36" i="11"/>
  <c r="U39" i="11" s="1"/>
  <c r="W39" i="11" s="1"/>
  <c r="R30" i="11"/>
  <c r="R29" i="11"/>
  <c r="R32" i="11" s="1"/>
  <c r="R10" i="11" s="1"/>
  <c r="U25" i="11"/>
  <c r="W25" i="11" s="1"/>
  <c r="T25" i="11"/>
  <c r="S25" i="11"/>
  <c r="R25" i="11"/>
  <c r="Q25" i="11"/>
  <c r="Q29" i="11" s="1"/>
  <c r="U23" i="11"/>
  <c r="U22" i="11"/>
  <c r="AD34" i="1"/>
  <c r="K39" i="11"/>
  <c r="K53" i="11"/>
  <c r="K67" i="11"/>
  <c r="G93" i="4"/>
  <c r="AD56" i="1"/>
  <c r="AD49" i="1"/>
  <c r="AD48" i="1"/>
  <c r="AB50" i="1" s="1"/>
  <c r="AD50" i="1" s="1"/>
  <c r="AD41" i="1"/>
  <c r="AD40" i="1"/>
  <c r="AH40" i="1" s="1"/>
  <c r="AB36" i="1"/>
  <c r="AD36" i="1" s="1"/>
  <c r="AD37" i="1" s="1"/>
  <c r="AF25" i="1" s="1"/>
  <c r="AH34" i="1"/>
  <c r="AD35" i="1"/>
  <c r="AD28" i="1"/>
  <c r="AD55" i="1" s="1"/>
  <c r="AB57" i="1" s="1"/>
  <c r="AD57" i="1" s="1"/>
  <c r="AD27" i="1"/>
  <c r="AD26" i="1"/>
  <c r="AD25" i="1"/>
  <c r="AB28" i="1"/>
  <c r="Q20" i="1"/>
  <c r="Q21" i="1"/>
  <c r="P21" i="1"/>
  <c r="P20" i="1"/>
  <c r="R21" i="1"/>
  <c r="R20" i="1"/>
  <c r="R17" i="1"/>
  <c r="R16" i="1"/>
  <c r="R13" i="1"/>
  <c r="R12" i="1"/>
  <c r="R9" i="1"/>
  <c r="R8" i="1"/>
  <c r="K25" i="11"/>
  <c r="G68" i="4"/>
  <c r="G64" i="4"/>
  <c r="K62" i="4"/>
  <c r="M62" i="4"/>
  <c r="Y8" i="8"/>
  <c r="M59" i="4"/>
  <c r="G13" i="2" s="1"/>
  <c r="F14" i="6"/>
  <c r="F11" i="6"/>
  <c r="F10" i="6"/>
  <c r="F9" i="6"/>
  <c r="F8" i="6"/>
  <c r="AL27" i="6"/>
  <c r="AJ22" i="6"/>
  <c r="X22" i="6"/>
  <c r="P25" i="6"/>
  <c r="AL25" i="6" s="1"/>
  <c r="P36" i="6"/>
  <c r="AL28" i="6" s="1"/>
  <c r="P31" i="6"/>
  <c r="G49" i="4"/>
  <c r="M53" i="4"/>
  <c r="I35" i="4"/>
  <c r="U11" i="9"/>
  <c r="T36" i="9"/>
  <c r="AB42" i="1" l="1"/>
  <c r="AD42" i="1" s="1"/>
  <c r="AD44" i="1" s="1"/>
  <c r="AF26" i="1" s="1"/>
  <c r="R46" i="11"/>
  <c r="R11" i="11" s="1"/>
  <c r="R16" i="11" s="1"/>
  <c r="Q32" i="11"/>
  <c r="U50" i="11"/>
  <c r="U53" i="11" s="1"/>
  <c r="W53" i="11" s="1"/>
  <c r="AD59" i="1"/>
  <c r="AF28" i="1" s="1"/>
  <c r="AH55" i="1"/>
  <c r="AD52" i="1"/>
  <c r="AF27" i="1" s="1"/>
  <c r="AH48" i="1"/>
  <c r="P38" i="6"/>
  <c r="AK28" i="6"/>
  <c r="Z28" i="6"/>
  <c r="P26" i="6"/>
  <c r="AL26" i="6" l="1"/>
  <c r="P22" i="6"/>
  <c r="AL24" i="6" s="1"/>
  <c r="AL30" i="6" s="1"/>
  <c r="AB25" i="2"/>
  <c r="J27" i="8"/>
  <c r="J29" i="8" s="1"/>
  <c r="I54" i="4" s="1"/>
  <c r="M54" i="4" s="1"/>
  <c r="J26" i="8"/>
  <c r="J23" i="8"/>
  <c r="K61" i="4"/>
  <c r="K60" i="4"/>
  <c r="G56" i="4"/>
  <c r="M43" i="4"/>
  <c r="M41" i="4"/>
  <c r="M40" i="4"/>
  <c r="M39" i="4"/>
  <c r="M36" i="4"/>
  <c r="M35" i="4"/>
  <c r="M33" i="4"/>
  <c r="K51" i="4"/>
  <c r="K50" i="4"/>
  <c r="I50" i="4"/>
  <c r="I44" i="4"/>
  <c r="K18" i="10"/>
  <c r="G18" i="10"/>
  <c r="K16" i="10"/>
  <c r="K44" i="4"/>
  <c r="K45" i="4"/>
  <c r="U10" i="10"/>
  <c r="U9" i="10"/>
  <c r="U12" i="10" s="1"/>
  <c r="E188" i="7"/>
  <c r="K9" i="10"/>
  <c r="K10" i="10"/>
  <c r="K11" i="10"/>
  <c r="K8" i="10"/>
  <c r="G13" i="10"/>
  <c r="I37" i="4" s="1"/>
  <c r="D8" i="9"/>
  <c r="L119" i="9"/>
  <c r="L88" i="9"/>
  <c r="F119" i="9"/>
  <c r="F118" i="9"/>
  <c r="D107" i="9"/>
  <c r="D103" i="9"/>
  <c r="D99" i="9"/>
  <c r="D95" i="9"/>
  <c r="D91" i="9"/>
  <c r="D87" i="9"/>
  <c r="D80" i="9"/>
  <c r="D66" i="9"/>
  <c r="D55" i="9"/>
  <c r="D43" i="9"/>
  <c r="D30" i="9"/>
  <c r="D15" i="9"/>
  <c r="H111" i="9"/>
  <c r="J111" i="9" s="1"/>
  <c r="F111" i="9"/>
  <c r="AA18" i="9"/>
  <c r="F115" i="9"/>
  <c r="F114" i="9"/>
  <c r="F113" i="9"/>
  <c r="W29" i="9"/>
  <c r="T29" i="9"/>
  <c r="O29" i="9"/>
  <c r="X11" i="9" s="1"/>
  <c r="Z5" i="9"/>
  <c r="Z6" i="9"/>
  <c r="Z7" i="9"/>
  <c r="Z8" i="9"/>
  <c r="Z9" i="9"/>
  <c r="Z10" i="9"/>
  <c r="Z11" i="9"/>
  <c r="Z12" i="9"/>
  <c r="Z13" i="9"/>
  <c r="Z14" i="9"/>
  <c r="Z15" i="9"/>
  <c r="Z4" i="9"/>
  <c r="W19" i="9"/>
  <c r="W18" i="9"/>
  <c r="T19" i="9"/>
  <c r="T18" i="9"/>
  <c r="O19" i="9"/>
  <c r="O18" i="9"/>
  <c r="G111" i="9"/>
  <c r="I111" i="9"/>
  <c r="R28" i="6" l="1"/>
  <c r="U13" i="10"/>
  <c r="Y12" i="10"/>
  <c r="I51" i="4" s="1"/>
  <c r="U14" i="9"/>
  <c r="U12" i="9"/>
  <c r="U10" i="9"/>
  <c r="U13" i="9"/>
  <c r="X12" i="9"/>
  <c r="U16" i="9"/>
  <c r="X4" i="9"/>
  <c r="P11" i="9"/>
  <c r="P10" i="9"/>
  <c r="X13" i="9"/>
  <c r="P8" i="9"/>
  <c r="X14" i="9"/>
  <c r="P7" i="9"/>
  <c r="X15" i="9"/>
  <c r="F117" i="9"/>
  <c r="P6" i="9"/>
  <c r="H115" i="9"/>
  <c r="U15" i="9"/>
  <c r="P13" i="9"/>
  <c r="P12" i="9"/>
  <c r="X5" i="9"/>
  <c r="P9" i="9"/>
  <c r="P5" i="9"/>
  <c r="Z18" i="9"/>
  <c r="U9" i="9"/>
  <c r="P16" i="9"/>
  <c r="X6" i="9"/>
  <c r="U4" i="9"/>
  <c r="X7" i="9"/>
  <c r="U5" i="9"/>
  <c r="X8" i="9"/>
  <c r="P4" i="9"/>
  <c r="U6" i="9"/>
  <c r="X9" i="9"/>
  <c r="P15" i="9"/>
  <c r="U7" i="9"/>
  <c r="X10" i="9"/>
  <c r="P14" i="9"/>
  <c r="U8" i="9"/>
  <c r="U14" i="10" l="1"/>
  <c r="I45" i="4" s="1"/>
  <c r="M47" i="4" s="1"/>
  <c r="I38" i="4"/>
  <c r="M38" i="4" s="1"/>
  <c r="AA15" i="9"/>
  <c r="AA11" i="9"/>
  <c r="AA12" i="9"/>
  <c r="AA9" i="9"/>
  <c r="AA13" i="9"/>
  <c r="U19" i="9"/>
  <c r="U18" i="9"/>
  <c r="AA6" i="9"/>
  <c r="AA8" i="9"/>
  <c r="AA14" i="9"/>
  <c r="AA10" i="9"/>
  <c r="AA7" i="9"/>
  <c r="X18" i="9"/>
  <c r="X19" i="9"/>
  <c r="AA5" i="9"/>
  <c r="P19" i="9"/>
  <c r="P18" i="9"/>
  <c r="AA4" i="9"/>
  <c r="Y15" i="8" l="1"/>
  <c r="I24" i="4"/>
  <c r="T24" i="7"/>
  <c r="T26" i="7" s="1"/>
  <c r="G9" i="11"/>
  <c r="I14" i="4"/>
  <c r="I23" i="4" s="1"/>
  <c r="AA25" i="7" l="1"/>
  <c r="AA24" i="7"/>
  <c r="AA23" i="7"/>
  <c r="AA22" i="7"/>
  <c r="AA26" i="7" s="1"/>
  <c r="AA19" i="7"/>
  <c r="J16" i="8" l="1"/>
  <c r="H15" i="8"/>
  <c r="F8" i="8"/>
  <c r="J8" i="8" s="1"/>
  <c r="F9" i="8"/>
  <c r="J9" i="8" s="1"/>
  <c r="F7" i="8"/>
  <c r="J7" i="8" s="1"/>
  <c r="F13" i="8"/>
  <c r="J13" i="8" s="1"/>
  <c r="K24" i="4"/>
  <c r="K23" i="4"/>
  <c r="I61" i="4"/>
  <c r="J15" i="8" l="1"/>
  <c r="J18" i="8" s="1"/>
  <c r="I32" i="4" s="1"/>
  <c r="F15" i="8"/>
  <c r="M32" i="4" l="1"/>
  <c r="P7" i="7"/>
  <c r="O7" i="7"/>
  <c r="N12" i="7"/>
  <c r="N11" i="7"/>
  <c r="E18" i="3"/>
  <c r="I60" i="4" l="1"/>
  <c r="G12" i="2" s="1"/>
  <c r="AE91" i="3" l="1"/>
  <c r="Z91" i="3"/>
  <c r="AE24" i="3"/>
  <c r="H182" i="7" l="1"/>
  <c r="G182" i="7"/>
  <c r="A182" i="7"/>
  <c r="E182" i="7"/>
  <c r="G67" i="11"/>
  <c r="F71" i="11" s="1"/>
  <c r="H67" i="11"/>
  <c r="F72" i="11" s="1"/>
  <c r="H72" i="11" s="1"/>
  <c r="E67" i="11"/>
  <c r="F65" i="11"/>
  <c r="F67" i="11" s="1"/>
  <c r="H53" i="11"/>
  <c r="H58" i="11" s="1"/>
  <c r="I51" i="11"/>
  <c r="G50" i="11"/>
  <c r="G53" i="11" s="1"/>
  <c r="F53" i="11"/>
  <c r="E53" i="11"/>
  <c r="E57" i="11" s="1"/>
  <c r="I36" i="11"/>
  <c r="I65" i="11"/>
  <c r="I64" i="11"/>
  <c r="E74" i="11"/>
  <c r="H37" i="11"/>
  <c r="H39" i="11" s="1"/>
  <c r="F44" i="11" s="1"/>
  <c r="H44" i="11" s="1"/>
  <c r="G39" i="11"/>
  <c r="F43" i="11" s="1"/>
  <c r="F39" i="11"/>
  <c r="E39" i="11"/>
  <c r="E43" i="11" s="1"/>
  <c r="F25" i="11"/>
  <c r="G25" i="11"/>
  <c r="F29" i="11" s="1"/>
  <c r="H25" i="11"/>
  <c r="F30" i="11" s="1"/>
  <c r="H30" i="11" s="1"/>
  <c r="E25" i="11"/>
  <c r="E29" i="11" s="1"/>
  <c r="I23" i="11"/>
  <c r="I22" i="11"/>
  <c r="I25" i="11" s="1"/>
  <c r="I37" i="11" l="1"/>
  <c r="I39" i="11" s="1"/>
  <c r="F60" i="11"/>
  <c r="F7" i="11" s="1"/>
  <c r="F74" i="11"/>
  <c r="F8" i="11" s="1"/>
  <c r="I50" i="11"/>
  <c r="I53" i="11" s="1"/>
  <c r="I67" i="11"/>
  <c r="E60" i="11"/>
  <c r="H71" i="11"/>
  <c r="H74" i="11" s="1"/>
  <c r="G8" i="11" s="1"/>
  <c r="H57" i="11"/>
  <c r="H60" i="11" s="1"/>
  <c r="G7" i="11" s="1"/>
  <c r="F46" i="11"/>
  <c r="F6" i="11" s="1"/>
  <c r="E46" i="11"/>
  <c r="H43" i="11"/>
  <c r="H46" i="11" s="1"/>
  <c r="G6" i="11" s="1"/>
  <c r="E32" i="11"/>
  <c r="H29" i="11"/>
  <c r="H32" i="11" s="1"/>
  <c r="G5" i="11" s="1"/>
  <c r="F32" i="11"/>
  <c r="F5" i="11" s="1"/>
  <c r="G11" i="11" l="1"/>
  <c r="H8" i="11"/>
  <c r="F11" i="11"/>
  <c r="G132" i="7" l="1"/>
  <c r="H132" i="7"/>
  <c r="F132" i="7"/>
  <c r="G10" i="7"/>
  <c r="N10" i="7" l="1"/>
  <c r="N5" i="7"/>
  <c r="N6" i="7"/>
  <c r="N7" i="7"/>
  <c r="N8" i="7"/>
  <c r="N4" i="7"/>
  <c r="C10" i="7"/>
  <c r="D10" i="7"/>
  <c r="E10" i="7"/>
  <c r="F10" i="7"/>
  <c r="H10" i="7"/>
  <c r="I10" i="7"/>
  <c r="J10" i="7"/>
  <c r="K10" i="7"/>
  <c r="L10" i="7"/>
  <c r="M10" i="7"/>
  <c r="B10" i="7"/>
  <c r="F182" i="7"/>
  <c r="J182" i="7"/>
  <c r="I182" i="7"/>
  <c r="D147" i="7"/>
  <c r="A132" i="7"/>
  <c r="M130" i="7"/>
  <c r="D129" i="7"/>
  <c r="M129" i="7" s="1"/>
  <c r="G128" i="7"/>
  <c r="M128" i="7" s="1"/>
  <c r="F127" i="7"/>
  <c r="M127" i="7" s="1"/>
  <c r="K126" i="7"/>
  <c r="M126" i="7" s="1"/>
  <c r="F125" i="7"/>
  <c r="M125" i="7" s="1"/>
  <c r="J124" i="7"/>
  <c r="M124" i="7" s="1"/>
  <c r="J123" i="7"/>
  <c r="M123" i="7" s="1"/>
  <c r="K122" i="7"/>
  <c r="M122" i="7" s="1"/>
  <c r="E121" i="7"/>
  <c r="M121" i="7" s="1"/>
  <c r="J120" i="7"/>
  <c r="M120" i="7" s="1"/>
  <c r="J119" i="7"/>
  <c r="M119" i="7" s="1"/>
  <c r="J118" i="7"/>
  <c r="M118" i="7" s="1"/>
  <c r="F117" i="7"/>
  <c r="M117" i="7" s="1"/>
  <c r="I116" i="7"/>
  <c r="M116" i="7" s="1"/>
  <c r="D115" i="7"/>
  <c r="M115" i="7" s="1"/>
  <c r="H114" i="7"/>
  <c r="M114" i="7" s="1"/>
  <c r="G113" i="7"/>
  <c r="M113" i="7" s="1"/>
  <c r="K112" i="7"/>
  <c r="M112" i="7" s="1"/>
  <c r="E111" i="7"/>
  <c r="M111" i="7" s="1"/>
  <c r="K110" i="7"/>
  <c r="M110" i="7" s="1"/>
  <c r="M109" i="7"/>
  <c r="K109" i="7"/>
  <c r="E108" i="7"/>
  <c r="M108" i="7" s="1"/>
  <c r="E107" i="7"/>
  <c r="M107" i="7" s="1"/>
  <c r="K106" i="7"/>
  <c r="M106" i="7" s="1"/>
  <c r="K105" i="7"/>
  <c r="M105" i="7" s="1"/>
  <c r="J104" i="7"/>
  <c r="M104" i="7" s="1"/>
  <c r="M103" i="7"/>
  <c r="D102" i="7"/>
  <c r="M102" i="7" s="1"/>
  <c r="J101" i="7"/>
  <c r="M101" i="7" s="1"/>
  <c r="M100" i="7"/>
  <c r="K99" i="7"/>
  <c r="M99" i="7" s="1"/>
  <c r="D98" i="7"/>
  <c r="M98" i="7" s="1"/>
  <c r="J97" i="7"/>
  <c r="M97" i="7" s="1"/>
  <c r="J96" i="7"/>
  <c r="M96" i="7" s="1"/>
  <c r="J95" i="7"/>
  <c r="M95" i="7" s="1"/>
  <c r="E94" i="7"/>
  <c r="M94" i="7" s="1"/>
  <c r="E93" i="7"/>
  <c r="M93" i="7" s="1"/>
  <c r="K92" i="7"/>
  <c r="M92" i="7" s="1"/>
  <c r="K91" i="7"/>
  <c r="M91" i="7" s="1"/>
  <c r="E90" i="7"/>
  <c r="M90" i="7" s="1"/>
  <c r="K89" i="7"/>
  <c r="M89" i="7" s="1"/>
  <c r="K88" i="7"/>
  <c r="M88" i="7" s="1"/>
  <c r="K87" i="7"/>
  <c r="M87" i="7" s="1"/>
  <c r="M86" i="7"/>
  <c r="D85" i="7"/>
  <c r="M85" i="7" s="1"/>
  <c r="F84" i="7"/>
  <c r="M84" i="7" s="1"/>
  <c r="G83" i="7"/>
  <c r="M83" i="7" s="1"/>
  <c r="H82" i="7"/>
  <c r="M82" i="7" s="1"/>
  <c r="I81" i="7"/>
  <c r="M81" i="7" s="1"/>
  <c r="J80" i="7"/>
  <c r="M80" i="7" s="1"/>
  <c r="J79" i="7"/>
  <c r="M79" i="7" s="1"/>
  <c r="J78" i="7"/>
  <c r="M78" i="7" s="1"/>
  <c r="M77" i="7"/>
  <c r="F76" i="7"/>
  <c r="M76" i="7" s="1"/>
  <c r="G75" i="7"/>
  <c r="M75" i="7" s="1"/>
  <c r="H74" i="7"/>
  <c r="M74" i="7" s="1"/>
  <c r="I73" i="7"/>
  <c r="M73" i="7" s="1"/>
  <c r="D72" i="7"/>
  <c r="M72" i="7" s="1"/>
  <c r="J71" i="7"/>
  <c r="M71" i="7" s="1"/>
  <c r="J70" i="7"/>
  <c r="M70" i="7" s="1"/>
  <c r="E69" i="7"/>
  <c r="M69" i="7" s="1"/>
  <c r="E68" i="7"/>
  <c r="M68" i="7" s="1"/>
  <c r="L67" i="7"/>
  <c r="M67" i="7" s="1"/>
  <c r="L66" i="7"/>
  <c r="L132" i="7" s="1"/>
  <c r="K65" i="7"/>
  <c r="M65" i="7" s="1"/>
  <c r="M64" i="7"/>
  <c r="K64" i="7"/>
  <c r="K63" i="7"/>
  <c r="M62" i="7"/>
  <c r="F61" i="7"/>
  <c r="M61" i="7" s="1"/>
  <c r="G60" i="7"/>
  <c r="M60" i="7" s="1"/>
  <c r="D59" i="7"/>
  <c r="M59" i="7" s="1"/>
  <c r="I58" i="7"/>
  <c r="M58" i="7" s="1"/>
  <c r="M57" i="7"/>
  <c r="J56" i="7"/>
  <c r="M56" i="7" s="1"/>
  <c r="M55" i="7"/>
  <c r="I54" i="7"/>
  <c r="M54" i="7" s="1"/>
  <c r="D53" i="7"/>
  <c r="M53" i="7" s="1"/>
  <c r="F52" i="7"/>
  <c r="M52" i="7" s="1"/>
  <c r="J51" i="7"/>
  <c r="G50" i="7"/>
  <c r="M50" i="7" s="1"/>
  <c r="H49" i="7"/>
  <c r="M49" i="7" s="1"/>
  <c r="D48" i="7"/>
  <c r="M48" i="7" s="1"/>
  <c r="G47" i="7"/>
  <c r="M47" i="7" s="1"/>
  <c r="H46" i="7"/>
  <c r="M46" i="7" s="1"/>
  <c r="M45" i="7"/>
  <c r="I45" i="7"/>
  <c r="F44" i="7"/>
  <c r="M44" i="7" s="1"/>
  <c r="E43" i="7"/>
  <c r="H42" i="7"/>
  <c r="M42" i="7" s="1"/>
  <c r="D41" i="7"/>
  <c r="M41" i="7" s="1"/>
  <c r="F40" i="7"/>
  <c r="M40" i="7" s="1"/>
  <c r="G39" i="7"/>
  <c r="M39" i="7" s="1"/>
  <c r="I38" i="7"/>
  <c r="M38" i="7" s="1"/>
  <c r="G37" i="7"/>
  <c r="M37" i="7" s="1"/>
  <c r="D36" i="7"/>
  <c r="M36" i="7" s="1"/>
  <c r="H35" i="7"/>
  <c r="M35" i="7" s="1"/>
  <c r="I34" i="7"/>
  <c r="M34" i="7" s="1"/>
  <c r="F33" i="7"/>
  <c r="M33" i="7" s="1"/>
  <c r="G32" i="7"/>
  <c r="M32" i="7" s="1"/>
  <c r="M31" i="7"/>
  <c r="D31" i="7"/>
  <c r="M30" i="7"/>
  <c r="I30" i="7"/>
  <c r="M29" i="7"/>
  <c r="H29" i="7"/>
  <c r="F28" i="7"/>
  <c r="M28" i="7" s="1"/>
  <c r="B28" i="7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D27" i="7"/>
  <c r="M27" i="7" s="1"/>
  <c r="J132" i="7" l="1"/>
  <c r="K132" i="7"/>
  <c r="M63" i="7"/>
  <c r="I132" i="7"/>
  <c r="E132" i="7"/>
  <c r="M43" i="7"/>
  <c r="M51" i="7"/>
  <c r="D132" i="7"/>
  <c r="M66" i="7"/>
  <c r="I12" i="4" l="1"/>
  <c r="O16" i="4" s="1"/>
  <c r="G12" i="11" s="1"/>
  <c r="G14" i="11" s="1"/>
  <c r="E185" i="7"/>
  <c r="Z85" i="3"/>
  <c r="Z83" i="3"/>
  <c r="Z82" i="3"/>
  <c r="Z55" i="3"/>
  <c r="Z53" i="3"/>
  <c r="Z37" i="3"/>
  <c r="Z35" i="3"/>
  <c r="Z33" i="3"/>
  <c r="Z28" i="3"/>
  <c r="Z80" i="3"/>
  <c r="Z58" i="3"/>
  <c r="Z45" i="3"/>
  <c r="G15" i="11" l="1"/>
  <c r="I18" i="4"/>
  <c r="M18" i="4" s="1"/>
  <c r="M20" i="4" s="1"/>
  <c r="Y91" i="3"/>
  <c r="Z40" i="3"/>
  <c r="Z88" i="3"/>
  <c r="Z51" i="3"/>
  <c r="Y24" i="3"/>
  <c r="Z17" i="3"/>
  <c r="Z14" i="3"/>
  <c r="C23" i="3"/>
  <c r="C81" i="3"/>
  <c r="E49" i="3"/>
  <c r="E78" i="3"/>
  <c r="E79" i="3"/>
  <c r="E71" i="3"/>
  <c r="E65" i="3"/>
  <c r="E58" i="3"/>
  <c r="E43" i="3"/>
  <c r="E41" i="3"/>
  <c r="E39" i="3"/>
  <c r="E36" i="3"/>
  <c r="E28" i="3"/>
  <c r="E29" i="3"/>
  <c r="E30" i="3"/>
  <c r="E31" i="3"/>
  <c r="E32" i="3"/>
  <c r="E33" i="3"/>
  <c r="E34" i="3"/>
  <c r="E37" i="3"/>
  <c r="E38" i="3"/>
  <c r="E40" i="3"/>
  <c r="E42" i="3"/>
  <c r="E44" i="3"/>
  <c r="E45" i="3"/>
  <c r="E46" i="3"/>
  <c r="E50" i="3"/>
  <c r="E51" i="3"/>
  <c r="E52" i="3"/>
  <c r="E53" i="3"/>
  <c r="E54" i="3"/>
  <c r="E55" i="3"/>
  <c r="E56" i="3"/>
  <c r="E57" i="3"/>
  <c r="E59" i="3"/>
  <c r="E60" i="3"/>
  <c r="E61" i="3"/>
  <c r="E62" i="3"/>
  <c r="E63" i="3"/>
  <c r="E66" i="3"/>
  <c r="E67" i="3"/>
  <c r="E68" i="3"/>
  <c r="E69" i="3"/>
  <c r="E72" i="3"/>
  <c r="E73" i="3"/>
  <c r="E74" i="3"/>
  <c r="E75" i="3"/>
  <c r="E76" i="3"/>
  <c r="E77" i="3"/>
  <c r="E27" i="3"/>
  <c r="E81" i="3" s="1"/>
  <c r="E13" i="3"/>
  <c r="E14" i="3"/>
  <c r="E20" i="3"/>
  <c r="E21" i="3"/>
  <c r="E12" i="3"/>
  <c r="A72" i="3"/>
  <c r="A54" i="3"/>
  <c r="Z37" i="2"/>
  <c r="X37" i="2"/>
  <c r="V37" i="2"/>
  <c r="T37" i="2"/>
  <c r="R37" i="2"/>
  <c r="P37" i="2"/>
  <c r="AB40" i="2" s="1"/>
  <c r="AJ41" i="2"/>
  <c r="AJ43" i="2" s="1"/>
  <c r="AJ38" i="2"/>
  <c r="AJ40" i="2"/>
  <c r="AJ36" i="2"/>
  <c r="AB30" i="2"/>
  <c r="X35" i="2"/>
  <c r="T35" i="2"/>
  <c r="P35" i="2"/>
  <c r="Z35" i="2"/>
  <c r="V35" i="2"/>
  <c r="R35" i="2"/>
  <c r="AB27" i="2"/>
  <c r="AB28" i="2"/>
  <c r="AB29" i="2"/>
  <c r="AB26" i="2"/>
  <c r="Z23" i="2"/>
  <c r="X23" i="2"/>
  <c r="V23" i="2"/>
  <c r="T23" i="2"/>
  <c r="AB27" i="1"/>
  <c r="AB26" i="1"/>
  <c r="AB25" i="1"/>
  <c r="AH30" i="2" l="1"/>
  <c r="AB37" i="2"/>
  <c r="G6" i="2" s="1"/>
  <c r="G7" i="2" s="1"/>
  <c r="AB35" i="2"/>
  <c r="I20" i="4"/>
  <c r="H11" i="11"/>
  <c r="I11" i="11" s="1"/>
  <c r="C83" i="3"/>
  <c r="E23" i="3"/>
  <c r="E83" i="3" s="1"/>
  <c r="G96" i="4" l="1"/>
  <c r="I42" i="4" s="1"/>
  <c r="F13" i="6"/>
  <c r="H11" i="6" s="1"/>
  <c r="J11" i="6" s="1"/>
  <c r="L11" i="6" s="1"/>
  <c r="P11" i="6" s="1"/>
  <c r="M42" i="4" l="1"/>
  <c r="F16" i="6"/>
  <c r="H10" i="6"/>
  <c r="J10" i="6" s="1"/>
  <c r="L10" i="6" s="1"/>
  <c r="P10" i="6" s="1"/>
  <c r="H9" i="6"/>
  <c r="J9" i="6" s="1"/>
  <c r="L9" i="6" s="1"/>
  <c r="P9" i="6" s="1"/>
  <c r="H8" i="6"/>
  <c r="J8" i="6" s="1"/>
  <c r="L8" i="6" l="1"/>
  <c r="P8" i="6" s="1"/>
  <c r="J13" i="6"/>
  <c r="L13" i="6"/>
  <c r="H13" i="6"/>
  <c r="P13" i="6"/>
  <c r="I52" i="4" s="1"/>
  <c r="G20" i="4"/>
  <c r="G26" i="4"/>
  <c r="M23" i="4"/>
  <c r="M24" i="4"/>
  <c r="M52" i="4" l="1"/>
  <c r="G28" i="4"/>
  <c r="G58" i="4" s="1"/>
  <c r="I26" i="4" l="1"/>
  <c r="I28" i="4" s="1"/>
  <c r="M26" i="4"/>
  <c r="M28" i="4" s="1"/>
  <c r="G11" i="2" l="1"/>
  <c r="G16" i="2"/>
  <c r="Y11" i="8"/>
  <c r="Y14" i="8" s="1"/>
  <c r="Y17" i="8" s="1"/>
  <c r="I34" i="4" s="1"/>
  <c r="I49" i="4" l="1"/>
  <c r="I56" i="4" s="1"/>
  <c r="I58" i="4" s="1"/>
  <c r="I64" i="4" s="1"/>
  <c r="M34" i="4"/>
  <c r="M49" i="4" s="1"/>
  <c r="M56" i="4" s="1"/>
  <c r="M58" i="4" l="1"/>
  <c r="M64" i="4" s="1"/>
  <c r="G5" i="2"/>
  <c r="G10" i="2" s="1"/>
  <c r="G15" i="2" s="1"/>
  <c r="G18" i="2" s="1"/>
  <c r="G19" i="2" s="1"/>
  <c r="G8" i="1" s="1"/>
  <c r="S14" i="11" s="1"/>
  <c r="G20" i="1" l="1"/>
  <c r="G16" i="1"/>
  <c r="I16" i="1" s="1"/>
  <c r="S57" i="11" s="1"/>
  <c r="T57" i="11" s="1"/>
  <c r="I8" i="1"/>
  <c r="S29" i="11" s="1"/>
  <c r="T29" i="11" s="1"/>
  <c r="G9" i="1"/>
  <c r="G12" i="1" s="1"/>
  <c r="U16" i="1" l="1"/>
  <c r="AH49" i="1"/>
  <c r="U8" i="1"/>
  <c r="AH35" i="1"/>
  <c r="I20" i="1"/>
  <c r="S71" i="11" s="1"/>
  <c r="T71" i="11" s="1"/>
  <c r="G21" i="1"/>
  <c r="I21" i="1" s="1"/>
  <c r="W8" i="1"/>
  <c r="Y8" i="1" s="1"/>
  <c r="I9" i="1"/>
  <c r="S30" i="11" s="1"/>
  <c r="S44" i="11" l="1"/>
  <c r="T30" i="11"/>
  <c r="T32" i="11" s="1"/>
  <c r="AH36" i="1"/>
  <c r="AH37" i="1" s="1"/>
  <c r="AH25" i="1" s="1"/>
  <c r="U9" i="1"/>
  <c r="W9" i="1" s="1"/>
  <c r="Y9" i="1" s="1"/>
  <c r="AH56" i="1"/>
  <c r="U20" i="1"/>
  <c r="W20" i="1" s="1"/>
  <c r="Y20" i="1" s="1"/>
  <c r="AH57" i="1"/>
  <c r="U21" i="1"/>
  <c r="W21" i="1" s="1"/>
  <c r="Y21" i="1" s="1"/>
  <c r="S10" i="11" l="1"/>
  <c r="W32" i="11"/>
  <c r="X32" i="11" s="1"/>
  <c r="S58" i="11"/>
  <c r="T44" i="11"/>
  <c r="AH59" i="1"/>
  <c r="AH28" i="1" s="1"/>
  <c r="AJ28" i="1" s="1"/>
  <c r="AL28" i="1" s="1"/>
  <c r="AJ25" i="1"/>
  <c r="AL25" i="1" s="1"/>
  <c r="S72" i="11" l="1"/>
  <c r="T72" i="11" s="1"/>
  <c r="T74" i="11" s="1"/>
  <c r="T58" i="11"/>
  <c r="T60" i="11" s="1"/>
  <c r="G13" i="1"/>
  <c r="I12" i="1"/>
  <c r="U12" i="1" l="1"/>
  <c r="AH41" i="1" s="1"/>
  <c r="S43" i="11"/>
  <c r="T43" i="11" s="1"/>
  <c r="T46" i="11" s="1"/>
  <c r="S12" i="11"/>
  <c r="W60" i="11"/>
  <c r="X60" i="11" s="1"/>
  <c r="S13" i="11"/>
  <c r="W74" i="11"/>
  <c r="X74" i="11" s="1"/>
  <c r="W12" i="1"/>
  <c r="Y12" i="1" s="1"/>
  <c r="I13" i="1"/>
  <c r="S11" i="11" l="1"/>
  <c r="W46" i="11"/>
  <c r="X46" i="11" s="1"/>
  <c r="AH42" i="1"/>
  <c r="AH44" i="1" s="1"/>
  <c r="AH26" i="1" s="1"/>
  <c r="U13" i="1"/>
  <c r="W13" i="1"/>
  <c r="Y13" i="1" s="1"/>
  <c r="S16" i="11" l="1"/>
  <c r="G17" i="1"/>
  <c r="I17" i="1" s="1"/>
  <c r="AJ26" i="1"/>
  <c r="AL26" i="1" s="1"/>
  <c r="AH50" i="1" l="1"/>
  <c r="U17" i="1"/>
  <c r="W17" i="1" s="1"/>
  <c r="Y17" i="1" s="1"/>
  <c r="W16" i="1"/>
  <c r="Y16" i="1" s="1"/>
  <c r="AH52" i="1" l="1"/>
  <c r="AH27" i="1" s="1"/>
  <c r="AJ27" i="1" s="1"/>
  <c r="AL27" i="1" s="1"/>
</calcChain>
</file>

<file path=xl/sharedStrings.xml><?xml version="1.0" encoding="utf-8"?>
<sst xmlns="http://schemas.openxmlformats.org/spreadsheetml/2006/main" count="752" uniqueCount="426">
  <si>
    <t>5/8 x 3/4-Inch Meter</t>
  </si>
  <si>
    <t>First</t>
  </si>
  <si>
    <t>gallons</t>
  </si>
  <si>
    <t>Purchased Water</t>
  </si>
  <si>
    <t>Interest Income</t>
  </si>
  <si>
    <t>Payroll Taxes</t>
  </si>
  <si>
    <t>Office Supplies</t>
  </si>
  <si>
    <t>Depreciation Expense</t>
  </si>
  <si>
    <t>Operating Revenues</t>
  </si>
  <si>
    <t>Forfeited Discounts</t>
  </si>
  <si>
    <t xml:space="preserve">Total Other Water </t>
  </si>
  <si>
    <t>Other Operating Water Revenue</t>
  </si>
  <si>
    <t>Total Operating Revenue</t>
  </si>
  <si>
    <t>Operating Expenses</t>
  </si>
  <si>
    <t>Operation and Maintenance Expenses</t>
  </si>
  <si>
    <t>Salaries and Wages - Employees</t>
  </si>
  <si>
    <t>Salaries and Wages - Officers</t>
  </si>
  <si>
    <t>Contracted Services - Accounting</t>
  </si>
  <si>
    <t>Total Oper. and Maint. Exps.</t>
  </si>
  <si>
    <t>Taxes Other Than Income</t>
  </si>
  <si>
    <t>Total Operating Expenses</t>
  </si>
  <si>
    <t>Income Available to Service Debt</t>
  </si>
  <si>
    <t>T/B</t>
  </si>
  <si>
    <t>Audit</t>
  </si>
  <si>
    <t>Adjustments</t>
  </si>
  <si>
    <t>Adjustment</t>
  </si>
  <si>
    <t>No.</t>
  </si>
  <si>
    <t>Reconcile General Ledger to Audited Trial Balance and Audit Report</t>
  </si>
  <si>
    <t>Adjusted</t>
  </si>
  <si>
    <t>Trial Balance</t>
  </si>
  <si>
    <t>Test Year</t>
  </si>
  <si>
    <t>Pro Forma</t>
  </si>
  <si>
    <t>Ref.</t>
  </si>
  <si>
    <t>Total</t>
  </si>
  <si>
    <t>Divide by: 3 Years</t>
  </si>
  <si>
    <t>Calculation of Overall Revenue Requirement and</t>
  </si>
  <si>
    <t>and Required Revenue Increase</t>
  </si>
  <si>
    <t>Principal</t>
  </si>
  <si>
    <t>Interest</t>
  </si>
  <si>
    <t>Pro Forma Operating Expenses</t>
  </si>
  <si>
    <t xml:space="preserve">Plus: </t>
  </si>
  <si>
    <t>20 Percent Debt Service Coverage</t>
  </si>
  <si>
    <t>Overall Revenue Requirement</t>
  </si>
  <si>
    <t>Less:</t>
  </si>
  <si>
    <t>Other Operating Revenues</t>
  </si>
  <si>
    <t>Less: Pro Forma Present Rate Water Sales</t>
  </si>
  <si>
    <t>Total Water Sales</t>
  </si>
  <si>
    <t>Amortize Rate Case Expense</t>
  </si>
  <si>
    <t>Estimated Rate Case Expense</t>
  </si>
  <si>
    <t>Rate Case Amortizaiton</t>
  </si>
  <si>
    <t xml:space="preserve"> Three-Year Average Debt Principal and Interest, Sch. C</t>
  </si>
  <si>
    <t>Transportation Expenses</t>
  </si>
  <si>
    <t>Net Operating Income</t>
  </si>
  <si>
    <t>Miscellaneous Expense</t>
  </si>
  <si>
    <t>(A)</t>
  </si>
  <si>
    <t>(B)</t>
  </si>
  <si>
    <t>(C)</t>
  </si>
  <si>
    <t>Difference</t>
  </si>
  <si>
    <t>Unaudited</t>
  </si>
  <si>
    <t>Miscellaneous Income</t>
  </si>
  <si>
    <t>Depreciation</t>
  </si>
  <si>
    <t>Explanation</t>
  </si>
  <si>
    <t>Salaries and Wages Employees</t>
  </si>
  <si>
    <t>Water Sales Revenue</t>
  </si>
  <si>
    <t>Postage</t>
  </si>
  <si>
    <t>Utilities</t>
  </si>
  <si>
    <t>(D)</t>
  </si>
  <si>
    <t>Interest on Customer Deposits</t>
  </si>
  <si>
    <t>Payment</t>
  </si>
  <si>
    <t>Service Fee</t>
  </si>
  <si>
    <t>Transmission and Distribution Mains</t>
  </si>
  <si>
    <t>Hydrants</t>
  </si>
  <si>
    <t>Communication - Telemetry</t>
  </si>
  <si>
    <t>Total Cost</t>
  </si>
  <si>
    <t>Cost</t>
  </si>
  <si>
    <t>Total Construction Costs</t>
  </si>
  <si>
    <t>Percent of</t>
  </si>
  <si>
    <t>Construction</t>
  </si>
  <si>
    <t>Costs</t>
  </si>
  <si>
    <t>Overhead: Engineering and Legal</t>
  </si>
  <si>
    <t>Overhead</t>
  </si>
  <si>
    <t>Allocated</t>
  </si>
  <si>
    <t>Depreciable</t>
  </si>
  <si>
    <t>Life</t>
  </si>
  <si>
    <t>Annual</t>
  </si>
  <si>
    <t>Accrual</t>
  </si>
  <si>
    <t>Water Plant Account</t>
  </si>
  <si>
    <t>Increase</t>
  </si>
  <si>
    <t>Less: Test Year</t>
  </si>
  <si>
    <t>(E)</t>
  </si>
  <si>
    <t>(F)</t>
  </si>
  <si>
    <t>Totals</t>
  </si>
  <si>
    <t>Percent</t>
  </si>
  <si>
    <t>Minimum Bill</t>
  </si>
  <si>
    <t>Per Gallon</t>
  </si>
  <si>
    <t>Water</t>
  </si>
  <si>
    <t>(G)</t>
  </si>
  <si>
    <t>(H)</t>
  </si>
  <si>
    <t>(I)</t>
  </si>
  <si>
    <t>(J)</t>
  </si>
  <si>
    <t>(K)</t>
  </si>
  <si>
    <t>(L)</t>
  </si>
  <si>
    <t>(M)</t>
  </si>
  <si>
    <t>Current</t>
  </si>
  <si>
    <t>Rates</t>
  </si>
  <si>
    <t>Percentage</t>
  </si>
  <si>
    <t>New</t>
  </si>
  <si>
    <t>Required Revenue Increase $</t>
  </si>
  <si>
    <t>Required Revenue Increase %</t>
  </si>
  <si>
    <t>1-Inch Meter</t>
  </si>
  <si>
    <t>2-Inch Meter</t>
  </si>
  <si>
    <t>Proposed</t>
  </si>
  <si>
    <t>Dollars</t>
  </si>
  <si>
    <t>Meter Size</t>
  </si>
  <si>
    <t>Average</t>
  </si>
  <si>
    <t>Monthly</t>
  </si>
  <si>
    <t>Usage</t>
  </si>
  <si>
    <t>CURRENT AND PROPOSED RATES</t>
  </si>
  <si>
    <t>Annual Report</t>
  </si>
  <si>
    <t>Employee Pensions and Benefits</t>
  </si>
  <si>
    <t>Purchased Power</t>
  </si>
  <si>
    <t>Contractual Services - Water Testing</t>
  </si>
  <si>
    <t>Amortization Expense</t>
  </si>
  <si>
    <t>USDA Bonds</t>
  </si>
  <si>
    <t>Year of Payment</t>
  </si>
  <si>
    <t>KIA Loan B22-005</t>
  </si>
  <si>
    <t>Interest and</t>
  </si>
  <si>
    <t>Total All Debts</t>
  </si>
  <si>
    <t>Insurance - Other</t>
  </si>
  <si>
    <t>Non-Utility Income</t>
  </si>
  <si>
    <t>Less: Interest Expense</t>
  </si>
  <si>
    <t>Net Income Before Contributions</t>
  </si>
  <si>
    <t>Income</t>
  </si>
  <si>
    <t>Other Income</t>
  </si>
  <si>
    <t>Services</t>
  </si>
  <si>
    <t>Sewer Billing Woodson Bend</t>
  </si>
  <si>
    <t>Statement of Income</t>
  </si>
  <si>
    <t>Bank Charges and Fees</t>
  </si>
  <si>
    <t>General Liabiltiy Insurance</t>
  </si>
  <si>
    <t>Interest Paid</t>
  </si>
  <si>
    <t>Deposits?</t>
  </si>
  <si>
    <t>Job Supplies</t>
  </si>
  <si>
    <t>Repairs and Maintenance</t>
  </si>
  <si>
    <t>Taxes and Licenses</t>
  </si>
  <si>
    <t>Advertising Expense</t>
  </si>
  <si>
    <t>Contract Services Audit</t>
  </si>
  <si>
    <t>Directors Fees</t>
  </si>
  <si>
    <t>Fringe Benefits -hlth insur</t>
  </si>
  <si>
    <t>Insurance Workers Compensation</t>
  </si>
  <si>
    <t>KRWA Fee</t>
  </si>
  <si>
    <t>Miscellaneous Expense - Sewer Charges</t>
  </si>
  <si>
    <t>Office Expenses</t>
  </si>
  <si>
    <t>Lab Services</t>
  </si>
  <si>
    <t>Office Lunch</t>
  </si>
  <si>
    <t>Printing Services</t>
  </si>
  <si>
    <t>Security</t>
  </si>
  <si>
    <t>Office Supplies Expense</t>
  </si>
  <si>
    <t>Operation and Maintenance Expense</t>
  </si>
  <si>
    <t>Other Office Expense</t>
  </si>
  <si>
    <t>Other Taxes and Licenses</t>
  </si>
  <si>
    <t>PSC Assessment</t>
  </si>
  <si>
    <t>Refunds</t>
  </si>
  <si>
    <t>Service Charge Expense</t>
  </si>
  <si>
    <t>Trans and Dist Expense</t>
  </si>
  <si>
    <t>Gas</t>
  </si>
  <si>
    <t>Maintenance Labor</t>
  </si>
  <si>
    <t>Meters and Parts</t>
  </si>
  <si>
    <t>Tank Line and Field</t>
  </si>
  <si>
    <t>Trans and Dist Maint deleted</t>
  </si>
  <si>
    <t>Transportation Expense</t>
  </si>
  <si>
    <t>Uniforms</t>
  </si>
  <si>
    <t>Utilities Expense deleted</t>
  </si>
  <si>
    <t>Wages Expense</t>
  </si>
  <si>
    <t>Payroll Expenses Taxes</t>
  </si>
  <si>
    <t>Payroll Expenses Wages</t>
  </si>
  <si>
    <t>Contract Services Accounting</t>
  </si>
  <si>
    <t>Professional Services</t>
  </si>
  <si>
    <t>Amortization</t>
  </si>
  <si>
    <t>Inventory</t>
  </si>
  <si>
    <t>Remove Sales Taxes</t>
  </si>
  <si>
    <t>Remove School Taxes</t>
  </si>
  <si>
    <t>Reclassify from Taxes to Wages</t>
  </si>
  <si>
    <t>To Correct Accrued Payroll</t>
  </si>
  <si>
    <t>Reclassify from Benefits to Wages</t>
  </si>
  <si>
    <t>Capitalize Asset</t>
  </si>
  <si>
    <t>Correct Interest Expense</t>
  </si>
  <si>
    <t>Amortize Construction Period Interest</t>
  </si>
  <si>
    <t>Accrue Accounts Payable</t>
  </si>
  <si>
    <t>Record Depreciation Expense</t>
  </si>
  <si>
    <t>To Adjust Accounts Receivable</t>
  </si>
  <si>
    <t>Record Unbilled Revenue</t>
  </si>
  <si>
    <t>To Adjust Contracted Sewer Billing Services</t>
  </si>
  <si>
    <t>To Adjust CD Balances</t>
  </si>
  <si>
    <t>To Adjust Beginning Balances</t>
  </si>
  <si>
    <t>Nonutility Income</t>
  </si>
  <si>
    <t xml:space="preserve">Maintenance Labor Contract </t>
  </si>
  <si>
    <t>General Ledge Account</t>
  </si>
  <si>
    <t>Meter</t>
  </si>
  <si>
    <t>Sold</t>
  </si>
  <si>
    <t>Tap-Ons</t>
  </si>
  <si>
    <t>Deposits</t>
  </si>
  <si>
    <t>Membership</t>
  </si>
  <si>
    <t>Reset</t>
  </si>
  <si>
    <t>December Water Sold,billed in december according to Jennifer. Meters read 8th-10th, billed 22-24, due 10th next month.</t>
  </si>
  <si>
    <t>General Ledger Revenue Accounts - Services</t>
  </si>
  <si>
    <t>General Ledger Revenue Accounts - Statement of Income</t>
  </si>
  <si>
    <t>General Ledger Revenue Accounts Sewer Billing Woodson Bend</t>
  </si>
  <si>
    <t>Tap Ons</t>
  </si>
  <si>
    <t>Memberships</t>
  </si>
  <si>
    <t>Miscellaneous</t>
  </si>
  <si>
    <t>Reconnect</t>
  </si>
  <si>
    <t>Main Repair</t>
  </si>
  <si>
    <t>Water Sold</t>
  </si>
  <si>
    <t>Sewer Charge</t>
  </si>
  <si>
    <t>Sewer Charges</t>
  </si>
  <si>
    <t>KY Sales Tax</t>
  </si>
  <si>
    <t>Late Fee</t>
  </si>
  <si>
    <t>School Tax</t>
  </si>
  <si>
    <t>Jan</t>
  </si>
  <si>
    <t>Feb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</si>
  <si>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</si>
  <si>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</si>
  <si>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</si>
  <si>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</si>
  <si>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</si>
  <si>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</si>
  <si>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</si>
  <si>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</si>
  <si>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</si>
  <si>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</si>
  <si>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Sales Tax</t>
  </si>
  <si>
    <t>5/8x3/4 Inch</t>
  </si>
  <si>
    <t>1 Inch</t>
  </si>
  <si>
    <t>2 Inch</t>
  </si>
  <si>
    <t>4 Inch</t>
  </si>
  <si>
    <t xml:space="preserve">First </t>
  </si>
  <si>
    <t>Over</t>
  </si>
  <si>
    <t>Bills</t>
  </si>
  <si>
    <t>Gallons</t>
  </si>
  <si>
    <t>First 1500</t>
  </si>
  <si>
    <t>Over 1500</t>
  </si>
  <si>
    <t>First 5000</t>
  </si>
  <si>
    <t>Over 5000</t>
  </si>
  <si>
    <t>First 20000</t>
  </si>
  <si>
    <t>Over 20000</t>
  </si>
  <si>
    <t>First 50000</t>
  </si>
  <si>
    <t>Over 50000</t>
  </si>
  <si>
    <t>Revenue by Rate Increment</t>
  </si>
  <si>
    <t>Rate</t>
  </si>
  <si>
    <t>Revenue</t>
  </si>
  <si>
    <t>Total Tap-ons</t>
  </si>
  <si>
    <t>Sales</t>
  </si>
  <si>
    <t>$$$</t>
  </si>
  <si>
    <t>Salaries and Wages Officers</t>
  </si>
  <si>
    <t>Materials and Supplies</t>
  </si>
  <si>
    <t>Contractual Services Accounting</t>
  </si>
  <si>
    <t>Contractual Services Water Testing</t>
  </si>
  <si>
    <t>Insurance Other</t>
  </si>
  <si>
    <t>Interest Expense</t>
  </si>
  <si>
    <t>Less: Adjustments to Customer Accounts</t>
  </si>
  <si>
    <t>Capitalize Asset Lawn Mower</t>
  </si>
  <si>
    <t>Office Manager</t>
  </si>
  <si>
    <t xml:space="preserve">Superintendent </t>
  </si>
  <si>
    <t>Field Employee</t>
  </si>
  <si>
    <t>Part-Time Customer Service</t>
  </si>
  <si>
    <t>Superintendent</t>
  </si>
  <si>
    <t>PT Customer Service</t>
  </si>
  <si>
    <t>Pro forma</t>
  </si>
  <si>
    <t>Wages</t>
  </si>
  <si>
    <t>Salaried Employees</t>
  </si>
  <si>
    <t>Hourly Employee</t>
  </si>
  <si>
    <t>Wage Rate</t>
  </si>
  <si>
    <t>Regular</t>
  </si>
  <si>
    <t>Current Salary</t>
  </si>
  <si>
    <t>Incentive</t>
  </si>
  <si>
    <t>Pay</t>
  </si>
  <si>
    <t>From page 96 of 111 G/L reported to Materials and Supplies in Annual Report</t>
  </si>
  <si>
    <t>Mower Capitalized with Audit Adjustment 7.</t>
  </si>
  <si>
    <t>Page 99 of 111 G/L</t>
  </si>
  <si>
    <t>Page 101 of 111 G/L</t>
  </si>
  <si>
    <t>Nonrecurring Charges per Ampstun</t>
  </si>
  <si>
    <t>Nonrecurring Charge</t>
  </si>
  <si>
    <t>Dollar Amount</t>
  </si>
  <si>
    <t>Occurrences</t>
  </si>
  <si>
    <t>Column1</t>
  </si>
  <si>
    <t>Cut Lock</t>
  </si>
  <si>
    <t xml:space="preserve">All posted to A/R.  </t>
  </si>
  <si>
    <t>Connection Turn On</t>
  </si>
  <si>
    <t xml:space="preserve"> </t>
  </si>
  <si>
    <t>Meter Test</t>
  </si>
  <si>
    <t>Re-Connection</t>
  </si>
  <si>
    <t>Meter Re-set</t>
  </si>
  <si>
    <t>$390 was posted to A/R</t>
  </si>
  <si>
    <t>Meter Relocate</t>
  </si>
  <si>
    <t>Posted to A/R.</t>
  </si>
  <si>
    <t>Returned Check</t>
  </si>
  <si>
    <t>Returned Draft</t>
  </si>
  <si>
    <t>Late Payment Charge</t>
  </si>
  <si>
    <t>Service Call/Investigation</t>
  </si>
  <si>
    <t>$1,340.00 was posted to A/R</t>
  </si>
  <si>
    <t>Deposit ($75)</t>
  </si>
  <si>
    <t>$450.00 was posted to A/R</t>
  </si>
  <si>
    <t>Deposit ($80)</t>
  </si>
  <si>
    <t>$560.00 was posted to A/R</t>
  </si>
  <si>
    <t>Tap On Fee</t>
  </si>
  <si>
    <t>Source: Tucker 12/30/25 email</t>
  </si>
  <si>
    <t>Tap on fees from Ampston includes 30 tap fees when only 29 were reported in g/l.</t>
  </si>
  <si>
    <t>Reconnection Fees</t>
  </si>
  <si>
    <t>Meter Reset</t>
  </si>
  <si>
    <t>Returned Check Fee</t>
  </si>
  <si>
    <t>Meter Relocation</t>
  </si>
  <si>
    <t>Connection Turn-on Fees</t>
  </si>
  <si>
    <t>Number of</t>
  </si>
  <si>
    <t>Occurences</t>
  </si>
  <si>
    <t>Total Billing Analysis</t>
  </si>
  <si>
    <t>Billing Analysis Adjustment $</t>
  </si>
  <si>
    <t>Billing Analysis Adjustment %</t>
  </si>
  <si>
    <t>Less: Adjusted Test-Year Billed Basis</t>
  </si>
  <si>
    <t>Billing Analysis</t>
  </si>
  <si>
    <t>Meter Size:</t>
  </si>
  <si>
    <t>5/8x3/4 Inch Meters</t>
  </si>
  <si>
    <t>1-Inch Meters</t>
  </si>
  <si>
    <t>2-Inch Meters</t>
  </si>
  <si>
    <t>4-Inch Meters</t>
  </si>
  <si>
    <t>Test-Year</t>
  </si>
  <si>
    <t>Hours</t>
  </si>
  <si>
    <t>Monthly Health Insurance Paid by Bronston</t>
  </si>
  <si>
    <t>Total Monthly Insurance Premiums</t>
  </si>
  <si>
    <t>Times: 12 Months</t>
  </si>
  <si>
    <t>1 Single Plan</t>
  </si>
  <si>
    <t>Premium</t>
  </si>
  <si>
    <t>Reimbursements for Property Damage (Locks)</t>
  </si>
  <si>
    <t>Wages related</t>
  </si>
  <si>
    <t>12 months end 12/16/24</t>
  </si>
  <si>
    <t>12 months end 1/9/25</t>
  </si>
  <si>
    <t>Large Meter</t>
  </si>
  <si>
    <t>Small Meter</t>
  </si>
  <si>
    <t>HWY 790 Meter</t>
  </si>
  <si>
    <t>Not Provided</t>
  </si>
  <si>
    <t>Taken from 12/10/25 Monticello Bill to Bronston</t>
  </si>
  <si>
    <t>Charge</t>
  </si>
  <si>
    <t>Rate per gallon</t>
  </si>
  <si>
    <t>`</t>
  </si>
  <si>
    <t>Vendor</t>
  </si>
  <si>
    <t>Description</t>
  </si>
  <si>
    <t>Useful</t>
  </si>
  <si>
    <t>Estimated</t>
  </si>
  <si>
    <t>Browns Installation</t>
  </si>
  <si>
    <t>Larry Todd Plumbing</t>
  </si>
  <si>
    <t>Water Heater</t>
  </si>
  <si>
    <t>Rodney Emerson</t>
  </si>
  <si>
    <t>Flooring and Installation</t>
  </si>
  <si>
    <t>MJK Seal Coating</t>
  </si>
  <si>
    <t>Seal Parking Lot</t>
  </si>
  <si>
    <t>Remove</t>
  </si>
  <si>
    <t>Cost From</t>
  </si>
  <si>
    <t>Expenses</t>
  </si>
  <si>
    <t>Total Tap Fees</t>
  </si>
  <si>
    <t>Tap-On Fee</t>
  </si>
  <si>
    <t>Times: 29 Meter Installations</t>
  </si>
  <si>
    <t>Total Estimated Installation Costs</t>
  </si>
  <si>
    <t xml:space="preserve">Less: Amount Capitalized Audit Adjustment </t>
  </si>
  <si>
    <t>Additional to Capitalize for Rate-Making Purposes</t>
  </si>
  <si>
    <t>Contractual Services</t>
  </si>
  <si>
    <t>Remove Evenly From: Materials and Supplies</t>
  </si>
  <si>
    <t>(N)</t>
  </si>
  <si>
    <t>Cost Removed from Materials and Supplies Expenses</t>
  </si>
  <si>
    <t>Misc. and General Expenses</t>
  </si>
  <si>
    <t>Materials and Supplies Expense:</t>
  </si>
  <si>
    <t>Miscellaneous Expenses:</t>
  </si>
  <si>
    <t>Lee's Seamless Gutters</t>
  </si>
  <si>
    <t>Construct awning over drive-up window</t>
  </si>
  <si>
    <t>Construct customer service station</t>
  </si>
  <si>
    <t xml:space="preserve">  and bathroom cabinet</t>
  </si>
  <si>
    <t>(O)</t>
  </si>
  <si>
    <t>(P)</t>
  </si>
  <si>
    <t>(Q)</t>
  </si>
  <si>
    <t>Employee Wages</t>
  </si>
  <si>
    <t>Times: FICA Tax Rate</t>
  </si>
  <si>
    <t>Pro forma FICA Taxes</t>
  </si>
  <si>
    <t>New Plant KPSC Case No. 2024-00076</t>
  </si>
  <si>
    <t>Contract No. 1</t>
  </si>
  <si>
    <t>Transmission and Distribution Main</t>
  </si>
  <si>
    <t>Total cost</t>
  </si>
  <si>
    <t>Telemetry</t>
  </si>
  <si>
    <t>Flush Hydrants and Blowoff Assemblies</t>
  </si>
  <si>
    <t>Pressure Reducing Station</t>
  </si>
  <si>
    <t>Bid Tabs and Contract No. 1 Exhibits H and I, 2024-00076 Application</t>
  </si>
  <si>
    <t>Alternate No. 1</t>
  </si>
  <si>
    <t>Alternate No. 2</t>
  </si>
  <si>
    <t>Recalculated</t>
  </si>
  <si>
    <t>Actual Charge</t>
  </si>
  <si>
    <t>Wrong usage billed by Monticello 5/14/24, credits awarded june and july</t>
  </si>
  <si>
    <t>(R)</t>
  </si>
  <si>
    <t>(S)</t>
  </si>
  <si>
    <t>Grand Total Construction Cost</t>
  </si>
  <si>
    <t>Overheads</t>
  </si>
  <si>
    <t xml:space="preserve">  Adminstrative Fees</t>
  </si>
  <si>
    <t xml:space="preserve">  Legal Fees</t>
  </si>
  <si>
    <t xml:space="preserve">  Engineering Fees</t>
  </si>
  <si>
    <t xml:space="preserve">  Engineering Inspections</t>
  </si>
  <si>
    <t>Connections</t>
  </si>
  <si>
    <t>Meter Reconnections, Settings</t>
  </si>
  <si>
    <t>Exploration - Include as Overhead</t>
  </si>
  <si>
    <t>Total for Mains</t>
  </si>
  <si>
    <t>Meters</t>
  </si>
  <si>
    <t>Meters Reconnections, Settings</t>
  </si>
  <si>
    <t>Long-Term Debts</t>
  </si>
  <si>
    <t>Origination</t>
  </si>
  <si>
    <t>Original Principal</t>
  </si>
  <si>
    <t>Three-Year</t>
  </si>
  <si>
    <t>Non-Operating Income</t>
  </si>
  <si>
    <t>Plus:</t>
  </si>
  <si>
    <t>1 Family Plan</t>
  </si>
  <si>
    <t>Statement incorrectly includes 1 Employee/Child instead of 1 Employee</t>
  </si>
  <si>
    <t>Health Care Insurance:</t>
  </si>
  <si>
    <t>Short-Term Disability and Supplemental Insurance</t>
  </si>
  <si>
    <t>Bronston Water Association</t>
  </si>
  <si>
    <t>4-Inch Meter</t>
  </si>
  <si>
    <t>Revenue Required from Water Sales</t>
  </si>
  <si>
    <t>Bill At</t>
  </si>
  <si>
    <t>Consulting Fees</t>
  </si>
  <si>
    <t xml:space="preserve">Publication </t>
  </si>
  <si>
    <t>BRONSTON WATER ASSOCIATION, INC.</t>
  </si>
  <si>
    <t>Proposed Rate Billing Analysis</t>
  </si>
  <si>
    <t xml:space="preserve">Billings and Collections Jounal Entries - "Accounts Receivable" Monthly Reports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</si>
</sst>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0.00_);_(@_)"/>
    <numFmt numFmtId="166" formatCode="_(&quot;$&quot;* #,##0_);_(&quot;$&quot;* \(#,##0\);_(&quot;$&quot;* &quot;-&quot;??_);_(@_)"/>
    <numFmt numFmtId="167" formatCode="0.0000%"/>
    <numFmt numFmtId="168" formatCode="_(* #,##0.0_);_(* \(#,##0.0\);_(* &quot;-&quot;??_);_(@_)"/>
    <numFmt numFmtId="169" formatCode="0.000%"/>
    <numFmt numFmtId="170" formatCode="&quot;$&quot;#,##0.00"/>
    <numFmt numFmtId="171" formatCode="_(* #,##0.0000_);_(* \(#,##0.0000\);_(* &quot;-&quot;??_);_(@_)"/>
    <numFmt numFmtId="172" formatCode="_(* #,##0.00000_);_(* \(#,##0.00000\);_(* &quot;-&quot;??_);_(@_)"/>
    <numFmt numFmtId="173" formatCode="0.00000"/>
    <numFmt numFmtId="174" formatCode="_(&quot;$&quot;* #,##0.0000_);_(&quot;$&quot;* \(#,##0.0000\);_(&quot;$&quot;* &quot;-&quot;??_);_(@_)"/>
    <numFmt numFmtId="175" formatCode="_(* #,##0.0_);_(* \(#,##0.0\);_(* &quot;-&quot;?_);_(@_)"/>
    <numFmt numFmtId="176" formatCode="0.0%"/>
  </numFmts>
  <fonts count="54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"/>
      <family val="2"/>
    </font>
    <font>
      <sz val="8"/>
      <name val="Aptos Narrow"/>
      <family val="2"/>
      <scheme val="minor"/>
    </font>
    <font>
      <sz val="8"/>
      <name val="Times New Roman"/>
      <family val="1"/>
    </font>
    <font>
      <u val="singleAccounting"/>
      <sz val="8"/>
      <name val="Times New Roman"/>
      <family val="1"/>
    </font>
    <font>
      <b/>
      <sz val="8"/>
      <color rgb="FFFF0000"/>
      <name val="Times New Roman"/>
      <family val="1"/>
    </font>
    <font>
      <b/>
      <sz val="10"/>
      <color rgb="FFFF0000"/>
      <name val="Calibri Light"/>
      <family val="2"/>
    </font>
    <font>
      <sz val="10"/>
      <name val="Calibri Light"/>
      <family val="2"/>
    </font>
    <font>
      <u val="singleAccounting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44" fontId="35" fillId="0" borderId="0" applyFont="0" applyFill="0" applyBorder="0" applyAlignment="0" applyProtection="0"/>
  </cellStyleXfs>
  <cellXfs count="416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164" fontId="0" fillId="0" borderId="0" xfId="1" applyNumberFormat="1" applyFont="1" applyFill="1" applyBorder="1"/>
    <xf numFmtId="164" fontId="37" fillId="0" borderId="0" xfId="1" applyNumberFormat="1" applyFont="1"/>
    <xf numFmtId="0" fontId="37" fillId="0" borderId="0" xfId="1" applyNumberFormat="1" applyFont="1"/>
    <xf numFmtId="164" fontId="37" fillId="0" borderId="1" xfId="1" applyNumberFormat="1" applyFont="1" applyBorder="1" applyAlignment="1">
      <alignment horizontal="center"/>
    </xf>
    <xf numFmtId="164" fontId="38" fillId="0" borderId="0" xfId="1" applyNumberFormat="1" applyFont="1" applyAlignment="1">
      <alignment horizontal="center"/>
    </xf>
    <xf numFmtId="164" fontId="37" fillId="0" borderId="1" xfId="1" applyNumberFormat="1" applyFont="1" applyBorder="1"/>
    <xf numFmtId="164" fontId="38" fillId="0" borderId="0" xfId="1" applyNumberFormat="1" applyFont="1"/>
    <xf numFmtId="166" fontId="37" fillId="0" borderId="0" xfId="3" applyNumberFormat="1" applyFont="1" applyBorder="1"/>
    <xf numFmtId="164" fontId="37" fillId="0" borderId="0" xfId="1" applyNumberFormat="1" applyFont="1" applyBorder="1"/>
    <xf numFmtId="166" fontId="37" fillId="0" borderId="0" xfId="3" applyNumberFormat="1" applyFont="1"/>
    <xf numFmtId="166" fontId="37" fillId="0" borderId="3" xfId="3" applyNumberFormat="1" applyFont="1" applyBorder="1"/>
    <xf numFmtId="0" fontId="34" fillId="0" borderId="0" xfId="0" applyFont="1"/>
    <xf numFmtId="0" fontId="34" fillId="0" borderId="0" xfId="0" applyFont="1" applyAlignment="1">
      <alignment horizontal="center"/>
    </xf>
    <xf numFmtId="166" fontId="34" fillId="0" borderId="0" xfId="3" applyNumberFormat="1" applyFont="1"/>
    <xf numFmtId="164" fontId="34" fillId="0" borderId="0" xfId="1" applyNumberFormat="1" applyFont="1"/>
    <xf numFmtId="164" fontId="34" fillId="0" borderId="1" xfId="1" applyNumberFormat="1" applyFont="1" applyBorder="1"/>
    <xf numFmtId="164" fontId="34" fillId="0" borderId="0" xfId="0" applyNumberFormat="1" applyFont="1"/>
    <xf numFmtId="0" fontId="33" fillId="0" borderId="0" xfId="0" applyFont="1"/>
    <xf numFmtId="164" fontId="33" fillId="0" borderId="0" xfId="1" applyNumberFormat="1" applyFont="1" applyBorder="1"/>
    <xf numFmtId="166" fontId="33" fillId="0" borderId="0" xfId="3" applyNumberFormat="1" applyFont="1" applyBorder="1"/>
    <xf numFmtId="44" fontId="32" fillId="0" borderId="0" xfId="3" applyFont="1" applyFill="1" applyBorder="1"/>
    <xf numFmtId="164" fontId="32" fillId="0" borderId="0" xfId="1" applyNumberFormat="1" applyFont="1" applyFill="1" applyBorder="1"/>
    <xf numFmtId="43" fontId="31" fillId="0" borderId="0" xfId="1" applyFont="1"/>
    <xf numFmtId="166" fontId="31" fillId="0" borderId="0" xfId="3" applyNumberFormat="1" applyFont="1"/>
    <xf numFmtId="164" fontId="31" fillId="0" borderId="0" xfId="1" applyNumberFormat="1" applyFont="1"/>
    <xf numFmtId="166" fontId="31" fillId="0" borderId="3" xfId="3" applyNumberFormat="1" applyFont="1" applyBorder="1"/>
    <xf numFmtId="164" fontId="30" fillId="0" borderId="0" xfId="1" applyNumberFormat="1" applyFont="1"/>
    <xf numFmtId="164" fontId="30" fillId="0" borderId="0" xfId="1" applyNumberFormat="1" applyFont="1" applyBorder="1"/>
    <xf numFmtId="164" fontId="34" fillId="0" borderId="3" xfId="0" applyNumberFormat="1" applyFont="1" applyBorder="1"/>
    <xf numFmtId="10" fontId="34" fillId="0" borderId="5" xfId="2" applyNumberFormat="1" applyFont="1" applyBorder="1"/>
    <xf numFmtId="164" fontId="29" fillId="0" borderId="0" xfId="1" applyNumberFormat="1" applyFont="1"/>
    <xf numFmtId="164" fontId="28" fillId="0" borderId="0" xfId="1" applyNumberFormat="1" applyFont="1"/>
    <xf numFmtId="164" fontId="27" fillId="0" borderId="0" xfId="1" applyNumberFormat="1" applyFont="1"/>
    <xf numFmtId="0" fontId="27" fillId="0" borderId="0" xfId="0" applyFont="1"/>
    <xf numFmtId="164" fontId="26" fillId="0" borderId="0" xfId="1" applyNumberFormat="1" applyFont="1"/>
    <xf numFmtId="14" fontId="0" fillId="0" borderId="0" xfId="0" applyNumberFormat="1"/>
    <xf numFmtId="44" fontId="0" fillId="0" borderId="0" xfId="3" applyFont="1" applyBorder="1"/>
    <xf numFmtId="44" fontId="0" fillId="0" borderId="0" xfId="3" applyFont="1" applyFill="1" applyBorder="1"/>
    <xf numFmtId="166" fontId="0" fillId="0" borderId="0" xfId="0" applyNumberFormat="1"/>
    <xf numFmtId="44" fontId="0" fillId="0" borderId="0" xfId="0" applyNumberFormat="1"/>
    <xf numFmtId="43" fontId="0" fillId="0" borderId="0" xfId="1" applyFont="1" applyBorder="1"/>
    <xf numFmtId="43" fontId="0" fillId="0" borderId="0" xfId="1" applyFont="1" applyFill="1" applyBorder="1"/>
    <xf numFmtId="164" fontId="0" fillId="0" borderId="0" xfId="1" applyNumberFormat="1" applyFont="1" applyBorder="1"/>
    <xf numFmtId="166" fontId="0" fillId="0" borderId="0" xfId="3" applyNumberFormat="1" applyFont="1" applyBorder="1"/>
    <xf numFmtId="164" fontId="0" fillId="0" borderId="0" xfId="0" applyNumberFormat="1"/>
    <xf numFmtId="44" fontId="0" fillId="0" borderId="0" xfId="3" applyFont="1" applyBorder="1" applyAlignment="1">
      <alignment horizontal="center"/>
    </xf>
    <xf numFmtId="9" fontId="0" fillId="0" borderId="0" xfId="2" applyFont="1" applyBorder="1"/>
    <xf numFmtId="43" fontId="0" fillId="0" borderId="0" xfId="1" applyFont="1" applyFill="1"/>
    <xf numFmtId="164" fontId="0" fillId="0" borderId="0" xfId="1" applyNumberFormat="1" applyFont="1" applyFill="1"/>
    <xf numFmtId="43" fontId="36" fillId="0" borderId="0" xfId="1" applyFont="1" applyFill="1"/>
    <xf numFmtId="164" fontId="42" fillId="0" borderId="0" xfId="1" applyNumberFormat="1" applyFont="1" applyFill="1" applyBorder="1"/>
    <xf numFmtId="44" fontId="42" fillId="0" borderId="0" xfId="3" applyFont="1" applyFill="1" applyBorder="1"/>
    <xf numFmtId="164" fontId="32" fillId="0" borderId="0" xfId="1" applyNumberFormat="1" applyFont="1" applyFill="1" applyBorder="1" applyAlignment="1">
      <alignment horizontal="center"/>
    </xf>
    <xf numFmtId="0" fontId="32" fillId="0" borderId="0" xfId="0" applyFont="1"/>
    <xf numFmtId="17" fontId="32" fillId="0" borderId="0" xfId="1" applyNumberFormat="1" applyFont="1" applyFill="1" applyBorder="1"/>
    <xf numFmtId="44" fontId="32" fillId="0" borderId="0" xfId="0" applyNumberFormat="1" applyFont="1"/>
    <xf numFmtId="14" fontId="32" fillId="0" borderId="0" xfId="0" applyNumberFormat="1" applyFont="1"/>
    <xf numFmtId="164" fontId="32" fillId="0" borderId="0" xfId="0" applyNumberFormat="1" applyFont="1"/>
    <xf numFmtId="44" fontId="41" fillId="0" borderId="0" xfId="0" applyNumberFormat="1" applyFont="1"/>
    <xf numFmtId="14" fontId="42" fillId="0" borderId="0" xfId="0" applyNumberFormat="1" applyFont="1"/>
    <xf numFmtId="0" fontId="42" fillId="0" borderId="0" xfId="0" applyFont="1"/>
    <xf numFmtId="44" fontId="43" fillId="0" borderId="0" xfId="0" applyNumberFormat="1" applyFont="1"/>
    <xf numFmtId="43" fontId="32" fillId="0" borderId="0" xfId="1" applyFont="1" applyFill="1" applyBorder="1"/>
    <xf numFmtId="43" fontId="32" fillId="0" borderId="0" xfId="0" applyNumberFormat="1" applyFont="1"/>
    <xf numFmtId="14" fontId="32" fillId="0" borderId="0" xfId="1" applyNumberFormat="1" applyFont="1" applyFill="1" applyBorder="1"/>
    <xf numFmtId="166" fontId="32" fillId="0" borderId="0" xfId="3" applyNumberFormat="1" applyFont="1" applyFill="1" applyBorder="1"/>
    <xf numFmtId="164" fontId="24" fillId="0" borderId="0" xfId="1" applyNumberFormat="1" applyFont="1"/>
    <xf numFmtId="166" fontId="24" fillId="0" borderId="0" xfId="3" applyNumberFormat="1" applyFont="1" applyBorder="1"/>
    <xf numFmtId="164" fontId="37" fillId="0" borderId="4" xfId="1" applyNumberFormat="1" applyFont="1" applyBorder="1"/>
    <xf numFmtId="164" fontId="28" fillId="0" borderId="0" xfId="1" applyNumberFormat="1" applyFont="1" applyBorder="1"/>
    <xf numFmtId="0" fontId="33" fillId="0" borderId="0" xfId="0" applyFont="1" applyAlignment="1">
      <alignment horizontal="center"/>
    </xf>
    <xf numFmtId="164" fontId="33" fillId="0" borderId="0" xfId="1" applyNumberFormat="1" applyFont="1" applyBorder="1" applyAlignment="1">
      <alignment horizontal="center"/>
    </xf>
    <xf numFmtId="0" fontId="40" fillId="0" borderId="0" xfId="0" applyFont="1" applyAlignment="1">
      <alignment horizontal="center"/>
    </xf>
    <xf numFmtId="166" fontId="33" fillId="0" borderId="0" xfId="0" applyNumberFormat="1" applyFont="1"/>
    <xf numFmtId="43" fontId="0" fillId="0" borderId="0" xfId="1" applyFont="1" applyBorder="1" applyAlignment="1">
      <alignment horizontal="left"/>
    </xf>
    <xf numFmtId="43" fontId="0" fillId="0" borderId="0" xfId="1" applyFont="1" applyFill="1" applyBorder="1" applyAlignment="1">
      <alignment horizontal="left"/>
    </xf>
    <xf numFmtId="43" fontId="0" fillId="0" borderId="0" xfId="1" applyFont="1" applyAlignment="1">
      <alignment horizontal="left"/>
    </xf>
    <xf numFmtId="164" fontId="23" fillId="0" borderId="0" xfId="1" applyNumberFormat="1" applyFont="1"/>
    <xf numFmtId="0" fontId="0" fillId="0" borderId="1" xfId="0" applyBorder="1" applyAlignment="1">
      <alignment horizontal="center"/>
    </xf>
    <xf numFmtId="43" fontId="0" fillId="0" borderId="1" xfId="1" applyFont="1" applyBorder="1"/>
    <xf numFmtId="164" fontId="0" fillId="0" borderId="1" xfId="1" applyNumberFormat="1" applyFont="1" applyBorder="1"/>
    <xf numFmtId="164" fontId="22" fillId="0" borderId="0" xfId="1" applyNumberFormat="1" applyFont="1" applyBorder="1"/>
    <xf numFmtId="167" fontId="37" fillId="0" borderId="0" xfId="2" applyNumberFormat="1" applyFont="1"/>
    <xf numFmtId="164" fontId="34" fillId="0" borderId="0" xfId="1" applyNumberFormat="1" applyFont="1" applyBorder="1"/>
    <xf numFmtId="0" fontId="39" fillId="2" borderId="0" xfId="0" applyFont="1" applyFill="1"/>
    <xf numFmtId="3" fontId="39" fillId="2" borderId="0" xfId="0" applyNumberFormat="1" applyFont="1" applyFill="1"/>
    <xf numFmtId="6" fontId="39" fillId="2" borderId="0" xfId="0" applyNumberFormat="1" applyFont="1" applyFill="1"/>
    <xf numFmtId="41" fontId="46" fillId="0" borderId="0" xfId="0" applyNumberFormat="1" applyFont="1"/>
    <xf numFmtId="41" fontId="48" fillId="0" borderId="0" xfId="0" applyNumberFormat="1" applyFont="1"/>
    <xf numFmtId="41" fontId="0" fillId="0" borderId="0" xfId="0" applyNumberFormat="1"/>
    <xf numFmtId="41" fontId="49" fillId="0" borderId="0" xfId="0" applyNumberFormat="1" applyFont="1"/>
    <xf numFmtId="41" fontId="50" fillId="0" borderId="0" xfId="0" applyNumberFormat="1" applyFont="1"/>
    <xf numFmtId="41" fontId="50" fillId="0" borderId="0" xfId="0" quotePrefix="1" applyNumberFormat="1" applyFont="1"/>
    <xf numFmtId="43" fontId="34" fillId="0" borderId="0" xfId="1" applyFont="1"/>
    <xf numFmtId="166" fontId="34" fillId="0" borderId="0" xfId="3" applyNumberFormat="1" applyFont="1" applyBorder="1"/>
    <xf numFmtId="166" fontId="34" fillId="0" borderId="0" xfId="0" applyNumberFormat="1" applyFont="1"/>
    <xf numFmtId="8" fontId="34" fillId="0" borderId="0" xfId="0" applyNumberFormat="1" applyFont="1"/>
    <xf numFmtId="43" fontId="34" fillId="0" borderId="0" xfId="0" applyNumberFormat="1" applyFont="1"/>
    <xf numFmtId="0" fontId="19" fillId="0" borderId="0" xfId="0" applyFont="1"/>
    <xf numFmtId="43" fontId="33" fillId="0" borderId="0" xfId="1" applyFont="1" applyBorder="1"/>
    <xf numFmtId="168" fontId="33" fillId="0" borderId="0" xfId="1" applyNumberFormat="1" applyFont="1" applyBorder="1"/>
    <xf numFmtId="43" fontId="33" fillId="0" borderId="0" xfId="1" applyFont="1"/>
    <xf numFmtId="164" fontId="33" fillId="0" borderId="0" xfId="1" applyNumberFormat="1" applyFont="1"/>
    <xf numFmtId="43" fontId="40" fillId="0" borderId="0" xfId="1" applyFont="1" applyAlignment="1">
      <alignment horizontal="center"/>
    </xf>
    <xf numFmtId="0" fontId="19" fillId="0" borderId="0" xfId="0" applyFont="1" applyAlignment="1">
      <alignment horizontal="center"/>
    </xf>
    <xf numFmtId="164" fontId="33" fillId="0" borderId="0" xfId="0" applyNumberFormat="1" applyFont="1"/>
    <xf numFmtId="43" fontId="33" fillId="0" borderId="0" xfId="1" applyFont="1" applyAlignment="1"/>
    <xf numFmtId="9" fontId="33" fillId="0" borderId="0" xfId="0" applyNumberFormat="1" applyFont="1"/>
    <xf numFmtId="164" fontId="33" fillId="0" borderId="1" xfId="1" applyNumberFormat="1" applyFont="1" applyBorder="1"/>
    <xf numFmtId="164" fontId="33" fillId="0" borderId="3" xfId="1" applyNumberFormat="1" applyFont="1" applyBorder="1"/>
    <xf numFmtId="166" fontId="33" fillId="0" borderId="3" xfId="0" applyNumberFormat="1" applyFont="1" applyBorder="1"/>
    <xf numFmtId="166" fontId="33" fillId="0" borderId="3" xfId="3" applyNumberFormat="1" applyFont="1" applyBorder="1"/>
    <xf numFmtId="0" fontId="19" fillId="0" borderId="1" xfId="0" applyFont="1" applyBorder="1" applyAlignment="1">
      <alignment horizontal="center"/>
    </xf>
    <xf numFmtId="164" fontId="19" fillId="0" borderId="0" xfId="1" applyNumberFormat="1" applyFont="1"/>
    <xf numFmtId="164" fontId="19" fillId="0" borderId="0" xfId="1" applyNumberFormat="1" applyFont="1" applyFill="1" applyBorder="1"/>
    <xf numFmtId="44" fontId="19" fillId="0" borderId="0" xfId="3" applyFont="1" applyFill="1" applyBorder="1"/>
    <xf numFmtId="43" fontId="19" fillId="0" borderId="0" xfId="1" applyFont="1" applyFill="1" applyBorder="1"/>
    <xf numFmtId="44" fontId="19" fillId="0" borderId="0" xfId="3" applyFont="1" applyFill="1" applyBorder="1" applyAlignment="1">
      <alignment horizontal="center"/>
    </xf>
    <xf numFmtId="169" fontId="32" fillId="0" borderId="0" xfId="2" applyNumberFormat="1" applyFont="1" applyFill="1" applyBorder="1"/>
    <xf numFmtId="164" fontId="19" fillId="0" borderId="0" xfId="1" applyNumberFormat="1" applyFont="1" applyFill="1" applyBorder="1" applyAlignment="1">
      <alignment horizontal="center"/>
    </xf>
    <xf numFmtId="164" fontId="18" fillId="0" borderId="0" xfId="1" applyNumberFormat="1" applyFont="1"/>
    <xf numFmtId="164" fontId="44" fillId="0" borderId="0" xfId="1" applyNumberFormat="1" applyFont="1" applyAlignment="1">
      <alignment vertical="center"/>
    </xf>
    <xf numFmtId="164" fontId="28" fillId="0" borderId="0" xfId="1" applyNumberFormat="1" applyFont="1" applyBorder="1" applyAlignment="1">
      <alignment horizontal="center"/>
    </xf>
    <xf numFmtId="164" fontId="17" fillId="0" borderId="0" xfId="1" applyNumberFormat="1" applyFont="1" applyBorder="1" applyAlignment="1">
      <alignment horizontal="center"/>
    </xf>
    <xf numFmtId="44" fontId="0" fillId="0" borderId="0" xfId="3" applyFont="1"/>
    <xf numFmtId="10" fontId="0" fillId="0" borderId="0" xfId="0" applyNumberFormat="1"/>
    <xf numFmtId="172" fontId="0" fillId="0" borderId="0" xfId="1" applyNumberFormat="1" applyFont="1"/>
    <xf numFmtId="173" fontId="0" fillId="0" borderId="0" xfId="0" applyNumberFormat="1"/>
    <xf numFmtId="0" fontId="16" fillId="0" borderId="0" xfId="0" applyFont="1"/>
    <xf numFmtId="172" fontId="0" fillId="0" borderId="0" xfId="1" applyNumberFormat="1" applyFont="1" applyBorder="1"/>
    <xf numFmtId="0" fontId="0" fillId="0" borderId="1" xfId="0" applyBorder="1"/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9" xfId="0" applyBorder="1"/>
    <xf numFmtId="10" fontId="0" fillId="0" borderId="11" xfId="2" applyNumberFormat="1" applyFont="1" applyBorder="1"/>
    <xf numFmtId="0" fontId="0" fillId="0" borderId="8" xfId="0" applyBorder="1"/>
    <xf numFmtId="172" fontId="0" fillId="0" borderId="1" xfId="1" applyNumberFormat="1" applyFont="1" applyBorder="1"/>
    <xf numFmtId="10" fontId="0" fillId="0" borderId="9" xfId="2" applyNumberFormat="1" applyFont="1" applyBorder="1"/>
    <xf numFmtId="0" fontId="0" fillId="0" borderId="10" xfId="0" applyBorder="1" applyAlignment="1">
      <alignment horizontal="center"/>
    </xf>
    <xf numFmtId="43" fontId="0" fillId="0" borderId="1" xfId="0" applyNumberFormat="1" applyBorder="1"/>
    <xf numFmtId="164" fontId="14" fillId="0" borderId="0" xfId="1" applyNumberFormat="1" applyFont="1" applyBorder="1"/>
    <xf numFmtId="164" fontId="14" fillId="0" borderId="0" xfId="1" applyNumberFormat="1" applyFont="1"/>
    <xf numFmtId="43" fontId="0" fillId="0" borderId="0" xfId="1" applyFont="1" applyFill="1" applyBorder="1" applyAlignment="1">
      <alignment horizontal="center"/>
    </xf>
    <xf numFmtId="43" fontId="0" fillId="0" borderId="0" xfId="1" quotePrefix="1" applyFont="1" applyFill="1" applyBorder="1"/>
    <xf numFmtId="166" fontId="0" fillId="0" borderId="0" xfId="3" applyNumberFormat="1" applyFont="1" applyFill="1" applyBorder="1"/>
    <xf numFmtId="10" fontId="0" fillId="0" borderId="0" xfId="2" applyNumberFormat="1" applyFont="1" applyFill="1" applyBorder="1"/>
    <xf numFmtId="165" fontId="0" fillId="0" borderId="0" xfId="0" applyNumberFormat="1"/>
    <xf numFmtId="43" fontId="0" fillId="0" borderId="0" xfId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41" fontId="46" fillId="0" borderId="0" xfId="0" applyNumberFormat="1" applyFont="1" applyAlignment="1">
      <alignment horizontal="left"/>
    </xf>
    <xf numFmtId="41" fontId="46" fillId="0" borderId="0" xfId="0" applyNumberFormat="1" applyFont="1" applyAlignment="1">
      <alignment horizontal="center"/>
    </xf>
    <xf numFmtId="41" fontId="46" fillId="0" borderId="0" xfId="0" quotePrefix="1" applyNumberFormat="1" applyFont="1" applyAlignment="1">
      <alignment horizontal="centerContinuous"/>
    </xf>
    <xf numFmtId="41" fontId="46" fillId="0" borderId="0" xfId="0" quotePrefix="1" applyNumberFormat="1" applyFont="1" applyAlignment="1">
      <alignment horizontal="center"/>
    </xf>
    <xf numFmtId="41" fontId="46" fillId="0" borderId="0" xfId="0" applyNumberFormat="1" applyFont="1" applyAlignment="1">
      <alignment horizontal="centerContinuous"/>
    </xf>
    <xf numFmtId="41" fontId="46" fillId="0" borderId="0" xfId="0" applyNumberFormat="1" applyFont="1" applyAlignment="1">
      <alignment horizontal="fill"/>
    </xf>
    <xf numFmtId="41" fontId="47" fillId="0" borderId="0" xfId="0" quotePrefix="1" applyNumberFormat="1" applyFont="1" applyAlignment="1">
      <alignment horizontal="center"/>
    </xf>
    <xf numFmtId="41" fontId="47" fillId="0" borderId="0" xfId="0" applyNumberFormat="1" applyFont="1" applyAlignment="1">
      <alignment horizontal="center"/>
    </xf>
    <xf numFmtId="0" fontId="46" fillId="0" borderId="0" xfId="0" applyFont="1"/>
    <xf numFmtId="0" fontId="20" fillId="0" borderId="0" xfId="0" applyFont="1"/>
    <xf numFmtId="9" fontId="34" fillId="0" borderId="0" xfId="2" applyFont="1" applyBorder="1"/>
    <xf numFmtId="10" fontId="34" fillId="0" borderId="0" xfId="2" applyNumberFormat="1" applyFont="1" applyBorder="1"/>
    <xf numFmtId="44" fontId="34" fillId="0" borderId="0" xfId="3" applyFont="1" applyBorder="1"/>
    <xf numFmtId="43" fontId="34" fillId="0" borderId="0" xfId="1" applyFont="1" applyBorder="1"/>
    <xf numFmtId="0" fontId="39" fillId="2" borderId="0" xfId="0" applyFont="1" applyFill="1" applyAlignment="1">
      <alignment horizontal="center"/>
    </xf>
    <xf numFmtId="164" fontId="20" fillId="0" borderId="0" xfId="1" applyNumberFormat="1" applyFont="1" applyBorder="1"/>
    <xf numFmtId="0" fontId="27" fillId="0" borderId="0" xfId="0" applyFont="1" applyAlignment="1">
      <alignment horizontal="center"/>
    </xf>
    <xf numFmtId="0" fontId="13" fillId="0" borderId="0" xfId="0" applyFont="1"/>
    <xf numFmtId="0" fontId="21" fillId="0" borderId="0" xfId="0" applyFont="1"/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166" fontId="34" fillId="0" borderId="0" xfId="3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2" xfId="0" applyFont="1" applyBorder="1"/>
    <xf numFmtId="43" fontId="34" fillId="0" borderId="0" xfId="1" applyFont="1" applyBorder="1" applyAlignment="1">
      <alignment horizontal="center"/>
    </xf>
    <xf numFmtId="164" fontId="34" fillId="0" borderId="0" xfId="1" applyNumberFormat="1" applyFont="1" applyBorder="1" applyAlignment="1">
      <alignment horizontal="center"/>
    </xf>
    <xf numFmtId="164" fontId="34" fillId="0" borderId="0" xfId="1" applyNumberFormat="1" applyFont="1" applyAlignment="1">
      <alignment horizontal="center"/>
    </xf>
    <xf numFmtId="0" fontId="34" fillId="0" borderId="0" xfId="0" applyFont="1" applyAlignment="1">
      <alignment horizontal="right"/>
    </xf>
    <xf numFmtId="166" fontId="34" fillId="0" borderId="0" xfId="0" applyNumberFormat="1" applyFont="1" applyAlignment="1">
      <alignment horizontal="center"/>
    </xf>
    <xf numFmtId="43" fontId="20" fillId="0" borderId="0" xfId="1" applyFont="1" applyBorder="1" applyAlignment="1"/>
    <xf numFmtId="43" fontId="34" fillId="0" borderId="0" xfId="1" applyFont="1" applyBorder="1" applyAlignment="1"/>
    <xf numFmtId="164" fontId="13" fillId="0" borderId="1" xfId="1" applyNumberFormat="1" applyFont="1" applyBorder="1" applyAlignment="1">
      <alignment horizontal="center"/>
    </xf>
    <xf numFmtId="164" fontId="34" fillId="0" borderId="1" xfId="1" applyNumberFormat="1" applyFont="1" applyBorder="1" applyAlignment="1">
      <alignment horizontal="center"/>
    </xf>
    <xf numFmtId="164" fontId="34" fillId="0" borderId="1" xfId="1" applyNumberFormat="1" applyFont="1" applyBorder="1" applyAlignment="1"/>
    <xf numFmtId="166" fontId="34" fillId="0" borderId="3" xfId="3" applyNumberFormat="1" applyFont="1" applyBorder="1"/>
    <xf numFmtId="164" fontId="12" fillId="0" borderId="0" xfId="1" applyNumberFormat="1" applyFont="1"/>
    <xf numFmtId="43" fontId="0" fillId="0" borderId="6" xfId="1" applyFont="1" applyBorder="1" applyAlignment="1">
      <alignment horizontal="left"/>
    </xf>
    <xf numFmtId="43" fontId="0" fillId="0" borderId="7" xfId="1" applyFont="1" applyBorder="1"/>
    <xf numFmtId="43" fontId="0" fillId="0" borderId="10" xfId="1" applyFont="1" applyBorder="1" applyAlignment="1">
      <alignment horizontal="left"/>
    </xf>
    <xf numFmtId="43" fontId="0" fillId="0" borderId="11" xfId="1" applyFont="1" applyBorder="1"/>
    <xf numFmtId="43" fontId="0" fillId="0" borderId="8" xfId="1" applyFont="1" applyBorder="1" applyAlignment="1">
      <alignment horizontal="left"/>
    </xf>
    <xf numFmtId="43" fontId="0" fillId="0" borderId="9" xfId="1" applyFont="1" applyBorder="1"/>
    <xf numFmtId="43" fontId="0" fillId="0" borderId="12" xfId="1" applyFont="1" applyBorder="1"/>
    <xf numFmtId="43" fontId="0" fillId="0" borderId="13" xfId="1" applyFont="1" applyBorder="1"/>
    <xf numFmtId="43" fontId="0" fillId="0" borderId="14" xfId="1" applyFont="1" applyBorder="1"/>
    <xf numFmtId="43" fontId="0" fillId="3" borderId="0" xfId="1" applyFont="1" applyFill="1" applyBorder="1"/>
    <xf numFmtId="43" fontId="0" fillId="3" borderId="0" xfId="1" applyFont="1" applyFill="1"/>
    <xf numFmtId="0" fontId="0" fillId="0" borderId="6" xfId="0" applyBorder="1"/>
    <xf numFmtId="164" fontId="0" fillId="0" borderId="4" xfId="1" applyNumberFormat="1" applyFont="1" applyBorder="1"/>
    <xf numFmtId="0" fontId="0" fillId="0" borderId="4" xfId="0" applyBorder="1"/>
    <xf numFmtId="0" fontId="0" fillId="0" borderId="7" xfId="0" applyBorder="1"/>
    <xf numFmtId="164" fontId="0" fillId="0" borderId="11" xfId="1" applyNumberFormat="1" applyFont="1" applyBorder="1"/>
    <xf numFmtId="164" fontId="0" fillId="0" borderId="9" xfId="1" applyNumberFormat="1" applyFont="1" applyBorder="1"/>
    <xf numFmtId="44" fontId="0" fillId="0" borderId="1" xfId="3" applyFont="1" applyBorder="1"/>
    <xf numFmtId="164" fontId="0" fillId="0" borderId="7" xfId="1" applyNumberFormat="1" applyFont="1" applyBorder="1"/>
    <xf numFmtId="0" fontId="36" fillId="0" borderId="10" xfId="0" applyFont="1" applyBorder="1"/>
    <xf numFmtId="164" fontId="0" fillId="0" borderId="2" xfId="1" applyNumberFormat="1" applyFont="1" applyBorder="1"/>
    <xf numFmtId="164" fontId="0" fillId="0" borderId="15" xfId="1" applyNumberFormat="1" applyFont="1" applyBorder="1"/>
    <xf numFmtId="164" fontId="0" fillId="0" borderId="3" xfId="1" applyNumberFormat="1" applyFont="1" applyBorder="1"/>
    <xf numFmtId="44" fontId="0" fillId="0" borderId="3" xfId="3" applyFont="1" applyBorder="1"/>
    <xf numFmtId="164" fontId="51" fillId="0" borderId="4" xfId="1" applyNumberFormat="1" applyFont="1" applyBorder="1" applyAlignment="1">
      <alignment horizontal="center"/>
    </xf>
    <xf numFmtId="164" fontId="51" fillId="0" borderId="0" xfId="1" applyNumberFormat="1" applyFont="1" applyBorder="1" applyAlignment="1">
      <alignment horizontal="center"/>
    </xf>
    <xf numFmtId="164" fontId="11" fillId="0" borderId="0" xfId="1" applyNumberFormat="1" applyFont="1"/>
    <xf numFmtId="164" fontId="17" fillId="0" borderId="0" xfId="1" applyNumberFormat="1" applyFont="1" applyBorder="1"/>
    <xf numFmtId="166" fontId="28" fillId="0" borderId="0" xfId="3" applyNumberFormat="1" applyFont="1" applyBorder="1"/>
    <xf numFmtId="168" fontId="28" fillId="0" borderId="0" xfId="1" applyNumberFormat="1" applyFont="1" applyBorder="1"/>
    <xf numFmtId="164" fontId="17" fillId="0" borderId="0" xfId="1" quotePrefix="1" applyNumberFormat="1" applyFont="1" applyBorder="1" applyAlignment="1">
      <alignment horizontal="center"/>
    </xf>
    <xf numFmtId="164" fontId="16" fillId="0" borderId="0" xfId="1" applyNumberFormat="1" applyFont="1" applyBorder="1"/>
    <xf numFmtId="164" fontId="11" fillId="0" borderId="0" xfId="1" applyNumberFormat="1" applyFont="1" applyBorder="1"/>
    <xf numFmtId="164" fontId="10" fillId="0" borderId="0" xfId="1" applyNumberFormat="1" applyFont="1" applyBorder="1"/>
    <xf numFmtId="164" fontId="10" fillId="0" borderId="0" xfId="1" applyNumberFormat="1" applyFont="1"/>
    <xf numFmtId="164" fontId="0" fillId="0" borderId="1" xfId="0" applyNumberFormat="1" applyBorder="1"/>
    <xf numFmtId="164" fontId="0" fillId="0" borderId="3" xfId="0" applyNumberFormat="1" applyBorder="1"/>
    <xf numFmtId="166" fontId="0" fillId="0" borderId="3" xfId="0" applyNumberFormat="1" applyBorder="1"/>
    <xf numFmtId="0" fontId="52" fillId="0" borderId="0" xfId="0" applyFont="1" applyAlignment="1">
      <alignment horizontal="center"/>
    </xf>
    <xf numFmtId="164" fontId="9" fillId="0" borderId="0" xfId="1" applyNumberFormat="1" applyFont="1" applyBorder="1"/>
    <xf numFmtId="43" fontId="0" fillId="0" borderId="0" xfId="1" applyFont="1" applyAlignment="1">
      <alignment horizontal="right"/>
    </xf>
    <xf numFmtId="43" fontId="0" fillId="0" borderId="0" xfId="1" quotePrefix="1" applyFont="1" applyAlignment="1">
      <alignment horizontal="right"/>
    </xf>
    <xf numFmtId="44" fontId="0" fillId="0" borderId="0" xfId="3" applyFont="1" applyAlignment="1">
      <alignment horizontal="right"/>
    </xf>
    <xf numFmtId="166" fontId="0" fillId="0" borderId="0" xfId="3" applyNumberFormat="1" applyFont="1" applyFill="1" applyBorder="1" applyAlignment="1">
      <alignment horizontal="center"/>
    </xf>
    <xf numFmtId="166" fontId="0" fillId="0" borderId="0" xfId="3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43" fontId="0" fillId="0" borderId="1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1" xfId="1" applyNumberFormat="1" applyFont="1" applyFill="1" applyBorder="1"/>
    <xf numFmtId="164" fontId="0" fillId="0" borderId="1" xfId="1" applyNumberFormat="1" applyFont="1" applyBorder="1" applyAlignment="1">
      <alignment horizontal="center"/>
    </xf>
    <xf numFmtId="166" fontId="0" fillId="0" borderId="3" xfId="3" applyNumberFormat="1" applyFont="1" applyFill="1" applyBorder="1"/>
    <xf numFmtId="166" fontId="0" fillId="0" borderId="3" xfId="3" applyNumberFormat="1" applyFont="1" applyBorder="1"/>
    <xf numFmtId="164" fontId="8" fillId="0" borderId="0" xfId="1" applyNumberFormat="1" applyFont="1"/>
    <xf numFmtId="164" fontId="7" fillId="0" borderId="0" xfId="1" applyNumberFormat="1" applyFont="1"/>
    <xf numFmtId="164" fontId="7" fillId="0" borderId="0" xfId="1" applyNumberFormat="1" applyFont="1" applyBorder="1"/>
    <xf numFmtId="0" fontId="32" fillId="0" borderId="0" xfId="0" applyFont="1" applyAlignment="1">
      <alignment horizontal="center"/>
    </xf>
    <xf numFmtId="0" fontId="18" fillId="0" borderId="0" xfId="0" applyFont="1"/>
    <xf numFmtId="3" fontId="32" fillId="0" borderId="0" xfId="0" applyNumberFormat="1" applyFont="1"/>
    <xf numFmtId="169" fontId="32" fillId="0" borderId="0" xfId="0" applyNumberFormat="1" applyFont="1"/>
    <xf numFmtId="166" fontId="32" fillId="0" borderId="0" xfId="0" applyNumberFormat="1" applyFont="1"/>
    <xf numFmtId="0" fontId="18" fillId="0" borderId="0" xfId="0" applyFont="1" applyAlignment="1">
      <alignment horizontal="center"/>
    </xf>
    <xf numFmtId="44" fontId="19" fillId="0" borderId="0" xfId="0" applyNumberFormat="1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right"/>
    </xf>
    <xf numFmtId="10" fontId="32" fillId="0" borderId="0" xfId="2" applyNumberFormat="1" applyFont="1" applyFill="1" applyBorder="1"/>
    <xf numFmtId="0" fontId="25" fillId="0" borderId="0" xfId="0" applyFont="1" applyAlignment="1">
      <alignment horizontal="center"/>
    </xf>
    <xf numFmtId="0" fontId="41" fillId="0" borderId="0" xfId="0" applyFont="1" applyAlignment="1">
      <alignment horizontal="center" wrapText="1"/>
    </xf>
    <xf numFmtId="17" fontId="0" fillId="0" borderId="0" xfId="0" applyNumberFormat="1" applyAlignment="1">
      <alignment horizontal="center"/>
    </xf>
    <xf numFmtId="170" fontId="19" fillId="0" borderId="0" xfId="0" applyNumberFormat="1" applyFont="1"/>
    <xf numFmtId="3" fontId="19" fillId="0" borderId="0" xfId="0" applyNumberFormat="1" applyFont="1" applyAlignment="1">
      <alignment horizontal="right"/>
    </xf>
    <xf numFmtId="170" fontId="19" fillId="0" borderId="0" xfId="0" applyNumberFormat="1" applyFont="1" applyAlignment="1">
      <alignment horizontal="right"/>
    </xf>
    <xf numFmtId="0" fontId="17" fillId="0" borderId="0" xfId="0" applyFont="1"/>
    <xf numFmtId="43" fontId="41" fillId="0" borderId="0" xfId="1" applyFont="1" applyFill="1" applyBorder="1" applyAlignment="1">
      <alignment horizontal="center"/>
    </xf>
    <xf numFmtId="3" fontId="19" fillId="0" borderId="0" xfId="0" applyNumberFormat="1" applyFont="1" applyAlignment="1">
      <alignment horizontal="center"/>
    </xf>
    <xf numFmtId="170" fontId="19" fillId="0" borderId="0" xfId="0" applyNumberFormat="1" applyFont="1" applyAlignment="1">
      <alignment horizontal="center"/>
    </xf>
    <xf numFmtId="43" fontId="19" fillId="0" borderId="0" xfId="1" applyFont="1" applyFill="1" applyBorder="1" applyAlignment="1">
      <alignment horizontal="center" wrapText="1"/>
    </xf>
    <xf numFmtId="171" fontId="19" fillId="0" borderId="0" xfId="1" applyNumberFormat="1" applyFont="1" applyFill="1" applyBorder="1"/>
    <xf numFmtId="170" fontId="41" fillId="0" borderId="0" xfId="0" applyNumberFormat="1" applyFont="1"/>
    <xf numFmtId="3" fontId="41" fillId="0" borderId="0" xfId="0" applyNumberFormat="1" applyFont="1" applyAlignment="1">
      <alignment horizontal="center"/>
    </xf>
    <xf numFmtId="170" fontId="41" fillId="0" borderId="0" xfId="0" applyNumberFormat="1" applyFont="1" applyAlignment="1">
      <alignment horizontal="center"/>
    </xf>
    <xf numFmtId="3" fontId="19" fillId="0" borderId="0" xfId="0" applyNumberFormat="1" applyFont="1"/>
    <xf numFmtId="0" fontId="41" fillId="0" borderId="0" xfId="0" applyFont="1" applyAlignment="1">
      <alignment wrapText="1"/>
    </xf>
    <xf numFmtId="0" fontId="15" fillId="0" borderId="0" xfId="0" applyFont="1"/>
    <xf numFmtId="17" fontId="32" fillId="0" borderId="0" xfId="0" applyNumberFormat="1" applyFont="1"/>
    <xf numFmtId="170" fontId="19" fillId="0" borderId="0" xfId="3" applyNumberFormat="1" applyFont="1" applyFill="1" applyBorder="1"/>
    <xf numFmtId="14" fontId="19" fillId="0" borderId="0" xfId="0" applyNumberFormat="1" applyFont="1"/>
    <xf numFmtId="170" fontId="0" fillId="0" borderId="0" xfId="0" applyNumberFormat="1"/>
    <xf numFmtId="0" fontId="53" fillId="5" borderId="16" xfId="0" applyFont="1" applyFill="1" applyBorder="1"/>
    <xf numFmtId="170" fontId="0" fillId="0" borderId="17" xfId="0" applyNumberFormat="1" applyBorder="1"/>
    <xf numFmtId="0" fontId="0" fillId="0" borderId="17" xfId="0" applyBorder="1"/>
    <xf numFmtId="170" fontId="0" fillId="0" borderId="18" xfId="0" applyNumberFormat="1" applyBorder="1"/>
    <xf numFmtId="0" fontId="0" fillId="4" borderId="16" xfId="0" applyFill="1" applyBorder="1"/>
    <xf numFmtId="170" fontId="0" fillId="4" borderId="17" xfId="0" applyNumberFormat="1" applyFill="1" applyBorder="1"/>
    <xf numFmtId="0" fontId="0" fillId="4" borderId="17" xfId="0" applyFill="1" applyBorder="1"/>
    <xf numFmtId="170" fontId="0" fillId="4" borderId="18" xfId="0" applyNumberFormat="1" applyFill="1" applyBorder="1"/>
    <xf numFmtId="0" fontId="0" fillId="4" borderId="0" xfId="0" applyFill="1"/>
    <xf numFmtId="0" fontId="0" fillId="6" borderId="16" xfId="0" applyFill="1" applyBorder="1"/>
    <xf numFmtId="170" fontId="0" fillId="6" borderId="17" xfId="0" applyNumberFormat="1" applyFill="1" applyBorder="1"/>
    <xf numFmtId="0" fontId="0" fillId="6" borderId="17" xfId="0" applyFill="1" applyBorder="1"/>
    <xf numFmtId="170" fontId="0" fillId="6" borderId="18" xfId="0" applyNumberFormat="1" applyFill="1" applyBorder="1"/>
    <xf numFmtId="0" fontId="0" fillId="6" borderId="0" xfId="0" applyFill="1"/>
    <xf numFmtId="0" fontId="0" fillId="4" borderId="0" xfId="0" applyFill="1" applyAlignment="1">
      <alignment wrapText="1"/>
    </xf>
    <xf numFmtId="9" fontId="0" fillId="4" borderId="17" xfId="0" applyNumberFormat="1" applyFill="1" applyBorder="1"/>
    <xf numFmtId="170" fontId="0" fillId="0" borderId="19" xfId="0" applyNumberFormat="1" applyBorder="1"/>
    <xf numFmtId="0" fontId="0" fillId="0" borderId="19" xfId="0" applyBorder="1"/>
    <xf numFmtId="0" fontId="0" fillId="3" borderId="0" xfId="0" applyFill="1"/>
    <xf numFmtId="170" fontId="0" fillId="3" borderId="0" xfId="0" applyNumberFormat="1" applyFill="1"/>
    <xf numFmtId="170" fontId="0" fillId="3" borderId="1" xfId="0" applyNumberFormat="1" applyFill="1" applyBorder="1"/>
    <xf numFmtId="43" fontId="0" fillId="0" borderId="1" xfId="1" applyFont="1" applyBorder="1" applyAlignment="1">
      <alignment horizontal="center"/>
    </xf>
    <xf numFmtId="166" fontId="0" fillId="0" borderId="0" xfId="3" applyNumberFormat="1" applyFont="1"/>
    <xf numFmtId="43" fontId="37" fillId="0" borderId="0" xfId="1" applyFont="1"/>
    <xf numFmtId="167" fontId="0" fillId="0" borderId="3" xfId="2" applyNumberFormat="1" applyFont="1" applyBorder="1"/>
    <xf numFmtId="9" fontId="0" fillId="0" borderId="0" xfId="2" applyFont="1"/>
    <xf numFmtId="0" fontId="6" fillId="0" borderId="0" xfId="0" applyFont="1" applyAlignment="1">
      <alignment horizontal="center"/>
    </xf>
    <xf numFmtId="0" fontId="6" fillId="0" borderId="0" xfId="0" applyFont="1"/>
    <xf numFmtId="43" fontId="32" fillId="0" borderId="0" xfId="1" applyFont="1"/>
    <xf numFmtId="43" fontId="19" fillId="0" borderId="0" xfId="1" applyFont="1" applyAlignment="1">
      <alignment horizontal="center"/>
    </xf>
    <xf numFmtId="164" fontId="32" fillId="0" borderId="0" xfId="1" applyNumberFormat="1" applyFont="1"/>
    <xf numFmtId="164" fontId="19" fillId="0" borderId="0" xfId="1" applyNumberFormat="1" applyFont="1" applyAlignment="1"/>
    <xf numFmtId="164" fontId="19" fillId="0" borderId="0" xfId="1" applyNumberFormat="1" applyFont="1" applyAlignment="1">
      <alignment horizontal="right"/>
    </xf>
    <xf numFmtId="164" fontId="19" fillId="0" borderId="0" xfId="1" applyNumberFormat="1" applyFont="1" applyFill="1" applyBorder="1" applyAlignment="1"/>
    <xf numFmtId="164" fontId="19" fillId="0" borderId="0" xfId="1" applyNumberFormat="1" applyFont="1" applyAlignment="1">
      <alignment horizontal="center" wrapText="1"/>
    </xf>
    <xf numFmtId="164" fontId="19" fillId="0" borderId="0" xfId="1" applyNumberFormat="1" applyFont="1" applyAlignment="1">
      <alignment horizontal="center"/>
    </xf>
    <xf numFmtId="164" fontId="32" fillId="0" borderId="0" xfId="1" applyNumberFormat="1" applyFont="1" applyAlignment="1">
      <alignment horizontal="center"/>
    </xf>
    <xf numFmtId="164" fontId="25" fillId="0" borderId="0" xfId="1" applyNumberFormat="1" applyFont="1" applyAlignment="1">
      <alignment horizontal="center"/>
    </xf>
    <xf numFmtId="164" fontId="6" fillId="7" borderId="0" xfId="1" applyNumberFormat="1" applyFont="1" applyFill="1"/>
    <xf numFmtId="43" fontId="6" fillId="0" borderId="0" xfId="1" applyFont="1" applyFill="1" applyBorder="1"/>
    <xf numFmtId="44" fontId="32" fillId="0" borderId="0" xfId="3" applyFont="1"/>
    <xf numFmtId="174" fontId="32" fillId="0" borderId="0" xfId="3" applyNumberFormat="1" applyFont="1" applyFill="1" applyBorder="1"/>
    <xf numFmtId="170" fontId="6" fillId="0" borderId="0" xfId="0" applyNumberFormat="1" applyFont="1" applyAlignment="1">
      <alignment horizontal="right"/>
    </xf>
    <xf numFmtId="43" fontId="6" fillId="0" borderId="0" xfId="1" applyFont="1"/>
    <xf numFmtId="43" fontId="18" fillId="0" borderId="0" xfId="1" applyFont="1" applyAlignment="1"/>
    <xf numFmtId="43" fontId="18" fillId="0" borderId="0" xfId="1" applyFont="1" applyAlignment="1">
      <alignment horizontal="center"/>
    </xf>
    <xf numFmtId="16" fontId="6" fillId="0" borderId="0" xfId="0" quotePrefix="1" applyNumberFormat="1" applyFont="1"/>
    <xf numFmtId="164" fontId="32" fillId="3" borderId="0" xfId="1" applyNumberFormat="1" applyFont="1" applyFill="1"/>
    <xf numFmtId="0" fontId="32" fillId="3" borderId="0" xfId="0" applyFont="1" applyFill="1"/>
    <xf numFmtId="2" fontId="32" fillId="0" borderId="0" xfId="0" applyNumberFormat="1" applyFont="1"/>
    <xf numFmtId="2" fontId="32" fillId="0" borderId="0" xfId="1" applyNumberFormat="1" applyFont="1"/>
    <xf numFmtId="2" fontId="32" fillId="0" borderId="0" xfId="3" applyNumberFormat="1" applyFont="1" applyFill="1" applyBorder="1"/>
    <xf numFmtId="2" fontId="32" fillId="0" borderId="0" xfId="1" applyNumberFormat="1" applyFont="1" applyFill="1" applyBorder="1"/>
    <xf numFmtId="164" fontId="6" fillId="0" borderId="0" xfId="1" applyNumberFormat="1" applyFont="1"/>
    <xf numFmtId="164" fontId="6" fillId="0" borderId="0" xfId="1" applyNumberFormat="1" applyFont="1" applyBorder="1" applyAlignment="1">
      <alignment horizontal="center"/>
    </xf>
    <xf numFmtId="164" fontId="6" fillId="0" borderId="0" xfId="1" applyNumberFormat="1" applyFont="1" applyBorder="1"/>
    <xf numFmtId="164" fontId="6" fillId="0" borderId="0" xfId="1" applyNumberFormat="1" applyFont="1" applyAlignment="1">
      <alignment horizontal="center"/>
    </xf>
    <xf numFmtId="164" fontId="28" fillId="0" borderId="1" xfId="1" applyNumberFormat="1" applyFont="1" applyBorder="1"/>
    <xf numFmtId="166" fontId="28" fillId="0" borderId="3" xfId="3" applyNumberFormat="1" applyFont="1" applyBorder="1"/>
    <xf numFmtId="164" fontId="6" fillId="0" borderId="1" xfId="1" applyNumberFormat="1" applyFont="1" applyBorder="1" applyAlignment="1">
      <alignment horizontal="center"/>
    </xf>
    <xf numFmtId="44" fontId="28" fillId="0" borderId="0" xfId="3" applyFont="1"/>
    <xf numFmtId="164" fontId="28" fillId="0" borderId="0" xfId="1" applyNumberFormat="1" applyFont="1" applyAlignment="1">
      <alignment horizontal="center"/>
    </xf>
    <xf numFmtId="164" fontId="5" fillId="0" borderId="0" xfId="1" applyNumberFormat="1" applyFont="1"/>
    <xf numFmtId="164" fontId="17" fillId="0" borderId="0" xfId="1" applyNumberFormat="1" applyFont="1" applyBorder="1" applyAlignment="1"/>
    <xf numFmtId="168" fontId="17" fillId="0" borderId="0" xfId="1" applyNumberFormat="1" applyFont="1" applyBorder="1" applyAlignment="1"/>
    <xf numFmtId="164" fontId="6" fillId="0" borderId="1" xfId="1" applyNumberFormat="1" applyFont="1" applyBorder="1" applyAlignment="1"/>
    <xf numFmtId="164" fontId="5" fillId="0" borderId="0" xfId="1" applyNumberFormat="1" applyFont="1" applyBorder="1"/>
    <xf numFmtId="0" fontId="5" fillId="0" borderId="0" xfId="0" applyFont="1"/>
    <xf numFmtId="10" fontId="0" fillId="0" borderId="1" xfId="2" applyNumberFormat="1" applyFont="1" applyBorder="1"/>
    <xf numFmtId="164" fontId="13" fillId="0" borderId="0" xfId="1" applyNumberFormat="1" applyFont="1" applyBorder="1"/>
    <xf numFmtId="43" fontId="5" fillId="0" borderId="0" xfId="1" applyFont="1" applyBorder="1"/>
    <xf numFmtId="0" fontId="33" fillId="0" borderId="0" xfId="0" applyFont="1" applyAlignment="1">
      <alignment horizontal="left"/>
    </xf>
    <xf numFmtId="175" fontId="32" fillId="0" borderId="0" xfId="0" applyNumberFormat="1" applyFont="1"/>
    <xf numFmtId="164" fontId="32" fillId="8" borderId="0" xfId="1" applyNumberFormat="1" applyFont="1" applyFill="1"/>
    <xf numFmtId="164" fontId="4" fillId="0" borderId="0" xfId="1" applyNumberFormat="1" applyFont="1" applyFill="1" applyBorder="1"/>
    <xf numFmtId="0" fontId="4" fillId="0" borderId="0" xfId="0" applyFont="1"/>
    <xf numFmtId="0" fontId="4" fillId="8" borderId="0" xfId="0" applyFont="1" applyFill="1"/>
    <xf numFmtId="172" fontId="34" fillId="0" borderId="0" xfId="0" applyNumberFormat="1" applyFont="1"/>
    <xf numFmtId="164" fontId="3" fillId="0" borderId="0" xfId="1" applyNumberFormat="1" applyFont="1"/>
    <xf numFmtId="43" fontId="3" fillId="0" borderId="0" xfId="1" applyFont="1" applyBorder="1"/>
    <xf numFmtId="43" fontId="5" fillId="0" borderId="6" xfId="1" applyFont="1" applyBorder="1"/>
    <xf numFmtId="0" fontId="33" fillId="0" borderId="4" xfId="0" applyFont="1" applyBorder="1"/>
    <xf numFmtId="164" fontId="33" fillId="0" borderId="4" xfId="1" applyNumberFormat="1" applyFont="1" applyBorder="1"/>
    <xf numFmtId="0" fontId="33" fillId="0" borderId="7" xfId="0" applyFont="1" applyBorder="1"/>
    <xf numFmtId="43" fontId="5" fillId="0" borderId="10" xfId="1" applyFont="1" applyBorder="1"/>
    <xf numFmtId="0" fontId="33" fillId="0" borderId="11" xfId="0" applyFont="1" applyBorder="1"/>
    <xf numFmtId="43" fontId="3" fillId="0" borderId="8" xfId="1" applyFont="1" applyBorder="1"/>
    <xf numFmtId="0" fontId="33" fillId="0" borderId="1" xfId="0" applyFont="1" applyBorder="1"/>
    <xf numFmtId="0" fontId="33" fillId="0" borderId="9" xfId="0" applyFont="1" applyBorder="1"/>
    <xf numFmtId="164" fontId="3" fillId="0" borderId="1" xfId="1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164" fontId="33" fillId="0" borderId="1" xfId="0" applyNumberFormat="1" applyFont="1" applyBorder="1"/>
    <xf numFmtId="166" fontId="33" fillId="0" borderId="0" xfId="3" applyNumberFormat="1" applyFont="1"/>
    <xf numFmtId="176" fontId="33" fillId="0" borderId="0" xfId="2" applyNumberFormat="1" applyFont="1"/>
    <xf numFmtId="176" fontId="33" fillId="0" borderId="1" xfId="2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3" fontId="0" fillId="0" borderId="0" xfId="0" applyNumberFormat="1"/>
    <xf numFmtId="172" fontId="0" fillId="0" borderId="11" xfId="2" applyNumberFormat="1" applyFont="1" applyBorder="1"/>
    <xf numFmtId="3" fontId="0" fillId="0" borderId="1" xfId="0" applyNumberFormat="1" applyBorder="1"/>
    <xf numFmtId="164" fontId="1" fillId="0" borderId="0" xfId="1" applyNumberFormat="1" applyFont="1" applyBorder="1"/>
    <xf numFmtId="164" fontId="1" fillId="0" borderId="0" xfId="1" applyNumberFormat="1" applyFont="1"/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164" fontId="34" fillId="0" borderId="1" xfId="1" applyNumberFormat="1" applyFont="1" applyBorder="1" applyAlignment="1">
      <alignment horizontal="center"/>
    </xf>
    <xf numFmtId="41" fontId="46" fillId="0" borderId="0" xfId="0" applyNumberFormat="1" applyFont="1" applyAlignment="1">
      <alignment horizontal="center"/>
    </xf>
    <xf numFmtId="41" fontId="46" fillId="0" borderId="0" xfId="0" quotePrefix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6" fillId="0" borderId="1" xfId="0" applyFont="1" applyBorder="1" applyAlignment="1">
      <alignment horizontal="center"/>
    </xf>
    <xf numFmtId="164" fontId="17" fillId="0" borderId="0" xfId="1" applyNumberFormat="1" applyFont="1" applyBorder="1" applyAlignment="1">
      <alignment horizontal="center"/>
    </xf>
    <xf numFmtId="43" fontId="19" fillId="0" borderId="0" xfId="1" applyFont="1" applyFill="1" applyBorder="1" applyAlignment="1">
      <alignment horizontal="center"/>
    </xf>
    <xf numFmtId="164" fontId="19" fillId="0" borderId="0" xfId="1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3" fontId="33" fillId="0" borderId="0" xfId="1" applyFont="1" applyAlignment="1">
      <alignment horizontal="center"/>
    </xf>
    <xf numFmtId="0" fontId="19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6">
    <dxf>
      <numFmt numFmtId="170" formatCode="&quot;$&quot;#,##0.00"/>
      <border diagonalUp="0" diagonalDown="0" outline="0">
        <left/>
        <right/>
        <top style="thin">
          <color theme="0"/>
        </top>
        <bottom/>
      </border>
    </dxf>
    <dxf>
      <numFmt numFmtId="170" formatCode="&quot;$&quot;#,##0.00"/>
      <border diagonalUp="0" diagonalDown="0">
        <left/>
        <right/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border diagonalUp="0" diagonalDown="0" outline="0">
        <left/>
        <right/>
        <top style="thin">
          <color theme="0"/>
        </top>
        <bottom/>
      </border>
    </dxf>
    <dxf>
      <border diagonalUp="0" diagonalDown="0">
        <left/>
        <right/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numFmt numFmtId="170" formatCode="&quot;$&quot;#,##0.00"/>
      <border diagonalUp="0" diagonalDown="0" outline="0">
        <left/>
        <right/>
        <top style="thin">
          <color theme="0"/>
        </top>
        <bottom/>
      </border>
    </dxf>
    <dxf>
      <numFmt numFmtId="170" formatCode="&quot;$&quot;#,##0.00"/>
      <border diagonalUp="0" diagonalDown="0">
        <left/>
        <right/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1394046</xdr:colOff>
      <xdr:row>32</xdr:row>
      <xdr:rowOff>16566</xdr:rowOff>
    </xdr:from>
    <xdr:to>
      <xdr:col>10</xdr:col>
      <xdr:colOff>705595</xdr:colOff>
      <xdr:row>43</xdr:row>
      <xdr:rowOff>94185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92993F1-90E7-4076-93BA-123E100FE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4046" y="5300870"/>
          <a:ext cx="4693671" cy="2085819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24</xdr:row>
      <xdr:rowOff>0</xdr:rowOff>
    </xdr:from>
    <xdr:to>
      <xdr:col>25</xdr:col>
      <xdr:colOff>628346</xdr:colOff>
      <xdr:row>62</xdr:row>
      <xdr:rowOff>167722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8164B3-5742-C524-BA81-DB272F1B8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60457" y="4406348"/>
          <a:ext cx="4934639" cy="7116168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65</xdr:row>
      <xdr:rowOff>0</xdr:rowOff>
    </xdr:from>
    <xdr:to>
      <xdr:col>33</xdr:col>
      <xdr:colOff>245230</xdr:colOff>
      <xdr:row>108</xdr:row>
      <xdr:rowOff>54359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4809FE-343A-1FBB-AC11-913608CB4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260457" y="11893826"/>
          <a:ext cx="7582958" cy="78973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19</xdr:col>
      <xdr:colOff>516037</xdr:colOff>
      <xdr:row>47</xdr:row>
      <xdr:rowOff>55617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C326A4-6A77-F54A-6441-DA5343D83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00850"/>
          <a:ext cx="12088912" cy="26673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20</xdr:col>
      <xdr:colOff>131327</xdr:colOff>
      <xdr:row>70</xdr:row>
      <xdr:rowOff>76685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0C99D4-56B1-75D7-2F1B-1C851EB1B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601325"/>
          <a:ext cx="12803387" cy="34771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20</xdr:col>
      <xdr:colOff>131332</xdr:colOff>
      <xdr:row>77</xdr:row>
      <xdr:rowOff>169710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25C2C37-E21F-5C36-0482-276F595F5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401800"/>
          <a:ext cx="12841492" cy="11812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0</xdr:colOff>
      <xdr:row>7</xdr:row>
      <xdr:rowOff>0</xdr:rowOff>
    </xdr:from>
    <xdr:to>
      <xdr:col>58</xdr:col>
      <xdr:colOff>172494</xdr:colOff>
      <xdr:row>47</xdr:row>
      <xdr:rowOff>191649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1336D2-5C6C-8C9B-47D7-EC2116857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68825" y="2000250"/>
          <a:ext cx="7478169" cy="823074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20</xdr:col>
      <xdr:colOff>263657</xdr:colOff>
      <xdr:row>66</xdr:row>
      <xdr:rowOff>57940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44DF07-780C-1259-0147-3C9ECF392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5825" y="7058025"/>
          <a:ext cx="5496692" cy="565864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38</xdr:row>
      <xdr:rowOff>0</xdr:rowOff>
    </xdr:from>
    <xdr:to>
      <xdr:col>31</xdr:col>
      <xdr:colOff>15887</xdr:colOff>
      <xdr:row>54</xdr:row>
      <xdr:rowOff>170017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B6FEC11-1EAB-1C04-1531-C0941CC75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63275" y="7058025"/>
          <a:ext cx="4639322" cy="3381847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39</xdr:row>
      <xdr:rowOff>0</xdr:rowOff>
    </xdr:from>
    <xdr:to>
      <xdr:col>40</xdr:col>
      <xdr:colOff>360867</xdr:colOff>
      <xdr:row>58</xdr:row>
      <xdr:rowOff>172004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2504174-A28D-C18C-11A0-E765CB806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363950" y="7239000"/>
          <a:ext cx="5887272" cy="3972479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66</xdr:row>
      <xdr:rowOff>0</xdr:rowOff>
    </xdr:from>
    <xdr:to>
      <xdr:col>34</xdr:col>
      <xdr:colOff>115240</xdr:colOff>
      <xdr:row>108</xdr:row>
      <xdr:rowOff>130730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A7A8CCE-DFD8-82F9-6FA9-2D01A5A46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63275" y="12639675"/>
          <a:ext cx="6735115" cy="85260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F7054D-B0C5-4CE0-B3A5-C35C8A392D19}" name="DollarAmountSummary" displayName="DollarAmountSummary" ref="Y8:AB19" totalsRowCount="1">
  <autoFilter ref="Y8:AB18" xr:uid="{CDF7054D-B0C5-4CE0-B3A5-C35C8A392D19}"/>
  <tableColumns count="4">
    <tableColumn id="1" xr3:uid="{131CA14A-62A8-4A31-A3E2-7B073F9BB4A6}" name="Dollar Amount" dataDxfId="5" totalsRowDxfId="4"/>
    <tableColumn id="2" xr3:uid="{3CB7CAEF-44CE-4114-A9E3-EB5D16142120}" name="Occurrences" totalsRowLabel="Total" dataDxfId="3" totalsRowDxfId="2"/>
    <tableColumn id="3" xr3:uid="{33BCE05A-1329-47ED-A006-1BF00B8CAE7D}" name="Total" totalsRowFunction="custom" dataDxfId="1" totalsRowDxfId="0">
      <totalsRowFormula>SUM(DollarAmountSummary[Total])</totalsRowFormula>
    </tableColumn>
    <tableColumn id="4" xr3:uid="{C62A51E6-D11F-4B85-9F0E-7FF37D478194}" name="Column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FA0BA-B123-43A9-AEE3-001316F04620}">
  <dimension ref="A1:AL59"/>
  <sheetViews>
    <sheetView showGridLines="0" tabSelected="1" zoomScale="85" zoomScaleNormal="85" workbookViewId="0">
      <selection activeCell="Y29" sqref="Y29"/>
    </sheetView>
  </sheetViews>
  <sheetFormatPr defaultRowHeight="14.4" x14ac:dyDescent="0.3"/>
  <cols>
    <col min="2" max="2" width="10.21875" bestFit="1" customWidth="1"/>
    <col min="4" max="4" width="9.6640625" bestFit="1" customWidth="1"/>
    <col min="5" max="5" width="13.21875" customWidth="1"/>
    <col min="6" max="6" width="0.88671875" customWidth="1"/>
    <col min="7" max="7" width="10.44140625" bestFit="1" customWidth="1"/>
    <col min="8" max="8" width="0.88671875" customWidth="1"/>
    <col min="9" max="9" width="10.6640625" bestFit="1" customWidth="1"/>
    <col min="10" max="10" width="12.33203125" bestFit="1" customWidth="1"/>
    <col min="18" max="18" width="9.6640625" bestFit="1" customWidth="1"/>
    <col min="20" max="20" width="4.44140625" customWidth="1"/>
    <col min="21" max="21" width="9.6640625" bestFit="1" customWidth="1"/>
    <col min="22" max="22" width="0.88671875" customWidth="1"/>
    <col min="23" max="23" width="9.6640625" bestFit="1" customWidth="1"/>
    <col min="24" max="24" width="0.88671875" customWidth="1"/>
    <col min="28" max="28" width="17.77734375" bestFit="1" customWidth="1"/>
    <col min="29" max="29" width="0.88671875" customWidth="1"/>
    <col min="30" max="30" width="11.21875" bestFit="1" customWidth="1"/>
    <col min="31" max="31" width="0.88671875" customWidth="1"/>
    <col min="32" max="32" width="10.77734375" bestFit="1" customWidth="1"/>
    <col min="33" max="33" width="0.88671875" customWidth="1"/>
    <col min="34" max="34" width="10.77734375" bestFit="1" customWidth="1"/>
    <col min="35" max="35" width="0.88671875" customWidth="1"/>
    <col min="36" max="36" width="10" bestFit="1" customWidth="1"/>
    <col min="37" max="37" width="0.88671875" customWidth="1"/>
  </cols>
  <sheetData>
    <row r="1" spans="1:25" x14ac:dyDescent="0.3">
      <c r="O1" s="393" t="s">
        <v>117</v>
      </c>
      <c r="P1" s="394"/>
      <c r="Q1" s="394"/>
      <c r="R1" s="394"/>
      <c r="S1" s="394"/>
      <c r="T1" s="394"/>
      <c r="U1" s="394"/>
      <c r="V1" s="394"/>
      <c r="W1" s="394"/>
      <c r="X1" s="394"/>
      <c r="Y1" s="395"/>
    </row>
    <row r="2" spans="1:25" x14ac:dyDescent="0.3">
      <c r="O2" s="396" t="s">
        <v>423</v>
      </c>
      <c r="P2" s="391"/>
      <c r="Q2" s="391"/>
      <c r="R2" s="391"/>
      <c r="S2" s="391"/>
      <c r="T2" s="391"/>
      <c r="U2" s="391"/>
      <c r="V2" s="391"/>
      <c r="W2" s="391"/>
      <c r="X2" s="391"/>
      <c r="Y2" s="392"/>
    </row>
    <row r="3" spans="1:25" x14ac:dyDescent="0.3">
      <c r="O3" s="211"/>
      <c r="P3" s="213"/>
      <c r="Q3" s="213"/>
      <c r="R3" s="213"/>
      <c r="S3" s="213"/>
      <c r="T3" s="213"/>
      <c r="U3" s="213"/>
      <c r="V3" s="213"/>
      <c r="W3" s="213"/>
      <c r="X3" s="213"/>
      <c r="Y3" s="214"/>
    </row>
    <row r="4" spans="1:25" x14ac:dyDescent="0.3">
      <c r="O4" s="144"/>
      <c r="Y4" s="145"/>
    </row>
    <row r="5" spans="1:25" x14ac:dyDescent="0.3">
      <c r="D5" s="5" t="s">
        <v>103</v>
      </c>
      <c r="E5" s="5"/>
      <c r="F5" s="5"/>
      <c r="G5" s="5" t="s">
        <v>87</v>
      </c>
      <c r="H5" s="5"/>
      <c r="I5" s="5" t="s">
        <v>106</v>
      </c>
      <c r="O5" s="144"/>
      <c r="R5" s="391" t="s">
        <v>104</v>
      </c>
      <c r="S5" s="391"/>
      <c r="T5" s="391"/>
      <c r="U5" s="391"/>
      <c r="V5" s="5"/>
      <c r="W5" s="391" t="s">
        <v>57</v>
      </c>
      <c r="X5" s="391"/>
      <c r="Y5" s="392"/>
    </row>
    <row r="6" spans="1:25" x14ac:dyDescent="0.3">
      <c r="D6" s="86" t="s">
        <v>104</v>
      </c>
      <c r="E6" s="5"/>
      <c r="F6" s="5"/>
      <c r="G6" s="86" t="s">
        <v>105</v>
      </c>
      <c r="H6" s="5"/>
      <c r="I6" s="86" t="s">
        <v>104</v>
      </c>
      <c r="O6" s="144"/>
      <c r="R6" s="86" t="s">
        <v>103</v>
      </c>
      <c r="S6" s="5"/>
      <c r="T6" s="5"/>
      <c r="U6" s="86" t="s">
        <v>111</v>
      </c>
      <c r="V6" s="5"/>
      <c r="W6" s="86" t="s">
        <v>112</v>
      </c>
      <c r="Y6" s="146" t="s">
        <v>92</v>
      </c>
    </row>
    <row r="7" spans="1:25" x14ac:dyDescent="0.3">
      <c r="A7" t="s">
        <v>0</v>
      </c>
      <c r="O7" s="144" t="s">
        <v>0</v>
      </c>
      <c r="Y7" s="145"/>
    </row>
    <row r="8" spans="1:25" x14ac:dyDescent="0.3">
      <c r="A8" t="s">
        <v>1</v>
      </c>
      <c r="B8" s="1">
        <v>1500</v>
      </c>
      <c r="C8" t="s">
        <v>2</v>
      </c>
      <c r="D8" s="132">
        <v>25.81</v>
      </c>
      <c r="E8" t="s">
        <v>93</v>
      </c>
      <c r="G8" s="133">
        <f>'Rev. Req. Debt Service'!G19</f>
        <v>0.31208991900831701</v>
      </c>
      <c r="I8" s="132">
        <f>D8*(1+G8)</f>
        <v>33.865040809604665</v>
      </c>
      <c r="J8" t="s">
        <v>93</v>
      </c>
      <c r="O8" s="144" t="s">
        <v>1</v>
      </c>
      <c r="P8" s="50">
        <v>1500</v>
      </c>
      <c r="Q8" t="s">
        <v>2</v>
      </c>
      <c r="R8" s="44">
        <f>D8</f>
        <v>25.81</v>
      </c>
      <c r="S8" t="s">
        <v>93</v>
      </c>
      <c r="U8" s="47">
        <f>I8</f>
        <v>33.865040809604665</v>
      </c>
      <c r="W8" s="44">
        <f>U8-R8</f>
        <v>8.055040809604666</v>
      </c>
      <c r="Y8" s="147">
        <f>W8/R8</f>
        <v>0.31208991900831717</v>
      </c>
    </row>
    <row r="9" spans="1:25" x14ac:dyDescent="0.3">
      <c r="A9" t="s">
        <v>236</v>
      </c>
      <c r="B9" s="1">
        <v>1500</v>
      </c>
      <c r="C9" t="s">
        <v>2</v>
      </c>
      <c r="D9" s="134">
        <v>9.0399999999999994E-3</v>
      </c>
      <c r="E9" t="s">
        <v>94</v>
      </c>
      <c r="G9" s="133">
        <f>G8</f>
        <v>0.31208991900831701</v>
      </c>
      <c r="I9" s="134">
        <f t="shared" ref="I9:I17" si="0">D9*(1+G9)</f>
        <v>1.1861292867835185E-2</v>
      </c>
      <c r="J9" t="s">
        <v>94</v>
      </c>
      <c r="O9" s="144" t="s">
        <v>236</v>
      </c>
      <c r="P9" s="50">
        <v>1500</v>
      </c>
      <c r="Q9" t="s">
        <v>2</v>
      </c>
      <c r="R9" s="137">
        <f>D9</f>
        <v>9.0399999999999994E-3</v>
      </c>
      <c r="S9" t="s">
        <v>94</v>
      </c>
      <c r="U9" s="137">
        <f>I9</f>
        <v>1.1861292867835185E-2</v>
      </c>
      <c r="W9" s="137">
        <f t="shared" ref="W9:W17" si="1">U9-R9</f>
        <v>2.8212928678351852E-3</v>
      </c>
      <c r="Y9" s="147">
        <f>W9/R9</f>
        <v>0.31208991900831695</v>
      </c>
    </row>
    <row r="10" spans="1:25" x14ac:dyDescent="0.3">
      <c r="B10" s="1"/>
      <c r="D10" s="3"/>
      <c r="G10" s="133"/>
      <c r="I10" s="3"/>
      <c r="O10" s="144"/>
      <c r="P10" s="50"/>
      <c r="R10" s="48"/>
      <c r="U10" s="47"/>
      <c r="W10" s="44"/>
      <c r="Y10" s="387"/>
    </row>
    <row r="11" spans="1:25" x14ac:dyDescent="0.3">
      <c r="A11" t="s">
        <v>109</v>
      </c>
      <c r="B11" s="1"/>
      <c r="D11" s="3"/>
      <c r="G11" s="133"/>
      <c r="I11" s="3"/>
      <c r="O11" s="144" t="s">
        <v>109</v>
      </c>
      <c r="P11" s="50"/>
      <c r="R11" s="48"/>
      <c r="U11" s="47"/>
      <c r="W11" s="44"/>
      <c r="Y11" s="147"/>
    </row>
    <row r="12" spans="1:25" x14ac:dyDescent="0.3">
      <c r="A12" t="s">
        <v>1</v>
      </c>
      <c r="B12" s="1">
        <v>5000</v>
      </c>
      <c r="C12" t="s">
        <v>2</v>
      </c>
      <c r="D12" s="3">
        <v>55.27</v>
      </c>
      <c r="E12" t="s">
        <v>93</v>
      </c>
      <c r="G12" s="133">
        <f>G9</f>
        <v>0.31208991900831701</v>
      </c>
      <c r="I12" s="3">
        <f t="shared" si="0"/>
        <v>72.519209823589691</v>
      </c>
      <c r="J12" t="s">
        <v>93</v>
      </c>
      <c r="O12" s="144" t="s">
        <v>1</v>
      </c>
      <c r="P12" s="50">
        <v>5000</v>
      </c>
      <c r="Q12" t="s">
        <v>2</v>
      </c>
      <c r="R12" s="48">
        <f>D12</f>
        <v>55.27</v>
      </c>
      <c r="S12" t="s">
        <v>93</v>
      </c>
      <c r="U12" s="48">
        <f>I12</f>
        <v>72.519209823589691</v>
      </c>
      <c r="W12" s="48">
        <f t="shared" si="1"/>
        <v>17.249209823589688</v>
      </c>
      <c r="Y12" s="147">
        <f t="shared" ref="Y12:Y17" si="2">W12/R12</f>
        <v>0.31208991900831712</v>
      </c>
    </row>
    <row r="13" spans="1:25" x14ac:dyDescent="0.3">
      <c r="A13" t="s">
        <v>236</v>
      </c>
      <c r="B13" s="1">
        <v>5000</v>
      </c>
      <c r="C13" t="s">
        <v>2</v>
      </c>
      <c r="D13" s="135">
        <v>9.0399999999999994E-3</v>
      </c>
      <c r="E13" t="s">
        <v>94</v>
      </c>
      <c r="G13" s="133">
        <f t="shared" ref="G13:G17" si="3">G12</f>
        <v>0.31208991900831701</v>
      </c>
      <c r="I13" s="135">
        <f t="shared" si="0"/>
        <v>1.1861292867835185E-2</v>
      </c>
      <c r="J13" t="s">
        <v>94</v>
      </c>
      <c r="O13" s="144" t="s">
        <v>236</v>
      </c>
      <c r="P13" s="50">
        <v>5000</v>
      </c>
      <c r="Q13" t="s">
        <v>2</v>
      </c>
      <c r="R13" s="137">
        <f>D13</f>
        <v>9.0399999999999994E-3</v>
      </c>
      <c r="S13" t="s">
        <v>94</v>
      </c>
      <c r="U13" s="137">
        <f>I13</f>
        <v>1.1861292867835185E-2</v>
      </c>
      <c r="W13" s="137">
        <f t="shared" si="1"/>
        <v>2.8212928678351852E-3</v>
      </c>
      <c r="Y13" s="147">
        <f t="shared" si="2"/>
        <v>0.31208991900831695</v>
      </c>
    </row>
    <row r="14" spans="1:25" x14ac:dyDescent="0.3">
      <c r="B14" s="1"/>
      <c r="D14" s="3"/>
      <c r="G14" s="133"/>
      <c r="I14" s="3"/>
      <c r="O14" s="144"/>
      <c r="P14" s="50"/>
      <c r="R14" s="48"/>
      <c r="U14" s="48"/>
      <c r="W14" s="48"/>
      <c r="Y14" s="147"/>
    </row>
    <row r="15" spans="1:25" x14ac:dyDescent="0.3">
      <c r="A15" t="s">
        <v>110</v>
      </c>
      <c r="B15" s="1"/>
      <c r="D15" s="3"/>
      <c r="G15" s="133"/>
      <c r="I15" s="3"/>
      <c r="O15" s="144" t="s">
        <v>110</v>
      </c>
      <c r="P15" s="50"/>
      <c r="R15" s="48"/>
      <c r="U15" s="48"/>
      <c r="W15" s="48"/>
      <c r="Y15" s="147"/>
    </row>
    <row r="16" spans="1:25" x14ac:dyDescent="0.3">
      <c r="A16" t="s">
        <v>1</v>
      </c>
      <c r="B16" s="1">
        <v>20000</v>
      </c>
      <c r="C16" t="s">
        <v>2</v>
      </c>
      <c r="D16" s="3">
        <v>152.5</v>
      </c>
      <c r="E16" t="s">
        <v>93</v>
      </c>
      <c r="G16" s="133">
        <f>G8</f>
        <v>0.31208991900831701</v>
      </c>
      <c r="I16" s="3">
        <f>D16*(1+G16)</f>
        <v>200.09371264876836</v>
      </c>
      <c r="J16" t="s">
        <v>93</v>
      </c>
      <c r="O16" s="144" t="s">
        <v>1</v>
      </c>
      <c r="P16" s="50">
        <v>20000</v>
      </c>
      <c r="Q16" t="s">
        <v>2</v>
      </c>
      <c r="R16" s="48">
        <f>D16</f>
        <v>152.5</v>
      </c>
      <c r="S16" t="s">
        <v>93</v>
      </c>
      <c r="U16" s="48">
        <f>I16</f>
        <v>200.09371264876836</v>
      </c>
      <c r="W16" s="48">
        <f t="shared" si="1"/>
        <v>47.59371264876836</v>
      </c>
      <c r="Y16" s="147">
        <f t="shared" si="2"/>
        <v>0.31208991900831712</v>
      </c>
    </row>
    <row r="17" spans="1:38" x14ac:dyDescent="0.3">
      <c r="A17" t="s">
        <v>236</v>
      </c>
      <c r="B17" s="1">
        <v>20000</v>
      </c>
      <c r="C17" t="s">
        <v>2</v>
      </c>
      <c r="D17" s="135">
        <v>9.0399999999999994E-3</v>
      </c>
      <c r="E17" t="s">
        <v>94</v>
      </c>
      <c r="G17" s="133">
        <f t="shared" si="3"/>
        <v>0.31208991900831701</v>
      </c>
      <c r="I17" s="135">
        <f t="shared" si="0"/>
        <v>1.1861292867835185E-2</v>
      </c>
      <c r="J17" t="s">
        <v>94</v>
      </c>
      <c r="O17" s="144" t="s">
        <v>236</v>
      </c>
      <c r="P17" s="50">
        <v>20000</v>
      </c>
      <c r="Q17" t="s">
        <v>2</v>
      </c>
      <c r="R17" s="137">
        <f>D17</f>
        <v>9.0399999999999994E-3</v>
      </c>
      <c r="S17" t="s">
        <v>94</v>
      </c>
      <c r="U17" s="137">
        <f>I17</f>
        <v>1.1861292867835185E-2</v>
      </c>
      <c r="W17" s="137">
        <f t="shared" si="1"/>
        <v>2.8212928678351852E-3</v>
      </c>
      <c r="Y17" s="147">
        <f t="shared" si="2"/>
        <v>0.31208991900831695</v>
      </c>
    </row>
    <row r="18" spans="1:38" x14ac:dyDescent="0.3">
      <c r="D18" s="135"/>
      <c r="I18" s="135"/>
      <c r="O18" s="144"/>
      <c r="R18" s="48"/>
      <c r="U18" s="48"/>
      <c r="W18" s="48"/>
      <c r="Y18" s="145"/>
    </row>
    <row r="19" spans="1:38" x14ac:dyDescent="0.3">
      <c r="A19" t="s">
        <v>418</v>
      </c>
      <c r="O19" s="144" t="s">
        <v>418</v>
      </c>
      <c r="R19" s="48"/>
      <c r="U19" s="48"/>
      <c r="W19" s="48"/>
      <c r="Y19" s="145"/>
    </row>
    <row r="20" spans="1:38" x14ac:dyDescent="0.3">
      <c r="A20" t="s">
        <v>1</v>
      </c>
      <c r="B20" s="386">
        <v>50000</v>
      </c>
      <c r="C20" t="s">
        <v>2</v>
      </c>
      <c r="D20">
        <v>356.26</v>
      </c>
      <c r="E20" t="s">
        <v>93</v>
      </c>
      <c r="G20" s="133">
        <f>G8</f>
        <v>0.31208991900831701</v>
      </c>
      <c r="I20" s="3">
        <f>D20*(1+G20)</f>
        <v>467.44515454590305</v>
      </c>
      <c r="J20" t="s">
        <v>93</v>
      </c>
      <c r="O20" s="144" t="s">
        <v>1</v>
      </c>
      <c r="P20" s="386">
        <f t="shared" ref="P20:R21" si="4">B20</f>
        <v>50000</v>
      </c>
      <c r="Q20" s="386" t="str">
        <f t="shared" si="4"/>
        <v>gallons</v>
      </c>
      <c r="R20" s="48">
        <f t="shared" si="4"/>
        <v>356.26</v>
      </c>
      <c r="S20" t="s">
        <v>93</v>
      </c>
      <c r="U20" s="48">
        <f>I20</f>
        <v>467.44515454590305</v>
      </c>
      <c r="W20" s="48">
        <f t="shared" ref="W20:W21" si="5">U20-R20</f>
        <v>111.18515454590306</v>
      </c>
      <c r="Y20" s="147">
        <f>W20/R20</f>
        <v>0.31208991900831712</v>
      </c>
    </row>
    <row r="21" spans="1:38" x14ac:dyDescent="0.3">
      <c r="A21" t="s">
        <v>236</v>
      </c>
      <c r="B21" s="386">
        <v>50000</v>
      </c>
      <c r="C21" t="s">
        <v>2</v>
      </c>
      <c r="D21">
        <v>9.0399999999999994E-3</v>
      </c>
      <c r="E21" t="s">
        <v>94</v>
      </c>
      <c r="G21" s="133">
        <f>G20</f>
        <v>0.31208991900831701</v>
      </c>
      <c r="I21" s="135">
        <f t="shared" ref="I21" si="6">D21*(1+G21)</f>
        <v>1.1861292867835185E-2</v>
      </c>
      <c r="J21" t="s">
        <v>94</v>
      </c>
      <c r="O21" s="148" t="s">
        <v>236</v>
      </c>
      <c r="P21" s="388">
        <f t="shared" si="4"/>
        <v>50000</v>
      </c>
      <c r="Q21" s="388" t="str">
        <f t="shared" si="4"/>
        <v>gallons</v>
      </c>
      <c r="R21" s="149">
        <f t="shared" si="4"/>
        <v>9.0399999999999994E-3</v>
      </c>
      <c r="S21" s="138" t="s">
        <v>94</v>
      </c>
      <c r="T21" s="138"/>
      <c r="U21" s="149">
        <f>I21</f>
        <v>1.1861292867835185E-2</v>
      </c>
      <c r="V21" s="138"/>
      <c r="W21" s="149">
        <f t="shared" si="5"/>
        <v>2.8212928678351852E-3</v>
      </c>
      <c r="X21" s="138"/>
      <c r="Y21" s="150">
        <f t="shared" ref="Y21" si="7">W21/R21</f>
        <v>0.31208991900831695</v>
      </c>
      <c r="AB21" s="139"/>
      <c r="AC21" s="140"/>
      <c r="AD21" s="140" t="s">
        <v>114</v>
      </c>
      <c r="AE21" s="140"/>
      <c r="AF21" s="397" t="s">
        <v>420</v>
      </c>
      <c r="AG21" s="397"/>
      <c r="AH21" s="397"/>
      <c r="AI21" s="140"/>
      <c r="AJ21" s="140"/>
      <c r="AK21" s="140"/>
      <c r="AL21" s="141"/>
    </row>
    <row r="22" spans="1:38" x14ac:dyDescent="0.3">
      <c r="W22" s="3"/>
      <c r="AB22" s="151"/>
      <c r="AC22" s="5"/>
      <c r="AD22" s="5" t="s">
        <v>115</v>
      </c>
      <c r="AE22" s="5"/>
      <c r="AF22" s="5" t="s">
        <v>103</v>
      </c>
      <c r="AG22" s="5"/>
      <c r="AH22" s="5" t="s">
        <v>106</v>
      </c>
      <c r="AI22" s="5"/>
      <c r="AJ22" s="391" t="s">
        <v>57</v>
      </c>
      <c r="AK22" s="391"/>
      <c r="AL22" s="392"/>
    </row>
    <row r="23" spans="1:38" x14ac:dyDescent="0.3">
      <c r="AB23" s="142" t="s">
        <v>113</v>
      </c>
      <c r="AC23" s="5"/>
      <c r="AD23" s="86" t="s">
        <v>116</v>
      </c>
      <c r="AE23" s="5"/>
      <c r="AF23" s="86" t="s">
        <v>248</v>
      </c>
      <c r="AG23" s="5"/>
      <c r="AH23" s="86" t="s">
        <v>248</v>
      </c>
      <c r="AI23" s="5"/>
      <c r="AJ23" s="86" t="s">
        <v>112</v>
      </c>
      <c r="AK23" s="5"/>
      <c r="AL23" s="143" t="s">
        <v>92</v>
      </c>
    </row>
    <row r="24" spans="1:38" x14ac:dyDescent="0.3">
      <c r="AB24" s="144"/>
      <c r="AL24" s="145"/>
    </row>
    <row r="25" spans="1:38" x14ac:dyDescent="0.3">
      <c r="AB25" s="144" t="str">
        <f>A7</f>
        <v>5/8 x 3/4-Inch Meter</v>
      </c>
      <c r="AD25" s="50">
        <f>'Billing Analysis'!K25</f>
        <v>2909.7508146115588</v>
      </c>
      <c r="AF25" s="47">
        <f>AD37</f>
        <v>38.554147364088493</v>
      </c>
      <c r="AH25" s="47">
        <f>AH37</f>
        <v>50.586508092381592</v>
      </c>
      <c r="AJ25" s="47">
        <f>AH25-AF25</f>
        <v>12.032360728293099</v>
      </c>
      <c r="AL25" s="147">
        <f>AJ25/AF25</f>
        <v>0.31208991900831706</v>
      </c>
    </row>
    <row r="26" spans="1:38" x14ac:dyDescent="0.3">
      <c r="AB26" s="144" t="str">
        <f>A11</f>
        <v>1-Inch Meter</v>
      </c>
      <c r="AD26" s="50">
        <f>'Billing Analysis'!K39</f>
        <v>10366.646341463415</v>
      </c>
      <c r="AF26" s="4">
        <f>AD44</f>
        <v>103.78448292682927</v>
      </c>
      <c r="AH26" s="4">
        <f>AH44</f>
        <v>136.17457379778347</v>
      </c>
      <c r="AJ26" s="48">
        <f t="shared" ref="AJ26:AJ27" si="8">AH26-AF26</f>
        <v>32.390090870954197</v>
      </c>
      <c r="AL26" s="147">
        <f t="shared" ref="AL26:AL27" si="9">AJ26/AF26</f>
        <v>0.3120899190083169</v>
      </c>
    </row>
    <row r="27" spans="1:38" x14ac:dyDescent="0.3">
      <c r="AB27" s="144" t="str">
        <f>A15</f>
        <v>2-Inch Meter</v>
      </c>
      <c r="AD27" s="50">
        <f>'Billing Analysis'!K53</f>
        <v>43741.573033707864</v>
      </c>
      <c r="AF27" s="4">
        <f>AD52</f>
        <v>367.12382022471911</v>
      </c>
      <c r="AH27" s="4">
        <f>AH52</f>
        <v>481.69946354467561</v>
      </c>
      <c r="AJ27" s="48">
        <f t="shared" si="8"/>
        <v>114.5756433199565</v>
      </c>
      <c r="AL27" s="147">
        <f t="shared" si="9"/>
        <v>0.31208991900831695</v>
      </c>
    </row>
    <row r="28" spans="1:38" x14ac:dyDescent="0.3">
      <c r="AB28" s="148" t="str">
        <f>A19</f>
        <v>4-Inch Meter</v>
      </c>
      <c r="AC28" s="138"/>
      <c r="AD28" s="88">
        <f>'Billing Analysis'!K67</f>
        <v>646350</v>
      </c>
      <c r="AE28" s="138"/>
      <c r="AF28" s="152">
        <f>AD59</f>
        <v>5747.2640000000001</v>
      </c>
      <c r="AG28" s="138"/>
      <c r="AH28" s="152">
        <f>AH59</f>
        <v>7540.9271562794156</v>
      </c>
      <c r="AI28" s="138"/>
      <c r="AJ28" s="87">
        <f t="shared" ref="AJ28" si="10">AH28-AF28</f>
        <v>1793.6631562794155</v>
      </c>
      <c r="AK28" s="138"/>
      <c r="AL28" s="150">
        <f t="shared" ref="AL28" si="11">AJ28/AF28</f>
        <v>0.3120899190083169</v>
      </c>
    </row>
    <row r="34" spans="7:34" x14ac:dyDescent="0.3">
      <c r="AD34" s="52">
        <f>AD25</f>
        <v>2909.7508146115588</v>
      </c>
      <c r="AH34" s="52">
        <f>AD34</f>
        <v>2909.7508146115588</v>
      </c>
    </row>
    <row r="35" spans="7:34" x14ac:dyDescent="0.3">
      <c r="AB35">
        <v>1500</v>
      </c>
      <c r="AD35" s="47">
        <f>D8</f>
        <v>25.81</v>
      </c>
      <c r="AH35" s="47">
        <f>I8</f>
        <v>33.865040809604665</v>
      </c>
    </row>
    <row r="36" spans="7:34" x14ac:dyDescent="0.3">
      <c r="AB36" s="52">
        <f>AD34-AB35</f>
        <v>1409.7508146115588</v>
      </c>
      <c r="AD36" s="4">
        <f>AB36*R9</f>
        <v>12.744147364088491</v>
      </c>
      <c r="AH36" s="4">
        <f>AB36*I9</f>
        <v>16.721467282776924</v>
      </c>
    </row>
    <row r="37" spans="7:34" x14ac:dyDescent="0.3">
      <c r="AD37" s="4">
        <f>SUM(AD35:AD36)</f>
        <v>38.554147364088493</v>
      </c>
      <c r="AH37" s="4">
        <f>AH35+AH36</f>
        <v>50.586508092381592</v>
      </c>
    </row>
    <row r="39" spans="7:34" x14ac:dyDescent="0.3">
      <c r="AD39" s="47"/>
      <c r="AH39" s="47"/>
    </row>
    <row r="40" spans="7:34" x14ac:dyDescent="0.3">
      <c r="AD40" s="52">
        <f>AD26</f>
        <v>10366.646341463415</v>
      </c>
      <c r="AH40" s="52">
        <f>AD40</f>
        <v>10366.646341463415</v>
      </c>
    </row>
    <row r="41" spans="7:34" x14ac:dyDescent="0.3">
      <c r="AB41">
        <v>5000</v>
      </c>
      <c r="AD41" s="47">
        <f>R12</f>
        <v>55.27</v>
      </c>
      <c r="AH41" s="4">
        <f>U12</f>
        <v>72.519209823589691</v>
      </c>
    </row>
    <row r="42" spans="7:34" x14ac:dyDescent="0.3">
      <c r="AB42" s="52">
        <f>AD40-AB41</f>
        <v>5366.6463414634145</v>
      </c>
      <c r="AD42" s="4">
        <f>AB42*D13</f>
        <v>48.514482926829267</v>
      </c>
      <c r="AH42" s="4">
        <f>AB42*I13</f>
        <v>63.655363974193783</v>
      </c>
    </row>
    <row r="44" spans="7:34" x14ac:dyDescent="0.3">
      <c r="G44" s="47"/>
      <c r="L44" s="47"/>
      <c r="AD44" s="4">
        <f>SUM(AD41:AD43)</f>
        <v>103.78448292682927</v>
      </c>
      <c r="AH44" s="4">
        <f>SUM(AH41:AH43)</f>
        <v>136.17457379778347</v>
      </c>
    </row>
    <row r="45" spans="7:34" x14ac:dyDescent="0.3">
      <c r="AD45" s="52"/>
      <c r="AH45" s="52"/>
    </row>
    <row r="46" spans="7:34" x14ac:dyDescent="0.3">
      <c r="G46" s="4"/>
      <c r="L46" s="4"/>
      <c r="AD46" s="4"/>
      <c r="AH46" s="4"/>
    </row>
    <row r="48" spans="7:34" x14ac:dyDescent="0.3">
      <c r="G48" s="47"/>
      <c r="L48" s="47"/>
      <c r="AD48" s="52">
        <f>AD27</f>
        <v>43741.573033707864</v>
      </c>
      <c r="AH48" s="52">
        <f>AD48</f>
        <v>43741.573033707864</v>
      </c>
    </row>
    <row r="49" spans="12:34" x14ac:dyDescent="0.3">
      <c r="L49" s="47"/>
      <c r="AB49">
        <v>20000</v>
      </c>
      <c r="AD49" s="47">
        <f>D16</f>
        <v>152.5</v>
      </c>
      <c r="AH49" s="4">
        <f>I16</f>
        <v>200.09371264876836</v>
      </c>
    </row>
    <row r="50" spans="12:34" x14ac:dyDescent="0.3">
      <c r="AB50" s="52">
        <f>AD48-AB49</f>
        <v>23741.573033707864</v>
      </c>
      <c r="AD50" s="4">
        <f>AB50*D17</f>
        <v>214.62382022471908</v>
      </c>
      <c r="AH50" s="4">
        <f>AB50*I17</f>
        <v>281.60575089590725</v>
      </c>
    </row>
    <row r="52" spans="12:34" x14ac:dyDescent="0.3">
      <c r="AD52" s="4">
        <f>SUM(AD49:AD51)</f>
        <v>367.12382022471911</v>
      </c>
      <c r="AH52" s="4">
        <f>SUM(AH49:AH51)</f>
        <v>481.69946354467561</v>
      </c>
    </row>
    <row r="55" spans="12:34" x14ac:dyDescent="0.3">
      <c r="AD55" s="52">
        <f>AD28</f>
        <v>646350</v>
      </c>
      <c r="AH55" s="52">
        <f>AD55</f>
        <v>646350</v>
      </c>
    </row>
    <row r="56" spans="12:34" x14ac:dyDescent="0.3">
      <c r="AB56">
        <v>50000</v>
      </c>
      <c r="AD56" s="47">
        <f>D20</f>
        <v>356.26</v>
      </c>
      <c r="AH56" s="4">
        <f>I20</f>
        <v>467.44515454590305</v>
      </c>
    </row>
    <row r="57" spans="12:34" x14ac:dyDescent="0.3">
      <c r="AB57" s="52">
        <f>AD55-AB56</f>
        <v>596350</v>
      </c>
      <c r="AD57" s="4">
        <f>AB57*D21</f>
        <v>5391.0039999999999</v>
      </c>
      <c r="AH57" s="4">
        <f>AB57*I21</f>
        <v>7073.4820017335123</v>
      </c>
    </row>
    <row r="59" spans="12:34" x14ac:dyDescent="0.3">
      <c r="AD59" s="4">
        <f>SUM(AD56:AD58)</f>
        <v>5747.2640000000001</v>
      </c>
      <c r="AH59" s="4">
        <f>SUM(AH56:AH58)</f>
        <v>7540.9271562794156</v>
      </c>
    </row>
  </sheetData>
  <mergeCells count="6">
    <mergeCell ref="W5:Y5"/>
    <mergeCell ref="R5:U5"/>
    <mergeCell ref="AJ22:AL22"/>
    <mergeCell ref="O1:Y1"/>
    <mergeCell ref="O2:Y2"/>
    <mergeCell ref="AF21:AH2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0608-2FFE-493C-BCF4-1D8B04CD4485}">
  <dimension ref="A3:AE170"/>
  <sheetViews>
    <sheetView zoomScale="85" zoomScaleNormal="85" workbookViewId="0">
      <pane ySplit="8" topLeftCell="A9" activePane="bottomLeft" state="frozen"/>
      <selection pane="bottomLeft" activeCell="J62" sqref="J62"/>
    </sheetView>
  </sheetViews>
  <sheetFormatPr defaultRowHeight="14.4" x14ac:dyDescent="0.3"/>
  <cols>
    <col min="1" max="1" width="57.77734375" style="3" bestFit="1" customWidth="1"/>
    <col min="2" max="2" width="29.6640625" style="3" bestFit="1" customWidth="1"/>
    <col min="3" max="4" width="13.5546875" style="3" bestFit="1" customWidth="1"/>
    <col min="5" max="5" width="14.88671875" style="3" bestFit="1" customWidth="1"/>
    <col min="6" max="6" width="11.88671875" style="1" bestFit="1" customWidth="1"/>
    <col min="7" max="7" width="13.5546875" style="3" bestFit="1" customWidth="1"/>
    <col min="8" max="8" width="13.5546875" style="3" customWidth="1"/>
    <col min="9" max="9" width="13.44140625" style="3" bestFit="1" customWidth="1"/>
    <col min="10" max="10" width="13.5546875" style="3" bestFit="1" customWidth="1"/>
    <col min="11" max="11" width="11.88671875" style="3" bestFit="1" customWidth="1"/>
    <col min="12" max="12" width="13.5546875" style="3" bestFit="1" customWidth="1"/>
    <col min="13" max="23" width="8.88671875" style="3"/>
    <col min="24" max="24" width="16.21875" style="3" customWidth="1"/>
    <col min="25" max="26" width="13.5546875" style="3" bestFit="1" customWidth="1"/>
    <col min="27" max="27" width="13.5546875" style="3" customWidth="1"/>
    <col min="28" max="29" width="8.88671875" style="3"/>
    <col min="30" max="31" width="13.5546875" style="3" bestFit="1" customWidth="1"/>
    <col min="32" max="16384" width="8.88671875" style="3"/>
  </cols>
  <sheetData>
    <row r="3" spans="1:31" x14ac:dyDescent="0.3">
      <c r="A3" s="3" t="s">
        <v>27</v>
      </c>
    </row>
    <row r="6" spans="1:31" x14ac:dyDescent="0.3">
      <c r="C6" s="7"/>
      <c r="E6" s="7" t="s">
        <v>28</v>
      </c>
    </row>
    <row r="7" spans="1:31" x14ac:dyDescent="0.3">
      <c r="C7" s="7" t="s">
        <v>58</v>
      </c>
      <c r="D7" s="7" t="s">
        <v>23</v>
      </c>
      <c r="E7" s="3" t="s">
        <v>29</v>
      </c>
      <c r="F7" s="6" t="s">
        <v>25</v>
      </c>
      <c r="G7" s="3" t="s">
        <v>25</v>
      </c>
    </row>
    <row r="8" spans="1:31" x14ac:dyDescent="0.3">
      <c r="C8" s="7" t="s">
        <v>29</v>
      </c>
      <c r="D8" s="7" t="s">
        <v>24</v>
      </c>
      <c r="E8" s="7" t="s">
        <v>22</v>
      </c>
      <c r="F8" s="6" t="s">
        <v>26</v>
      </c>
      <c r="G8" s="3" t="s">
        <v>61</v>
      </c>
    </row>
    <row r="9" spans="1:31" x14ac:dyDescent="0.3">
      <c r="C9" s="7"/>
    </row>
    <row r="10" spans="1:31" x14ac:dyDescent="0.3">
      <c r="A10" s="82"/>
      <c r="F10" s="50"/>
      <c r="G10" s="48"/>
      <c r="H10" s="48"/>
      <c r="V10" s="87" t="s">
        <v>196</v>
      </c>
      <c r="W10" s="87"/>
      <c r="X10" s="87"/>
      <c r="Y10" s="87"/>
      <c r="Z10" s="87"/>
      <c r="AB10" s="87" t="s">
        <v>118</v>
      </c>
      <c r="AC10" s="87"/>
      <c r="AD10" s="87"/>
      <c r="AE10" s="87"/>
    </row>
    <row r="11" spans="1:31" x14ac:dyDescent="0.3">
      <c r="A11" s="82"/>
      <c r="B11" s="82"/>
      <c r="C11" s="48"/>
      <c r="D11" s="48"/>
      <c r="E11" s="48"/>
      <c r="F11" s="50"/>
      <c r="G11" s="48"/>
      <c r="H11" s="48"/>
    </row>
    <row r="12" spans="1:31" x14ac:dyDescent="0.3">
      <c r="A12" s="82"/>
      <c r="B12" s="82" t="s">
        <v>132</v>
      </c>
      <c r="C12" s="48">
        <v>5869.43</v>
      </c>
      <c r="D12" s="48"/>
      <c r="E12" s="49">
        <f>C12+D12</f>
        <v>5869.43</v>
      </c>
      <c r="F12" s="50"/>
      <c r="G12" s="48"/>
      <c r="H12" s="48"/>
      <c r="I12" s="48"/>
      <c r="V12" s="82" t="s">
        <v>134</v>
      </c>
      <c r="Y12" s="3">
        <v>1159833.2</v>
      </c>
    </row>
    <row r="13" spans="1:31" x14ac:dyDescent="0.3">
      <c r="A13" s="82"/>
      <c r="B13" s="82" t="s">
        <v>4</v>
      </c>
      <c r="C13" s="48">
        <v>12985.44</v>
      </c>
      <c r="D13" s="48">
        <v>27269</v>
      </c>
      <c r="E13" s="49">
        <f t="shared" ref="E13:E21" si="0">C13+D13</f>
        <v>40254.44</v>
      </c>
      <c r="F13" s="50">
        <v>15</v>
      </c>
      <c r="G13" s="48" t="s">
        <v>192</v>
      </c>
      <c r="H13" s="48"/>
      <c r="I13" s="48"/>
      <c r="V13" s="82" t="s">
        <v>132</v>
      </c>
      <c r="Y13" s="3">
        <v>5869.43</v>
      </c>
    </row>
    <row r="14" spans="1:31" x14ac:dyDescent="0.3">
      <c r="A14" s="82"/>
      <c r="B14" s="82" t="s">
        <v>133</v>
      </c>
      <c r="C14" s="48">
        <v>2623.95</v>
      </c>
      <c r="D14" s="48"/>
      <c r="E14" s="49">
        <f t="shared" si="0"/>
        <v>2623.95</v>
      </c>
      <c r="F14" s="50"/>
      <c r="G14" s="48"/>
      <c r="H14" s="48"/>
      <c r="I14" s="48"/>
      <c r="V14" s="82" t="s">
        <v>135</v>
      </c>
      <c r="Y14" s="3">
        <v>-42512</v>
      </c>
      <c r="Z14" s="3">
        <f>SUM(Y12:Y14)</f>
        <v>1123190.6299999999</v>
      </c>
      <c r="AB14" s="3" t="s">
        <v>63</v>
      </c>
      <c r="AE14" s="3">
        <v>1123190</v>
      </c>
    </row>
    <row r="15" spans="1:31" x14ac:dyDescent="0.3">
      <c r="A15" s="82"/>
      <c r="B15" s="82" t="s">
        <v>134</v>
      </c>
      <c r="C15" s="48">
        <v>1268511.2</v>
      </c>
      <c r="D15" s="48">
        <v>-32968</v>
      </c>
      <c r="E15" s="55"/>
      <c r="F15" s="50">
        <v>3</v>
      </c>
      <c r="G15" s="48" t="s">
        <v>180</v>
      </c>
      <c r="H15" s="48"/>
      <c r="I15" s="48"/>
    </row>
    <row r="16" spans="1:31" x14ac:dyDescent="0.3">
      <c r="A16" s="82"/>
      <c r="B16" s="82"/>
      <c r="C16" s="48"/>
      <c r="D16" s="48">
        <v>-6284</v>
      </c>
      <c r="E16" s="55"/>
      <c r="F16" s="50">
        <v>4</v>
      </c>
      <c r="G16" s="48" t="s">
        <v>179</v>
      </c>
      <c r="H16" s="48"/>
      <c r="I16" s="48"/>
      <c r="V16" s="82" t="s">
        <v>133</v>
      </c>
      <c r="Y16" s="3">
        <v>2623.95</v>
      </c>
    </row>
    <row r="17" spans="1:31" x14ac:dyDescent="0.3">
      <c r="A17" s="82"/>
      <c r="B17" s="82"/>
      <c r="C17" s="48"/>
      <c r="D17" s="48">
        <v>-103327</v>
      </c>
      <c r="E17" s="49"/>
      <c r="F17" s="50">
        <v>16</v>
      </c>
      <c r="G17" s="48" t="s">
        <v>189</v>
      </c>
      <c r="H17" s="48"/>
      <c r="I17" s="48"/>
      <c r="V17" s="83" t="s">
        <v>136</v>
      </c>
      <c r="Y17" s="3">
        <v>18152.169999999998</v>
      </c>
      <c r="Z17" s="3">
        <f>SUM(Y16:Y17)</f>
        <v>20776.12</v>
      </c>
      <c r="AB17" s="3" t="s">
        <v>194</v>
      </c>
      <c r="AE17" s="3">
        <v>20777</v>
      </c>
    </row>
    <row r="18" spans="1:31" x14ac:dyDescent="0.3">
      <c r="A18" s="82"/>
      <c r="B18" s="82"/>
      <c r="C18" s="48"/>
      <c r="D18" s="48">
        <v>33901</v>
      </c>
      <c r="E18" s="49">
        <f>C15+D15+D17+D18+D16</f>
        <v>1159833.2</v>
      </c>
      <c r="F18" s="50">
        <v>16</v>
      </c>
      <c r="G18" s="48" t="s">
        <v>190</v>
      </c>
      <c r="H18" s="48"/>
      <c r="I18" s="48"/>
    </row>
    <row r="19" spans="1:31" x14ac:dyDescent="0.3">
      <c r="A19" s="82"/>
      <c r="B19" s="82"/>
      <c r="C19" s="48"/>
      <c r="D19" s="48"/>
      <c r="E19" s="49"/>
      <c r="F19" s="50"/>
      <c r="G19" s="48"/>
      <c r="H19" s="48"/>
      <c r="I19" s="48"/>
      <c r="V19" s="82"/>
    </row>
    <row r="20" spans="1:31" x14ac:dyDescent="0.3">
      <c r="A20" s="82"/>
      <c r="B20" s="82" t="s">
        <v>135</v>
      </c>
      <c r="C20" s="48">
        <v>4250</v>
      </c>
      <c r="D20" s="48">
        <v>-46762</v>
      </c>
      <c r="E20" s="49">
        <f t="shared" si="0"/>
        <v>-42512</v>
      </c>
      <c r="F20" s="50">
        <v>17</v>
      </c>
      <c r="G20" s="209" t="s">
        <v>191</v>
      </c>
      <c r="H20" s="48"/>
      <c r="I20" s="48"/>
      <c r="V20" s="82" t="s">
        <v>4</v>
      </c>
      <c r="Y20" s="3">
        <v>40254.44</v>
      </c>
      <c r="AB20" s="3" t="s">
        <v>4</v>
      </c>
      <c r="AE20" s="3">
        <v>40254</v>
      </c>
    </row>
    <row r="21" spans="1:31" x14ac:dyDescent="0.3">
      <c r="A21" s="82"/>
      <c r="B21" s="83" t="s">
        <v>136</v>
      </c>
      <c r="C21" s="49">
        <v>18152.169999999998</v>
      </c>
      <c r="D21" s="49"/>
      <c r="E21" s="49">
        <f t="shared" si="0"/>
        <v>18152.169999999998</v>
      </c>
      <c r="F21" s="50"/>
      <c r="G21" s="48"/>
      <c r="H21" s="48"/>
      <c r="I21" s="48"/>
    </row>
    <row r="22" spans="1:31" x14ac:dyDescent="0.3">
      <c r="A22" s="82"/>
      <c r="B22" s="83"/>
      <c r="C22" s="49"/>
      <c r="D22" s="49"/>
      <c r="E22" s="49"/>
      <c r="F22" s="50"/>
      <c r="G22" s="48"/>
      <c r="H22" s="48"/>
      <c r="I22" s="48"/>
    </row>
    <row r="23" spans="1:31" x14ac:dyDescent="0.3">
      <c r="A23" s="82"/>
      <c r="B23" s="83"/>
      <c r="C23" s="48">
        <f>SUM(C12:C22)</f>
        <v>1312392.19</v>
      </c>
      <c r="D23" s="49"/>
      <c r="E23" s="49">
        <f>SUM(E12:E22)</f>
        <v>1184221.19</v>
      </c>
      <c r="F23" s="50"/>
      <c r="G23" s="48"/>
      <c r="H23" s="48"/>
      <c r="I23" s="48"/>
      <c r="V23" s="83"/>
    </row>
    <row r="24" spans="1:31" x14ac:dyDescent="0.3">
      <c r="A24" s="82"/>
      <c r="B24" s="83"/>
      <c r="C24" s="49"/>
      <c r="D24" s="49"/>
      <c r="E24" s="49"/>
      <c r="F24" s="50"/>
      <c r="G24" s="48"/>
      <c r="H24" s="48"/>
      <c r="I24" s="48"/>
      <c r="V24" s="83"/>
      <c r="Y24" s="3">
        <f>SUM(Y12:Y23)</f>
        <v>1184221.1899999997</v>
      </c>
      <c r="AE24" s="3">
        <f>SUM(AE14:AE23)</f>
        <v>1184221</v>
      </c>
    </row>
    <row r="25" spans="1:31" x14ac:dyDescent="0.3">
      <c r="A25" s="82"/>
      <c r="B25" s="83"/>
      <c r="C25" s="49"/>
      <c r="D25" s="49"/>
      <c r="E25" s="49"/>
      <c r="F25" s="50"/>
      <c r="G25" s="48"/>
      <c r="H25" s="48"/>
      <c r="I25" s="48"/>
    </row>
    <row r="26" spans="1:31" x14ac:dyDescent="0.3">
      <c r="A26" s="82"/>
      <c r="B26" s="82"/>
      <c r="C26" s="48"/>
      <c r="D26" s="48"/>
      <c r="E26" s="49"/>
      <c r="F26" s="50"/>
      <c r="G26" s="48"/>
      <c r="H26" s="48"/>
      <c r="I26" s="48"/>
      <c r="V26" s="3" t="s">
        <v>174</v>
      </c>
      <c r="Y26" s="3">
        <v>74390.3</v>
      </c>
    </row>
    <row r="27" spans="1:31" x14ac:dyDescent="0.3">
      <c r="A27" s="82"/>
      <c r="B27" s="82" t="s">
        <v>137</v>
      </c>
      <c r="C27" s="48">
        <v>55</v>
      </c>
      <c r="D27" s="48"/>
      <c r="E27" s="49">
        <f>C27+D27</f>
        <v>55</v>
      </c>
      <c r="F27" s="50"/>
      <c r="G27" s="48"/>
      <c r="H27" s="48"/>
      <c r="I27" s="48"/>
      <c r="V27" s="82" t="s">
        <v>62</v>
      </c>
      <c r="Y27" s="3">
        <v>41011.199999999997</v>
      </c>
    </row>
    <row r="28" spans="1:31" x14ac:dyDescent="0.3">
      <c r="A28" s="82"/>
      <c r="B28" s="82" t="s">
        <v>138</v>
      </c>
      <c r="C28" s="48">
        <v>24876.45</v>
      </c>
      <c r="D28" s="48"/>
      <c r="E28" s="49">
        <f t="shared" ref="E28:E79" si="1">C28+D28</f>
        <v>24876.45</v>
      </c>
      <c r="F28" s="50"/>
      <c r="G28" s="48"/>
      <c r="H28" s="48"/>
      <c r="I28" s="48"/>
      <c r="V28" s="82" t="s">
        <v>172</v>
      </c>
      <c r="Y28" s="3">
        <v>32158.46</v>
      </c>
      <c r="Z28" s="3">
        <f>SUM(Y26:Y28)</f>
        <v>147559.96</v>
      </c>
      <c r="AB28" s="3" t="s">
        <v>62</v>
      </c>
      <c r="AE28" s="3">
        <v>147559</v>
      </c>
    </row>
    <row r="29" spans="1:31" x14ac:dyDescent="0.3">
      <c r="A29" s="82" t="s">
        <v>140</v>
      </c>
      <c r="B29" s="3" t="s">
        <v>139</v>
      </c>
      <c r="C29" s="3">
        <v>-808.22</v>
      </c>
      <c r="D29" s="3">
        <v>92105</v>
      </c>
      <c r="E29" s="49">
        <f t="shared" si="1"/>
        <v>91296.78</v>
      </c>
      <c r="F29" s="50">
        <v>8</v>
      </c>
      <c r="G29" s="48" t="s">
        <v>185</v>
      </c>
      <c r="H29" s="48"/>
      <c r="I29" s="48"/>
    </row>
    <row r="30" spans="1:31" x14ac:dyDescent="0.3">
      <c r="A30" s="82"/>
      <c r="B30" s="82" t="s">
        <v>141</v>
      </c>
      <c r="C30" s="48">
        <v>26.58</v>
      </c>
      <c r="D30" s="48"/>
      <c r="E30" s="49">
        <f t="shared" si="1"/>
        <v>26.58</v>
      </c>
      <c r="F30" s="50"/>
      <c r="G30" s="48"/>
      <c r="H30" s="48"/>
      <c r="I30" s="48"/>
      <c r="V30" s="82" t="s">
        <v>146</v>
      </c>
      <c r="Y30" s="3">
        <v>8300</v>
      </c>
    </row>
    <row r="31" spans="1:31" x14ac:dyDescent="0.3">
      <c r="A31" s="82"/>
      <c r="B31" s="82" t="s">
        <v>6</v>
      </c>
      <c r="C31" s="3">
        <v>1328.98</v>
      </c>
      <c r="D31" s="48"/>
      <c r="E31" s="49">
        <f t="shared" si="1"/>
        <v>1328.98</v>
      </c>
      <c r="F31" s="50"/>
      <c r="G31" s="48"/>
      <c r="H31" s="48"/>
      <c r="I31" s="48"/>
      <c r="V31" s="82" t="s">
        <v>146</v>
      </c>
      <c r="Y31" s="3">
        <v>200</v>
      </c>
    </row>
    <row r="32" spans="1:31" x14ac:dyDescent="0.3">
      <c r="A32" s="82"/>
      <c r="B32" s="82" t="s">
        <v>173</v>
      </c>
      <c r="C32" s="48">
        <v>5164.74</v>
      </c>
      <c r="D32" s="48"/>
      <c r="E32" s="49">
        <f t="shared" si="1"/>
        <v>5164.74</v>
      </c>
      <c r="F32" s="50"/>
      <c r="G32" s="48"/>
      <c r="H32" s="48"/>
      <c r="V32" s="82" t="s">
        <v>163</v>
      </c>
      <c r="Y32" s="3">
        <v>1240.67</v>
      </c>
    </row>
    <row r="33" spans="1:31" x14ac:dyDescent="0.3">
      <c r="A33" s="82"/>
      <c r="B33" s="3" t="s">
        <v>174</v>
      </c>
      <c r="C33" s="3">
        <v>71177.3</v>
      </c>
      <c r="D33" s="3">
        <v>3213</v>
      </c>
      <c r="E33" s="49">
        <f t="shared" si="1"/>
        <v>74390.3</v>
      </c>
      <c r="F33" s="50">
        <v>5</v>
      </c>
      <c r="G33" s="48" t="s">
        <v>181</v>
      </c>
      <c r="H33" s="48"/>
      <c r="I33" s="48"/>
      <c r="V33" s="82" t="s">
        <v>164</v>
      </c>
      <c r="Y33" s="3">
        <v>6086.95</v>
      </c>
      <c r="Z33" s="3">
        <f>SUM(Y30:Y33)</f>
        <v>15827.619999999999</v>
      </c>
      <c r="AB33" s="3" t="s">
        <v>253</v>
      </c>
      <c r="AE33" s="3">
        <v>15828</v>
      </c>
    </row>
    <row r="34" spans="1:31" x14ac:dyDescent="0.3">
      <c r="A34" s="82"/>
      <c r="B34" s="3" t="s">
        <v>142</v>
      </c>
      <c r="C34" s="3">
        <v>23937.05</v>
      </c>
      <c r="D34" s="3">
        <v>-3599</v>
      </c>
      <c r="E34" s="49">
        <f t="shared" si="1"/>
        <v>20338.05</v>
      </c>
      <c r="F34" s="50">
        <v>7</v>
      </c>
      <c r="G34" s="48" t="s">
        <v>260</v>
      </c>
      <c r="H34" s="48"/>
      <c r="I34" s="48"/>
    </row>
    <row r="35" spans="1:31" x14ac:dyDescent="0.3">
      <c r="A35" s="82"/>
      <c r="B35" s="82" t="s">
        <v>143</v>
      </c>
      <c r="C35" s="48">
        <v>3263.09</v>
      </c>
      <c r="D35" s="48">
        <v>-2635</v>
      </c>
      <c r="E35" s="55"/>
      <c r="F35" s="50">
        <v>3</v>
      </c>
      <c r="G35" s="48" t="s">
        <v>180</v>
      </c>
      <c r="H35" s="48"/>
      <c r="I35" s="48"/>
      <c r="V35" s="82" t="s">
        <v>147</v>
      </c>
      <c r="Y35" s="3">
        <v>40415.269999999997</v>
      </c>
      <c r="Z35" s="3">
        <f>Y35</f>
        <v>40415.269999999997</v>
      </c>
      <c r="AB35" s="3" t="s">
        <v>119</v>
      </c>
      <c r="AE35" s="3">
        <v>40415</v>
      </c>
    </row>
    <row r="36" spans="1:31" x14ac:dyDescent="0.3">
      <c r="A36" s="82"/>
      <c r="B36" s="82"/>
      <c r="C36" s="48"/>
      <c r="D36" s="48">
        <v>-443</v>
      </c>
      <c r="E36" s="49">
        <f>C35+D35+D36</f>
        <v>185.09000000000015</v>
      </c>
      <c r="F36" s="50">
        <v>4</v>
      </c>
      <c r="G36" s="48" t="s">
        <v>179</v>
      </c>
      <c r="H36" s="48"/>
      <c r="I36" s="48"/>
    </row>
    <row r="37" spans="1:31" x14ac:dyDescent="0.3">
      <c r="A37" s="82"/>
      <c r="B37" s="82" t="s">
        <v>65</v>
      </c>
      <c r="C37" s="48">
        <v>7418.8</v>
      </c>
      <c r="D37" s="48"/>
      <c r="E37" s="49">
        <f t="shared" si="1"/>
        <v>7418.8</v>
      </c>
      <c r="F37" s="50"/>
      <c r="G37" s="48"/>
      <c r="H37" s="48"/>
      <c r="I37" s="48"/>
      <c r="V37" s="82" t="s">
        <v>3</v>
      </c>
      <c r="Y37" s="3">
        <v>364982.74</v>
      </c>
      <c r="Z37" s="3">
        <f>Y37</f>
        <v>364982.74</v>
      </c>
      <c r="AB37" s="3" t="s">
        <v>3</v>
      </c>
      <c r="AE37" s="3">
        <v>364983</v>
      </c>
    </row>
    <row r="38" spans="1:31" x14ac:dyDescent="0.3">
      <c r="A38" s="82"/>
      <c r="B38" s="48" t="s">
        <v>144</v>
      </c>
      <c r="C38" s="48">
        <v>484.09</v>
      </c>
      <c r="D38" s="48"/>
      <c r="E38" s="49">
        <f t="shared" si="1"/>
        <v>484.09</v>
      </c>
      <c r="F38" s="50"/>
      <c r="G38" s="48"/>
      <c r="H38" s="48"/>
      <c r="I38" s="48"/>
    </row>
    <row r="39" spans="1:31" x14ac:dyDescent="0.3">
      <c r="A39" s="82"/>
      <c r="B39" s="48" t="s">
        <v>175</v>
      </c>
      <c r="C39" s="48">
        <v>3500</v>
      </c>
      <c r="D39" s="48"/>
      <c r="E39" s="49">
        <f>C39+D39</f>
        <v>3500</v>
      </c>
      <c r="F39" s="50"/>
      <c r="G39" s="48"/>
      <c r="H39" s="48"/>
      <c r="I39" s="48"/>
      <c r="V39" s="82" t="s">
        <v>65</v>
      </c>
      <c r="Y39" s="3">
        <v>7418.8</v>
      </c>
    </row>
    <row r="40" spans="1:31" x14ac:dyDescent="0.3">
      <c r="A40" s="82"/>
      <c r="B40" s="82" t="s">
        <v>145</v>
      </c>
      <c r="C40" s="48">
        <v>-2945</v>
      </c>
      <c r="D40" s="48"/>
      <c r="E40" s="49">
        <f t="shared" si="1"/>
        <v>-2945</v>
      </c>
      <c r="F40" s="50"/>
      <c r="G40" s="48"/>
      <c r="H40" s="48"/>
      <c r="V40" s="82" t="s">
        <v>171</v>
      </c>
      <c r="Y40" s="3">
        <v>4254.43</v>
      </c>
      <c r="Z40" s="3">
        <f>SUM(Y39:Y40)</f>
        <v>11673.23</v>
      </c>
      <c r="AB40" s="3" t="s">
        <v>120</v>
      </c>
      <c r="AE40" s="3">
        <v>11673</v>
      </c>
    </row>
    <row r="41" spans="1:31" x14ac:dyDescent="0.3">
      <c r="A41" s="82"/>
      <c r="B41" s="82" t="s">
        <v>176</v>
      </c>
      <c r="C41" s="48"/>
      <c r="D41" s="48">
        <v>4500</v>
      </c>
      <c r="E41" s="49">
        <f t="shared" si="1"/>
        <v>4500</v>
      </c>
      <c r="F41" s="50">
        <v>10</v>
      </c>
      <c r="G41" s="209" t="s">
        <v>187</v>
      </c>
      <c r="H41" s="48"/>
    </row>
    <row r="42" spans="1:31" x14ac:dyDescent="0.3">
      <c r="A42" s="82"/>
      <c r="B42" s="82" t="s">
        <v>146</v>
      </c>
      <c r="C42" s="48">
        <v>8300</v>
      </c>
      <c r="D42" s="48"/>
      <c r="E42" s="49">
        <f t="shared" si="1"/>
        <v>8300</v>
      </c>
      <c r="F42" s="50"/>
      <c r="G42" s="48"/>
      <c r="H42" s="48"/>
      <c r="V42" s="3" t="s">
        <v>142</v>
      </c>
      <c r="Y42" s="3">
        <v>20338.05</v>
      </c>
    </row>
    <row r="43" spans="1:31" x14ac:dyDescent="0.3">
      <c r="A43" s="82"/>
      <c r="B43" s="82" t="s">
        <v>146</v>
      </c>
      <c r="C43" s="48">
        <v>200</v>
      </c>
      <c r="D43" s="48"/>
      <c r="E43" s="49">
        <f t="shared" si="1"/>
        <v>200</v>
      </c>
      <c r="F43" s="50"/>
      <c r="G43" s="48"/>
      <c r="H43" s="48"/>
      <c r="V43" s="82" t="s">
        <v>157</v>
      </c>
      <c r="Y43" s="3">
        <v>692.17</v>
      </c>
    </row>
    <row r="44" spans="1:31" x14ac:dyDescent="0.3">
      <c r="A44" s="82"/>
      <c r="B44" s="82" t="s">
        <v>147</v>
      </c>
      <c r="C44" s="48">
        <v>41848.269999999997</v>
      </c>
      <c r="D44" s="48">
        <v>-1433</v>
      </c>
      <c r="E44" s="49">
        <f t="shared" si="1"/>
        <v>40415.269999999997</v>
      </c>
      <c r="F44" s="50">
        <v>6</v>
      </c>
      <c r="G44" s="48" t="s">
        <v>183</v>
      </c>
      <c r="H44" s="48"/>
      <c r="I44" s="48"/>
      <c r="V44" s="82" t="s">
        <v>166</v>
      </c>
      <c r="Y44" s="3">
        <v>66392.479999999996</v>
      </c>
    </row>
    <row r="45" spans="1:31" x14ac:dyDescent="0.3">
      <c r="A45" s="82"/>
      <c r="B45" s="82" t="s">
        <v>148</v>
      </c>
      <c r="C45" s="48">
        <v>1564</v>
      </c>
      <c r="D45" s="48"/>
      <c r="E45" s="49">
        <f t="shared" si="1"/>
        <v>1564</v>
      </c>
      <c r="F45" s="50"/>
      <c r="G45" s="48"/>
      <c r="H45" s="48"/>
      <c r="I45" s="48"/>
      <c r="V45" s="82" t="s">
        <v>167</v>
      </c>
      <c r="Y45" s="3">
        <v>6876.73</v>
      </c>
      <c r="Z45" s="3">
        <f>SUM(Y42:Y45)</f>
        <v>94299.43</v>
      </c>
      <c r="AB45" s="3" t="s">
        <v>254</v>
      </c>
      <c r="AE45" s="3">
        <v>94299</v>
      </c>
    </row>
    <row r="46" spans="1:31" x14ac:dyDescent="0.3">
      <c r="A46" s="82"/>
      <c r="B46" s="82" t="s">
        <v>149</v>
      </c>
      <c r="C46" s="48">
        <v>1199.2</v>
      </c>
      <c r="D46" s="48"/>
      <c r="E46" s="49">
        <f t="shared" si="1"/>
        <v>1199.2</v>
      </c>
      <c r="F46" s="50"/>
      <c r="G46" s="48"/>
      <c r="H46" s="48"/>
      <c r="I46" s="48"/>
    </row>
    <row r="47" spans="1:31" x14ac:dyDescent="0.3">
      <c r="A47" s="82"/>
      <c r="B47" s="82" t="s">
        <v>150</v>
      </c>
      <c r="C47" s="48">
        <v>22674.5</v>
      </c>
      <c r="D47" s="48">
        <v>15290</v>
      </c>
      <c r="E47" s="49"/>
      <c r="F47" s="50">
        <v>1</v>
      </c>
      <c r="G47" s="209" t="s">
        <v>193</v>
      </c>
      <c r="H47" s="48"/>
      <c r="I47" s="48"/>
    </row>
    <row r="48" spans="1:31" x14ac:dyDescent="0.3">
      <c r="A48" s="82"/>
      <c r="B48" s="82"/>
      <c r="C48" s="48"/>
      <c r="D48" s="48">
        <v>-7392</v>
      </c>
      <c r="E48" s="49"/>
      <c r="F48" s="50">
        <v>5</v>
      </c>
      <c r="G48" s="48" t="s">
        <v>182</v>
      </c>
      <c r="H48" s="48"/>
      <c r="I48" s="48"/>
    </row>
    <row r="49" spans="1:31" x14ac:dyDescent="0.3">
      <c r="A49" s="82"/>
      <c r="B49" s="82"/>
      <c r="C49" s="48"/>
      <c r="D49" s="48">
        <v>-22675</v>
      </c>
      <c r="E49" s="49">
        <f>C47+D47+D48+D49</f>
        <v>7897.5</v>
      </c>
      <c r="F49" s="50">
        <v>17</v>
      </c>
      <c r="G49" s="48" t="s">
        <v>191</v>
      </c>
      <c r="H49" s="48"/>
      <c r="I49" s="48"/>
      <c r="V49" s="48" t="s">
        <v>175</v>
      </c>
      <c r="Y49" s="3">
        <v>3500</v>
      </c>
    </row>
    <row r="50" spans="1:31" x14ac:dyDescent="0.3">
      <c r="A50" s="82"/>
      <c r="B50" s="200" t="s">
        <v>151</v>
      </c>
      <c r="C50" s="201">
        <v>40776.370000000003</v>
      </c>
      <c r="D50" s="48">
        <v>-24087</v>
      </c>
      <c r="E50" s="49">
        <f t="shared" si="1"/>
        <v>16689.370000000003</v>
      </c>
      <c r="F50" s="50">
        <v>17</v>
      </c>
      <c r="G50" s="48" t="s">
        <v>191</v>
      </c>
      <c r="H50" s="48"/>
      <c r="I50" s="48"/>
      <c r="V50" s="82" t="s">
        <v>145</v>
      </c>
      <c r="Y50" s="3">
        <v>-2945</v>
      </c>
    </row>
    <row r="51" spans="1:31" x14ac:dyDescent="0.3">
      <c r="A51" s="82"/>
      <c r="B51" s="202" t="s">
        <v>152</v>
      </c>
      <c r="C51" s="203">
        <v>6269.8</v>
      </c>
      <c r="D51" s="48"/>
      <c r="E51" s="49">
        <f t="shared" si="1"/>
        <v>6269.8</v>
      </c>
      <c r="F51" s="50"/>
      <c r="G51" s="48"/>
      <c r="H51" s="48"/>
      <c r="I51" s="48"/>
      <c r="V51" s="82" t="s">
        <v>176</v>
      </c>
      <c r="Y51" s="3">
        <v>4500</v>
      </c>
      <c r="Z51" s="3">
        <f>SUM(Y49:Y51)</f>
        <v>5055</v>
      </c>
      <c r="AB51" s="3" t="s">
        <v>255</v>
      </c>
      <c r="AE51" s="3">
        <v>5055</v>
      </c>
    </row>
    <row r="52" spans="1:31" x14ac:dyDescent="0.3">
      <c r="A52" s="82"/>
      <c r="B52" s="202" t="s">
        <v>153</v>
      </c>
      <c r="C52" s="203">
        <v>692.61</v>
      </c>
      <c r="D52" s="48"/>
      <c r="E52" s="49">
        <f t="shared" si="1"/>
        <v>692.61</v>
      </c>
      <c r="F52" s="50"/>
      <c r="G52" s="48"/>
      <c r="H52" s="48"/>
      <c r="I52" s="48"/>
    </row>
    <row r="53" spans="1:31" x14ac:dyDescent="0.3">
      <c r="A53" s="82"/>
      <c r="B53" s="202" t="s">
        <v>154</v>
      </c>
      <c r="C53" s="203">
        <v>730.3</v>
      </c>
      <c r="D53" s="48"/>
      <c r="E53" s="49">
        <f t="shared" si="1"/>
        <v>730.3</v>
      </c>
      <c r="F53" s="50"/>
      <c r="G53" s="48"/>
      <c r="H53" s="48"/>
      <c r="I53" s="48"/>
      <c r="V53" s="202" t="s">
        <v>152</v>
      </c>
      <c r="Y53" s="3">
        <v>6269.8</v>
      </c>
      <c r="Z53" s="3">
        <f>Y53</f>
        <v>6269.8</v>
      </c>
      <c r="AB53" s="3" t="s">
        <v>256</v>
      </c>
      <c r="AE53" s="3">
        <v>6270</v>
      </c>
    </row>
    <row r="54" spans="1:31" x14ac:dyDescent="0.3">
      <c r="A54" s="82">
        <f>SUM(C50:C54)</f>
        <v>49473.640000000007</v>
      </c>
      <c r="B54" s="204" t="s">
        <v>155</v>
      </c>
      <c r="C54" s="205">
        <v>1004.56</v>
      </c>
      <c r="D54" s="48"/>
      <c r="E54" s="49">
        <f t="shared" si="1"/>
        <v>1004.56</v>
      </c>
      <c r="F54" s="50"/>
      <c r="G54" s="48"/>
      <c r="H54" s="48"/>
      <c r="I54" s="48"/>
    </row>
    <row r="55" spans="1:31" x14ac:dyDescent="0.3">
      <c r="A55" s="82"/>
      <c r="B55" s="82" t="s">
        <v>156</v>
      </c>
      <c r="C55" s="48">
        <v>10394.040000000001</v>
      </c>
      <c r="D55" s="48"/>
      <c r="E55" s="49">
        <f t="shared" si="1"/>
        <v>10394.040000000001</v>
      </c>
      <c r="F55" s="50"/>
      <c r="G55" s="48"/>
      <c r="H55" s="48"/>
      <c r="I55" s="48"/>
      <c r="V55" s="82" t="s">
        <v>169</v>
      </c>
      <c r="Y55" s="3">
        <v>551.11</v>
      </c>
      <c r="Z55" s="3">
        <f>Y55</f>
        <v>551.11</v>
      </c>
      <c r="AB55" s="3" t="s">
        <v>169</v>
      </c>
      <c r="AE55" s="3">
        <v>551</v>
      </c>
    </row>
    <row r="56" spans="1:31" x14ac:dyDescent="0.3">
      <c r="A56" s="82"/>
      <c r="B56" s="82" t="s">
        <v>157</v>
      </c>
      <c r="C56" s="48">
        <v>692.17</v>
      </c>
      <c r="D56" s="48"/>
      <c r="E56" s="49">
        <f t="shared" si="1"/>
        <v>692.17</v>
      </c>
      <c r="F56" s="50"/>
      <c r="G56" s="48"/>
      <c r="H56" s="48"/>
      <c r="I56" s="48"/>
    </row>
    <row r="57" spans="1:31" x14ac:dyDescent="0.3">
      <c r="A57" s="82"/>
      <c r="B57" s="82" t="s">
        <v>158</v>
      </c>
      <c r="C57" s="48">
        <v>1475.77</v>
      </c>
      <c r="D57" s="48"/>
      <c r="E57" s="49">
        <f t="shared" si="1"/>
        <v>1475.77</v>
      </c>
      <c r="F57" s="50"/>
      <c r="G57" s="48"/>
      <c r="H57" s="48"/>
      <c r="I57" s="48"/>
      <c r="V57" s="82" t="s">
        <v>138</v>
      </c>
      <c r="Y57" s="3">
        <v>24876.45</v>
      </c>
    </row>
    <row r="58" spans="1:31" x14ac:dyDescent="0.3">
      <c r="A58" s="82"/>
      <c r="B58" s="82" t="s">
        <v>159</v>
      </c>
      <c r="C58" s="48">
        <v>765.35</v>
      </c>
      <c r="D58" s="48"/>
      <c r="E58" s="49">
        <f t="shared" si="1"/>
        <v>765.35</v>
      </c>
      <c r="F58" s="50"/>
      <c r="G58" s="48"/>
      <c r="H58" s="48"/>
      <c r="I58" s="48"/>
      <c r="V58" s="82" t="s">
        <v>148</v>
      </c>
      <c r="Y58" s="3">
        <v>1564</v>
      </c>
      <c r="Z58" s="3">
        <f>SUM(Y57:Y58)</f>
        <v>26440.45</v>
      </c>
      <c r="AB58" s="3" t="s">
        <v>257</v>
      </c>
      <c r="AE58" s="3">
        <v>26440</v>
      </c>
    </row>
    <row r="59" spans="1:31" x14ac:dyDescent="0.3">
      <c r="A59" s="82"/>
      <c r="B59" s="82" t="s">
        <v>5</v>
      </c>
      <c r="C59" s="48">
        <v>14885.26</v>
      </c>
      <c r="D59" s="48">
        <v>-9247</v>
      </c>
      <c r="E59" s="49">
        <f t="shared" si="1"/>
        <v>5638.26</v>
      </c>
      <c r="F59" s="50">
        <v>6</v>
      </c>
      <c r="G59" s="48" t="s">
        <v>181</v>
      </c>
      <c r="H59" s="48"/>
      <c r="I59" s="48"/>
    </row>
    <row r="60" spans="1:31" x14ac:dyDescent="0.3">
      <c r="A60" s="82"/>
      <c r="B60" s="82" t="s">
        <v>64</v>
      </c>
      <c r="C60" s="48">
        <v>13871.24</v>
      </c>
      <c r="D60" s="48"/>
      <c r="E60" s="49">
        <f t="shared" si="1"/>
        <v>13871.24</v>
      </c>
      <c r="F60" s="50"/>
      <c r="G60" s="48"/>
      <c r="H60" s="48"/>
      <c r="I60" s="48"/>
      <c r="V60" s="82" t="s">
        <v>137</v>
      </c>
      <c r="Y60" s="3">
        <v>55</v>
      </c>
    </row>
    <row r="61" spans="1:31" x14ac:dyDescent="0.3">
      <c r="A61" s="82"/>
      <c r="B61" s="82" t="s">
        <v>160</v>
      </c>
      <c r="C61" s="48">
        <v>1694.46</v>
      </c>
      <c r="D61" s="48"/>
      <c r="E61" s="49">
        <f t="shared" si="1"/>
        <v>1694.46</v>
      </c>
      <c r="F61" s="50"/>
      <c r="G61" s="48"/>
      <c r="H61" s="48"/>
      <c r="I61" s="48"/>
      <c r="V61" s="82" t="s">
        <v>141</v>
      </c>
      <c r="Y61" s="3">
        <v>26.58</v>
      </c>
    </row>
    <row r="62" spans="1:31" x14ac:dyDescent="0.3">
      <c r="A62" s="82"/>
      <c r="B62" s="82" t="s">
        <v>3</v>
      </c>
      <c r="C62" s="48">
        <v>364982.74</v>
      </c>
      <c r="D62" s="48"/>
      <c r="E62" s="49">
        <f t="shared" si="1"/>
        <v>364982.74</v>
      </c>
      <c r="F62" s="50"/>
      <c r="G62" s="48"/>
      <c r="H62" s="48"/>
      <c r="I62" s="48"/>
      <c r="V62" s="82" t="s">
        <v>6</v>
      </c>
      <c r="Y62" s="3">
        <v>1328.98</v>
      </c>
    </row>
    <row r="63" spans="1:31" x14ac:dyDescent="0.3">
      <c r="A63" s="82"/>
      <c r="B63" s="82" t="s">
        <v>161</v>
      </c>
      <c r="C63" s="48">
        <v>96.27</v>
      </c>
      <c r="D63" s="48"/>
      <c r="E63" s="49">
        <f t="shared" si="1"/>
        <v>96.27</v>
      </c>
      <c r="F63" s="50"/>
      <c r="G63" s="48"/>
      <c r="H63" s="48"/>
      <c r="I63" s="48"/>
      <c r="V63" s="82" t="s">
        <v>143</v>
      </c>
      <c r="Y63" s="3">
        <v>185.09000000000015</v>
      </c>
    </row>
    <row r="64" spans="1:31" x14ac:dyDescent="0.3">
      <c r="A64" s="82"/>
      <c r="B64" s="82" t="s">
        <v>62</v>
      </c>
      <c r="C64" s="48">
        <v>30331.200000000001</v>
      </c>
      <c r="D64" s="48">
        <v>9247</v>
      </c>
      <c r="E64" s="55"/>
      <c r="F64" s="50">
        <v>6</v>
      </c>
      <c r="G64" s="48" t="s">
        <v>181</v>
      </c>
      <c r="H64" s="48"/>
      <c r="I64" s="48"/>
      <c r="V64" s="48" t="s">
        <v>144</v>
      </c>
      <c r="Y64" s="3">
        <v>484.09</v>
      </c>
    </row>
    <row r="65" spans="1:31" x14ac:dyDescent="0.3">
      <c r="A65" s="82"/>
      <c r="B65" s="82"/>
      <c r="C65" s="48"/>
      <c r="D65" s="48">
        <v>1433</v>
      </c>
      <c r="E65" s="49">
        <f>C64+D64+D65</f>
        <v>41011.199999999997</v>
      </c>
      <c r="F65" s="50">
        <v>6</v>
      </c>
      <c r="G65" s="48" t="s">
        <v>183</v>
      </c>
      <c r="H65" s="48"/>
      <c r="I65" s="48"/>
      <c r="V65" s="82" t="s">
        <v>149</v>
      </c>
      <c r="Y65" s="3">
        <v>1199.2</v>
      </c>
    </row>
    <row r="66" spans="1:31" x14ac:dyDescent="0.3">
      <c r="A66" s="82"/>
      <c r="B66" s="82" t="s">
        <v>162</v>
      </c>
      <c r="C66" s="48">
        <v>250</v>
      </c>
      <c r="D66" s="48"/>
      <c r="E66" s="49">
        <f t="shared" si="1"/>
        <v>250</v>
      </c>
      <c r="F66" s="50"/>
      <c r="G66" s="48"/>
      <c r="H66" s="48"/>
      <c r="I66" s="48"/>
      <c r="V66" s="82" t="s">
        <v>150</v>
      </c>
      <c r="Y66" s="210">
        <v>7897.5</v>
      </c>
    </row>
    <row r="67" spans="1:31" x14ac:dyDescent="0.3">
      <c r="A67" s="82"/>
      <c r="B67" s="82" t="s">
        <v>163</v>
      </c>
      <c r="C67" s="206">
        <v>5267.67</v>
      </c>
      <c r="D67" s="48">
        <v>-4027</v>
      </c>
      <c r="E67" s="49">
        <f t="shared" si="1"/>
        <v>1240.67</v>
      </c>
      <c r="F67" s="50">
        <v>7</v>
      </c>
      <c r="G67" s="48" t="s">
        <v>184</v>
      </c>
      <c r="H67" s="48"/>
      <c r="I67" s="48"/>
      <c r="V67" s="200" t="s">
        <v>151</v>
      </c>
      <c r="Y67" s="3">
        <v>16689.370000000003</v>
      </c>
    </row>
    <row r="68" spans="1:31" x14ac:dyDescent="0.3">
      <c r="A68" s="82"/>
      <c r="B68" s="82" t="s">
        <v>164</v>
      </c>
      <c r="C68" s="207">
        <v>6086.95</v>
      </c>
      <c r="D68" s="48"/>
      <c r="E68" s="49">
        <f t="shared" si="1"/>
        <v>6086.95</v>
      </c>
      <c r="F68" s="50"/>
      <c r="G68" s="48"/>
      <c r="H68" s="48"/>
      <c r="I68" s="48"/>
      <c r="V68" s="202" t="s">
        <v>153</v>
      </c>
      <c r="Y68" s="3">
        <v>692.61</v>
      </c>
    </row>
    <row r="69" spans="1:31" x14ac:dyDescent="0.3">
      <c r="A69" s="82"/>
      <c r="B69" s="82" t="s">
        <v>195</v>
      </c>
      <c r="C69" s="207">
        <v>50050</v>
      </c>
      <c r="D69" s="48"/>
      <c r="E69" s="49">
        <f t="shared" si="1"/>
        <v>50050</v>
      </c>
      <c r="F69" s="50"/>
      <c r="G69" s="48"/>
      <c r="H69" s="48"/>
      <c r="I69" s="48"/>
      <c r="V69" s="202" t="s">
        <v>154</v>
      </c>
      <c r="Y69" s="3">
        <v>730.3</v>
      </c>
    </row>
    <row r="70" spans="1:31" x14ac:dyDescent="0.3">
      <c r="A70" s="82"/>
      <c r="B70" s="82" t="s">
        <v>166</v>
      </c>
      <c r="C70" s="207">
        <v>84971.48</v>
      </c>
      <c r="D70" s="48">
        <v>-12531</v>
      </c>
      <c r="E70" s="55"/>
      <c r="F70" s="50">
        <v>2</v>
      </c>
      <c r="G70" s="48" t="s">
        <v>178</v>
      </c>
      <c r="H70" s="48"/>
      <c r="I70" s="48"/>
      <c r="V70" s="204" t="s">
        <v>155</v>
      </c>
      <c r="Y70" s="3">
        <v>1004.56</v>
      </c>
    </row>
    <row r="71" spans="1:31" x14ac:dyDescent="0.3">
      <c r="A71" s="82"/>
      <c r="B71" s="82"/>
      <c r="C71" s="207"/>
      <c r="D71" s="48">
        <v>-6048</v>
      </c>
      <c r="E71" s="49">
        <f>C70+D70+D71</f>
        <v>66392.479999999996</v>
      </c>
      <c r="F71" s="50">
        <v>7</v>
      </c>
      <c r="G71" s="48" t="s">
        <v>184</v>
      </c>
      <c r="H71" s="48"/>
      <c r="I71" s="48"/>
      <c r="V71" s="82" t="s">
        <v>156</v>
      </c>
      <c r="Y71" s="3">
        <v>10394.040000000001</v>
      </c>
    </row>
    <row r="72" spans="1:31" x14ac:dyDescent="0.3">
      <c r="A72" s="82">
        <f>SUM(C67:C72)</f>
        <v>153252.82999999999</v>
      </c>
      <c r="B72" s="82" t="s">
        <v>167</v>
      </c>
      <c r="C72" s="208">
        <v>6876.73</v>
      </c>
      <c r="D72" s="48"/>
      <c r="E72" s="49">
        <f t="shared" si="1"/>
        <v>6876.73</v>
      </c>
      <c r="F72" s="50"/>
      <c r="G72" s="48"/>
      <c r="H72" s="48"/>
      <c r="I72" s="48"/>
      <c r="V72" s="82" t="s">
        <v>158</v>
      </c>
      <c r="Y72" s="3">
        <v>1475.77</v>
      </c>
    </row>
    <row r="73" spans="1:31" x14ac:dyDescent="0.3">
      <c r="A73" s="82"/>
      <c r="B73" s="82" t="s">
        <v>168</v>
      </c>
      <c r="C73" s="48">
        <v>1075.6099999999999</v>
      </c>
      <c r="D73" s="49"/>
      <c r="E73" s="49">
        <f t="shared" si="1"/>
        <v>1075.6099999999999</v>
      </c>
      <c r="F73" s="50"/>
      <c r="G73" s="48"/>
      <c r="H73" s="48"/>
      <c r="I73" s="48"/>
      <c r="V73" s="82" t="s">
        <v>159</v>
      </c>
      <c r="Y73" s="3">
        <v>765.35</v>
      </c>
    </row>
    <row r="74" spans="1:31" x14ac:dyDescent="0.3">
      <c r="A74" s="82"/>
      <c r="B74" s="82" t="s">
        <v>169</v>
      </c>
      <c r="C74" s="48">
        <v>551.11</v>
      </c>
      <c r="D74" s="48"/>
      <c r="E74" s="49">
        <f t="shared" si="1"/>
        <v>551.11</v>
      </c>
      <c r="F74" s="50"/>
      <c r="G74" s="48"/>
      <c r="H74" s="48"/>
      <c r="I74" s="48"/>
      <c r="V74" s="82" t="s">
        <v>64</v>
      </c>
      <c r="Y74" s="3">
        <v>13871.24</v>
      </c>
    </row>
    <row r="75" spans="1:31" x14ac:dyDescent="0.3">
      <c r="A75" s="82"/>
      <c r="B75" s="82" t="s">
        <v>170</v>
      </c>
      <c r="C75" s="48">
        <v>2360.9</v>
      </c>
      <c r="D75" s="48"/>
      <c r="E75" s="49">
        <f t="shared" si="1"/>
        <v>2360.9</v>
      </c>
      <c r="F75" s="50"/>
      <c r="G75" s="48"/>
      <c r="H75" s="48"/>
      <c r="I75" s="48"/>
      <c r="V75" s="82" t="s">
        <v>160</v>
      </c>
      <c r="Y75" s="3">
        <v>1694.46</v>
      </c>
    </row>
    <row r="76" spans="1:31" x14ac:dyDescent="0.3">
      <c r="A76" s="82"/>
      <c r="B76" s="82" t="s">
        <v>171</v>
      </c>
      <c r="C76" s="48">
        <v>4254.43</v>
      </c>
      <c r="D76" s="48"/>
      <c r="E76" s="49">
        <f t="shared" si="1"/>
        <v>4254.43</v>
      </c>
      <c r="F76" s="50"/>
      <c r="G76" s="48"/>
      <c r="H76" s="48"/>
      <c r="I76" s="48"/>
      <c r="V76" s="82" t="s">
        <v>161</v>
      </c>
      <c r="Y76" s="3">
        <v>96.27</v>
      </c>
    </row>
    <row r="77" spans="1:31" x14ac:dyDescent="0.3">
      <c r="A77" s="82"/>
      <c r="B77" s="82" t="s">
        <v>172</v>
      </c>
      <c r="C77" s="48">
        <v>32158.46</v>
      </c>
      <c r="D77" s="48"/>
      <c r="E77" s="49">
        <f t="shared" si="1"/>
        <v>32158.46</v>
      </c>
      <c r="F77" s="50"/>
      <c r="G77" s="48"/>
      <c r="H77" s="48"/>
      <c r="I77" s="48"/>
      <c r="V77" s="82" t="s">
        <v>162</v>
      </c>
      <c r="Y77" s="3">
        <v>250</v>
      </c>
    </row>
    <row r="78" spans="1:31" x14ac:dyDescent="0.3">
      <c r="A78" s="82"/>
      <c r="B78" s="82" t="s">
        <v>60</v>
      </c>
      <c r="C78" s="48"/>
      <c r="D78" s="48">
        <v>155205</v>
      </c>
      <c r="E78" s="49">
        <f t="shared" si="1"/>
        <v>155205</v>
      </c>
      <c r="F78" s="50">
        <v>12</v>
      </c>
      <c r="G78" s="48" t="s">
        <v>188</v>
      </c>
      <c r="H78" s="48"/>
      <c r="I78" s="48"/>
      <c r="V78" s="82" t="s">
        <v>165</v>
      </c>
      <c r="Y78" s="3">
        <v>50050</v>
      </c>
    </row>
    <row r="79" spans="1:31" x14ac:dyDescent="0.3">
      <c r="A79" s="84"/>
      <c r="B79" s="84" t="s">
        <v>177</v>
      </c>
      <c r="D79" s="3">
        <v>870</v>
      </c>
      <c r="E79" s="49">
        <f t="shared" si="1"/>
        <v>870</v>
      </c>
      <c r="F79" s="1">
        <v>9</v>
      </c>
      <c r="G79" s="3" t="s">
        <v>186</v>
      </c>
      <c r="V79" s="82" t="s">
        <v>168</v>
      </c>
      <c r="Y79" s="3">
        <v>1075.6099999999999</v>
      </c>
    </row>
    <row r="80" spans="1:31" x14ac:dyDescent="0.3">
      <c r="A80" s="84"/>
      <c r="B80" s="84"/>
      <c r="E80" s="55"/>
      <c r="V80" s="82" t="s">
        <v>170</v>
      </c>
      <c r="Y80" s="3">
        <v>2360.9</v>
      </c>
      <c r="Z80" s="3">
        <f>SUM(Y60:Y80)</f>
        <v>112326.92</v>
      </c>
      <c r="AB80" s="3" t="s">
        <v>53</v>
      </c>
      <c r="AE80" s="3">
        <v>112327</v>
      </c>
    </row>
    <row r="81" spans="1:31" x14ac:dyDescent="0.3">
      <c r="B81" s="84"/>
      <c r="C81" s="3">
        <f>SUM(C27:C80)</f>
        <v>895830.30999999994</v>
      </c>
      <c r="E81" s="55">
        <f>SUM(E27:E80)</f>
        <v>1083576.31</v>
      </c>
    </row>
    <row r="82" spans="1:31" x14ac:dyDescent="0.3">
      <c r="E82" s="55"/>
      <c r="V82" s="82" t="s">
        <v>60</v>
      </c>
      <c r="Y82" s="3">
        <v>155205</v>
      </c>
      <c r="Z82" s="3">
        <f>Y82</f>
        <v>155205</v>
      </c>
      <c r="AB82" s="3" t="s">
        <v>60</v>
      </c>
      <c r="AE82" s="3">
        <v>155205</v>
      </c>
    </row>
    <row r="83" spans="1:31" x14ac:dyDescent="0.3">
      <c r="C83" s="3">
        <f>C23-C81</f>
        <v>416561.88</v>
      </c>
      <c r="E83" s="55">
        <f>E23-E81</f>
        <v>100644.87999999989</v>
      </c>
      <c r="V83" s="84" t="s">
        <v>177</v>
      </c>
      <c r="Y83" s="3">
        <v>870</v>
      </c>
      <c r="Z83" s="3">
        <f>Y83</f>
        <v>870</v>
      </c>
      <c r="AB83" s="3" t="s">
        <v>177</v>
      </c>
      <c r="AE83" s="3">
        <v>870</v>
      </c>
    </row>
    <row r="84" spans="1:31" x14ac:dyDescent="0.3">
      <c r="V84" s="84"/>
    </row>
    <row r="85" spans="1:31" x14ac:dyDescent="0.3">
      <c r="V85" s="3" t="s">
        <v>139</v>
      </c>
      <c r="Y85" s="3">
        <v>91296.78</v>
      </c>
      <c r="Z85" s="3">
        <f>Y85</f>
        <v>91296.78</v>
      </c>
      <c r="AB85" s="3" t="s">
        <v>258</v>
      </c>
      <c r="AE85" s="3">
        <v>91297</v>
      </c>
    </row>
    <row r="87" spans="1:31" x14ac:dyDescent="0.3">
      <c r="D87" s="7"/>
      <c r="V87" s="82" t="s">
        <v>173</v>
      </c>
      <c r="Y87" s="3">
        <v>5164.74</v>
      </c>
    </row>
    <row r="88" spans="1:31" x14ac:dyDescent="0.3">
      <c r="V88" s="82" t="s">
        <v>5</v>
      </c>
      <c r="Y88" s="3">
        <v>5638.26</v>
      </c>
      <c r="Z88" s="3">
        <f>SUM(Y87:Y88)</f>
        <v>10803</v>
      </c>
      <c r="AB88" s="3" t="s">
        <v>19</v>
      </c>
      <c r="AE88" s="3">
        <v>10803</v>
      </c>
    </row>
    <row r="90" spans="1:31" x14ac:dyDescent="0.3">
      <c r="A90" s="84"/>
      <c r="B90" s="84"/>
    </row>
    <row r="91" spans="1:31" x14ac:dyDescent="0.3">
      <c r="A91" s="84"/>
      <c r="B91" s="84"/>
      <c r="Y91" s="3">
        <f>SUM(Y26:Y90)</f>
        <v>1083576.31</v>
      </c>
      <c r="Z91" s="3">
        <f>SUM(Z25:Z90)</f>
        <v>1083576.31</v>
      </c>
      <c r="AE91" s="3">
        <f>SUM(AE28:AE90)</f>
        <v>1083575</v>
      </c>
    </row>
    <row r="92" spans="1:31" x14ac:dyDescent="0.3">
      <c r="A92" s="84"/>
      <c r="B92" s="84"/>
    </row>
    <row r="93" spans="1:31" x14ac:dyDescent="0.3">
      <c r="A93" s="84"/>
      <c r="B93" s="84"/>
    </row>
    <row r="94" spans="1:31" x14ac:dyDescent="0.3">
      <c r="A94" s="84"/>
      <c r="B94" s="84"/>
    </row>
    <row r="95" spans="1:31" x14ac:dyDescent="0.3">
      <c r="A95" s="84"/>
      <c r="B95" s="84"/>
    </row>
    <row r="96" spans="1:31" x14ac:dyDescent="0.3">
      <c r="A96" s="84"/>
      <c r="B96" s="84"/>
    </row>
    <row r="97" spans="1:2" x14ac:dyDescent="0.3">
      <c r="A97" s="84"/>
      <c r="B97" s="84"/>
    </row>
    <row r="98" spans="1:2" x14ac:dyDescent="0.3">
      <c r="A98" s="84"/>
      <c r="B98" s="84"/>
    </row>
    <row r="99" spans="1:2" x14ac:dyDescent="0.3">
      <c r="A99" s="84"/>
      <c r="B99" s="84"/>
    </row>
    <row r="100" spans="1:2" x14ac:dyDescent="0.3">
      <c r="A100" s="84"/>
      <c r="B100" s="84"/>
    </row>
    <row r="101" spans="1:2" x14ac:dyDescent="0.3">
      <c r="A101" s="84"/>
      <c r="B101" s="84"/>
    </row>
    <row r="102" spans="1:2" x14ac:dyDescent="0.3">
      <c r="A102" s="84"/>
      <c r="B102" s="84"/>
    </row>
    <row r="103" spans="1:2" x14ac:dyDescent="0.3">
      <c r="A103" s="84"/>
      <c r="B103" s="84"/>
    </row>
    <row r="104" spans="1:2" x14ac:dyDescent="0.3">
      <c r="A104" s="84"/>
      <c r="B104" s="84"/>
    </row>
    <row r="105" spans="1:2" x14ac:dyDescent="0.3">
      <c r="A105" s="84"/>
      <c r="B105" s="84"/>
    </row>
    <row r="106" spans="1:2" x14ac:dyDescent="0.3">
      <c r="A106" s="84"/>
      <c r="B106" s="84"/>
    </row>
    <row r="107" spans="1:2" x14ac:dyDescent="0.3">
      <c r="A107" s="84"/>
      <c r="B107" s="84"/>
    </row>
    <row r="108" spans="1:2" x14ac:dyDescent="0.3">
      <c r="A108" s="84"/>
      <c r="B108" s="84"/>
    </row>
    <row r="109" spans="1:2" x14ac:dyDescent="0.3">
      <c r="A109" s="84"/>
      <c r="B109" s="84"/>
    </row>
    <row r="110" spans="1:2" x14ac:dyDescent="0.3">
      <c r="A110" s="84"/>
      <c r="B110" s="84"/>
    </row>
    <row r="111" spans="1:2" x14ac:dyDescent="0.3">
      <c r="A111" s="84"/>
      <c r="B111" s="84"/>
    </row>
    <row r="112" spans="1:2" x14ac:dyDescent="0.3">
      <c r="A112" s="84"/>
      <c r="B112" s="84"/>
    </row>
    <row r="113" spans="1:2" x14ac:dyDescent="0.3">
      <c r="A113" s="84"/>
      <c r="B113" s="84"/>
    </row>
    <row r="114" spans="1:2" x14ac:dyDescent="0.3">
      <c r="A114" s="84"/>
      <c r="B114" s="84"/>
    </row>
    <row r="115" spans="1:2" x14ac:dyDescent="0.3">
      <c r="A115" s="84"/>
      <c r="B115" s="84"/>
    </row>
    <row r="116" spans="1:2" x14ac:dyDescent="0.3">
      <c r="A116" s="84"/>
      <c r="B116" s="84"/>
    </row>
    <row r="117" spans="1:2" x14ac:dyDescent="0.3">
      <c r="A117" s="84"/>
      <c r="B117" s="84"/>
    </row>
    <row r="118" spans="1:2" x14ac:dyDescent="0.3">
      <c r="A118" s="84"/>
      <c r="B118" s="84"/>
    </row>
    <row r="119" spans="1:2" x14ac:dyDescent="0.3">
      <c r="A119" s="84"/>
      <c r="B119" s="84"/>
    </row>
    <row r="120" spans="1:2" x14ac:dyDescent="0.3">
      <c r="A120" s="84"/>
      <c r="B120" s="84"/>
    </row>
    <row r="121" spans="1:2" x14ac:dyDescent="0.3">
      <c r="A121" s="84"/>
      <c r="B121" s="84"/>
    </row>
    <row r="122" spans="1:2" x14ac:dyDescent="0.3">
      <c r="A122" s="84"/>
      <c r="B122" s="84"/>
    </row>
    <row r="123" spans="1:2" x14ac:dyDescent="0.3">
      <c r="A123" s="84"/>
      <c r="B123" s="84"/>
    </row>
    <row r="124" spans="1:2" x14ac:dyDescent="0.3">
      <c r="A124" s="84"/>
      <c r="B124" s="84"/>
    </row>
    <row r="125" spans="1:2" x14ac:dyDescent="0.3">
      <c r="A125" s="84"/>
      <c r="B125" s="84"/>
    </row>
    <row r="126" spans="1:2" x14ac:dyDescent="0.3">
      <c r="A126" s="84"/>
      <c r="B126" s="84"/>
    </row>
    <row r="127" spans="1:2" x14ac:dyDescent="0.3">
      <c r="A127" s="84"/>
      <c r="B127" s="84"/>
    </row>
    <row r="128" spans="1:2" x14ac:dyDescent="0.3">
      <c r="A128" s="84"/>
      <c r="B128" s="84"/>
    </row>
    <row r="129" spans="1:2" x14ac:dyDescent="0.3">
      <c r="A129" s="84"/>
      <c r="B129" s="84"/>
    </row>
    <row r="130" spans="1:2" x14ac:dyDescent="0.3">
      <c r="A130" s="84"/>
      <c r="B130" s="84"/>
    </row>
    <row r="131" spans="1:2" x14ac:dyDescent="0.3">
      <c r="A131" s="84"/>
      <c r="B131" s="84"/>
    </row>
    <row r="132" spans="1:2" x14ac:dyDescent="0.3">
      <c r="A132" s="84"/>
      <c r="B132" s="84"/>
    </row>
    <row r="133" spans="1:2" x14ac:dyDescent="0.3">
      <c r="A133" s="84"/>
      <c r="B133" s="84"/>
    </row>
    <row r="134" spans="1:2" x14ac:dyDescent="0.3">
      <c r="A134" s="84"/>
      <c r="B134" s="84"/>
    </row>
    <row r="135" spans="1:2" x14ac:dyDescent="0.3">
      <c r="A135" s="84"/>
      <c r="B135" s="84"/>
    </row>
    <row r="136" spans="1:2" x14ac:dyDescent="0.3">
      <c r="A136" s="84"/>
      <c r="B136" s="84"/>
    </row>
    <row r="137" spans="1:2" x14ac:dyDescent="0.3">
      <c r="A137" s="84"/>
      <c r="B137" s="84"/>
    </row>
    <row r="138" spans="1:2" x14ac:dyDescent="0.3">
      <c r="A138" s="84"/>
      <c r="B138" s="84"/>
    </row>
    <row r="139" spans="1:2" x14ac:dyDescent="0.3">
      <c r="A139" s="84"/>
      <c r="B139" s="84"/>
    </row>
    <row r="140" spans="1:2" x14ac:dyDescent="0.3">
      <c r="A140" s="84"/>
      <c r="B140" s="84"/>
    </row>
    <row r="141" spans="1:2" x14ac:dyDescent="0.3">
      <c r="A141" s="84"/>
      <c r="B141" s="84"/>
    </row>
    <row r="142" spans="1:2" x14ac:dyDescent="0.3">
      <c r="A142" s="84"/>
      <c r="B142" s="84"/>
    </row>
    <row r="143" spans="1:2" x14ac:dyDescent="0.3">
      <c r="A143" s="84"/>
      <c r="B143" s="84"/>
    </row>
    <row r="144" spans="1:2" x14ac:dyDescent="0.3">
      <c r="A144" s="84"/>
      <c r="B144" s="84"/>
    </row>
    <row r="145" spans="1:4" x14ac:dyDescent="0.3">
      <c r="A145" s="84"/>
      <c r="B145" s="84"/>
    </row>
    <row r="146" spans="1:4" x14ac:dyDescent="0.3">
      <c r="A146" s="84"/>
      <c r="B146" s="84"/>
    </row>
    <row r="147" spans="1:4" x14ac:dyDescent="0.3">
      <c r="A147" s="84"/>
      <c r="B147" s="84"/>
    </row>
    <row r="148" spans="1:4" x14ac:dyDescent="0.3">
      <c r="A148" s="84"/>
      <c r="B148" s="84"/>
    </row>
    <row r="149" spans="1:4" x14ac:dyDescent="0.3">
      <c r="A149" s="84"/>
      <c r="B149" s="84"/>
    </row>
    <row r="150" spans="1:4" x14ac:dyDescent="0.3">
      <c r="A150" s="84"/>
      <c r="B150" s="84"/>
    </row>
    <row r="151" spans="1:4" x14ac:dyDescent="0.3">
      <c r="A151" s="84"/>
      <c r="B151" s="84"/>
      <c r="D151" s="49"/>
    </row>
    <row r="152" spans="1:4" x14ac:dyDescent="0.3">
      <c r="A152" s="84"/>
      <c r="B152" s="84"/>
    </row>
    <row r="153" spans="1:4" x14ac:dyDescent="0.3">
      <c r="A153" s="84"/>
      <c r="B153" s="84"/>
    </row>
    <row r="154" spans="1:4" x14ac:dyDescent="0.3">
      <c r="A154" s="84"/>
      <c r="B154" s="84"/>
    </row>
    <row r="155" spans="1:4" x14ac:dyDescent="0.3">
      <c r="B155" s="84"/>
    </row>
    <row r="156" spans="1:4" x14ac:dyDescent="0.3">
      <c r="B156" s="84"/>
    </row>
    <row r="157" spans="1:4" x14ac:dyDescent="0.3">
      <c r="A157" s="84"/>
      <c r="B157" s="84"/>
    </row>
    <row r="158" spans="1:4" x14ac:dyDescent="0.3">
      <c r="A158" s="84"/>
      <c r="B158" s="84"/>
    </row>
    <row r="159" spans="1:4" x14ac:dyDescent="0.3">
      <c r="A159" s="84"/>
      <c r="B159" s="84"/>
    </row>
    <row r="160" spans="1:4" x14ac:dyDescent="0.3">
      <c r="A160" s="84"/>
      <c r="B160" s="84"/>
    </row>
    <row r="161" spans="1:2" x14ac:dyDescent="0.3">
      <c r="A161" s="84"/>
      <c r="B161" s="84"/>
    </row>
    <row r="162" spans="1:2" x14ac:dyDescent="0.3">
      <c r="A162" s="84"/>
      <c r="B162" s="84"/>
    </row>
    <row r="163" spans="1:2" x14ac:dyDescent="0.3">
      <c r="A163" s="84"/>
      <c r="B163" s="84"/>
    </row>
    <row r="164" spans="1:2" x14ac:dyDescent="0.3">
      <c r="A164" s="84"/>
      <c r="B164" s="84"/>
    </row>
    <row r="165" spans="1:2" x14ac:dyDescent="0.3">
      <c r="A165" s="84"/>
      <c r="B165" s="84"/>
    </row>
    <row r="166" spans="1:2" x14ac:dyDescent="0.3">
      <c r="B166" s="84"/>
    </row>
    <row r="167" spans="1:2" x14ac:dyDescent="0.3">
      <c r="A167" s="84"/>
      <c r="B167" s="84"/>
    </row>
    <row r="170" spans="1:2" x14ac:dyDescent="0.3">
      <c r="A170" s="84"/>
      <c r="B170" s="8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37BB3-BCA0-4BFB-8B44-B23AC3846174}">
  <dimension ref="A1:AQ146"/>
  <sheetViews>
    <sheetView showGridLines="0" zoomScaleNormal="100" workbookViewId="0">
      <selection activeCell="AJ30" sqref="AJ30"/>
    </sheetView>
  </sheetViews>
  <sheetFormatPr defaultRowHeight="15.6" x14ac:dyDescent="0.3"/>
  <cols>
    <col min="1" max="1" width="4.88671875" style="19" customWidth="1"/>
    <col min="2" max="2" width="8.88671875" style="19"/>
    <col min="3" max="3" width="13.5546875" style="19" bestFit="1" customWidth="1"/>
    <col min="4" max="4" width="8.88671875" style="19"/>
    <col min="5" max="5" width="12.33203125" style="19" bestFit="1" customWidth="1"/>
    <col min="6" max="6" width="8.88671875" style="19"/>
    <col min="7" max="7" width="15.21875" style="19" bestFit="1" customWidth="1"/>
    <col min="8" max="8" width="8.88671875" style="19"/>
    <col min="9" max="9" width="13.5546875" style="19" bestFit="1" customWidth="1"/>
    <col min="10" max="10" width="13.5546875" style="19" customWidth="1"/>
    <col min="11" max="11" width="0.88671875" style="19" customWidth="1"/>
    <col min="12" max="12" width="11.5546875" style="19" customWidth="1"/>
    <col min="13" max="13" width="0.88671875" style="19" customWidth="1"/>
    <col min="14" max="14" width="16.5546875" style="19" bestFit="1" customWidth="1"/>
    <col min="15" max="15" width="0.88671875" style="19" customWidth="1"/>
    <col min="16" max="16" width="11.6640625" style="19" bestFit="1" customWidth="1"/>
    <col min="17" max="17" width="0.88671875" style="19" customWidth="1"/>
    <col min="18" max="18" width="10.6640625" style="19" bestFit="1" customWidth="1"/>
    <col min="19" max="19" width="2.5546875" style="19" customWidth="1"/>
    <col min="20" max="20" width="13.5546875" style="19" customWidth="1"/>
    <col min="21" max="21" width="0.77734375" style="19" customWidth="1"/>
    <col min="22" max="22" width="10.6640625" style="19" bestFit="1" customWidth="1"/>
    <col min="23" max="23" width="0.77734375" style="19" customWidth="1"/>
    <col min="24" max="24" width="11.6640625" style="19" bestFit="1" customWidth="1"/>
    <col min="25" max="25" width="0.77734375" style="19" customWidth="1"/>
    <col min="26" max="26" width="10.6640625" style="19" bestFit="1" customWidth="1"/>
    <col min="27" max="27" width="0.88671875" style="19" customWidth="1"/>
    <col min="28" max="28" width="12.33203125" style="19" bestFit="1" customWidth="1"/>
    <col min="29" max="29" width="0.88671875" style="19" customWidth="1"/>
    <col min="30" max="30" width="15.33203125" style="19" bestFit="1" customWidth="1"/>
    <col min="31" max="31" width="0.88671875" style="19" customWidth="1"/>
    <col min="32" max="32" width="12.33203125" style="19" bestFit="1" customWidth="1"/>
    <col min="33" max="33" width="0.88671875" style="19" customWidth="1"/>
    <col min="34" max="34" width="15.21875" style="19" bestFit="1" customWidth="1"/>
    <col min="35" max="35" width="0.88671875" style="19" customWidth="1"/>
    <col min="36" max="36" width="15.21875" style="19" bestFit="1" customWidth="1"/>
    <col min="37" max="37" width="0.88671875" style="19" customWidth="1"/>
    <col min="38" max="38" width="12.33203125" style="19" bestFit="1" customWidth="1"/>
    <col min="39" max="39" width="13.33203125" style="19" bestFit="1" customWidth="1"/>
    <col min="40" max="40" width="8.88671875" style="19"/>
    <col min="41" max="41" width="11.109375" style="19" bestFit="1" customWidth="1"/>
    <col min="42" max="16384" width="8.88671875" style="19"/>
  </cols>
  <sheetData>
    <row r="1" spans="1:27" x14ac:dyDescent="0.3">
      <c r="A1" s="385" t="s">
        <v>417</v>
      </c>
    </row>
    <row r="2" spans="1:27" x14ac:dyDescent="0.3">
      <c r="A2" s="19" t="s">
        <v>35</v>
      </c>
    </row>
    <row r="3" spans="1:27" x14ac:dyDescent="0.3">
      <c r="A3" s="19" t="s">
        <v>36</v>
      </c>
    </row>
    <row r="5" spans="1:27" x14ac:dyDescent="0.3">
      <c r="A5" s="19" t="s">
        <v>39</v>
      </c>
      <c r="G5" s="21">
        <f>'Pro Forma Statement'!M56</f>
        <v>979575.49539179786</v>
      </c>
    </row>
    <row r="6" spans="1:27" x14ac:dyDescent="0.3">
      <c r="A6" s="41" t="s">
        <v>40</v>
      </c>
      <c r="B6" s="377" t="s">
        <v>50</v>
      </c>
      <c r="G6" s="22">
        <f>AB37</f>
        <v>365314.90666666668</v>
      </c>
    </row>
    <row r="7" spans="1:27" x14ac:dyDescent="0.3">
      <c r="B7" s="377" t="s">
        <v>41</v>
      </c>
      <c r="G7" s="91">
        <f>G6*0.2</f>
        <v>73062.981333333344</v>
      </c>
    </row>
    <row r="8" spans="1:27" x14ac:dyDescent="0.3">
      <c r="B8" s="377" t="s">
        <v>67</v>
      </c>
      <c r="G8" s="23">
        <v>1066.57</v>
      </c>
      <c r="I8" s="354"/>
    </row>
    <row r="10" spans="1:27" x14ac:dyDescent="0.3">
      <c r="A10" s="19" t="s">
        <v>42</v>
      </c>
      <c r="G10" s="22">
        <f>SUM(G5:G9)</f>
        <v>1419019.9533917978</v>
      </c>
    </row>
    <row r="11" spans="1:27" x14ac:dyDescent="0.3">
      <c r="A11" s="19" t="s">
        <v>43</v>
      </c>
      <c r="B11" s="19" t="s">
        <v>44</v>
      </c>
      <c r="G11" s="22">
        <f>-'Pro Forma Statement'!M26</f>
        <v>-23521.97</v>
      </c>
    </row>
    <row r="12" spans="1:27" x14ac:dyDescent="0.3">
      <c r="B12" s="377" t="s">
        <v>411</v>
      </c>
      <c r="G12" s="22">
        <f>-'Pro Forma Statement'!M62</f>
        <v>-8389.5999999999985</v>
      </c>
    </row>
    <row r="13" spans="1:27" x14ac:dyDescent="0.3">
      <c r="B13" s="19" t="s">
        <v>4</v>
      </c>
      <c r="G13" s="23">
        <f>-'Pro Forma Statement'!M59</f>
        <v>-40254</v>
      </c>
      <c r="Y13" s="400"/>
      <c r="Z13" s="400"/>
      <c r="AA13" s="162"/>
    </row>
    <row r="14" spans="1:27" x14ac:dyDescent="0.3">
      <c r="Y14" s="162"/>
      <c r="Z14" s="162"/>
      <c r="AA14" s="162"/>
    </row>
    <row r="15" spans="1:27" x14ac:dyDescent="0.3">
      <c r="A15" s="385" t="s">
        <v>419</v>
      </c>
      <c r="G15" s="24">
        <f>SUM(G10:G14)</f>
        <v>1346854.3833917978</v>
      </c>
      <c r="Y15" s="162"/>
      <c r="Z15" s="162"/>
      <c r="AA15" s="162"/>
    </row>
    <row r="16" spans="1:27" x14ac:dyDescent="0.3">
      <c r="A16" s="19" t="s">
        <v>45</v>
      </c>
      <c r="G16" s="23">
        <f>-'Pro Forma Statement'!M20</f>
        <v>-1026495.4892799999</v>
      </c>
      <c r="Y16" s="162"/>
      <c r="Z16" s="162"/>
      <c r="AA16" s="162"/>
    </row>
    <row r="17" spans="1:36" x14ac:dyDescent="0.3">
      <c r="Y17" s="162"/>
      <c r="Z17" s="162"/>
      <c r="AA17" s="162"/>
    </row>
    <row r="18" spans="1:36" ht="16.2" thickBot="1" x14ac:dyDescent="0.35">
      <c r="A18" s="136" t="s">
        <v>107</v>
      </c>
      <c r="G18" s="36">
        <f>G15+G16</f>
        <v>320358.89411179791</v>
      </c>
      <c r="Y18" s="162"/>
      <c r="Z18" s="162"/>
      <c r="AA18" s="162"/>
    </row>
    <row r="19" spans="1:36" ht="16.8" thickTop="1" thickBot="1" x14ac:dyDescent="0.35">
      <c r="A19" s="136" t="s">
        <v>108</v>
      </c>
      <c r="G19" s="37">
        <f>G18/G16*-1</f>
        <v>0.31208991900831701</v>
      </c>
    </row>
    <row r="20" spans="1:36" ht="16.2" thickTop="1" x14ac:dyDescent="0.3">
      <c r="AB20" s="180"/>
    </row>
    <row r="21" spans="1:36" x14ac:dyDescent="0.3">
      <c r="P21" s="398" t="s">
        <v>124</v>
      </c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B21" s="378" t="s">
        <v>410</v>
      </c>
    </row>
    <row r="22" spans="1:36" x14ac:dyDescent="0.3">
      <c r="G22" s="364"/>
      <c r="L22" s="405" t="s">
        <v>407</v>
      </c>
      <c r="M22" s="405"/>
      <c r="N22" s="405"/>
      <c r="P22" s="399">
        <v>2027</v>
      </c>
      <c r="Q22" s="399"/>
      <c r="R22" s="399"/>
      <c r="S22" s="20"/>
      <c r="T22" s="399">
        <v>2028</v>
      </c>
      <c r="U22" s="399"/>
      <c r="V22" s="399"/>
      <c r="X22" s="399">
        <v>2029</v>
      </c>
      <c r="Y22" s="399"/>
      <c r="Z22" s="399"/>
      <c r="AB22" s="378" t="s">
        <v>114</v>
      </c>
    </row>
    <row r="23" spans="1:36" x14ac:dyDescent="0.3">
      <c r="J23" s="181"/>
      <c r="L23" s="398" t="s">
        <v>123</v>
      </c>
      <c r="M23" s="398"/>
      <c r="N23" s="398"/>
      <c r="P23" s="185" t="s">
        <v>38</v>
      </c>
      <c r="Q23" s="20"/>
      <c r="R23" s="185" t="s">
        <v>37</v>
      </c>
      <c r="S23" s="180"/>
      <c r="T23" s="186" t="str">
        <f>P23</f>
        <v>Interest</v>
      </c>
      <c r="U23" s="20"/>
      <c r="V23" s="187" t="str">
        <f>R23</f>
        <v>Principal</v>
      </c>
      <c r="X23" s="186" t="str">
        <f>P23</f>
        <v>Interest</v>
      </c>
      <c r="Z23" s="186" t="str">
        <f>R23</f>
        <v>Principal</v>
      </c>
      <c r="AB23" s="183" t="s">
        <v>68</v>
      </c>
    </row>
    <row r="24" spans="1:36" x14ac:dyDescent="0.3">
      <c r="L24" s="379" t="s">
        <v>408</v>
      </c>
      <c r="N24" s="379" t="s">
        <v>409</v>
      </c>
    </row>
    <row r="25" spans="1:36" x14ac:dyDescent="0.3">
      <c r="L25" s="182">
        <v>2003</v>
      </c>
      <c r="N25" s="184">
        <v>418000</v>
      </c>
      <c r="O25" s="102"/>
      <c r="P25" s="102">
        <v>11342</v>
      </c>
      <c r="Q25" s="102"/>
      <c r="R25" s="102">
        <v>11022</v>
      </c>
      <c r="S25" s="102"/>
      <c r="T25" s="21">
        <v>10874</v>
      </c>
      <c r="U25" s="21"/>
      <c r="V25" s="102">
        <v>11490</v>
      </c>
      <c r="W25" s="102"/>
      <c r="X25" s="102">
        <v>10385</v>
      </c>
      <c r="Y25" s="102"/>
      <c r="Z25" s="102">
        <v>11979</v>
      </c>
      <c r="AA25" s="102"/>
      <c r="AB25" s="102">
        <f>(P25+R25+T25+V25+X25+Z25)/3</f>
        <v>22364</v>
      </c>
    </row>
    <row r="26" spans="1:36" x14ac:dyDescent="0.3">
      <c r="J26" s="179"/>
      <c r="L26" s="20">
        <v>2008</v>
      </c>
      <c r="M26" s="20"/>
      <c r="N26" s="189">
        <v>850000</v>
      </c>
      <c r="O26" s="189"/>
      <c r="P26" s="189">
        <v>26318</v>
      </c>
      <c r="Q26" s="189"/>
      <c r="R26" s="189">
        <v>18361</v>
      </c>
      <c r="S26" s="189"/>
      <c r="T26" s="190">
        <v>25561</v>
      </c>
      <c r="U26" s="190"/>
      <c r="V26" s="91">
        <v>19118</v>
      </c>
      <c r="W26" s="91"/>
      <c r="X26" s="91">
        <v>24772</v>
      </c>
      <c r="Y26" s="91"/>
      <c r="Z26" s="91">
        <v>19907</v>
      </c>
      <c r="AA26" s="91"/>
      <c r="AB26" s="91">
        <f>(P26+R26+T26+V26+X26+Z26)/3</f>
        <v>44679</v>
      </c>
    </row>
    <row r="27" spans="1:36" x14ac:dyDescent="0.3">
      <c r="L27" s="20">
        <v>2010</v>
      </c>
      <c r="M27" s="102"/>
      <c r="N27" s="91">
        <v>462000</v>
      </c>
      <c r="O27" s="91"/>
      <c r="P27" s="91">
        <v>8484</v>
      </c>
      <c r="Q27" s="91"/>
      <c r="R27" s="91">
        <v>10490</v>
      </c>
      <c r="S27" s="91"/>
      <c r="T27" s="22">
        <v>8222</v>
      </c>
      <c r="U27" s="22"/>
      <c r="V27" s="91">
        <v>10753</v>
      </c>
      <c r="W27" s="91"/>
      <c r="X27" s="91">
        <v>7953</v>
      </c>
      <c r="Y27" s="91"/>
      <c r="Z27" s="91">
        <v>11022</v>
      </c>
      <c r="AA27" s="91"/>
      <c r="AB27" s="91">
        <f t="shared" ref="AB27:AB29" si="0">(P27+R27+T27+V27+X27+Z27)/3</f>
        <v>18974.666666666668</v>
      </c>
    </row>
    <row r="28" spans="1:36" x14ac:dyDescent="0.3">
      <c r="L28" s="20">
        <v>2014</v>
      </c>
      <c r="M28" s="91"/>
      <c r="N28" s="91">
        <v>787000</v>
      </c>
      <c r="O28" s="91"/>
      <c r="P28" s="91">
        <v>11819</v>
      </c>
      <c r="Q28" s="91"/>
      <c r="R28" s="91">
        <v>17324</v>
      </c>
      <c r="S28" s="91"/>
      <c r="T28" s="22">
        <v>11495</v>
      </c>
      <c r="U28" s="22"/>
      <c r="V28" s="91">
        <v>17649</v>
      </c>
      <c r="W28" s="91"/>
      <c r="X28" s="91">
        <v>11164</v>
      </c>
      <c r="Y28" s="91"/>
      <c r="Z28" s="91">
        <v>17980</v>
      </c>
      <c r="AB28" s="91">
        <f t="shared" si="0"/>
        <v>29143.666666666668</v>
      </c>
    </row>
    <row r="29" spans="1:36" x14ac:dyDescent="0.3">
      <c r="L29" s="20">
        <v>2017</v>
      </c>
      <c r="M29" s="91"/>
      <c r="N29" s="91">
        <v>1380000</v>
      </c>
      <c r="O29" s="91"/>
      <c r="P29" s="91">
        <v>22372</v>
      </c>
      <c r="Q29" s="91"/>
      <c r="R29" s="91">
        <v>28731</v>
      </c>
      <c r="S29" s="91"/>
      <c r="T29" s="91">
        <v>21833</v>
      </c>
      <c r="U29" s="91"/>
      <c r="V29" s="91">
        <v>29269</v>
      </c>
      <c r="W29" s="91"/>
      <c r="X29" s="91">
        <v>21284</v>
      </c>
      <c r="Y29" s="91"/>
      <c r="Z29" s="91">
        <v>29818</v>
      </c>
      <c r="AB29" s="91">
        <f t="shared" si="0"/>
        <v>51102.333333333336</v>
      </c>
    </row>
    <row r="30" spans="1:36" x14ac:dyDescent="0.3">
      <c r="L30" s="20">
        <v>2021</v>
      </c>
      <c r="N30" s="91">
        <v>555000</v>
      </c>
      <c r="O30" s="91"/>
      <c r="P30" s="91">
        <v>9157</v>
      </c>
      <c r="Q30" s="91"/>
      <c r="R30" s="91">
        <v>10962</v>
      </c>
      <c r="S30" s="91"/>
      <c r="T30" s="22">
        <v>8965</v>
      </c>
      <c r="U30" s="22"/>
      <c r="V30" s="91">
        <v>11154</v>
      </c>
      <c r="W30" s="91"/>
      <c r="X30" s="91">
        <v>8770</v>
      </c>
      <c r="Y30" s="91"/>
      <c r="Z30" s="91">
        <v>11349</v>
      </c>
      <c r="AB30" s="91">
        <f>(P30+R30+T30+V30+X30+Z30)/3</f>
        <v>20119</v>
      </c>
      <c r="AH30" s="103">
        <f>SUM(AB25:AB30)</f>
        <v>186382.66666666669</v>
      </c>
      <c r="AJ30" s="180"/>
    </row>
    <row r="31" spans="1:36" x14ac:dyDescent="0.3">
      <c r="L31" s="191"/>
      <c r="N31" s="91"/>
      <c r="O31" s="91"/>
      <c r="P31" s="91"/>
      <c r="Q31" s="91"/>
      <c r="R31" s="91"/>
      <c r="S31" s="91"/>
      <c r="T31" s="22"/>
      <c r="U31" s="22"/>
      <c r="V31" s="91"/>
      <c r="W31" s="91"/>
      <c r="X31" s="91"/>
      <c r="Y31" s="91"/>
      <c r="Z31" s="91"/>
      <c r="AB31" s="91"/>
    </row>
    <row r="32" spans="1:36" x14ac:dyDescent="0.3">
      <c r="P32" s="182" t="s">
        <v>126</v>
      </c>
      <c r="Q32" s="20"/>
      <c r="R32" s="192"/>
      <c r="S32" s="103"/>
      <c r="T32" s="182" t="s">
        <v>126</v>
      </c>
      <c r="U32" s="20"/>
      <c r="V32" s="192"/>
      <c r="X32" s="182" t="s">
        <v>126</v>
      </c>
      <c r="Y32" s="20"/>
      <c r="Z32" s="192"/>
    </row>
    <row r="33" spans="10:39" x14ac:dyDescent="0.3">
      <c r="L33" s="398" t="s">
        <v>125</v>
      </c>
      <c r="M33" s="398"/>
      <c r="N33" s="398"/>
      <c r="P33" s="183" t="s">
        <v>69</v>
      </c>
      <c r="Q33" s="20"/>
      <c r="R33" s="183" t="s">
        <v>37</v>
      </c>
      <c r="T33" s="183" t="s">
        <v>69</v>
      </c>
      <c r="U33" s="20"/>
      <c r="V33" s="183" t="s">
        <v>37</v>
      </c>
      <c r="W33" s="172"/>
      <c r="X33" s="183" t="s">
        <v>69</v>
      </c>
      <c r="Y33" s="20"/>
      <c r="Z33" s="183" t="s">
        <v>37</v>
      </c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</row>
    <row r="34" spans="10:39" x14ac:dyDescent="0.3">
      <c r="J34" s="172"/>
      <c r="S34" s="20"/>
      <c r="T34" s="20"/>
      <c r="U34" s="20"/>
      <c r="X34" s="401"/>
      <c r="Y34" s="401"/>
      <c r="Z34" s="400"/>
      <c r="AA34" s="400"/>
      <c r="AB34" s="401"/>
      <c r="AC34" s="20"/>
      <c r="AD34" s="400"/>
      <c r="AE34" s="400"/>
      <c r="AF34" s="401"/>
      <c r="AG34" s="20"/>
      <c r="AH34" s="401"/>
      <c r="AI34" s="401"/>
      <c r="AJ34" s="401"/>
      <c r="AK34" s="20"/>
      <c r="AL34" s="401"/>
      <c r="AM34" s="401"/>
    </row>
    <row r="35" spans="10:39" x14ac:dyDescent="0.3">
      <c r="J35" s="179"/>
      <c r="L35" s="20">
        <v>2026</v>
      </c>
      <c r="M35" s="20"/>
      <c r="N35" s="189">
        <v>3368420</v>
      </c>
      <c r="O35" s="20"/>
      <c r="P35" s="23">
        <f>4107.81+4004.96+3286.24+3203.97</f>
        <v>14602.98</v>
      </c>
      <c r="Q35" s="189"/>
      <c r="R35" s="195">
        <f>82278.11+82380.96</f>
        <v>164659.07</v>
      </c>
      <c r="S35" s="189"/>
      <c r="T35" s="196">
        <f>3901.98+3798.88+3121.59+3039.1</f>
        <v>13861.550000000001</v>
      </c>
      <c r="U35" s="190"/>
      <c r="V35" s="23">
        <f>82483.93+82587.04</f>
        <v>165070.96999999997</v>
      </c>
      <c r="W35" s="189"/>
      <c r="X35" s="402">
        <f>3695.64+3592.28+2956.51+2873.82</f>
        <v>13118.25</v>
      </c>
      <c r="Y35" s="402"/>
      <c r="Z35" s="197">
        <f>82690.27+82793.63</f>
        <v>165483.90000000002</v>
      </c>
      <c r="AB35" s="23">
        <f>(P35+R35+T35+V35+X35+Z35)/3</f>
        <v>178932.24</v>
      </c>
      <c r="AC35" s="20"/>
      <c r="AD35" s="401"/>
      <c r="AE35" s="401"/>
      <c r="AF35" s="401"/>
      <c r="AG35" s="20"/>
      <c r="AH35" s="193">
        <v>89672.16</v>
      </c>
      <c r="AI35" s="193"/>
      <c r="AJ35" s="194"/>
      <c r="AK35" s="20"/>
      <c r="AL35" s="400"/>
      <c r="AM35" s="400"/>
    </row>
    <row r="36" spans="10:39" x14ac:dyDescent="0.3">
      <c r="L36" s="102"/>
      <c r="M36" s="102"/>
      <c r="N36" s="102"/>
      <c r="O36" s="102"/>
      <c r="P36" s="102"/>
      <c r="Q36" s="102"/>
      <c r="R36" s="102"/>
      <c r="S36" s="102"/>
      <c r="T36" s="21"/>
      <c r="U36" s="21"/>
      <c r="V36" s="162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188">
        <v>89589.88</v>
      </c>
      <c r="AI36" s="188"/>
      <c r="AJ36" s="188">
        <f>AH36+AH35</f>
        <v>179262.04</v>
      </c>
      <c r="AK36" s="20"/>
      <c r="AL36" s="20"/>
      <c r="AM36" s="20"/>
    </row>
    <row r="37" spans="10:39" ht="16.2" thickBot="1" x14ac:dyDescent="0.35">
      <c r="L37" s="356" t="s">
        <v>127</v>
      </c>
      <c r="M37" s="91"/>
      <c r="N37" s="91"/>
      <c r="O37" s="91"/>
      <c r="P37" s="198">
        <f>SUM(P25:P36)</f>
        <v>104094.98</v>
      </c>
      <c r="Q37" s="91"/>
      <c r="R37" s="198">
        <f>SUM(R25:R36)</f>
        <v>261549.07</v>
      </c>
      <c r="S37" s="91"/>
      <c r="T37" s="198">
        <f>SUM(T25:T36)</f>
        <v>100811.55</v>
      </c>
      <c r="U37" s="22"/>
      <c r="V37" s="198">
        <f>SUM(V25:V36)</f>
        <v>264503.96999999997</v>
      </c>
      <c r="X37" s="198">
        <f>SUM(X25:X36)</f>
        <v>97446.25</v>
      </c>
      <c r="Y37" s="102"/>
      <c r="Z37" s="198">
        <f>SUM(Z25:Z36)</f>
        <v>267538.90000000002</v>
      </c>
      <c r="AA37" s="102"/>
      <c r="AB37" s="198">
        <f>SUM(AB25:AB36)</f>
        <v>365314.90666666668</v>
      </c>
      <c r="AC37" s="102"/>
      <c r="AD37" s="102"/>
      <c r="AE37" s="102"/>
      <c r="AF37" s="102"/>
      <c r="AG37" s="102"/>
      <c r="AH37" s="176">
        <v>89507.5</v>
      </c>
      <c r="AI37" s="176"/>
      <c r="AJ37" s="188"/>
      <c r="AK37" s="102"/>
      <c r="AL37" s="102"/>
      <c r="AM37" s="102"/>
    </row>
    <row r="38" spans="10:39" ht="16.2" thickTop="1" x14ac:dyDescent="0.3">
      <c r="L38" s="91"/>
      <c r="M38" s="91"/>
      <c r="N38" s="91"/>
      <c r="O38" s="91"/>
      <c r="P38" s="91"/>
      <c r="Q38" s="91"/>
      <c r="R38" s="91"/>
      <c r="S38" s="91"/>
      <c r="T38" s="91"/>
      <c r="U38" s="91"/>
      <c r="X38" s="91"/>
      <c r="Y38" s="91"/>
      <c r="Z38" s="91"/>
      <c r="AA38" s="91"/>
      <c r="AB38" s="178"/>
      <c r="AC38" s="178"/>
      <c r="AD38" s="91"/>
      <c r="AE38" s="91"/>
      <c r="AF38" s="91"/>
      <c r="AG38" s="91"/>
      <c r="AH38" s="176">
        <v>89425.02</v>
      </c>
      <c r="AI38" s="176"/>
      <c r="AJ38" s="188">
        <f t="shared" ref="AJ38:AJ40" si="1">AH38+AH37</f>
        <v>178932.52000000002</v>
      </c>
      <c r="AK38" s="91"/>
      <c r="AL38" s="91"/>
      <c r="AM38" s="91"/>
    </row>
    <row r="39" spans="10:39" x14ac:dyDescent="0.3"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176">
        <v>89342.43</v>
      </c>
      <c r="AI39" s="176"/>
      <c r="AJ39" s="188"/>
      <c r="AK39" s="91"/>
      <c r="AL39" s="91"/>
      <c r="AM39" s="91"/>
    </row>
    <row r="40" spans="10:39" x14ac:dyDescent="0.3">
      <c r="R40" s="103"/>
      <c r="S40" s="103"/>
      <c r="T40" s="103"/>
      <c r="U40" s="103"/>
      <c r="AB40" s="105">
        <f>SUM(P37:Z37)/3</f>
        <v>365314.90666666668</v>
      </c>
      <c r="AH40" s="176">
        <v>89259.74</v>
      </c>
      <c r="AI40" s="176"/>
      <c r="AJ40" s="188">
        <f t="shared" si="1"/>
        <v>178602.16999999998</v>
      </c>
    </row>
    <row r="41" spans="10:39" x14ac:dyDescent="0.3">
      <c r="AJ41" s="105">
        <f>SUM(AJ35:AJ40)</f>
        <v>536796.73</v>
      </c>
    </row>
    <row r="42" spans="10:39" x14ac:dyDescent="0.3">
      <c r="J42" s="401"/>
      <c r="K42" s="401"/>
      <c r="L42" s="401"/>
      <c r="M42" s="401"/>
      <c r="N42" s="401"/>
      <c r="O42" s="401"/>
      <c r="P42" s="401"/>
      <c r="Q42" s="401"/>
      <c r="R42" s="401"/>
      <c r="S42" s="20"/>
      <c r="T42" s="103"/>
      <c r="U42" s="103"/>
      <c r="AJ42" s="19">
        <v>3</v>
      </c>
    </row>
    <row r="43" spans="10:39" x14ac:dyDescent="0.3">
      <c r="J43" s="179"/>
      <c r="L43" s="20"/>
      <c r="M43" s="20"/>
      <c r="N43" s="20"/>
      <c r="O43" s="20"/>
      <c r="P43" s="20"/>
      <c r="Q43" s="20"/>
      <c r="R43" s="20"/>
      <c r="S43" s="20"/>
      <c r="AJ43" s="105">
        <f>AJ41/AJ42</f>
        <v>178932.24333333332</v>
      </c>
    </row>
    <row r="44" spans="10:39" x14ac:dyDescent="0.3">
      <c r="L44" s="102"/>
      <c r="M44" s="102"/>
      <c r="N44" s="102"/>
      <c r="O44" s="102"/>
      <c r="P44" s="102"/>
      <c r="Q44" s="102"/>
      <c r="R44" s="102"/>
      <c r="S44" s="102"/>
    </row>
    <row r="45" spans="10:39" x14ac:dyDescent="0.3">
      <c r="L45" s="91"/>
      <c r="M45" s="91"/>
      <c r="N45" s="91"/>
      <c r="O45" s="91"/>
      <c r="P45" s="91"/>
      <c r="Q45" s="91"/>
      <c r="R45" s="91"/>
      <c r="S45" s="91"/>
    </row>
    <row r="46" spans="10:39" x14ac:dyDescent="0.3">
      <c r="L46" s="91"/>
      <c r="M46" s="91"/>
      <c r="N46" s="91"/>
      <c r="O46" s="91"/>
      <c r="P46" s="91"/>
      <c r="Q46" s="91"/>
      <c r="R46" s="91"/>
      <c r="S46" s="91"/>
    </row>
    <row r="48" spans="10:39" x14ac:dyDescent="0.3">
      <c r="R48" s="103"/>
      <c r="S48" s="103"/>
    </row>
    <row r="49" spans="18:43" x14ac:dyDescent="0.3">
      <c r="X49" s="400"/>
      <c r="Y49" s="400"/>
      <c r="Z49" s="400"/>
      <c r="AA49" s="400"/>
      <c r="AB49" s="400"/>
      <c r="AC49" s="400"/>
      <c r="AD49" s="400"/>
      <c r="AE49" s="400"/>
      <c r="AF49" s="400"/>
      <c r="AG49" s="400"/>
      <c r="AH49" s="400"/>
      <c r="AI49" s="400"/>
      <c r="AJ49" s="400"/>
      <c r="AK49" s="400"/>
      <c r="AL49" s="400"/>
      <c r="AM49" s="400"/>
      <c r="AN49" s="400"/>
      <c r="AO49" s="400"/>
    </row>
    <row r="50" spans="18:43" x14ac:dyDescent="0.3">
      <c r="R50" s="103"/>
      <c r="S50" s="103"/>
    </row>
    <row r="51" spans="18:43" x14ac:dyDescent="0.3">
      <c r="X51" s="95"/>
      <c r="Y51" s="163"/>
      <c r="Z51" s="403"/>
      <c r="AA51" s="403"/>
      <c r="AB51" s="403"/>
      <c r="AC51" s="164"/>
      <c r="AD51" s="165"/>
      <c r="AE51" s="165"/>
      <c r="AF51" s="165"/>
      <c r="AG51" s="165"/>
      <c r="AH51" s="404"/>
      <c r="AI51" s="404"/>
      <c r="AJ51" s="404"/>
      <c r="AK51" s="166"/>
      <c r="AL51" s="165"/>
      <c r="AM51" s="165"/>
      <c r="AN51" s="167"/>
      <c r="AO51" s="167"/>
      <c r="AP51" s="95"/>
      <c r="AQ51" s="95"/>
    </row>
    <row r="52" spans="18:43" x14ac:dyDescent="0.3">
      <c r="X52" s="164"/>
      <c r="Y52" s="95"/>
      <c r="Z52" s="168"/>
      <c r="AA52" s="168"/>
      <c r="AB52" s="168"/>
      <c r="AC52" s="168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168"/>
      <c r="AO52" s="168"/>
      <c r="AP52" s="95"/>
      <c r="AQ52" s="95"/>
    </row>
    <row r="53" spans="18:43" ht="16.2" x14ac:dyDescent="0.35">
      <c r="X53" s="169"/>
      <c r="Y53" s="95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95"/>
      <c r="AQ53" s="95"/>
    </row>
    <row r="54" spans="18:43" x14ac:dyDescent="0.3">
      <c r="X54" s="171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</row>
    <row r="55" spans="18:43" x14ac:dyDescent="0.3">
      <c r="X55" s="171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</row>
    <row r="56" spans="18:43" x14ac:dyDescent="0.3">
      <c r="X56" s="171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</row>
    <row r="57" spans="18:43" x14ac:dyDescent="0.3">
      <c r="X57" s="171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6"/>
      <c r="AQ57" s="95"/>
    </row>
    <row r="58" spans="18:43" x14ac:dyDescent="0.3">
      <c r="X58" s="171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7"/>
      <c r="AQ58" s="95"/>
    </row>
    <row r="59" spans="18:43" x14ac:dyDescent="0.3">
      <c r="X59" s="171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</row>
    <row r="60" spans="18:43" x14ac:dyDescent="0.3">
      <c r="X60" s="171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8"/>
      <c r="AQ60" s="99"/>
    </row>
    <row r="61" spans="18:43" x14ac:dyDescent="0.3">
      <c r="X61" s="171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8"/>
      <c r="AQ61" s="99"/>
    </row>
    <row r="62" spans="18:43" x14ac:dyDescent="0.3">
      <c r="X62" s="171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8"/>
      <c r="AQ62" s="99"/>
    </row>
    <row r="63" spans="18:43" x14ac:dyDescent="0.3">
      <c r="X63" s="171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8"/>
      <c r="AQ63" s="99"/>
    </row>
    <row r="64" spans="18:43" x14ac:dyDescent="0.3">
      <c r="X64" s="171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100"/>
      <c r="AQ64" s="99"/>
    </row>
    <row r="65" spans="24:43" x14ac:dyDescent="0.3">
      <c r="X65" s="171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100"/>
      <c r="AQ65" s="99"/>
    </row>
    <row r="66" spans="24:43" x14ac:dyDescent="0.3">
      <c r="X66" s="171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100"/>
      <c r="AQ66" s="99"/>
    </row>
    <row r="67" spans="24:43" x14ac:dyDescent="0.3">
      <c r="X67" s="171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100"/>
      <c r="AQ67" s="99"/>
    </row>
    <row r="68" spans="24:43" x14ac:dyDescent="0.3">
      <c r="X68" s="171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9"/>
      <c r="AQ68" s="100"/>
    </row>
    <row r="69" spans="24:43" x14ac:dyDescent="0.3">
      <c r="X69" s="171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9"/>
      <c r="AQ69" s="100"/>
    </row>
    <row r="70" spans="24:43" x14ac:dyDescent="0.3">
      <c r="X70" s="171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9"/>
      <c r="AQ70" s="100"/>
    </row>
    <row r="71" spans="24:43" x14ac:dyDescent="0.3">
      <c r="X71" s="171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9"/>
      <c r="AQ71" s="100"/>
    </row>
    <row r="72" spans="24:43" x14ac:dyDescent="0.3">
      <c r="X72" s="171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9"/>
      <c r="AQ72" s="100"/>
    </row>
    <row r="73" spans="24:43" x14ac:dyDescent="0.3">
      <c r="X73" s="171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9"/>
      <c r="AQ73" s="100"/>
    </row>
    <row r="74" spans="24:43" x14ac:dyDescent="0.3">
      <c r="X74" s="171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9"/>
      <c r="AQ74" s="99"/>
    </row>
    <row r="75" spans="24:43" x14ac:dyDescent="0.3">
      <c r="X75" s="171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9"/>
      <c r="AQ75" s="99"/>
    </row>
    <row r="76" spans="24:43" x14ac:dyDescent="0.3">
      <c r="X76" s="171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9"/>
      <c r="AQ76" s="99"/>
    </row>
    <row r="77" spans="24:43" x14ac:dyDescent="0.3">
      <c r="X77" s="171"/>
      <c r="Y77" s="95"/>
      <c r="Z77" s="168"/>
      <c r="AA77" s="168"/>
      <c r="AB77" s="168"/>
      <c r="AC77" s="168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9"/>
      <c r="AQ77" s="99"/>
    </row>
    <row r="78" spans="24:43" x14ac:dyDescent="0.3">
      <c r="X78" s="171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9"/>
      <c r="AQ78" s="99"/>
    </row>
    <row r="79" spans="24:43" x14ac:dyDescent="0.3">
      <c r="X79" s="171"/>
      <c r="Y79" s="95"/>
      <c r="Z79" s="168"/>
      <c r="AA79" s="168"/>
      <c r="AB79" s="168"/>
      <c r="AC79" s="168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9"/>
      <c r="AQ79" s="99"/>
    </row>
    <row r="80" spans="24:43" x14ac:dyDescent="0.3">
      <c r="X80" s="171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9"/>
      <c r="AQ80" s="99"/>
    </row>
    <row r="81" spans="24:43" x14ac:dyDescent="0.3">
      <c r="X81" s="171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9"/>
      <c r="AQ81" s="99"/>
    </row>
    <row r="82" spans="24:43" x14ac:dyDescent="0.3">
      <c r="X82" s="171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9"/>
      <c r="AQ82" s="99"/>
    </row>
    <row r="83" spans="24:43" x14ac:dyDescent="0.3">
      <c r="X83" s="171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9"/>
      <c r="AQ83" s="99"/>
    </row>
    <row r="84" spans="24:43" x14ac:dyDescent="0.3">
      <c r="X84" s="171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9"/>
      <c r="AQ84" s="99"/>
    </row>
    <row r="85" spans="24:43" x14ac:dyDescent="0.3">
      <c r="X85" s="171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9"/>
      <c r="AQ85" s="99"/>
    </row>
    <row r="86" spans="24:43" x14ac:dyDescent="0.3">
      <c r="X86" s="171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9"/>
      <c r="AQ86" s="99"/>
    </row>
    <row r="87" spans="24:43" x14ac:dyDescent="0.3">
      <c r="X87" s="171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9"/>
      <c r="AQ87" s="99"/>
    </row>
    <row r="91" spans="24:43" x14ac:dyDescent="0.3">
      <c r="Y91" s="400"/>
      <c r="Z91" s="400"/>
      <c r="AA91" s="400"/>
      <c r="AB91" s="400"/>
      <c r="AC91" s="400"/>
      <c r="AD91" s="400"/>
      <c r="AE91" s="400"/>
      <c r="AF91" s="400"/>
      <c r="AG91" s="400"/>
      <c r="AH91" s="400"/>
    </row>
    <row r="92" spans="24:43" x14ac:dyDescent="0.3">
      <c r="Y92" s="172"/>
      <c r="AF92" s="102"/>
      <c r="AG92" s="102"/>
    </row>
    <row r="93" spans="24:43" x14ac:dyDescent="0.3">
      <c r="Y93" s="172"/>
      <c r="AF93" s="173"/>
      <c r="AG93" s="173"/>
    </row>
    <row r="94" spans="24:43" x14ac:dyDescent="0.3">
      <c r="Y94" s="172"/>
      <c r="AH94" s="172"/>
    </row>
    <row r="95" spans="24:43" x14ac:dyDescent="0.3">
      <c r="Y95" s="172"/>
      <c r="AF95" s="174"/>
    </row>
    <row r="96" spans="24:43" x14ac:dyDescent="0.3">
      <c r="Y96" s="172"/>
      <c r="AF96" s="104"/>
      <c r="AG96" s="104"/>
    </row>
    <row r="97" spans="22:41" x14ac:dyDescent="0.3">
      <c r="AM97" s="162"/>
    </row>
    <row r="98" spans="22:41" x14ac:dyDescent="0.3">
      <c r="AD98" s="162"/>
      <c r="AF98" s="162"/>
      <c r="AH98" s="162"/>
      <c r="AM98" s="162"/>
    </row>
    <row r="99" spans="22:41" x14ac:dyDescent="0.3">
      <c r="Y99" s="162"/>
      <c r="Z99" s="162"/>
      <c r="AB99" s="162"/>
      <c r="AC99" s="162"/>
      <c r="AD99" s="162"/>
      <c r="AF99" s="162"/>
      <c r="AH99" s="162"/>
      <c r="AM99" s="162"/>
    </row>
    <row r="100" spans="22:41" x14ac:dyDescent="0.3">
      <c r="Y100" s="20"/>
      <c r="AH100" s="175"/>
    </row>
    <row r="101" spans="22:41" x14ac:dyDescent="0.3">
      <c r="V101" s="19">
        <v>1</v>
      </c>
      <c r="Y101" s="20"/>
      <c r="Z101" s="175"/>
      <c r="AA101" s="175"/>
      <c r="AB101" s="175"/>
      <c r="AC101" s="175"/>
      <c r="AD101" s="175"/>
      <c r="AE101" s="175"/>
      <c r="AF101" s="175"/>
      <c r="AH101" s="176"/>
      <c r="AM101" s="104"/>
    </row>
    <row r="102" spans="22:41" x14ac:dyDescent="0.3">
      <c r="V102" s="19">
        <v>2</v>
      </c>
      <c r="Y102" s="20"/>
      <c r="Z102" s="176"/>
      <c r="AA102" s="176"/>
      <c r="AB102" s="176"/>
      <c r="AC102" s="176"/>
      <c r="AD102" s="176"/>
      <c r="AF102" s="105"/>
      <c r="AH102" s="176"/>
      <c r="AM102" s="176"/>
    </row>
    <row r="103" spans="22:41" x14ac:dyDescent="0.3">
      <c r="V103" s="19">
        <v>3</v>
      </c>
      <c r="Y103" s="20"/>
      <c r="Z103" s="176"/>
      <c r="AA103" s="176"/>
      <c r="AB103" s="176"/>
      <c r="AC103" s="176"/>
      <c r="AD103" s="176"/>
      <c r="AF103" s="105"/>
      <c r="AH103" s="176"/>
      <c r="AM103" s="176"/>
    </row>
    <row r="104" spans="22:41" x14ac:dyDescent="0.3">
      <c r="V104" s="19">
        <v>4</v>
      </c>
      <c r="Y104" s="20"/>
      <c r="Z104" s="176"/>
      <c r="AA104" s="176"/>
      <c r="AB104" s="176"/>
      <c r="AC104" s="176"/>
      <c r="AD104" s="176"/>
      <c r="AF104" s="105"/>
      <c r="AH104" s="176"/>
      <c r="AM104" s="176"/>
    </row>
    <row r="105" spans="22:41" x14ac:dyDescent="0.3">
      <c r="V105" s="19">
        <v>5</v>
      </c>
      <c r="W105" s="93"/>
      <c r="Y105" s="20"/>
      <c r="Z105" s="176"/>
      <c r="AA105" s="176"/>
      <c r="AB105" s="176"/>
      <c r="AC105" s="176"/>
      <c r="AD105" s="176"/>
      <c r="AF105" s="105"/>
      <c r="AH105" s="176"/>
      <c r="AK105" s="93"/>
      <c r="AL105" s="92"/>
      <c r="AM105" s="176"/>
      <c r="AN105" s="92"/>
      <c r="AO105" s="93"/>
    </row>
    <row r="106" spans="22:41" x14ac:dyDescent="0.3">
      <c r="V106" s="19">
        <v>6</v>
      </c>
      <c r="W106" s="93"/>
      <c r="Y106" s="20"/>
      <c r="Z106" s="176"/>
      <c r="AA106" s="176"/>
      <c r="AB106" s="176"/>
      <c r="AC106" s="176"/>
      <c r="AD106" s="176"/>
      <c r="AF106" s="105"/>
      <c r="AH106" s="176"/>
      <c r="AK106" s="93"/>
      <c r="AL106" s="92"/>
      <c r="AM106" s="176"/>
      <c r="AN106" s="92"/>
      <c r="AO106" s="93"/>
    </row>
    <row r="107" spans="22:41" x14ac:dyDescent="0.3">
      <c r="V107" s="19">
        <v>7</v>
      </c>
      <c r="W107" s="93"/>
      <c r="Y107" s="20"/>
      <c r="Z107" s="176"/>
      <c r="AA107" s="176"/>
      <c r="AB107" s="176"/>
      <c r="AC107" s="176"/>
      <c r="AD107" s="176"/>
      <c r="AF107" s="105"/>
      <c r="AH107" s="176"/>
      <c r="AK107" s="93"/>
      <c r="AL107" s="92"/>
      <c r="AM107" s="176"/>
      <c r="AN107" s="92"/>
      <c r="AO107" s="93"/>
    </row>
    <row r="108" spans="22:41" x14ac:dyDescent="0.3">
      <c r="V108" s="19">
        <v>8</v>
      </c>
      <c r="W108" s="93"/>
      <c r="Y108" s="177"/>
      <c r="Z108" s="176"/>
      <c r="AA108" s="176"/>
      <c r="AB108" s="176"/>
      <c r="AC108" s="176"/>
      <c r="AD108" s="176"/>
      <c r="AF108" s="105"/>
      <c r="AH108" s="176"/>
      <c r="AK108" s="93"/>
      <c r="AL108" s="92"/>
      <c r="AM108" s="176"/>
      <c r="AN108" s="92"/>
      <c r="AO108" s="93"/>
    </row>
    <row r="109" spans="22:41" x14ac:dyDescent="0.3">
      <c r="V109" s="19">
        <v>9</v>
      </c>
      <c r="W109" s="93"/>
      <c r="Y109" s="177"/>
      <c r="Z109" s="176"/>
      <c r="AA109" s="176"/>
      <c r="AB109" s="176"/>
      <c r="AC109" s="176"/>
      <c r="AD109" s="176"/>
      <c r="AF109" s="105"/>
      <c r="AH109" s="176"/>
      <c r="AK109" s="93"/>
      <c r="AL109" s="92"/>
      <c r="AM109" s="176"/>
      <c r="AN109" s="92"/>
      <c r="AO109" s="93"/>
    </row>
    <row r="110" spans="22:41" x14ac:dyDescent="0.3">
      <c r="V110" s="19">
        <v>10</v>
      </c>
      <c r="W110" s="93"/>
      <c r="Y110" s="177"/>
      <c r="Z110" s="176"/>
      <c r="AA110" s="176"/>
      <c r="AB110" s="176"/>
      <c r="AC110" s="176"/>
      <c r="AD110" s="176"/>
      <c r="AF110" s="105"/>
      <c r="AH110" s="176"/>
      <c r="AK110" s="93"/>
      <c r="AL110" s="92"/>
      <c r="AM110" s="176"/>
      <c r="AN110" s="92"/>
      <c r="AO110" s="93"/>
    </row>
    <row r="111" spans="22:41" x14ac:dyDescent="0.3">
      <c r="V111" s="19">
        <v>11</v>
      </c>
      <c r="W111" s="93"/>
      <c r="Y111" s="177"/>
      <c r="Z111" s="176"/>
      <c r="AA111" s="176"/>
      <c r="AB111" s="176"/>
      <c r="AC111" s="176"/>
      <c r="AD111" s="176"/>
      <c r="AF111" s="105"/>
      <c r="AH111" s="176"/>
      <c r="AK111" s="93"/>
      <c r="AL111" s="92"/>
      <c r="AM111" s="176"/>
      <c r="AN111" s="92"/>
      <c r="AO111" s="93"/>
    </row>
    <row r="112" spans="22:41" x14ac:dyDescent="0.3">
      <c r="V112" s="19">
        <v>12</v>
      </c>
      <c r="W112" s="93"/>
      <c r="Y112" s="177"/>
      <c r="Z112" s="176"/>
      <c r="AA112" s="176"/>
      <c r="AB112" s="176"/>
      <c r="AC112" s="176"/>
      <c r="AD112" s="176"/>
      <c r="AF112" s="105"/>
      <c r="AH112" s="176"/>
      <c r="AK112" s="93"/>
      <c r="AL112" s="92"/>
      <c r="AM112" s="176"/>
      <c r="AN112" s="92"/>
      <c r="AO112" s="93"/>
    </row>
    <row r="113" spans="22:41" x14ac:dyDescent="0.3">
      <c r="V113" s="19">
        <v>13</v>
      </c>
      <c r="W113" s="93"/>
      <c r="Y113" s="177"/>
      <c r="Z113" s="176"/>
      <c r="AA113" s="176"/>
      <c r="AB113" s="176"/>
      <c r="AC113" s="176"/>
      <c r="AD113" s="176"/>
      <c r="AF113" s="105"/>
      <c r="AH113" s="176"/>
      <c r="AK113" s="93"/>
      <c r="AL113" s="92"/>
      <c r="AM113" s="176"/>
      <c r="AN113" s="92"/>
      <c r="AO113" s="93"/>
    </row>
    <row r="114" spans="22:41" x14ac:dyDescent="0.3">
      <c r="V114" s="19">
        <v>14</v>
      </c>
      <c r="W114" s="93"/>
      <c r="Y114" s="177"/>
      <c r="Z114" s="176"/>
      <c r="AA114" s="176"/>
      <c r="AB114" s="176"/>
      <c r="AC114" s="176"/>
      <c r="AD114" s="176"/>
      <c r="AF114" s="105"/>
      <c r="AH114" s="176"/>
      <c r="AK114" s="93"/>
      <c r="AL114" s="92"/>
      <c r="AM114" s="176"/>
      <c r="AN114" s="92"/>
      <c r="AO114" s="93"/>
    </row>
    <row r="115" spans="22:41" x14ac:dyDescent="0.3">
      <c r="V115" s="19">
        <v>15</v>
      </c>
      <c r="W115" s="93"/>
      <c r="Y115" s="177"/>
      <c r="Z115" s="176"/>
      <c r="AA115" s="176"/>
      <c r="AB115" s="176"/>
      <c r="AC115" s="176"/>
      <c r="AD115" s="176"/>
      <c r="AF115" s="105"/>
      <c r="AH115" s="176"/>
      <c r="AK115" s="93"/>
      <c r="AL115" s="92"/>
      <c r="AM115" s="176"/>
      <c r="AN115" s="92"/>
      <c r="AO115" s="93"/>
    </row>
    <row r="116" spans="22:41" x14ac:dyDescent="0.3">
      <c r="V116" s="19">
        <v>16</v>
      </c>
      <c r="W116" s="93"/>
      <c r="Y116" s="177"/>
      <c r="Z116" s="176"/>
      <c r="AA116" s="176"/>
      <c r="AB116" s="176"/>
      <c r="AC116" s="176"/>
      <c r="AD116" s="176"/>
      <c r="AF116" s="105"/>
      <c r="AH116" s="176"/>
      <c r="AK116" s="93"/>
      <c r="AL116" s="92"/>
      <c r="AM116" s="176"/>
      <c r="AN116" s="92"/>
      <c r="AO116" s="93"/>
    </row>
    <row r="117" spans="22:41" x14ac:dyDescent="0.3">
      <c r="V117" s="19">
        <v>17</v>
      </c>
      <c r="W117" s="93"/>
      <c r="Y117" s="177"/>
      <c r="Z117" s="176"/>
      <c r="AA117" s="176"/>
      <c r="AB117" s="176"/>
      <c r="AC117" s="176"/>
      <c r="AD117" s="176"/>
      <c r="AF117" s="105"/>
      <c r="AH117" s="176"/>
      <c r="AK117" s="93"/>
      <c r="AL117" s="92"/>
      <c r="AM117" s="176"/>
      <c r="AN117" s="92"/>
      <c r="AO117" s="93"/>
    </row>
    <row r="118" spans="22:41" x14ac:dyDescent="0.3">
      <c r="V118" s="19">
        <v>18</v>
      </c>
      <c r="W118" s="93"/>
      <c r="Y118" s="177"/>
      <c r="Z118" s="176"/>
      <c r="AA118" s="176"/>
      <c r="AB118" s="176"/>
      <c r="AC118" s="176"/>
      <c r="AD118" s="176"/>
      <c r="AF118" s="105"/>
      <c r="AH118" s="176"/>
      <c r="AK118" s="93"/>
      <c r="AL118" s="92"/>
      <c r="AM118" s="176"/>
      <c r="AN118" s="92"/>
      <c r="AO118" s="93"/>
    </row>
    <row r="119" spans="22:41" x14ac:dyDescent="0.3">
      <c r="V119" s="19">
        <v>19</v>
      </c>
      <c r="W119" s="93"/>
      <c r="Y119" s="177"/>
      <c r="Z119" s="176"/>
      <c r="AA119" s="176"/>
      <c r="AB119" s="176"/>
      <c r="AC119" s="176"/>
      <c r="AD119" s="176"/>
      <c r="AF119" s="105"/>
      <c r="AH119" s="176"/>
      <c r="AK119" s="93"/>
      <c r="AL119" s="92"/>
      <c r="AM119" s="176"/>
      <c r="AN119" s="92"/>
      <c r="AO119" s="93"/>
    </row>
    <row r="120" spans="22:41" x14ac:dyDescent="0.3">
      <c r="V120" s="19">
        <v>20</v>
      </c>
      <c r="W120" s="93"/>
      <c r="Y120" s="177"/>
      <c r="Z120" s="176"/>
      <c r="AA120" s="176"/>
      <c r="AB120" s="176"/>
      <c r="AC120" s="176"/>
      <c r="AD120" s="176"/>
      <c r="AF120" s="105"/>
      <c r="AH120" s="176"/>
      <c r="AK120" s="93"/>
      <c r="AL120" s="92"/>
      <c r="AM120" s="176"/>
      <c r="AN120" s="92"/>
      <c r="AO120" s="93"/>
    </row>
    <row r="121" spans="22:41" x14ac:dyDescent="0.3">
      <c r="V121" s="19">
        <v>21</v>
      </c>
      <c r="W121" s="93"/>
      <c r="Y121" s="177"/>
      <c r="Z121" s="176"/>
      <c r="AA121" s="176"/>
      <c r="AB121" s="176"/>
      <c r="AC121" s="176"/>
      <c r="AD121" s="176"/>
      <c r="AF121" s="105"/>
      <c r="AH121" s="176"/>
      <c r="AK121" s="93"/>
      <c r="AL121" s="92"/>
      <c r="AM121" s="176"/>
      <c r="AN121" s="92"/>
      <c r="AO121" s="93"/>
    </row>
    <row r="122" spans="22:41" x14ac:dyDescent="0.3">
      <c r="V122" s="19">
        <v>22</v>
      </c>
      <c r="W122" s="93"/>
      <c r="Y122" s="177"/>
      <c r="Z122" s="176"/>
      <c r="AA122" s="176"/>
      <c r="AB122" s="176"/>
      <c r="AC122" s="176"/>
      <c r="AD122" s="176"/>
      <c r="AF122" s="105"/>
      <c r="AH122" s="176"/>
      <c r="AK122" s="93"/>
      <c r="AL122" s="92"/>
      <c r="AM122" s="176"/>
      <c r="AN122" s="92"/>
      <c r="AO122" s="93"/>
    </row>
    <row r="123" spans="22:41" x14ac:dyDescent="0.3">
      <c r="V123" s="19">
        <v>23</v>
      </c>
      <c r="W123" s="93"/>
      <c r="Y123" s="177"/>
      <c r="Z123" s="176"/>
      <c r="AA123" s="176"/>
      <c r="AB123" s="176"/>
      <c r="AC123" s="176"/>
      <c r="AD123" s="176"/>
      <c r="AF123" s="105"/>
      <c r="AH123" s="176"/>
      <c r="AK123" s="93"/>
      <c r="AL123" s="92"/>
      <c r="AM123" s="176"/>
      <c r="AN123" s="92"/>
      <c r="AO123" s="93"/>
    </row>
    <row r="124" spans="22:41" x14ac:dyDescent="0.3">
      <c r="V124" s="19">
        <v>24</v>
      </c>
      <c r="W124" s="93"/>
      <c r="Y124" s="177"/>
      <c r="Z124" s="176"/>
      <c r="AA124" s="176"/>
      <c r="AB124" s="176"/>
      <c r="AC124" s="176"/>
      <c r="AD124" s="176"/>
      <c r="AF124" s="105"/>
      <c r="AH124" s="176"/>
      <c r="AK124" s="93"/>
      <c r="AL124" s="92"/>
      <c r="AM124" s="176"/>
      <c r="AN124" s="92"/>
      <c r="AO124" s="93"/>
    </row>
    <row r="125" spans="22:41" x14ac:dyDescent="0.3">
      <c r="V125" s="19">
        <v>25</v>
      </c>
      <c r="W125" s="94"/>
      <c r="Y125" s="177"/>
      <c r="Z125" s="176"/>
      <c r="AA125" s="176"/>
      <c r="AB125" s="176"/>
      <c r="AC125" s="176"/>
      <c r="AD125" s="176"/>
      <c r="AF125" s="105"/>
      <c r="AH125" s="176"/>
      <c r="AK125" s="94"/>
      <c r="AL125" s="92"/>
      <c r="AM125" s="176"/>
      <c r="AN125" s="92"/>
      <c r="AO125" s="92"/>
    </row>
    <row r="126" spans="22:41" x14ac:dyDescent="0.3">
      <c r="V126" s="19">
        <v>26</v>
      </c>
      <c r="W126" s="92"/>
      <c r="Y126" s="177"/>
      <c r="Z126" s="176"/>
      <c r="AA126" s="176"/>
      <c r="AB126" s="176"/>
      <c r="AC126" s="176"/>
      <c r="AD126" s="176"/>
      <c r="AF126" s="105"/>
      <c r="AH126" s="176"/>
      <c r="AK126" s="92"/>
      <c r="AL126" s="92"/>
      <c r="AM126" s="176"/>
      <c r="AN126" s="92"/>
      <c r="AO126" s="92"/>
    </row>
    <row r="127" spans="22:41" x14ac:dyDescent="0.3">
      <c r="V127" s="19">
        <v>27</v>
      </c>
      <c r="Y127" s="20"/>
      <c r="Z127" s="176"/>
      <c r="AA127" s="176"/>
      <c r="AB127" s="176"/>
      <c r="AC127" s="176"/>
      <c r="AD127" s="176"/>
      <c r="AF127" s="105"/>
      <c r="AH127" s="176"/>
      <c r="AM127" s="176"/>
    </row>
    <row r="128" spans="22:41" x14ac:dyDescent="0.3">
      <c r="V128" s="19">
        <v>28</v>
      </c>
      <c r="Y128" s="20"/>
      <c r="Z128" s="176"/>
      <c r="AA128" s="176"/>
      <c r="AB128" s="176"/>
      <c r="AC128" s="176"/>
      <c r="AD128" s="176"/>
      <c r="AF128" s="105"/>
      <c r="AH128" s="176"/>
      <c r="AM128" s="176"/>
    </row>
    <row r="129" spans="22:39" x14ac:dyDescent="0.3">
      <c r="V129" s="19">
        <v>29</v>
      </c>
      <c r="Y129" s="20"/>
      <c r="Z129" s="176"/>
      <c r="AA129" s="176"/>
      <c r="AB129" s="176"/>
      <c r="AC129" s="176"/>
      <c r="AD129" s="176"/>
      <c r="AF129" s="105"/>
      <c r="AH129" s="176"/>
      <c r="AM129" s="176"/>
    </row>
    <row r="130" spans="22:39" x14ac:dyDescent="0.3">
      <c r="V130" s="19">
        <v>30</v>
      </c>
      <c r="Y130" s="20"/>
      <c r="Z130" s="176"/>
      <c r="AA130" s="176"/>
      <c r="AB130" s="176"/>
      <c r="AC130" s="176"/>
      <c r="AD130" s="176"/>
      <c r="AF130" s="105"/>
      <c r="AH130" s="176"/>
      <c r="AM130" s="176"/>
    </row>
    <row r="131" spans="22:39" x14ac:dyDescent="0.3">
      <c r="V131" s="19">
        <v>31</v>
      </c>
      <c r="Y131" s="20"/>
      <c r="Z131" s="176"/>
      <c r="AA131" s="176"/>
      <c r="AB131" s="176"/>
      <c r="AC131" s="176"/>
      <c r="AD131" s="176"/>
      <c r="AF131" s="105"/>
      <c r="AH131" s="176"/>
      <c r="AM131" s="176"/>
    </row>
    <row r="132" spans="22:39" x14ac:dyDescent="0.3">
      <c r="V132" s="19">
        <v>32</v>
      </c>
      <c r="Y132" s="20"/>
      <c r="Z132" s="176"/>
      <c r="AA132" s="176"/>
      <c r="AB132" s="176"/>
      <c r="AC132" s="176"/>
      <c r="AD132" s="176"/>
      <c r="AF132" s="105"/>
      <c r="AH132" s="176"/>
      <c r="AM132" s="176"/>
    </row>
    <row r="133" spans="22:39" x14ac:dyDescent="0.3">
      <c r="V133" s="19">
        <v>33</v>
      </c>
      <c r="Y133" s="20"/>
      <c r="Z133" s="176"/>
      <c r="AA133" s="176"/>
      <c r="AB133" s="176"/>
      <c r="AC133" s="176"/>
      <c r="AD133" s="176"/>
      <c r="AF133" s="105"/>
      <c r="AH133" s="176"/>
      <c r="AM133" s="176"/>
    </row>
    <row r="134" spans="22:39" x14ac:dyDescent="0.3">
      <c r="V134" s="19">
        <v>34</v>
      </c>
      <c r="Y134" s="20"/>
      <c r="Z134" s="176"/>
      <c r="AA134" s="176"/>
      <c r="AB134" s="176"/>
      <c r="AC134" s="176"/>
      <c r="AD134" s="176"/>
      <c r="AF134" s="105"/>
      <c r="AH134" s="176"/>
      <c r="AM134" s="176"/>
    </row>
    <row r="135" spans="22:39" x14ac:dyDescent="0.3">
      <c r="V135" s="19">
        <v>35</v>
      </c>
      <c r="Y135" s="20"/>
      <c r="Z135" s="176"/>
      <c r="AA135" s="176"/>
      <c r="AB135" s="176"/>
      <c r="AC135" s="176"/>
      <c r="AD135" s="176"/>
      <c r="AF135" s="105"/>
      <c r="AH135" s="176"/>
      <c r="AM135" s="176"/>
    </row>
    <row r="136" spans="22:39" x14ac:dyDescent="0.3">
      <c r="V136" s="19">
        <v>36</v>
      </c>
      <c r="Y136" s="20"/>
      <c r="Z136" s="176"/>
      <c r="AA136" s="176"/>
      <c r="AB136" s="176"/>
      <c r="AC136" s="176"/>
      <c r="AD136" s="176"/>
      <c r="AF136" s="105"/>
      <c r="AH136" s="176"/>
      <c r="AM136" s="176"/>
    </row>
    <row r="137" spans="22:39" x14ac:dyDescent="0.3">
      <c r="V137" s="19">
        <v>37</v>
      </c>
      <c r="Y137" s="20"/>
      <c r="Z137" s="176"/>
      <c r="AA137" s="176"/>
      <c r="AB137" s="176"/>
      <c r="AC137" s="176"/>
      <c r="AD137" s="176"/>
      <c r="AF137" s="105"/>
      <c r="AH137" s="176"/>
      <c r="AM137" s="176"/>
    </row>
    <row r="138" spans="22:39" x14ac:dyDescent="0.3">
      <c r="V138" s="19">
        <v>38</v>
      </c>
      <c r="Y138" s="20"/>
      <c r="Z138" s="101"/>
      <c r="AA138" s="101"/>
      <c r="AB138" s="101"/>
      <c r="AC138" s="101"/>
      <c r="AD138" s="101"/>
      <c r="AF138" s="105"/>
      <c r="AH138" s="101"/>
      <c r="AM138" s="101"/>
    </row>
    <row r="139" spans="22:39" x14ac:dyDescent="0.3">
      <c r="V139" s="19">
        <v>39</v>
      </c>
      <c r="Y139" s="20"/>
      <c r="Z139" s="101"/>
      <c r="AA139" s="101"/>
      <c r="AB139" s="101"/>
      <c r="AC139" s="101"/>
      <c r="AD139" s="101"/>
      <c r="AF139" s="105"/>
      <c r="AH139" s="101"/>
      <c r="AM139" s="101"/>
    </row>
    <row r="140" spans="22:39" x14ac:dyDescent="0.3">
      <c r="V140" s="19">
        <v>40</v>
      </c>
      <c r="Z140" s="101"/>
      <c r="AA140" s="101"/>
      <c r="AB140" s="101"/>
      <c r="AC140" s="101"/>
      <c r="AD140" s="101"/>
      <c r="AF140" s="105"/>
      <c r="AH140" s="101"/>
      <c r="AM140" s="101"/>
    </row>
    <row r="141" spans="22:39" x14ac:dyDescent="0.3">
      <c r="Z141" s="101"/>
      <c r="AD141" s="104"/>
      <c r="AE141" s="104"/>
      <c r="AI141" s="104"/>
    </row>
    <row r="142" spans="22:39" x14ac:dyDescent="0.3">
      <c r="Z142" s="101"/>
      <c r="AD142" s="104"/>
      <c r="AE142" s="104"/>
      <c r="AH142" s="104"/>
      <c r="AI142" s="104"/>
    </row>
    <row r="143" spans="22:39" x14ac:dyDescent="0.3">
      <c r="Z143" s="101"/>
      <c r="AD143" s="104"/>
      <c r="AE143" s="104"/>
      <c r="AH143" s="104"/>
      <c r="AI143" s="104"/>
    </row>
    <row r="144" spans="22:39" x14ac:dyDescent="0.3">
      <c r="Z144" s="101"/>
      <c r="AD144" s="104"/>
      <c r="AE144" s="104"/>
      <c r="AH144" s="104"/>
      <c r="AI144" s="104"/>
    </row>
    <row r="145" spans="26:26" x14ac:dyDescent="0.3">
      <c r="Z145" s="101"/>
    </row>
    <row r="146" spans="26:26" x14ac:dyDescent="0.3">
      <c r="Z146" s="101"/>
    </row>
  </sheetData>
  <mergeCells count="21">
    <mergeCell ref="Y13:Z13"/>
    <mergeCell ref="P22:R22"/>
    <mergeCell ref="T22:V22"/>
    <mergeCell ref="X22:Z22"/>
    <mergeCell ref="AL35:AM35"/>
    <mergeCell ref="AL34:AM34"/>
    <mergeCell ref="L23:N23"/>
    <mergeCell ref="P21:Z21"/>
    <mergeCell ref="L33:N33"/>
    <mergeCell ref="Y91:AH91"/>
    <mergeCell ref="AH34:AJ34"/>
    <mergeCell ref="X35:Y35"/>
    <mergeCell ref="AD35:AF35"/>
    <mergeCell ref="Z51:AB51"/>
    <mergeCell ref="AH51:AJ51"/>
    <mergeCell ref="Z34:AB34"/>
    <mergeCell ref="AD34:AF34"/>
    <mergeCell ref="J42:R42"/>
    <mergeCell ref="X49:AO49"/>
    <mergeCell ref="X34:Y34"/>
    <mergeCell ref="L22:N2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574F-9579-4407-9DD6-FB9B566B50BB}">
  <dimension ref="A1:S97"/>
  <sheetViews>
    <sheetView showGridLines="0" workbookViewId="0">
      <selection activeCell="O48" sqref="O48"/>
    </sheetView>
  </sheetViews>
  <sheetFormatPr defaultRowHeight="15.6" x14ac:dyDescent="0.3"/>
  <cols>
    <col min="1" max="3" width="2.77734375" style="9" customWidth="1"/>
    <col min="4" max="4" width="24.6640625" style="9" customWidth="1"/>
    <col min="5" max="5" width="13.5546875" style="9" bestFit="1" customWidth="1"/>
    <col min="6" max="6" width="2.77734375" style="9" customWidth="1"/>
    <col min="7" max="7" width="14" style="9" bestFit="1" customWidth="1"/>
    <col min="8" max="8" width="1.77734375" style="9" customWidth="1"/>
    <col min="9" max="9" width="13.21875" style="9" bestFit="1" customWidth="1"/>
    <col min="10" max="10" width="1.77734375" style="9" customWidth="1"/>
    <col min="11" max="11" width="5.5546875" style="9" bestFit="1" customWidth="1"/>
    <col min="12" max="12" width="1.77734375" style="9" customWidth="1"/>
    <col min="13" max="13" width="15.21875" style="9" bestFit="1" customWidth="1"/>
    <col min="14" max="14" width="8.88671875" style="9"/>
    <col min="15" max="15" width="17.88671875" style="9" bestFit="1" customWidth="1"/>
    <col min="16" max="18" width="12.33203125" style="9" bestFit="1" customWidth="1"/>
    <col min="19" max="20" width="9.5546875" style="9" bestFit="1" customWidth="1"/>
    <col min="21" max="16384" width="8.88671875" style="9"/>
  </cols>
  <sheetData>
    <row r="1" spans="1:19" x14ac:dyDescent="0.3">
      <c r="O1" s="10"/>
      <c r="P1" s="10"/>
      <c r="Q1" s="10"/>
      <c r="R1" s="10"/>
      <c r="S1" s="10"/>
    </row>
    <row r="4" spans="1:19" x14ac:dyDescent="0.3">
      <c r="N4" s="42"/>
    </row>
    <row r="8" spans="1:19" ht="17.399999999999999" x14ac:dyDescent="0.45">
      <c r="G8" s="11" t="s">
        <v>30</v>
      </c>
      <c r="H8" s="12"/>
      <c r="I8" s="13" t="s">
        <v>25</v>
      </c>
      <c r="J8" s="14"/>
      <c r="K8" s="11" t="s">
        <v>32</v>
      </c>
      <c r="L8" s="12"/>
      <c r="M8" s="13" t="s">
        <v>31</v>
      </c>
    </row>
    <row r="9" spans="1:19" x14ac:dyDescent="0.3">
      <c r="A9" s="9" t="s">
        <v>8</v>
      </c>
      <c r="H9" s="15"/>
      <c r="I9" s="15"/>
      <c r="K9" s="16"/>
      <c r="L9" s="16"/>
      <c r="M9" s="16"/>
    </row>
    <row r="10" spans="1:19" x14ac:dyDescent="0.3">
      <c r="B10" s="85" t="s">
        <v>63</v>
      </c>
      <c r="G10" s="75">
        <v>1123190</v>
      </c>
      <c r="H10" s="15"/>
      <c r="I10" s="17">
        <v>-86553.52</v>
      </c>
      <c r="K10" s="153" t="s">
        <v>54</v>
      </c>
      <c r="L10" s="16"/>
      <c r="M10" s="16"/>
      <c r="Q10" s="226"/>
    </row>
    <row r="11" spans="1:19" x14ac:dyDescent="0.3">
      <c r="B11" s="42"/>
      <c r="G11" s="16"/>
      <c r="H11" s="15"/>
      <c r="I11" s="16">
        <v>-4685</v>
      </c>
      <c r="K11" s="89" t="s">
        <v>55</v>
      </c>
      <c r="L11" s="16"/>
      <c r="O11" s="90"/>
    </row>
    <row r="12" spans="1:19" x14ac:dyDescent="0.3">
      <c r="B12" s="42"/>
      <c r="G12" s="16"/>
      <c r="H12" s="15"/>
      <c r="I12" s="16">
        <f>-Rev!E132</f>
        <v>-23505.900000000005</v>
      </c>
      <c r="K12" s="232" t="s">
        <v>56</v>
      </c>
      <c r="L12" s="16"/>
      <c r="M12" s="16"/>
      <c r="O12" s="90"/>
    </row>
    <row r="13" spans="1:19" x14ac:dyDescent="0.3">
      <c r="B13" s="42"/>
      <c r="G13" s="16"/>
      <c r="H13" s="15"/>
      <c r="I13" s="16">
        <v>-1760</v>
      </c>
      <c r="K13" s="232" t="s">
        <v>66</v>
      </c>
      <c r="L13" s="16"/>
      <c r="M13" s="16"/>
      <c r="O13" s="90"/>
    </row>
    <row r="14" spans="1:19" x14ac:dyDescent="0.3">
      <c r="B14" s="42"/>
      <c r="G14" s="16"/>
      <c r="H14" s="15"/>
      <c r="I14" s="16">
        <f>-Rev!N7</f>
        <v>-19948.97</v>
      </c>
      <c r="K14" s="233" t="s">
        <v>89</v>
      </c>
      <c r="L14" s="16"/>
      <c r="M14" s="16"/>
      <c r="O14" s="90"/>
    </row>
    <row r="15" spans="1:19" x14ac:dyDescent="0.3">
      <c r="B15" s="42"/>
      <c r="G15" s="16"/>
      <c r="H15" s="15"/>
      <c r="I15" s="16">
        <v>-3573</v>
      </c>
      <c r="K15" s="233" t="s">
        <v>90</v>
      </c>
      <c r="L15" s="16"/>
      <c r="M15" s="16"/>
      <c r="O15" s="90"/>
    </row>
    <row r="16" spans="1:19" x14ac:dyDescent="0.3">
      <c r="B16" s="42"/>
      <c r="G16" s="16"/>
      <c r="H16" s="15"/>
      <c r="I16" s="16">
        <v>69426</v>
      </c>
      <c r="K16" s="239" t="s">
        <v>96</v>
      </c>
      <c r="L16" s="16"/>
      <c r="M16" s="16"/>
      <c r="O16" s="310">
        <f>SUM(G10:I17)</f>
        <v>1025199.6099999999</v>
      </c>
    </row>
    <row r="17" spans="1:17" x14ac:dyDescent="0.3">
      <c r="B17" s="42"/>
      <c r="G17" s="16"/>
      <c r="H17" s="15"/>
      <c r="I17" s="16">
        <v>-27390</v>
      </c>
      <c r="K17" s="232" t="s">
        <v>97</v>
      </c>
      <c r="L17" s="16"/>
      <c r="M17" s="16"/>
      <c r="O17" s="90"/>
      <c r="P17" s="234"/>
      <c r="Q17" s="234"/>
    </row>
    <row r="18" spans="1:17" x14ac:dyDescent="0.3">
      <c r="B18" s="42"/>
      <c r="G18" s="16"/>
      <c r="H18" s="15"/>
      <c r="I18" s="16">
        <f>'Billing Analysis'!G14</f>
        <v>1295.8792799999937</v>
      </c>
      <c r="K18" s="239" t="s">
        <v>98</v>
      </c>
      <c r="L18" s="16"/>
      <c r="M18" s="15">
        <f>SUM(G10:I18)</f>
        <v>1026495.4892799999</v>
      </c>
      <c r="O18" s="90"/>
    </row>
    <row r="19" spans="1:17" x14ac:dyDescent="0.3">
      <c r="B19" s="74"/>
      <c r="G19" s="76"/>
      <c r="H19" s="16"/>
      <c r="I19" s="76"/>
      <c r="K19" s="35"/>
      <c r="L19" s="16"/>
      <c r="M19" s="76"/>
    </row>
    <row r="20" spans="1:17" x14ac:dyDescent="0.3">
      <c r="B20" s="34" t="s">
        <v>46</v>
      </c>
      <c r="G20" s="13">
        <f>SUM(G10:G19)</f>
        <v>1123190</v>
      </c>
      <c r="H20" s="16"/>
      <c r="I20" s="13">
        <f>SUM(I10:I18)</f>
        <v>-96694.51072000002</v>
      </c>
      <c r="K20" s="35"/>
      <c r="L20" s="16"/>
      <c r="M20" s="13">
        <f>SUM(M10:M19)</f>
        <v>1026495.4892799999</v>
      </c>
    </row>
    <row r="21" spans="1:17" ht="3.6" customHeight="1" x14ac:dyDescent="0.3">
      <c r="G21" s="16"/>
      <c r="H21" s="16"/>
      <c r="I21" s="16"/>
      <c r="K21" s="35"/>
      <c r="L21" s="16"/>
      <c r="M21" s="15"/>
    </row>
    <row r="22" spans="1:17" x14ac:dyDescent="0.3">
      <c r="B22" s="9" t="s">
        <v>11</v>
      </c>
    </row>
    <row r="23" spans="1:17" x14ac:dyDescent="0.3">
      <c r="C23" s="9" t="s">
        <v>9</v>
      </c>
      <c r="I23" s="9">
        <f>-I14</f>
        <v>19948.97</v>
      </c>
      <c r="K23" s="9" t="str">
        <f>K14</f>
        <v>(E)</v>
      </c>
      <c r="M23" s="9">
        <f t="shared" ref="M23" si="0">G23+I23</f>
        <v>19948.97</v>
      </c>
    </row>
    <row r="24" spans="1:17" x14ac:dyDescent="0.3">
      <c r="C24" s="85" t="s">
        <v>59</v>
      </c>
      <c r="G24" s="13"/>
      <c r="I24" s="13">
        <f>-I15</f>
        <v>3573</v>
      </c>
      <c r="K24" s="9" t="str">
        <f>K15</f>
        <v>(F)</v>
      </c>
      <c r="M24" s="13">
        <f>G24+I24</f>
        <v>3573</v>
      </c>
    </row>
    <row r="25" spans="1:17" ht="6.6" customHeight="1" x14ac:dyDescent="0.3"/>
    <row r="26" spans="1:17" x14ac:dyDescent="0.3">
      <c r="B26" s="9" t="s">
        <v>10</v>
      </c>
      <c r="G26" s="13">
        <f>SUM(G23:G25)</f>
        <v>0</v>
      </c>
      <c r="H26" s="16"/>
      <c r="I26" s="13">
        <f>SUM(I22:I25)</f>
        <v>23521.97</v>
      </c>
      <c r="M26" s="13">
        <f>SUM(M23:M25)</f>
        <v>23521.97</v>
      </c>
    </row>
    <row r="27" spans="1:17" ht="7.8" customHeight="1" x14ac:dyDescent="0.3"/>
    <row r="28" spans="1:17" x14ac:dyDescent="0.3">
      <c r="A28" s="9" t="s">
        <v>12</v>
      </c>
      <c r="G28" s="13">
        <f>G20+G26</f>
        <v>1123190</v>
      </c>
      <c r="I28" s="13">
        <f>I20+I26</f>
        <v>-73172.540720000019</v>
      </c>
      <c r="M28" s="13">
        <f>M20+M26</f>
        <v>1050017.4592799998</v>
      </c>
    </row>
    <row r="29" spans="1:17" ht="7.8" customHeight="1" x14ac:dyDescent="0.3"/>
    <row r="30" spans="1:17" x14ac:dyDescent="0.3">
      <c r="A30" s="9" t="s">
        <v>13</v>
      </c>
    </row>
    <row r="31" spans="1:17" x14ac:dyDescent="0.3">
      <c r="B31" s="9" t="s">
        <v>14</v>
      </c>
    </row>
    <row r="32" spans="1:17" x14ac:dyDescent="0.3">
      <c r="C32" s="9" t="s">
        <v>15</v>
      </c>
      <c r="G32" s="9">
        <v>147559</v>
      </c>
      <c r="I32" s="9">
        <f>'Employee Wages Benefits'!J18</f>
        <v>5075.859999999986</v>
      </c>
      <c r="K32" s="340" t="s">
        <v>99</v>
      </c>
      <c r="M32" s="9">
        <f>G32+I32</f>
        <v>152634.85999999999</v>
      </c>
    </row>
    <row r="33" spans="3:15" x14ac:dyDescent="0.3">
      <c r="C33" s="9" t="s">
        <v>16</v>
      </c>
      <c r="G33" s="9">
        <v>15828</v>
      </c>
      <c r="M33" s="9">
        <f>G33+I33</f>
        <v>15828</v>
      </c>
    </row>
    <row r="34" spans="3:15" x14ac:dyDescent="0.3">
      <c r="C34" s="154" t="s">
        <v>119</v>
      </c>
      <c r="G34" s="9">
        <v>40415</v>
      </c>
      <c r="I34" s="9">
        <f>'Employee Wages Benefits'!Y17</f>
        <v>12735.399999999994</v>
      </c>
      <c r="K34" s="340" t="s">
        <v>100</v>
      </c>
      <c r="M34" s="9">
        <f>G34+I34</f>
        <v>53150.399999999994</v>
      </c>
    </row>
    <row r="35" spans="3:15" x14ac:dyDescent="0.3">
      <c r="C35" s="154" t="s">
        <v>3</v>
      </c>
      <c r="D35" s="85"/>
      <c r="G35" s="9">
        <v>364983</v>
      </c>
      <c r="I35" s="9">
        <f>-'Purchased Water'!D8-'Purchased Water'!H111</f>
        <v>-26212.84</v>
      </c>
      <c r="K35" s="340" t="s">
        <v>101</v>
      </c>
      <c r="M35" s="9">
        <f>G35+I35</f>
        <v>338770.16</v>
      </c>
    </row>
    <row r="36" spans="3:15" x14ac:dyDescent="0.3">
      <c r="C36" s="154" t="s">
        <v>120</v>
      </c>
      <c r="D36" s="85"/>
      <c r="G36" s="9">
        <v>11673</v>
      </c>
      <c r="K36" s="128"/>
      <c r="M36" s="9">
        <f>G36+I36</f>
        <v>11673</v>
      </c>
    </row>
    <row r="37" spans="3:15" x14ac:dyDescent="0.3">
      <c r="C37" s="340" t="s">
        <v>254</v>
      </c>
      <c r="G37" s="9">
        <v>94299</v>
      </c>
      <c r="I37" s="9">
        <f>'Mat Supp and Misc Exp'!G13</f>
        <v>-19979.89</v>
      </c>
      <c r="K37" s="340" t="s">
        <v>102</v>
      </c>
    </row>
    <row r="38" spans="3:15" x14ac:dyDescent="0.3">
      <c r="D38" s="85"/>
      <c r="I38" s="9">
        <f>'Mat Supp and Misc Exp'!U13</f>
        <v>-17025.150000000001</v>
      </c>
      <c r="K38" s="340" t="s">
        <v>365</v>
      </c>
      <c r="M38" s="9">
        <f>SUM(G37:I38)</f>
        <v>57293.96</v>
      </c>
    </row>
    <row r="39" spans="3:15" x14ac:dyDescent="0.3">
      <c r="C39" s="9" t="s">
        <v>17</v>
      </c>
      <c r="G39" s="9">
        <v>5055</v>
      </c>
      <c r="M39" s="9">
        <f>G39+I39</f>
        <v>5055</v>
      </c>
    </row>
    <row r="40" spans="3:15" x14ac:dyDescent="0.3">
      <c r="C40" s="154" t="s">
        <v>121</v>
      </c>
      <c r="G40" s="9">
        <v>6270</v>
      </c>
      <c r="K40" s="39"/>
      <c r="M40" s="9">
        <f>G40+I40</f>
        <v>6270</v>
      </c>
    </row>
    <row r="41" spans="3:15" x14ac:dyDescent="0.3">
      <c r="C41" s="42" t="s">
        <v>51</v>
      </c>
      <c r="G41" s="9">
        <v>551</v>
      </c>
      <c r="K41" s="39"/>
      <c r="M41" s="9">
        <f>G41+I41</f>
        <v>551</v>
      </c>
    </row>
    <row r="42" spans="3:15" x14ac:dyDescent="0.3">
      <c r="C42" s="39" t="s">
        <v>49</v>
      </c>
      <c r="I42" s="9">
        <f>G96</f>
        <v>4033.3333333333335</v>
      </c>
      <c r="K42" s="349" t="s">
        <v>374</v>
      </c>
      <c r="M42" s="9">
        <f>G42+I42</f>
        <v>4033.3333333333335</v>
      </c>
    </row>
    <row r="43" spans="3:15" x14ac:dyDescent="0.3">
      <c r="C43" s="199" t="s">
        <v>128</v>
      </c>
      <c r="G43" s="9">
        <v>26440</v>
      </c>
      <c r="M43" s="9">
        <f>G43+I43</f>
        <v>26440</v>
      </c>
    </row>
    <row r="44" spans="3:15" x14ac:dyDescent="0.3">
      <c r="C44" s="349" t="s">
        <v>367</v>
      </c>
      <c r="E44" s="15"/>
      <c r="G44" s="9">
        <v>112327</v>
      </c>
      <c r="I44" s="9">
        <f>'Mat Supp and Misc Exp'!G16</f>
        <v>-3200</v>
      </c>
      <c r="K44" s="340" t="str">
        <f>K37</f>
        <v>(M)</v>
      </c>
    </row>
    <row r="45" spans="3:15" x14ac:dyDescent="0.3">
      <c r="D45" s="85"/>
      <c r="F45" s="17"/>
      <c r="I45" s="9">
        <f>'Mat Supp and Misc Exp'!U14</f>
        <v>-17025.150000000001</v>
      </c>
      <c r="K45" s="39" t="str">
        <f>K38</f>
        <v>(N)</v>
      </c>
    </row>
    <row r="46" spans="3:15" x14ac:dyDescent="0.3">
      <c r="D46" s="85"/>
      <c r="I46" s="9">
        <v>-7897.5</v>
      </c>
      <c r="K46" s="349" t="s">
        <v>375</v>
      </c>
      <c r="O46" s="253"/>
    </row>
    <row r="47" spans="3:15" x14ac:dyDescent="0.3">
      <c r="D47" s="85"/>
      <c r="I47" s="9">
        <v>-3448.82</v>
      </c>
      <c r="K47" s="349" t="s">
        <v>376</v>
      </c>
      <c r="M47" s="9">
        <f>SUM(G44:I47)</f>
        <v>80755.53</v>
      </c>
      <c r="O47" s="253"/>
    </row>
    <row r="48" spans="3:15" x14ac:dyDescent="0.3">
      <c r="D48" s="85"/>
      <c r="G48" s="76"/>
      <c r="I48" s="76"/>
      <c r="M48" s="76"/>
    </row>
    <row r="49" spans="1:13" x14ac:dyDescent="0.3">
      <c r="B49" s="9" t="s">
        <v>18</v>
      </c>
      <c r="G49" s="9">
        <f>SUM(G32:G48)</f>
        <v>825400</v>
      </c>
      <c r="I49" s="9">
        <f>SUM(I32:I48)</f>
        <v>-72944.756666666697</v>
      </c>
      <c r="M49" s="9">
        <f>SUM(M32:M48)</f>
        <v>752455.24333333329</v>
      </c>
    </row>
    <row r="50" spans="1:13" x14ac:dyDescent="0.3">
      <c r="B50" s="9" t="s">
        <v>7</v>
      </c>
      <c r="G50" s="9">
        <v>155205</v>
      </c>
      <c r="I50" s="9">
        <f>'Mat Supp and Misc Exp'!K18</f>
        <v>1239.5982857142856</v>
      </c>
      <c r="K50" s="40" t="str">
        <f>K37</f>
        <v>(M)</v>
      </c>
    </row>
    <row r="51" spans="1:13" x14ac:dyDescent="0.3">
      <c r="I51" s="9">
        <f>'Mat Supp and Misc Exp'!Y12</f>
        <v>756.6733333333334</v>
      </c>
      <c r="K51" s="40" t="str">
        <f>K38</f>
        <v>(N)</v>
      </c>
    </row>
    <row r="52" spans="1:13" x14ac:dyDescent="0.3">
      <c r="I52" s="9">
        <f>Depreciation!P13</f>
        <v>57372.41364941698</v>
      </c>
      <c r="K52" s="365" t="s">
        <v>393</v>
      </c>
      <c r="M52" s="9">
        <f>SUM(G50:I52)</f>
        <v>214573.68526846461</v>
      </c>
    </row>
    <row r="53" spans="1:13" x14ac:dyDescent="0.3">
      <c r="B53" s="154" t="s">
        <v>122</v>
      </c>
      <c r="G53" s="9">
        <v>870</v>
      </c>
      <c r="K53" s="40"/>
      <c r="M53" s="9">
        <f>G53+I53</f>
        <v>870</v>
      </c>
    </row>
    <row r="54" spans="1:13" x14ac:dyDescent="0.3">
      <c r="B54" s="9" t="s">
        <v>19</v>
      </c>
      <c r="G54" s="13">
        <v>10803</v>
      </c>
      <c r="I54" s="13">
        <f>'Employee Wages Benefits'!J29</f>
        <v>873.56678999999895</v>
      </c>
      <c r="K54" s="365" t="s">
        <v>394</v>
      </c>
      <c r="M54" s="13">
        <f>G54+I54</f>
        <v>11676.566789999999</v>
      </c>
    </row>
    <row r="56" spans="1:13" x14ac:dyDescent="0.3">
      <c r="A56" s="9" t="s">
        <v>20</v>
      </c>
      <c r="G56" s="13">
        <f>SUM(G49:G55)</f>
        <v>992278</v>
      </c>
      <c r="I56" s="13">
        <f>SUM(I49:I55)</f>
        <v>-12702.504608202098</v>
      </c>
      <c r="M56" s="13">
        <f>SUM(M49:M55)</f>
        <v>979575.49539179786</v>
      </c>
    </row>
    <row r="58" spans="1:13" x14ac:dyDescent="0.3">
      <c r="A58" s="42" t="s">
        <v>52</v>
      </c>
      <c r="G58" s="9">
        <f>G28-G56</f>
        <v>130912</v>
      </c>
      <c r="I58" s="9">
        <f>I28-I56</f>
        <v>-60470.036111797919</v>
      </c>
      <c r="M58" s="9">
        <f>M28-M56</f>
        <v>70441.963888201979</v>
      </c>
    </row>
    <row r="59" spans="1:13" x14ac:dyDescent="0.3">
      <c r="A59" s="365" t="s">
        <v>412</v>
      </c>
      <c r="C59" s="365" t="s">
        <v>4</v>
      </c>
      <c r="G59" s="9">
        <v>40254</v>
      </c>
      <c r="M59" s="9">
        <f>G59</f>
        <v>40254</v>
      </c>
    </row>
    <row r="60" spans="1:13" x14ac:dyDescent="0.3">
      <c r="C60" s="199" t="s">
        <v>129</v>
      </c>
      <c r="G60" s="16">
        <v>20777</v>
      </c>
      <c r="I60" s="16">
        <f>-I11</f>
        <v>4685</v>
      </c>
      <c r="K60" s="9" t="str">
        <f>K11</f>
        <v>(B)</v>
      </c>
    </row>
    <row r="61" spans="1:13" x14ac:dyDescent="0.3">
      <c r="C61" s="199"/>
      <c r="G61" s="16"/>
      <c r="I61" s="16">
        <f>-Rev!E182</f>
        <v>-16592.400000000001</v>
      </c>
      <c r="K61" s="9" t="str">
        <f>K12</f>
        <v>(C)</v>
      </c>
    </row>
    <row r="62" spans="1:13" x14ac:dyDescent="0.3">
      <c r="C62" s="199"/>
      <c r="G62" s="13"/>
      <c r="I62" s="13">
        <v>-480</v>
      </c>
      <c r="K62" s="9" t="str">
        <f>K13</f>
        <v>(D)</v>
      </c>
      <c r="M62" s="13">
        <f>G60+I60+I61+I62</f>
        <v>8389.5999999999985</v>
      </c>
    </row>
    <row r="64" spans="1:13" ht="16.2" thickBot="1" x14ac:dyDescent="0.35">
      <c r="A64" s="9" t="s">
        <v>21</v>
      </c>
      <c r="G64" s="18">
        <f>SUM(G58:G63)</f>
        <v>191943</v>
      </c>
      <c r="H64" s="17"/>
      <c r="I64" s="18">
        <f>SUM(I58:I63)</f>
        <v>-72857.436111797928</v>
      </c>
      <c r="J64" s="17"/>
      <c r="K64" s="17"/>
      <c r="L64" s="17"/>
      <c r="M64" s="18">
        <f>SUM(M58:M63)</f>
        <v>119085.56388820198</v>
      </c>
    </row>
    <row r="65" spans="1:13" ht="16.2" thickTop="1" x14ac:dyDescent="0.3"/>
    <row r="66" spans="1:13" x14ac:dyDescent="0.3">
      <c r="A66" s="199" t="s">
        <v>130</v>
      </c>
      <c r="G66" s="9">
        <v>-91297</v>
      </c>
    </row>
    <row r="67" spans="1:13" x14ac:dyDescent="0.3">
      <c r="A67" s="42"/>
      <c r="M67" s="42"/>
    </row>
    <row r="68" spans="1:13" x14ac:dyDescent="0.3">
      <c r="A68" s="199" t="s">
        <v>131</v>
      </c>
      <c r="G68" s="9">
        <f>G64+G66</f>
        <v>100646</v>
      </c>
      <c r="I68" s="199"/>
      <c r="M68" s="42"/>
    </row>
    <row r="86" spans="1:7" x14ac:dyDescent="0.3">
      <c r="A86" s="16"/>
      <c r="B86" s="16"/>
      <c r="C86" s="16"/>
      <c r="D86" s="16"/>
      <c r="E86" s="16"/>
      <c r="F86" s="16"/>
      <c r="G86" s="15"/>
    </row>
    <row r="87" spans="1:7" x14ac:dyDescent="0.3">
      <c r="A87" s="16"/>
      <c r="B87" s="16"/>
      <c r="C87" s="16"/>
      <c r="D87" s="16"/>
      <c r="E87" s="16"/>
      <c r="F87" s="16"/>
      <c r="G87" s="16"/>
    </row>
    <row r="88" spans="1:7" x14ac:dyDescent="0.3">
      <c r="A88" s="16"/>
      <c r="B88" s="16"/>
      <c r="C88" s="16"/>
      <c r="D88" s="16"/>
      <c r="E88" s="16"/>
      <c r="F88" s="16"/>
      <c r="G88" s="16"/>
    </row>
    <row r="89" spans="1:7" x14ac:dyDescent="0.3">
      <c r="A89" s="38" t="s">
        <v>47</v>
      </c>
      <c r="B89" s="16"/>
      <c r="C89" s="16"/>
      <c r="D89" s="16"/>
      <c r="E89" s="16"/>
      <c r="F89" s="16"/>
      <c r="G89" s="15"/>
    </row>
    <row r="90" spans="1:7" x14ac:dyDescent="0.3">
      <c r="A90" s="389" t="s">
        <v>421</v>
      </c>
      <c r="B90" s="16"/>
      <c r="C90" s="16"/>
      <c r="D90" s="16"/>
      <c r="E90" s="16"/>
      <c r="F90" s="16"/>
      <c r="G90" s="15">
        <v>11200</v>
      </c>
    </row>
    <row r="91" spans="1:7" x14ac:dyDescent="0.3">
      <c r="A91" s="390" t="s">
        <v>422</v>
      </c>
      <c r="G91" s="13">
        <v>900</v>
      </c>
    </row>
    <row r="93" spans="1:7" x14ac:dyDescent="0.3">
      <c r="A93" s="38" t="s">
        <v>48</v>
      </c>
      <c r="G93" s="9">
        <f>SUM(G90:G92)</f>
        <v>12100</v>
      </c>
    </row>
    <row r="94" spans="1:7" x14ac:dyDescent="0.3">
      <c r="A94" s="38" t="s">
        <v>34</v>
      </c>
      <c r="G94" s="13">
        <v>3</v>
      </c>
    </row>
    <row r="96" spans="1:7" ht="16.2" thickBot="1" x14ac:dyDescent="0.35">
      <c r="A96" s="38" t="s">
        <v>25</v>
      </c>
      <c r="G96" s="18">
        <f>G93/G94</f>
        <v>4033.3333333333335</v>
      </c>
    </row>
    <row r="97" ht="16.2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9524D-C519-440B-BCFC-D36D8E46D4F8}">
  <dimension ref="A1:CV188"/>
  <sheetViews>
    <sheetView showGridLines="0" zoomScale="115" zoomScaleNormal="115" workbookViewId="0">
      <selection activeCell="A25" sqref="A25"/>
    </sheetView>
  </sheetViews>
  <sheetFormatPr defaultRowHeight="14.4" x14ac:dyDescent="0.3"/>
  <cols>
    <col min="1" max="2" width="13.44140625" style="3" bestFit="1" customWidth="1"/>
    <col min="3" max="3" width="12.21875" style="3" customWidth="1"/>
    <col min="4" max="4" width="13.44140625" style="3" bestFit="1" customWidth="1"/>
    <col min="5" max="5" width="11.88671875" style="3" bestFit="1" customWidth="1"/>
    <col min="6" max="6" width="13.5546875" style="3" bestFit="1" customWidth="1"/>
    <col min="7" max="7" width="13.44140625" style="3" bestFit="1" customWidth="1"/>
    <col min="8" max="8" width="14.109375" style="3" bestFit="1" customWidth="1"/>
    <col min="9" max="9" width="16.6640625" style="3" customWidth="1"/>
    <col min="10" max="10" width="12.88671875" style="3" bestFit="1" customWidth="1"/>
    <col min="11" max="11" width="13.88671875" style="3" bestFit="1" customWidth="1"/>
    <col min="12" max="12" width="10.77734375" style="3" bestFit="1" customWidth="1"/>
    <col min="13" max="13" width="11.33203125" style="3" bestFit="1" customWidth="1"/>
    <col min="14" max="14" width="14.109375" style="1" bestFit="1" customWidth="1"/>
    <col min="15" max="15" width="15.77734375" style="1" bestFit="1" customWidth="1"/>
    <col min="16" max="16" width="29.33203125" style="3" customWidth="1"/>
    <col min="17" max="17" width="10.109375" style="3" customWidth="1"/>
    <col min="18" max="18" width="12.109375" style="3" bestFit="1" customWidth="1"/>
    <col min="19" max="19" width="3.21875" style="3" customWidth="1"/>
    <col min="20" max="20" width="14.109375" style="1" bestFit="1" customWidth="1"/>
    <col min="21" max="21" width="8.88671875" style="1"/>
    <col min="22" max="22" width="8.88671875" style="3"/>
    <col min="23" max="23" width="16.33203125" style="3" bestFit="1" customWidth="1"/>
    <col min="24" max="24" width="21.44140625" style="3" customWidth="1"/>
    <col min="25" max="26" width="11.33203125" style="3" bestFit="1" customWidth="1"/>
    <col min="27" max="27" width="11" style="3" bestFit="1" customWidth="1"/>
    <col min="28" max="28" width="8.88671875" style="3"/>
    <col min="29" max="29" width="14.5546875" style="3" bestFit="1" customWidth="1"/>
    <col min="30" max="30" width="9.33203125" style="3" bestFit="1" customWidth="1"/>
    <col min="31" max="32" width="11.33203125" style="3" bestFit="1" customWidth="1"/>
    <col min="33" max="34" width="8.88671875" style="3"/>
    <col min="35" max="35" width="14.5546875" style="3" bestFit="1" customWidth="1"/>
    <col min="36" max="36" width="9.33203125" style="3" bestFit="1" customWidth="1"/>
    <col min="37" max="37" width="11.33203125" style="3" bestFit="1" customWidth="1"/>
    <col min="38" max="38" width="14.109375" style="3" bestFit="1" customWidth="1"/>
    <col min="39" max="40" width="8.88671875" style="3"/>
    <col min="41" max="41" width="15" style="3" bestFit="1" customWidth="1"/>
    <col min="42" max="42" width="9.33203125" style="3" bestFit="1" customWidth="1"/>
    <col min="43" max="44" width="11.33203125" style="3" bestFit="1" customWidth="1"/>
    <col min="45" max="46" width="8.88671875" style="3"/>
    <col min="47" max="47" width="14.33203125" style="3" bestFit="1" customWidth="1"/>
    <col min="48" max="48" width="9.33203125" style="3" bestFit="1" customWidth="1"/>
    <col min="49" max="50" width="11.33203125" style="3" bestFit="1" customWidth="1"/>
    <col min="51" max="52" width="8.88671875" style="3"/>
    <col min="53" max="53" width="14.33203125" style="3" bestFit="1" customWidth="1"/>
    <col min="54" max="54" width="9.33203125" style="3" bestFit="1" customWidth="1"/>
    <col min="55" max="56" width="11.33203125" style="3" bestFit="1" customWidth="1"/>
    <col min="57" max="58" width="8.88671875" style="3"/>
    <col min="59" max="59" width="15" style="3" bestFit="1" customWidth="1"/>
    <col min="60" max="60" width="9.33203125" style="3" bestFit="1" customWidth="1"/>
    <col min="61" max="61" width="11.33203125" style="3" bestFit="1" customWidth="1"/>
    <col min="62" max="62" width="12.88671875" style="3" bestFit="1" customWidth="1"/>
    <col min="63" max="63" width="9" style="3" bestFit="1" customWidth="1"/>
    <col min="64" max="64" width="8.88671875" style="3"/>
    <col min="65" max="65" width="14.109375" style="3" bestFit="1" customWidth="1"/>
    <col min="66" max="66" width="9.33203125" style="3" bestFit="1" customWidth="1"/>
    <col min="67" max="68" width="11.33203125" style="3" bestFit="1" customWidth="1"/>
    <col min="69" max="70" width="8.88671875" style="3"/>
    <col min="71" max="71" width="14.5546875" style="3" bestFit="1" customWidth="1"/>
    <col min="72" max="72" width="9.33203125" style="3" bestFit="1" customWidth="1"/>
    <col min="73" max="74" width="11.33203125" style="3" bestFit="1" customWidth="1"/>
    <col min="75" max="76" width="8.88671875" style="3"/>
    <col min="77" max="77" width="12.88671875" style="3" bestFit="1" customWidth="1"/>
    <col min="78" max="78" width="10.44140625" style="3" bestFit="1" customWidth="1"/>
    <col min="79" max="79" width="12.88671875" style="3" bestFit="1" customWidth="1"/>
    <col min="80" max="80" width="15.109375" style="3" bestFit="1" customWidth="1"/>
    <col min="81" max="81" width="10.44140625" style="3" bestFit="1" customWidth="1"/>
    <col min="82" max="82" width="11.21875" style="3" bestFit="1" customWidth="1"/>
    <col min="83" max="86" width="8.88671875" style="3"/>
    <col min="87" max="87" width="14.5546875" style="3" bestFit="1" customWidth="1"/>
    <col min="88" max="88" width="9.33203125" style="3" bestFit="1" customWidth="1"/>
    <col min="89" max="90" width="11.21875" style="3" bestFit="1" customWidth="1"/>
    <col min="91" max="99" width="8.88671875" style="3"/>
    <col min="100" max="100" width="10.21875" style="3" bestFit="1" customWidth="1"/>
    <col min="101" max="16384" width="8.88671875" style="3"/>
  </cols>
  <sheetData>
    <row r="1" spans="1:30" x14ac:dyDescent="0.3">
      <c r="A1" s="3" t="s">
        <v>425</v>
      </c>
    </row>
    <row r="3" spans="1:30" x14ac:dyDescent="0.3">
      <c r="B3" s="3" t="s">
        <v>218</v>
      </c>
      <c r="C3" s="3" t="s">
        <v>219</v>
      </c>
      <c r="D3" s="3" t="s">
        <v>220</v>
      </c>
      <c r="E3" s="3" t="s">
        <v>221</v>
      </c>
      <c r="F3" s="3" t="s">
        <v>222</v>
      </c>
      <c r="G3" s="3" t="s">
        <v>223</v>
      </c>
      <c r="H3" s="3" t="s">
        <v>224</v>
      </c>
      <c r="I3" s="3" t="s">
        <v>225</v>
      </c>
      <c r="J3" s="3" t="s">
        <v>226</v>
      </c>
      <c r="K3" s="3" t="s">
        <v>227</v>
      </c>
      <c r="L3" s="3" t="s">
        <v>228</v>
      </c>
      <c r="M3" s="3" t="s">
        <v>229</v>
      </c>
      <c r="N3" s="1" t="s">
        <v>33</v>
      </c>
    </row>
    <row r="4" spans="1:30" x14ac:dyDescent="0.3">
      <c r="A4" s="3" t="s">
        <v>212</v>
      </c>
      <c r="B4" s="3">
        <v>80910.350000000006</v>
      </c>
      <c r="C4" s="3">
        <v>82419.679999999993</v>
      </c>
      <c r="D4" s="3">
        <v>74541.95</v>
      </c>
      <c r="E4" s="3">
        <v>92100.74</v>
      </c>
      <c r="F4" s="3">
        <v>84312.41</v>
      </c>
      <c r="G4" s="3">
        <v>99778.38</v>
      </c>
      <c r="H4" s="3">
        <v>103436.7</v>
      </c>
      <c r="I4" s="3">
        <v>95578.49</v>
      </c>
      <c r="J4" s="3">
        <v>91828.2</v>
      </c>
      <c r="K4" s="3">
        <v>81472.350000000006</v>
      </c>
      <c r="L4" s="3">
        <v>83678.11</v>
      </c>
      <c r="M4" s="3">
        <v>83226.14</v>
      </c>
      <c r="N4" s="1">
        <f>SUM(B4:M4)</f>
        <v>1053283.4999999998</v>
      </c>
      <c r="X4" s="3" t="s">
        <v>305</v>
      </c>
    </row>
    <row r="5" spans="1:30" x14ac:dyDescent="0.3">
      <c r="A5" s="3" t="s">
        <v>214</v>
      </c>
      <c r="B5" s="3">
        <v>3787.5</v>
      </c>
      <c r="C5" s="3">
        <v>3787.5</v>
      </c>
      <c r="D5" s="3">
        <v>3787.5</v>
      </c>
      <c r="E5" s="3">
        <v>3838</v>
      </c>
      <c r="F5" s="3">
        <v>3838</v>
      </c>
      <c r="G5" s="3">
        <v>3787.5</v>
      </c>
      <c r="H5" s="3">
        <v>4090.5</v>
      </c>
      <c r="I5" s="3">
        <v>4090.5</v>
      </c>
      <c r="J5" s="3">
        <v>4090.5</v>
      </c>
      <c r="K5" s="3">
        <v>4040</v>
      </c>
      <c r="L5" s="3">
        <v>4040</v>
      </c>
      <c r="M5" s="3">
        <v>4040</v>
      </c>
      <c r="N5" s="1">
        <f t="shared" ref="N5:N8" si="0">SUM(B5:M5)</f>
        <v>47217.5</v>
      </c>
      <c r="X5" t="s">
        <v>280</v>
      </c>
      <c r="Y5" s="286"/>
      <c r="Z5"/>
      <c r="AA5" s="286"/>
      <c r="AB5"/>
      <c r="AC5"/>
      <c r="AD5"/>
    </row>
    <row r="6" spans="1:30" x14ac:dyDescent="0.3">
      <c r="A6" s="3" t="s">
        <v>215</v>
      </c>
      <c r="B6" s="3">
        <v>412.01</v>
      </c>
      <c r="C6" s="3">
        <v>468.21</v>
      </c>
      <c r="D6" s="3">
        <v>364.26</v>
      </c>
      <c r="E6" s="3">
        <v>1105.1300000000001</v>
      </c>
      <c r="F6" s="3">
        <v>486.76</v>
      </c>
      <c r="G6" s="3">
        <v>1484.49</v>
      </c>
      <c r="H6" s="3">
        <v>879.95</v>
      </c>
      <c r="I6" s="3">
        <v>405.65</v>
      </c>
      <c r="J6" s="3">
        <v>407.43</v>
      </c>
      <c r="K6" s="3">
        <v>366.96</v>
      </c>
      <c r="L6" s="3">
        <v>396.48</v>
      </c>
      <c r="M6" s="3">
        <v>377.85</v>
      </c>
      <c r="N6" s="1">
        <f t="shared" si="0"/>
        <v>7155.18</v>
      </c>
      <c r="X6"/>
      <c r="Y6" s="286"/>
      <c r="Z6"/>
      <c r="AA6" s="286"/>
      <c r="AB6"/>
      <c r="AC6"/>
      <c r="AD6"/>
    </row>
    <row r="7" spans="1:30" x14ac:dyDescent="0.3">
      <c r="A7" s="3" t="s">
        <v>216</v>
      </c>
      <c r="B7" s="3">
        <v>1191.52</v>
      </c>
      <c r="C7" s="3">
        <v>1231.77</v>
      </c>
      <c r="D7" s="3">
        <v>1586.57</v>
      </c>
      <c r="E7" s="3">
        <v>1356.8</v>
      </c>
      <c r="F7" s="3">
        <v>1859.59</v>
      </c>
      <c r="G7" s="3">
        <v>1913.78</v>
      </c>
      <c r="H7" s="3">
        <v>1459.73</v>
      </c>
      <c r="I7" s="3">
        <v>2924.59</v>
      </c>
      <c r="J7" s="3">
        <v>1834.92</v>
      </c>
      <c r="K7" s="3">
        <v>1599.73</v>
      </c>
      <c r="L7" s="3">
        <v>1427.7</v>
      </c>
      <c r="M7" s="3">
        <v>1562.27</v>
      </c>
      <c r="N7" s="3">
        <f t="shared" si="0"/>
        <v>19948.97</v>
      </c>
      <c r="O7" s="1">
        <f>-B7</f>
        <v>-1191.52</v>
      </c>
      <c r="P7" s="3">
        <f>N7+O7</f>
        <v>18757.45</v>
      </c>
      <c r="X7"/>
      <c r="Y7" s="286"/>
      <c r="Z7"/>
      <c r="AA7" s="286"/>
      <c r="AB7"/>
      <c r="AC7"/>
      <c r="AD7"/>
    </row>
    <row r="8" spans="1:30" x14ac:dyDescent="0.3">
      <c r="A8" s="3" t="s">
        <v>217</v>
      </c>
      <c r="B8" s="3">
        <v>2537.7600000000002</v>
      </c>
      <c r="C8" s="3">
        <v>2583.23</v>
      </c>
      <c r="D8" s="3">
        <v>2346.4899999999998</v>
      </c>
      <c r="E8" s="3">
        <v>2875.19</v>
      </c>
      <c r="F8" s="3">
        <v>2641.72</v>
      </c>
      <c r="G8" s="3">
        <v>3104.04</v>
      </c>
      <c r="H8" s="3">
        <v>3223.77</v>
      </c>
      <c r="I8" s="3">
        <v>2987.52</v>
      </c>
      <c r="J8" s="3">
        <v>2875.12</v>
      </c>
      <c r="K8" s="3">
        <v>2562.1999999999998</v>
      </c>
      <c r="L8" s="3">
        <v>2628.37</v>
      </c>
      <c r="M8" s="3">
        <v>2611.5300000000002</v>
      </c>
      <c r="N8" s="1">
        <f t="shared" si="0"/>
        <v>32976.94</v>
      </c>
      <c r="X8" s="287" t="s">
        <v>281</v>
      </c>
      <c r="Y8" s="288" t="s">
        <v>282</v>
      </c>
      <c r="Z8" s="289" t="s">
        <v>283</v>
      </c>
      <c r="AA8" s="290" t="s">
        <v>33</v>
      </c>
      <c r="AB8" t="s">
        <v>284</v>
      </c>
      <c r="AC8"/>
      <c r="AD8"/>
    </row>
    <row r="9" spans="1:30" x14ac:dyDescent="0.3">
      <c r="X9" s="291" t="s">
        <v>285</v>
      </c>
      <c r="Y9" s="292"/>
      <c r="Z9" s="293">
        <v>6</v>
      </c>
      <c r="AA9" s="294">
        <v>440</v>
      </c>
      <c r="AB9" s="295" t="s">
        <v>286</v>
      </c>
      <c r="AC9"/>
      <c r="AD9"/>
    </row>
    <row r="10" spans="1:30" x14ac:dyDescent="0.3">
      <c r="A10" s="3" t="s">
        <v>33</v>
      </c>
      <c r="B10" s="3">
        <f>SUM(B4:B9)</f>
        <v>88839.14</v>
      </c>
      <c r="C10" s="3">
        <f t="shared" ref="C10:N10" si="1">SUM(C4:C9)</f>
        <v>90490.39</v>
      </c>
      <c r="D10" s="3">
        <f t="shared" si="1"/>
        <v>82626.77</v>
      </c>
      <c r="E10" s="3">
        <f t="shared" si="1"/>
        <v>101275.86000000002</v>
      </c>
      <c r="F10" s="3">
        <f t="shared" si="1"/>
        <v>93138.48</v>
      </c>
      <c r="G10" s="3">
        <f>SUM(G4:G9)</f>
        <v>110068.19</v>
      </c>
      <c r="H10" s="3">
        <f t="shared" si="1"/>
        <v>113090.65</v>
      </c>
      <c r="I10" s="3">
        <f t="shared" si="1"/>
        <v>105986.75</v>
      </c>
      <c r="J10" s="3">
        <f t="shared" si="1"/>
        <v>101036.16999999998</v>
      </c>
      <c r="K10" s="3">
        <f t="shared" si="1"/>
        <v>90041.24</v>
      </c>
      <c r="L10" s="3">
        <f t="shared" si="1"/>
        <v>92170.659999999989</v>
      </c>
      <c r="M10" s="3">
        <f t="shared" si="1"/>
        <v>91817.790000000008</v>
      </c>
      <c r="N10" s="3">
        <f t="shared" si="1"/>
        <v>1160582.0899999996</v>
      </c>
      <c r="X10" s="296" t="s">
        <v>287</v>
      </c>
      <c r="Y10" s="297">
        <v>18</v>
      </c>
      <c r="Z10" s="298">
        <v>2</v>
      </c>
      <c r="AA10" s="299">
        <v>36</v>
      </c>
      <c r="AB10" s="300" t="s">
        <v>288</v>
      </c>
      <c r="AC10"/>
      <c r="AD10"/>
    </row>
    <row r="11" spans="1:30" x14ac:dyDescent="0.3">
      <c r="N11" s="1">
        <f>A132</f>
        <v>1268511.2</v>
      </c>
      <c r="X11" s="291" t="s">
        <v>289</v>
      </c>
      <c r="Y11" s="292">
        <v>0</v>
      </c>
      <c r="Z11" s="293">
        <v>0</v>
      </c>
      <c r="AA11" s="294">
        <v>0</v>
      </c>
      <c r="AB11" s="295"/>
      <c r="AC11"/>
      <c r="AD11"/>
    </row>
    <row r="12" spans="1:30" x14ac:dyDescent="0.3">
      <c r="N12" s="1">
        <f>N10-N11</f>
        <v>-107929.11000000034</v>
      </c>
      <c r="X12" s="296" t="s">
        <v>290</v>
      </c>
      <c r="Y12" s="297">
        <v>21</v>
      </c>
      <c r="Z12" s="298">
        <v>76</v>
      </c>
      <c r="AA12" s="299">
        <v>1596</v>
      </c>
      <c r="AB12" s="300" t="s">
        <v>286</v>
      </c>
      <c r="AC12"/>
      <c r="AD12"/>
    </row>
    <row r="13" spans="1:30" x14ac:dyDescent="0.3">
      <c r="R13" s="7" t="s">
        <v>312</v>
      </c>
      <c r="S13" s="7"/>
      <c r="T13" s="6" t="s">
        <v>33</v>
      </c>
      <c r="X13" s="291" t="s">
        <v>291</v>
      </c>
      <c r="Y13" s="292">
        <v>26</v>
      </c>
      <c r="Z13" s="293">
        <v>19</v>
      </c>
      <c r="AA13" s="294">
        <v>494</v>
      </c>
      <c r="AB13" s="295" t="s">
        <v>292</v>
      </c>
      <c r="AC13"/>
      <c r="AD13"/>
    </row>
    <row r="14" spans="1:30" x14ac:dyDescent="0.3">
      <c r="R14" s="308" t="s">
        <v>313</v>
      </c>
      <c r="S14" s="7"/>
      <c r="T14" s="249" t="s">
        <v>249</v>
      </c>
      <c r="X14" s="296" t="s">
        <v>293</v>
      </c>
      <c r="Y14" s="297">
        <v>511.28</v>
      </c>
      <c r="Z14" s="298">
        <v>1</v>
      </c>
      <c r="AA14" s="299">
        <v>511.28</v>
      </c>
      <c r="AB14" s="300" t="s">
        <v>294</v>
      </c>
      <c r="AC14"/>
      <c r="AD14"/>
    </row>
    <row r="15" spans="1:30" ht="15" customHeight="1" x14ac:dyDescent="0.3">
      <c r="X15" s="291" t="s">
        <v>295</v>
      </c>
      <c r="Y15" s="292">
        <v>20</v>
      </c>
      <c r="Z15" s="293">
        <v>12</v>
      </c>
      <c r="AA15" s="294">
        <v>240</v>
      </c>
      <c r="AB15" s="301" t="s">
        <v>286</v>
      </c>
      <c r="AC15"/>
      <c r="AD15"/>
    </row>
    <row r="16" spans="1:30" x14ac:dyDescent="0.3">
      <c r="P16" s="3" t="s">
        <v>307</v>
      </c>
      <c r="R16" s="1">
        <v>76</v>
      </c>
      <c r="T16" s="309">
        <v>1596</v>
      </c>
      <c r="X16" s="296" t="s">
        <v>296</v>
      </c>
      <c r="Y16" s="297">
        <v>20</v>
      </c>
      <c r="Z16" s="298">
        <v>11</v>
      </c>
      <c r="AA16" s="299">
        <v>220</v>
      </c>
      <c r="AB16" s="300" t="s">
        <v>286</v>
      </c>
      <c r="AC16"/>
      <c r="AD16"/>
    </row>
    <row r="17" spans="1:51" x14ac:dyDescent="0.3">
      <c r="P17" s="3" t="s">
        <v>311</v>
      </c>
      <c r="R17" s="1">
        <v>2</v>
      </c>
      <c r="T17" s="1">
        <v>36</v>
      </c>
      <c r="X17" s="291" t="s">
        <v>297</v>
      </c>
      <c r="Y17" s="302">
        <v>0.1</v>
      </c>
      <c r="Z17" s="293">
        <v>3897</v>
      </c>
      <c r="AA17" s="294">
        <v>19958.57</v>
      </c>
      <c r="AB17" s="295"/>
      <c r="AC17"/>
      <c r="AD17"/>
    </row>
    <row r="18" spans="1:51" x14ac:dyDescent="0.3">
      <c r="P18" s="3" t="s">
        <v>308</v>
      </c>
      <c r="R18" s="1">
        <v>19</v>
      </c>
      <c r="T18" s="1">
        <v>494</v>
      </c>
      <c r="X18" s="296" t="s">
        <v>298</v>
      </c>
      <c r="Y18" s="297">
        <v>18</v>
      </c>
      <c r="Z18" s="298">
        <v>2</v>
      </c>
      <c r="AA18" s="299">
        <v>36</v>
      </c>
      <c r="AB18" s="300" t="s">
        <v>286</v>
      </c>
      <c r="AC18"/>
      <c r="AD18"/>
    </row>
    <row r="19" spans="1:51" x14ac:dyDescent="0.3">
      <c r="P19" s="3" t="s">
        <v>310</v>
      </c>
      <c r="R19" s="1">
        <v>1</v>
      </c>
      <c r="T19" s="1">
        <v>511.28</v>
      </c>
      <c r="X19"/>
      <c r="Y19" s="303"/>
      <c r="Z19" s="304" t="s">
        <v>33</v>
      </c>
      <c r="AA19" s="303">
        <f>SUM(DollarAmountSummary[Total])</f>
        <v>23531.85</v>
      </c>
      <c r="AB19"/>
      <c r="AC19"/>
      <c r="AD19"/>
    </row>
    <row r="20" spans="1:51" x14ac:dyDescent="0.3">
      <c r="P20" s="3" t="s">
        <v>309</v>
      </c>
      <c r="R20" s="1">
        <v>23</v>
      </c>
      <c r="T20" s="1">
        <v>460</v>
      </c>
      <c r="X20"/>
      <c r="Y20" s="286"/>
      <c r="Z20"/>
      <c r="AA20" s="286"/>
      <c r="AB20"/>
      <c r="AC20"/>
      <c r="AD20"/>
    </row>
    <row r="21" spans="1:51" x14ac:dyDescent="0.3">
      <c r="P21" s="3" t="s">
        <v>298</v>
      </c>
      <c r="R21" s="1">
        <v>2</v>
      </c>
      <c r="T21" s="1">
        <v>36</v>
      </c>
      <c r="X21"/>
      <c r="Y21" s="286"/>
      <c r="Z21"/>
      <c r="AA21" s="286"/>
      <c r="AB21"/>
      <c r="AC21"/>
      <c r="AD21"/>
    </row>
    <row r="22" spans="1:51" x14ac:dyDescent="0.3">
      <c r="P22" s="3" t="s">
        <v>331</v>
      </c>
      <c r="R22" s="1">
        <v>6</v>
      </c>
      <c r="T22" s="88">
        <v>440</v>
      </c>
      <c r="X22" s="305" t="s">
        <v>208</v>
      </c>
      <c r="Y22" s="306">
        <v>20</v>
      </c>
      <c r="Z22" s="305">
        <v>112</v>
      </c>
      <c r="AA22" s="306">
        <f>Y22*Z22</f>
        <v>2240</v>
      </c>
      <c r="AB22" s="305" t="s">
        <v>299</v>
      </c>
      <c r="AC22" s="305"/>
      <c r="AD22" s="305"/>
    </row>
    <row r="23" spans="1:51" x14ac:dyDescent="0.3">
      <c r="X23" s="305" t="s">
        <v>300</v>
      </c>
      <c r="Y23" s="306">
        <v>75</v>
      </c>
      <c r="Z23" s="305">
        <v>30</v>
      </c>
      <c r="AA23" s="306">
        <f t="shared" ref="AA23:AA25" si="2">Y23*Z23</f>
        <v>2250</v>
      </c>
      <c r="AB23" s="305" t="s">
        <v>301</v>
      </c>
      <c r="AC23" s="305"/>
      <c r="AD23" s="305"/>
    </row>
    <row r="24" spans="1:51" ht="15" thickBot="1" x14ac:dyDescent="0.35">
      <c r="A24" s="3" t="s">
        <v>204</v>
      </c>
      <c r="I24" s="1"/>
      <c r="N24" s="3"/>
      <c r="O24" s="3"/>
      <c r="T24" s="251">
        <f>SUM(T16:T22)</f>
        <v>3573.2799999999997</v>
      </c>
      <c r="X24" s="305" t="s">
        <v>302</v>
      </c>
      <c r="Y24" s="306">
        <v>80</v>
      </c>
      <c r="Z24" s="305">
        <v>25</v>
      </c>
      <c r="AA24" s="306">
        <f t="shared" si="2"/>
        <v>2000</v>
      </c>
      <c r="AB24" s="305" t="s">
        <v>303</v>
      </c>
      <c r="AC24" s="305"/>
      <c r="AD24" s="305"/>
    </row>
    <row r="25" spans="1:51" ht="15" thickTop="1" x14ac:dyDescent="0.3">
      <c r="D25" s="3" t="s">
        <v>95</v>
      </c>
      <c r="L25" s="3" t="s">
        <v>197</v>
      </c>
      <c r="N25" s="3"/>
      <c r="O25" s="3"/>
      <c r="R25" s="48"/>
      <c r="S25" s="48"/>
      <c r="U25" s="50"/>
      <c r="V25" s="48"/>
      <c r="W25" s="48"/>
      <c r="X25" s="305" t="s">
        <v>304</v>
      </c>
      <c r="Y25" s="306">
        <v>1382.7</v>
      </c>
      <c r="Z25" s="305">
        <v>30</v>
      </c>
      <c r="AA25" s="307">
        <f t="shared" si="2"/>
        <v>41481</v>
      </c>
      <c r="AB25" s="305"/>
      <c r="AC25" s="305"/>
      <c r="AD25" s="305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</row>
    <row r="26" spans="1:51" x14ac:dyDescent="0.3">
      <c r="D26" s="3" t="s">
        <v>198</v>
      </c>
      <c r="E26" s="3" t="s">
        <v>199</v>
      </c>
      <c r="F26" s="3" t="s">
        <v>217</v>
      </c>
      <c r="G26" s="3" t="s">
        <v>230</v>
      </c>
      <c r="H26" s="3" t="s">
        <v>216</v>
      </c>
      <c r="I26" s="3" t="s">
        <v>213</v>
      </c>
      <c r="J26" s="3" t="s">
        <v>200</v>
      </c>
      <c r="K26" s="3" t="s">
        <v>201</v>
      </c>
      <c r="L26" s="3" t="s">
        <v>202</v>
      </c>
      <c r="N26" s="3"/>
      <c r="O26" s="3"/>
      <c r="R26" s="48"/>
      <c r="S26" s="48"/>
      <c r="T26" s="1">
        <f>T24+N7</f>
        <v>23522.25</v>
      </c>
      <c r="U26" s="50"/>
      <c r="V26" s="48"/>
      <c r="W26" s="48"/>
      <c r="X26" s="305"/>
      <c r="Y26" s="306"/>
      <c r="Z26" s="305"/>
      <c r="AA26" s="306">
        <f>SUM(AA22:AA25)</f>
        <v>47971</v>
      </c>
      <c r="AB26" s="305"/>
      <c r="AC26" s="305"/>
      <c r="AD26" s="305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</row>
    <row r="27" spans="1:51" x14ac:dyDescent="0.3">
      <c r="A27" s="3">
        <v>86553.52</v>
      </c>
      <c r="D27" s="3">
        <f>A27</f>
        <v>86553.52</v>
      </c>
      <c r="M27" s="3">
        <f>A27-D27-E27-F27-I27-J27-K27-L27</f>
        <v>0</v>
      </c>
      <c r="N27" s="3"/>
      <c r="O27" s="3"/>
      <c r="U27" s="50"/>
      <c r="V27" s="48"/>
      <c r="W27" s="48"/>
      <c r="X27"/>
      <c r="Y27" s="286"/>
      <c r="Z27"/>
      <c r="AA27" s="286"/>
      <c r="AB27"/>
      <c r="AC27"/>
      <c r="AD27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</row>
    <row r="28" spans="1:51" x14ac:dyDescent="0.3">
      <c r="A28" s="3">
        <v>2537.7600000000002</v>
      </c>
      <c r="B28" s="3">
        <f>A27+A28</f>
        <v>89091.28</v>
      </c>
      <c r="F28" s="3">
        <f>A28</f>
        <v>2537.7600000000002</v>
      </c>
      <c r="M28" s="3">
        <f>A28-D28-E28-F28-I28-J28-K28-L28</f>
        <v>0</v>
      </c>
      <c r="N28" s="3"/>
      <c r="O28" s="3"/>
      <c r="R28" s="48"/>
      <c r="S28" s="48"/>
      <c r="T28" s="50"/>
      <c r="U28" s="50"/>
      <c r="V28" s="48"/>
      <c r="W28" s="48"/>
      <c r="X28" s="305" t="s">
        <v>306</v>
      </c>
      <c r="Y28" s="286"/>
      <c r="Z28"/>
      <c r="AA28" s="286"/>
      <c r="AB28"/>
      <c r="AC28"/>
      <c r="AD2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</row>
    <row r="29" spans="1:51" x14ac:dyDescent="0.3">
      <c r="A29" s="3">
        <v>1191.52</v>
      </c>
      <c r="B29" s="3">
        <f>B28+A29</f>
        <v>90282.8</v>
      </c>
      <c r="H29" s="3">
        <f>A29</f>
        <v>1191.52</v>
      </c>
      <c r="M29" s="3">
        <f>A29-D29-E29-H29-I29-J29-K29-L29</f>
        <v>0</v>
      </c>
      <c r="N29" s="3"/>
      <c r="O29" s="3"/>
      <c r="R29" s="48"/>
      <c r="S29" s="48"/>
      <c r="T29" s="50"/>
      <c r="U29" s="50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</row>
    <row r="30" spans="1:51" x14ac:dyDescent="0.3">
      <c r="A30" s="3">
        <v>3787.5</v>
      </c>
      <c r="B30" s="3">
        <f t="shared" ref="B30:B93" si="3">B29+A30</f>
        <v>94070.3</v>
      </c>
      <c r="I30" s="3">
        <f>A30</f>
        <v>3787.5</v>
      </c>
      <c r="M30" s="3">
        <f>A30-D30-E30-F30-I30-J30-K30-L30</f>
        <v>0</v>
      </c>
      <c r="N30" s="3"/>
      <c r="O30" s="3"/>
      <c r="R30" s="48"/>
      <c r="S30" s="48"/>
      <c r="T30" s="50"/>
      <c r="U30" s="50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</row>
    <row r="31" spans="1:51" x14ac:dyDescent="0.3">
      <c r="A31" s="3">
        <v>80910.350000000006</v>
      </c>
      <c r="B31" s="3">
        <f t="shared" si="3"/>
        <v>174980.65000000002</v>
      </c>
      <c r="D31" s="3">
        <f>A31</f>
        <v>80910.350000000006</v>
      </c>
      <c r="M31" s="3">
        <f>A31-D31-E31-F31-I31-J31-K31-L31</f>
        <v>0</v>
      </c>
      <c r="N31" s="3"/>
      <c r="O31" s="3"/>
      <c r="R31" s="48"/>
      <c r="S31" s="48"/>
      <c r="T31" s="50"/>
      <c r="U31" s="50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</row>
    <row r="32" spans="1:51" x14ac:dyDescent="0.3">
      <c r="A32" s="3">
        <v>412.01</v>
      </c>
      <c r="B32" s="3">
        <f t="shared" si="3"/>
        <v>175392.66000000003</v>
      </c>
      <c r="G32" s="3">
        <f>A32</f>
        <v>412.01</v>
      </c>
      <c r="M32" s="3">
        <f>A32-D32-E32-G32-I32-J32-K32-L32</f>
        <v>0</v>
      </c>
      <c r="N32" s="3"/>
      <c r="O32" s="3"/>
      <c r="R32" s="48"/>
      <c r="S32" s="48"/>
      <c r="T32" s="50"/>
      <c r="U32" s="50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</row>
    <row r="33" spans="1:51" x14ac:dyDescent="0.3">
      <c r="A33" s="3">
        <v>2583.23</v>
      </c>
      <c r="B33" s="3">
        <f t="shared" si="3"/>
        <v>177975.89000000004</v>
      </c>
      <c r="F33" s="3">
        <f t="shared" ref="F33:F40" si="4">A33</f>
        <v>2583.23</v>
      </c>
      <c r="M33" s="3">
        <f>A33-D33-E33-F33-I33-J33-K33-L33</f>
        <v>0</v>
      </c>
      <c r="N33" s="3"/>
      <c r="O33" s="3"/>
      <c r="R33" s="48"/>
      <c r="S33" s="48"/>
      <c r="T33" s="50"/>
      <c r="U33" s="50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</row>
    <row r="34" spans="1:51" x14ac:dyDescent="0.3">
      <c r="A34" s="3">
        <v>3787.5</v>
      </c>
      <c r="B34" s="3">
        <f t="shared" si="3"/>
        <v>181763.39000000004</v>
      </c>
      <c r="I34" s="3">
        <f>A34</f>
        <v>3787.5</v>
      </c>
      <c r="M34" s="3">
        <f>A34-D34-E34-F34-I34-J34-K34-L34</f>
        <v>0</v>
      </c>
      <c r="N34" s="3"/>
      <c r="O34" s="3"/>
      <c r="R34" s="48"/>
      <c r="S34" s="48"/>
      <c r="T34" s="50"/>
      <c r="U34" s="50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</row>
    <row r="35" spans="1:51" x14ac:dyDescent="0.3">
      <c r="A35" s="3">
        <v>1231.77</v>
      </c>
      <c r="B35" s="3">
        <f t="shared" si="3"/>
        <v>182995.16000000003</v>
      </c>
      <c r="H35" s="3">
        <f>A35</f>
        <v>1231.77</v>
      </c>
      <c r="M35" s="3">
        <f>A35-D35-E35-H35-I35-J35-K35-L35</f>
        <v>0</v>
      </c>
      <c r="N35" s="3"/>
      <c r="O35" s="3"/>
      <c r="R35" s="48"/>
      <c r="S35" s="48"/>
      <c r="T35" s="50"/>
      <c r="U35" s="50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</row>
    <row r="36" spans="1:51" x14ac:dyDescent="0.3">
      <c r="A36" s="3">
        <v>82419.679999999993</v>
      </c>
      <c r="B36" s="3">
        <f t="shared" si="3"/>
        <v>265414.84000000003</v>
      </c>
      <c r="D36" s="3">
        <f>A36</f>
        <v>82419.679999999993</v>
      </c>
      <c r="M36" s="3">
        <f>A36-D36-E36-F36-I36-J36-K36-L36</f>
        <v>0</v>
      </c>
      <c r="N36" s="3"/>
      <c r="O36" s="3"/>
      <c r="R36" s="48"/>
      <c r="S36" s="48"/>
      <c r="T36" s="50"/>
      <c r="U36" s="50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</row>
    <row r="37" spans="1:51" x14ac:dyDescent="0.3">
      <c r="A37" s="3">
        <v>468.21</v>
      </c>
      <c r="B37" s="3">
        <f t="shared" si="3"/>
        <v>265883.05000000005</v>
      </c>
      <c r="G37" s="3">
        <f>A37</f>
        <v>468.21</v>
      </c>
      <c r="M37" s="3">
        <f>A37-D37-E37-G37-I37-J37-K37-L37</f>
        <v>0</v>
      </c>
      <c r="N37" s="3"/>
      <c r="O37" s="3"/>
      <c r="R37" s="48"/>
      <c r="S37" s="48"/>
      <c r="T37" s="50"/>
      <c r="U37" s="50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</row>
    <row r="38" spans="1:51" x14ac:dyDescent="0.3">
      <c r="A38" s="3">
        <v>3787.5</v>
      </c>
      <c r="B38" s="3">
        <f t="shared" si="3"/>
        <v>269670.55000000005</v>
      </c>
      <c r="I38" s="3">
        <f>A38</f>
        <v>3787.5</v>
      </c>
      <c r="M38" s="3">
        <f>A38-D38-E38-F38-I38-J38-K38-L38</f>
        <v>0</v>
      </c>
      <c r="N38" s="3"/>
      <c r="O38" s="3"/>
      <c r="R38" s="48"/>
      <c r="S38" s="48"/>
      <c r="T38" s="50"/>
      <c r="U38" s="50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</row>
    <row r="39" spans="1:51" x14ac:dyDescent="0.3">
      <c r="A39" s="3">
        <v>364.26</v>
      </c>
      <c r="B39" s="3">
        <f t="shared" si="3"/>
        <v>270034.81000000006</v>
      </c>
      <c r="G39" s="3">
        <f>A39</f>
        <v>364.26</v>
      </c>
      <c r="M39" s="3">
        <f>A39-D39-E39-G39-I39-J39-K39-L39</f>
        <v>0</v>
      </c>
      <c r="N39" s="3"/>
      <c r="O39" s="3"/>
      <c r="R39" s="48"/>
      <c r="S39" s="48"/>
      <c r="T39" s="50"/>
      <c r="U39" s="50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</row>
    <row r="40" spans="1:51" x14ac:dyDescent="0.3">
      <c r="A40" s="3">
        <v>2346.4899999999998</v>
      </c>
      <c r="B40" s="3">
        <f t="shared" si="3"/>
        <v>272381.30000000005</v>
      </c>
      <c r="F40" s="3">
        <f t="shared" si="4"/>
        <v>2346.4899999999998</v>
      </c>
      <c r="M40" s="3">
        <f>A40-D40-E40-F40-I40-J40-K40-L40</f>
        <v>0</v>
      </c>
      <c r="N40" s="3"/>
      <c r="O40" s="3"/>
      <c r="R40" s="48"/>
      <c r="S40" s="48"/>
      <c r="T40" s="50"/>
      <c r="U40" s="50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</row>
    <row r="41" spans="1:51" x14ac:dyDescent="0.3">
      <c r="A41" s="3">
        <v>74541.95</v>
      </c>
      <c r="B41" s="3">
        <f t="shared" si="3"/>
        <v>346923.25000000006</v>
      </c>
      <c r="D41" s="3">
        <f>A41</f>
        <v>74541.95</v>
      </c>
      <c r="M41" s="3">
        <f>A41-D41-E41-F41-I41-J41-K41-L41</f>
        <v>0</v>
      </c>
      <c r="N41" s="3"/>
      <c r="O41" s="3"/>
      <c r="R41" s="48"/>
      <c r="S41" s="48"/>
      <c r="T41" s="50"/>
      <c r="U41" s="50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</row>
    <row r="42" spans="1:51" x14ac:dyDescent="0.3">
      <c r="A42" s="3">
        <v>1586.57</v>
      </c>
      <c r="B42" s="3">
        <f t="shared" si="3"/>
        <v>348509.82000000007</v>
      </c>
      <c r="H42" s="3">
        <f>A42</f>
        <v>1586.57</v>
      </c>
      <c r="M42" s="3">
        <f>A42-D42-E42-H42-I42-J42-K42-L42</f>
        <v>0</v>
      </c>
      <c r="N42" s="3"/>
      <c r="O42" s="3"/>
      <c r="R42" s="48"/>
      <c r="S42" s="48"/>
      <c r="T42" s="50"/>
      <c r="U42" s="50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</row>
    <row r="43" spans="1:51" x14ac:dyDescent="0.3">
      <c r="A43" s="3">
        <v>1382.7</v>
      </c>
      <c r="B43" s="3">
        <f t="shared" si="3"/>
        <v>349892.52000000008</v>
      </c>
      <c r="E43" s="3">
        <f>A43</f>
        <v>1382.7</v>
      </c>
      <c r="M43" s="3">
        <f>A43-D43-E43-F43-I43-J43-K43-L43</f>
        <v>0</v>
      </c>
      <c r="N43" s="3"/>
      <c r="O43" s="3"/>
      <c r="R43" s="48"/>
      <c r="S43" s="48"/>
      <c r="T43" s="50"/>
      <c r="U43" s="50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</row>
    <row r="44" spans="1:51" x14ac:dyDescent="0.3">
      <c r="A44" s="3">
        <v>2875.19</v>
      </c>
      <c r="B44" s="3">
        <f t="shared" si="3"/>
        <v>352767.71000000008</v>
      </c>
      <c r="F44" s="3">
        <f>A44</f>
        <v>2875.19</v>
      </c>
      <c r="M44" s="3">
        <f>A44-D44-E44-F44-I44-J44-K44-L44</f>
        <v>0</v>
      </c>
      <c r="N44" s="3"/>
      <c r="O44" s="3"/>
      <c r="R44" s="48"/>
      <c r="S44" s="48"/>
      <c r="T44" s="50"/>
      <c r="U44" s="50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</row>
    <row r="45" spans="1:51" x14ac:dyDescent="0.3">
      <c r="A45" s="3">
        <v>3838</v>
      </c>
      <c r="B45" s="3">
        <f t="shared" si="3"/>
        <v>356605.71000000008</v>
      </c>
      <c r="I45" s="3">
        <f>A45</f>
        <v>3838</v>
      </c>
      <c r="M45" s="3">
        <f>A45-D45-E45-F45-I45-J45-K45-L45</f>
        <v>0</v>
      </c>
      <c r="N45" s="3"/>
      <c r="O45" s="3"/>
      <c r="R45" s="48"/>
      <c r="S45" s="48"/>
      <c r="T45" s="50"/>
      <c r="U45" s="50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</row>
    <row r="46" spans="1:51" x14ac:dyDescent="0.3">
      <c r="A46" s="3">
        <v>1356.8</v>
      </c>
      <c r="B46" s="3">
        <f t="shared" si="3"/>
        <v>357962.51000000007</v>
      </c>
      <c r="H46" s="3">
        <f>A46</f>
        <v>1356.8</v>
      </c>
      <c r="M46" s="3">
        <f>A46-D46-E46-H46-I46-J46-K46-L46</f>
        <v>0</v>
      </c>
      <c r="N46" s="3"/>
      <c r="O46" s="3"/>
      <c r="R46" s="48"/>
      <c r="S46" s="48"/>
      <c r="T46" s="50"/>
      <c r="U46" s="50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</row>
    <row r="47" spans="1:51" x14ac:dyDescent="0.3">
      <c r="A47" s="3">
        <v>1105.1300000000001</v>
      </c>
      <c r="B47" s="3">
        <f t="shared" si="3"/>
        <v>359067.64000000007</v>
      </c>
      <c r="G47" s="3">
        <f>A47</f>
        <v>1105.1300000000001</v>
      </c>
      <c r="M47" s="3">
        <f>A47-D47-E47-G47-I47-J47-K47-L47</f>
        <v>0</v>
      </c>
      <c r="N47" s="3"/>
      <c r="O47" s="3"/>
      <c r="R47" s="48"/>
      <c r="S47" s="48"/>
      <c r="T47" s="50"/>
      <c r="U47" s="50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</row>
    <row r="48" spans="1:51" x14ac:dyDescent="0.3">
      <c r="A48" s="3">
        <v>92100.74</v>
      </c>
      <c r="B48" s="3">
        <f t="shared" si="3"/>
        <v>451168.38000000006</v>
      </c>
      <c r="D48" s="3">
        <f>A48</f>
        <v>92100.74</v>
      </c>
      <c r="M48" s="3">
        <f>A48-D48-E48-F48-I48-J48-K48-L48</f>
        <v>0</v>
      </c>
      <c r="N48" s="3"/>
      <c r="O48" s="3"/>
      <c r="R48" s="48"/>
      <c r="S48" s="48"/>
      <c r="T48" s="50"/>
      <c r="U48" s="50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</row>
    <row r="49" spans="1:51" x14ac:dyDescent="0.3">
      <c r="A49" s="3">
        <v>1869.59</v>
      </c>
      <c r="B49" s="3">
        <f t="shared" si="3"/>
        <v>453037.97000000009</v>
      </c>
      <c r="H49" s="3">
        <f>A49</f>
        <v>1869.59</v>
      </c>
      <c r="M49" s="3">
        <f>A49-D49-E49-H49-I49-J49-K49-L49</f>
        <v>0</v>
      </c>
      <c r="N49" s="3"/>
      <c r="O49" s="3"/>
      <c r="R49" s="48"/>
      <c r="S49" s="48"/>
      <c r="T49" s="50"/>
      <c r="U49" s="50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</row>
    <row r="50" spans="1:51" x14ac:dyDescent="0.3">
      <c r="A50" s="3">
        <v>486.76</v>
      </c>
      <c r="B50" s="3">
        <f t="shared" si="3"/>
        <v>453524.7300000001</v>
      </c>
      <c r="G50" s="3">
        <f>A50</f>
        <v>486.76</v>
      </c>
      <c r="M50" s="3">
        <f>A50-D50-E50-G50-I50-J50-K50-L50</f>
        <v>0</v>
      </c>
      <c r="N50" s="3"/>
      <c r="O50" s="3"/>
      <c r="R50" s="48"/>
      <c r="S50" s="48"/>
      <c r="T50" s="50"/>
      <c r="U50" s="50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</row>
    <row r="51" spans="1:51" x14ac:dyDescent="0.3">
      <c r="A51" s="3">
        <v>75</v>
      </c>
      <c r="B51" s="3">
        <f t="shared" si="3"/>
        <v>453599.7300000001</v>
      </c>
      <c r="J51" s="3">
        <f>A51</f>
        <v>75</v>
      </c>
      <c r="M51" s="3">
        <f t="shared" ref="M51:M56" si="5">A51-D51-E51-F51-I51-J51-K51-L51</f>
        <v>0</v>
      </c>
      <c r="N51" s="3"/>
      <c r="O51" s="3"/>
      <c r="R51" s="48"/>
      <c r="S51" s="48"/>
      <c r="T51" s="50"/>
      <c r="U51" s="50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</row>
    <row r="52" spans="1:51" x14ac:dyDescent="0.3">
      <c r="A52" s="3">
        <v>2641.72</v>
      </c>
      <c r="B52" s="3">
        <f t="shared" si="3"/>
        <v>456241.45000000007</v>
      </c>
      <c r="F52" s="3">
        <f>A52</f>
        <v>2641.72</v>
      </c>
      <c r="M52" s="3">
        <f t="shared" si="5"/>
        <v>0</v>
      </c>
      <c r="N52" s="3"/>
      <c r="O52" s="3"/>
      <c r="R52" s="48"/>
      <c r="S52" s="48"/>
      <c r="T52" s="50"/>
      <c r="U52" s="50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</row>
    <row r="53" spans="1:51" x14ac:dyDescent="0.3">
      <c r="A53" s="3">
        <v>84312.41</v>
      </c>
      <c r="B53" s="3">
        <f t="shared" si="3"/>
        <v>540553.8600000001</v>
      </c>
      <c r="D53" s="3">
        <f>A53</f>
        <v>84312.41</v>
      </c>
      <c r="M53" s="3">
        <f t="shared" si="5"/>
        <v>0</v>
      </c>
      <c r="N53" s="3"/>
      <c r="O53" s="3"/>
      <c r="R53" s="48"/>
      <c r="S53" s="48"/>
      <c r="T53" s="50"/>
      <c r="U53" s="50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</row>
    <row r="54" spans="1:51" x14ac:dyDescent="0.3">
      <c r="A54" s="3">
        <v>3838</v>
      </c>
      <c r="B54" s="3">
        <f t="shared" si="3"/>
        <v>544391.8600000001</v>
      </c>
      <c r="I54" s="3">
        <f>A54</f>
        <v>3838</v>
      </c>
      <c r="M54" s="3">
        <f t="shared" si="5"/>
        <v>0</v>
      </c>
      <c r="N54" s="3"/>
      <c r="O54" s="3"/>
      <c r="R54" s="48"/>
      <c r="S54" s="48"/>
      <c r="T54" s="50"/>
      <c r="U54" s="50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</row>
    <row r="55" spans="1:51" x14ac:dyDescent="0.3">
      <c r="A55" s="3">
        <v>0.04</v>
      </c>
      <c r="B55" s="3">
        <f t="shared" si="3"/>
        <v>544391.90000000014</v>
      </c>
      <c r="M55" s="3">
        <f t="shared" si="5"/>
        <v>0.04</v>
      </c>
      <c r="N55" s="3"/>
      <c r="O55" s="3"/>
      <c r="R55" s="48"/>
      <c r="S55" s="48"/>
      <c r="T55" s="50"/>
      <c r="U55" s="50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</row>
    <row r="56" spans="1:51" x14ac:dyDescent="0.3">
      <c r="A56" s="3">
        <v>75</v>
      </c>
      <c r="B56" s="3">
        <f t="shared" si="3"/>
        <v>544466.90000000014</v>
      </c>
      <c r="J56" s="3">
        <f>A56</f>
        <v>75</v>
      </c>
      <c r="M56" s="3">
        <f t="shared" si="5"/>
        <v>0</v>
      </c>
      <c r="N56" s="3"/>
      <c r="O56" s="3"/>
      <c r="R56" s="48"/>
      <c r="S56" s="48"/>
      <c r="T56" s="50"/>
      <c r="U56" s="50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</row>
    <row r="57" spans="1:51" x14ac:dyDescent="0.3">
      <c r="A57" s="3">
        <v>1913.78</v>
      </c>
      <c r="B57" s="3">
        <f t="shared" si="3"/>
        <v>546380.68000000017</v>
      </c>
      <c r="H57" s="3">
        <v>1913.78</v>
      </c>
      <c r="M57" s="3">
        <f>A57-D57-E57-H57-I57-J57-K57-L57</f>
        <v>0</v>
      </c>
      <c r="N57" s="3"/>
      <c r="O57" s="3"/>
      <c r="R57" s="48"/>
      <c r="S57" s="48"/>
      <c r="T57" s="50"/>
      <c r="U57" s="50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</row>
    <row r="58" spans="1:51" x14ac:dyDescent="0.3">
      <c r="A58" s="3">
        <v>3787.5</v>
      </c>
      <c r="B58" s="3">
        <f t="shared" si="3"/>
        <v>550168.18000000017</v>
      </c>
      <c r="I58" s="210">
        <f>A58</f>
        <v>3787.5</v>
      </c>
      <c r="M58" s="3">
        <f>A58-D58-E58-F58-I58-J58-K58-L58</f>
        <v>0</v>
      </c>
      <c r="N58" s="3"/>
      <c r="O58" s="3"/>
      <c r="R58" s="48"/>
      <c r="S58" s="48"/>
      <c r="T58" s="50"/>
      <c r="U58" s="50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</row>
    <row r="59" spans="1:51" x14ac:dyDescent="0.3">
      <c r="A59" s="3">
        <v>99778.38</v>
      </c>
      <c r="B59" s="3">
        <f t="shared" si="3"/>
        <v>649946.56000000017</v>
      </c>
      <c r="D59" s="3">
        <f>A59</f>
        <v>99778.38</v>
      </c>
      <c r="M59" s="3">
        <f>A59-D59-E59-F59-I59-J59-K59-L59</f>
        <v>0</v>
      </c>
      <c r="N59" s="3"/>
      <c r="O59" s="3"/>
      <c r="R59" s="48"/>
      <c r="S59" s="48"/>
      <c r="T59" s="50"/>
      <c r="U59" s="50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</row>
    <row r="60" spans="1:51" x14ac:dyDescent="0.3">
      <c r="A60" s="3">
        <v>1484.49</v>
      </c>
      <c r="B60" s="3">
        <f t="shared" si="3"/>
        <v>651431.05000000016</v>
      </c>
      <c r="G60" s="3">
        <f>A60</f>
        <v>1484.49</v>
      </c>
      <c r="M60" s="3">
        <f>A60-D60-E60-G60-I60-J60-K60-L60</f>
        <v>0</v>
      </c>
      <c r="N60" s="3"/>
      <c r="O60" s="3"/>
      <c r="R60" s="48"/>
      <c r="S60" s="48"/>
      <c r="T60" s="50"/>
      <c r="U60" s="50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</row>
    <row r="61" spans="1:51" x14ac:dyDescent="0.3">
      <c r="A61" s="3">
        <v>3104.04</v>
      </c>
      <c r="B61" s="3">
        <f t="shared" si="3"/>
        <v>654535.0900000002</v>
      </c>
      <c r="F61" s="210">
        <f>A61</f>
        <v>3104.04</v>
      </c>
      <c r="M61" s="3">
        <f t="shared" ref="M61:M73" si="6">A61-D61-E61-F61-I61-J61-K61-L61</f>
        <v>0</v>
      </c>
      <c r="N61" s="3"/>
      <c r="O61" s="3"/>
      <c r="R61" s="48"/>
      <c r="S61" s="48"/>
      <c r="T61" s="50"/>
      <c r="U61" s="50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</row>
    <row r="62" spans="1:51" x14ac:dyDescent="0.3">
      <c r="A62" s="3">
        <v>0.45</v>
      </c>
      <c r="B62" s="3">
        <f t="shared" si="3"/>
        <v>654535.54000000015</v>
      </c>
      <c r="M62" s="3">
        <f t="shared" si="6"/>
        <v>0.45</v>
      </c>
      <c r="N62" s="3"/>
      <c r="O62" s="3"/>
      <c r="R62" s="48"/>
      <c r="S62" s="48"/>
      <c r="T62" s="50"/>
      <c r="U62" s="50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</row>
    <row r="63" spans="1:51" x14ac:dyDescent="0.3">
      <c r="A63" s="3">
        <v>20</v>
      </c>
      <c r="B63" s="3">
        <f t="shared" si="3"/>
        <v>654555.54000000015</v>
      </c>
      <c r="K63" s="3">
        <f>A63</f>
        <v>20</v>
      </c>
      <c r="M63" s="3">
        <f t="shared" si="6"/>
        <v>0</v>
      </c>
      <c r="N63" s="3"/>
      <c r="O63" s="3"/>
      <c r="R63" s="48"/>
      <c r="S63" s="48"/>
      <c r="T63" s="50"/>
      <c r="U63" s="50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</row>
    <row r="64" spans="1:51" x14ac:dyDescent="0.3">
      <c r="A64" s="3">
        <v>20</v>
      </c>
      <c r="B64" s="3">
        <f t="shared" si="3"/>
        <v>654575.54000000015</v>
      </c>
      <c r="K64" s="3">
        <f>A64</f>
        <v>20</v>
      </c>
      <c r="M64" s="3">
        <f t="shared" si="6"/>
        <v>0</v>
      </c>
      <c r="N64" s="3"/>
      <c r="O64" s="3"/>
      <c r="R64" s="48"/>
      <c r="S64" s="48"/>
      <c r="T64" s="50"/>
      <c r="U64" s="50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</row>
    <row r="65" spans="1:100" x14ac:dyDescent="0.3">
      <c r="A65" s="3">
        <v>20</v>
      </c>
      <c r="B65" s="3">
        <f t="shared" si="3"/>
        <v>654595.54000000015</v>
      </c>
      <c r="K65" s="3">
        <f>A65</f>
        <v>20</v>
      </c>
      <c r="M65" s="3">
        <f t="shared" si="6"/>
        <v>0</v>
      </c>
      <c r="N65" s="3"/>
      <c r="O65" s="3"/>
      <c r="R65" s="48"/>
      <c r="S65" s="48"/>
      <c r="T65" s="50"/>
      <c r="U65" s="50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</row>
    <row r="66" spans="1:100" x14ac:dyDescent="0.3">
      <c r="A66" s="3">
        <v>26</v>
      </c>
      <c r="B66" s="3">
        <f t="shared" si="3"/>
        <v>654621.54000000015</v>
      </c>
      <c r="L66" s="3">
        <f>A66</f>
        <v>26</v>
      </c>
      <c r="M66" s="3">
        <f t="shared" si="6"/>
        <v>0</v>
      </c>
      <c r="N66" s="3"/>
      <c r="O66" s="3"/>
      <c r="R66" s="48"/>
      <c r="S66" s="48"/>
      <c r="T66" s="50"/>
      <c r="U66" s="50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</row>
    <row r="67" spans="1:100" x14ac:dyDescent="0.3">
      <c r="A67" s="3">
        <v>26</v>
      </c>
      <c r="B67" s="3">
        <f t="shared" si="3"/>
        <v>654647.54000000015</v>
      </c>
      <c r="L67" s="3">
        <f>A67</f>
        <v>26</v>
      </c>
      <c r="M67" s="3">
        <f t="shared" si="6"/>
        <v>0</v>
      </c>
      <c r="N67" s="3"/>
      <c r="O67" s="3"/>
      <c r="R67" s="48"/>
      <c r="S67" s="48"/>
      <c r="T67" s="50"/>
      <c r="U67" s="50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</row>
    <row r="68" spans="1:100" x14ac:dyDescent="0.3">
      <c r="A68" s="3">
        <v>1382.7</v>
      </c>
      <c r="B68" s="3">
        <f t="shared" si="3"/>
        <v>656030.24000000011</v>
      </c>
      <c r="E68" s="3">
        <f>A68</f>
        <v>1382.7</v>
      </c>
      <c r="M68" s="3">
        <f t="shared" si="6"/>
        <v>0</v>
      </c>
      <c r="N68" s="3"/>
      <c r="O68" s="3"/>
      <c r="R68" s="48"/>
      <c r="S68" s="48"/>
      <c r="T68" s="50"/>
      <c r="U68" s="50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</row>
    <row r="69" spans="1:100" x14ac:dyDescent="0.3">
      <c r="A69" s="3">
        <v>1382.7</v>
      </c>
      <c r="B69" s="3">
        <f t="shared" si="3"/>
        <v>657412.94000000006</v>
      </c>
      <c r="E69" s="3">
        <f>A69</f>
        <v>1382.7</v>
      </c>
      <c r="M69" s="3">
        <f t="shared" si="6"/>
        <v>0</v>
      </c>
      <c r="N69" s="3"/>
      <c r="O69" s="3"/>
      <c r="R69" s="160"/>
      <c r="S69" s="160"/>
      <c r="T69" s="161"/>
      <c r="U69" s="161"/>
      <c r="V69" s="48"/>
      <c r="W69" s="160"/>
      <c r="X69" s="160"/>
      <c r="Y69" s="160"/>
      <c r="Z69" s="161"/>
      <c r="AA69" s="161"/>
      <c r="AB69" s="48"/>
      <c r="AC69" s="160"/>
      <c r="AD69" s="160"/>
      <c r="AE69" s="160"/>
      <c r="AF69" s="161"/>
      <c r="AG69" s="161"/>
      <c r="AH69" s="48"/>
      <c r="AI69" s="160"/>
      <c r="AJ69" s="160"/>
      <c r="AK69" s="160"/>
      <c r="AL69" s="161"/>
      <c r="AM69" s="161"/>
      <c r="AN69" s="48"/>
      <c r="AO69" s="160"/>
      <c r="AP69" s="160"/>
      <c r="AQ69" s="160"/>
      <c r="AR69" s="161"/>
      <c r="AS69" s="161"/>
      <c r="AT69" s="48"/>
      <c r="AU69" s="160"/>
      <c r="AV69" s="160"/>
      <c r="AW69" s="160"/>
      <c r="AX69" s="161"/>
      <c r="AY69" s="161"/>
      <c r="BA69" s="7"/>
      <c r="BB69" s="7"/>
      <c r="BC69" s="7"/>
      <c r="BD69" s="6"/>
      <c r="BE69" s="6"/>
      <c r="BG69" s="7"/>
      <c r="BH69" s="7"/>
      <c r="BI69" s="7"/>
      <c r="BJ69" s="6"/>
      <c r="BK69" s="6"/>
      <c r="BM69" s="7"/>
      <c r="BN69" s="7"/>
      <c r="BO69" s="7"/>
      <c r="BP69" s="6"/>
      <c r="BQ69" s="6"/>
      <c r="BS69" s="7"/>
      <c r="BT69" s="7"/>
      <c r="BU69" s="7"/>
      <c r="BV69" s="6"/>
      <c r="BW69" s="6"/>
      <c r="BY69" s="7"/>
      <c r="BZ69" s="7"/>
      <c r="CA69" s="7"/>
      <c r="CB69" s="6"/>
      <c r="CC69" s="6"/>
      <c r="CI69" s="7"/>
      <c r="CJ69" s="7"/>
      <c r="CK69" s="7"/>
      <c r="CL69" s="6"/>
      <c r="CM69" s="6"/>
    </row>
    <row r="70" spans="1:100" x14ac:dyDescent="0.3">
      <c r="A70" s="3">
        <v>80</v>
      </c>
      <c r="B70" s="3">
        <f t="shared" si="3"/>
        <v>657492.94000000006</v>
      </c>
      <c r="J70" s="3">
        <f>A70</f>
        <v>80</v>
      </c>
      <c r="M70" s="3">
        <f t="shared" si="6"/>
        <v>0</v>
      </c>
      <c r="N70" s="3"/>
      <c r="O70" s="3"/>
      <c r="R70" s="160"/>
      <c r="S70" s="160"/>
      <c r="T70" s="161"/>
      <c r="U70" s="161"/>
      <c r="V70" s="48"/>
      <c r="W70" s="160"/>
      <c r="X70" s="160"/>
      <c r="Y70" s="160"/>
      <c r="Z70" s="161"/>
      <c r="AA70" s="161"/>
      <c r="AB70" s="48"/>
      <c r="AC70" s="160"/>
      <c r="AD70" s="160"/>
      <c r="AE70" s="160"/>
      <c r="AF70" s="161"/>
      <c r="AG70" s="161"/>
      <c r="AH70" s="48"/>
      <c r="AI70" s="160"/>
      <c r="AJ70" s="160"/>
      <c r="AK70" s="160"/>
      <c r="AL70" s="161"/>
      <c r="AM70" s="161"/>
      <c r="AN70" s="48"/>
      <c r="AO70" s="160"/>
      <c r="AP70" s="160"/>
      <c r="AQ70" s="160"/>
      <c r="AR70" s="161"/>
      <c r="AS70" s="161"/>
      <c r="AT70" s="48"/>
      <c r="AU70" s="160"/>
      <c r="AV70" s="160"/>
      <c r="AW70" s="160"/>
      <c r="AX70" s="161"/>
      <c r="AY70" s="161"/>
      <c r="BA70" s="7"/>
      <c r="BB70" s="7"/>
      <c r="BC70" s="7"/>
      <c r="BD70" s="6"/>
      <c r="BE70" s="6"/>
      <c r="BG70" s="7"/>
      <c r="BH70" s="7"/>
      <c r="BI70" s="7"/>
      <c r="BJ70" s="6"/>
      <c r="BK70" s="6"/>
      <c r="BM70" s="7"/>
      <c r="BN70" s="7"/>
      <c r="BO70" s="7"/>
      <c r="BP70" s="6"/>
      <c r="BQ70" s="6"/>
      <c r="BS70" s="7"/>
      <c r="BT70" s="7"/>
      <c r="BU70" s="7"/>
      <c r="BV70" s="6"/>
      <c r="BW70" s="6"/>
      <c r="BY70" s="7"/>
      <c r="BZ70" s="7"/>
      <c r="CA70" s="7"/>
      <c r="CB70" s="6"/>
      <c r="CC70" s="6"/>
      <c r="CI70" s="7"/>
      <c r="CJ70" s="7"/>
      <c r="CK70" s="7"/>
      <c r="CL70" s="6"/>
      <c r="CM70" s="6"/>
    </row>
    <row r="71" spans="1:100" x14ac:dyDescent="0.3">
      <c r="A71" s="3">
        <v>80</v>
      </c>
      <c r="B71" s="3">
        <f t="shared" si="3"/>
        <v>657572.94000000006</v>
      </c>
      <c r="J71" s="3">
        <f>A71</f>
        <v>80</v>
      </c>
      <c r="M71" s="3">
        <f t="shared" si="6"/>
        <v>0</v>
      </c>
      <c r="N71" s="3"/>
      <c r="O71" s="3"/>
      <c r="R71" s="160"/>
      <c r="S71" s="160"/>
      <c r="T71" s="161"/>
      <c r="U71" s="161"/>
      <c r="V71" s="48"/>
      <c r="W71" s="160"/>
      <c r="X71" s="160"/>
      <c r="Y71" s="160"/>
      <c r="Z71" s="161"/>
      <c r="AA71" s="161"/>
      <c r="AB71" s="48"/>
      <c r="AC71" s="160"/>
      <c r="AD71" s="160"/>
      <c r="AE71" s="160"/>
      <c r="AF71" s="161"/>
      <c r="AG71" s="161"/>
      <c r="AH71" s="48"/>
      <c r="AI71" s="160"/>
      <c r="AJ71" s="160"/>
      <c r="AK71" s="160"/>
      <c r="AL71" s="161"/>
      <c r="AM71" s="161"/>
      <c r="AN71" s="48"/>
      <c r="AO71" s="160"/>
      <c r="AP71" s="160"/>
      <c r="AQ71" s="160"/>
      <c r="AR71" s="161"/>
      <c r="AS71" s="161"/>
      <c r="AT71" s="48"/>
      <c r="AU71" s="160"/>
      <c r="AV71" s="160"/>
      <c r="AW71" s="160"/>
      <c r="AX71" s="161"/>
      <c r="AY71" s="161"/>
      <c r="BA71" s="7"/>
      <c r="BB71" s="7"/>
      <c r="BC71" s="7"/>
      <c r="BD71" s="6"/>
      <c r="BE71" s="6"/>
      <c r="BG71" s="7"/>
      <c r="BH71" s="7"/>
      <c r="BI71" s="7"/>
      <c r="BJ71" s="6"/>
      <c r="BK71" s="6"/>
      <c r="BM71" s="7"/>
      <c r="BN71" s="7"/>
      <c r="BO71" s="7"/>
      <c r="BP71" s="6"/>
      <c r="BQ71" s="6"/>
      <c r="BS71" s="7"/>
      <c r="BT71" s="7"/>
      <c r="BU71" s="7"/>
      <c r="BV71" s="6"/>
      <c r="BW71" s="6"/>
      <c r="BY71" s="7"/>
      <c r="BZ71" s="7"/>
      <c r="CA71" s="7"/>
      <c r="CB71" s="6"/>
      <c r="CC71" s="6"/>
      <c r="CI71" s="7"/>
      <c r="CJ71" s="7"/>
      <c r="CK71" s="7"/>
      <c r="CL71" s="6"/>
      <c r="CM71" s="6"/>
    </row>
    <row r="72" spans="1:100" ht="15.6" x14ac:dyDescent="0.3">
      <c r="A72" s="3">
        <v>103436.7</v>
      </c>
      <c r="B72" s="3">
        <f t="shared" si="3"/>
        <v>761009.64</v>
      </c>
      <c r="D72" s="3">
        <f>A72</f>
        <v>103436.7</v>
      </c>
      <c r="M72" s="3">
        <f t="shared" si="6"/>
        <v>0</v>
      </c>
      <c r="N72" s="3"/>
      <c r="O72" s="3"/>
      <c r="R72" s="48"/>
      <c r="S72" s="48"/>
      <c r="T72" s="50"/>
      <c r="U72" s="50"/>
      <c r="V72" s="48"/>
      <c r="W72" s="48"/>
      <c r="X72" s="48"/>
      <c r="Y72" s="48"/>
      <c r="Z72" s="50"/>
      <c r="AA72" s="50"/>
      <c r="AB72" s="48"/>
      <c r="AC72" s="48"/>
      <c r="AD72" s="48"/>
      <c r="AE72" s="48"/>
      <c r="AF72" s="50"/>
      <c r="AG72" s="50"/>
      <c r="AH72" s="48"/>
      <c r="AI72" s="48"/>
      <c r="AJ72" s="48"/>
      <c r="AK72" s="48"/>
      <c r="AL72" s="50"/>
      <c r="AM72" s="50"/>
      <c r="AN72" s="48"/>
      <c r="AO72" s="48"/>
      <c r="AP72" s="48"/>
      <c r="AQ72" s="48"/>
      <c r="AR72" s="50"/>
      <c r="AS72" s="50"/>
      <c r="AT72" s="48"/>
      <c r="AU72" s="48"/>
      <c r="AV72" s="48"/>
      <c r="AW72" s="48"/>
      <c r="AX72" s="50"/>
      <c r="AY72" s="50"/>
      <c r="BD72" s="1"/>
      <c r="BE72" s="1"/>
      <c r="BJ72" s="1"/>
      <c r="BK72" s="1"/>
      <c r="BP72" s="1"/>
      <c r="BQ72" s="1"/>
      <c r="BV72" s="1"/>
      <c r="BW72" s="1"/>
      <c r="CL72" s="1"/>
      <c r="CM72" s="1"/>
      <c r="CQ72" s="30"/>
      <c r="CR72" s="30"/>
      <c r="CS72" s="30"/>
      <c r="CT72" s="30"/>
      <c r="CU72" s="30"/>
      <c r="CV72" s="31"/>
    </row>
    <row r="73" spans="1:100" ht="15.6" x14ac:dyDescent="0.3">
      <c r="A73" s="3">
        <v>4090.5</v>
      </c>
      <c r="B73" s="3">
        <f t="shared" si="3"/>
        <v>765100.14</v>
      </c>
      <c r="I73" s="3">
        <f>A73</f>
        <v>4090.5</v>
      </c>
      <c r="M73" s="3">
        <f t="shared" si="6"/>
        <v>0</v>
      </c>
      <c r="N73" s="3"/>
      <c r="O73" s="3"/>
      <c r="R73" s="48"/>
      <c r="S73" s="48"/>
      <c r="T73" s="50"/>
      <c r="U73" s="50"/>
      <c r="V73" s="48"/>
      <c r="W73" s="48"/>
      <c r="X73" s="48"/>
      <c r="Y73" s="48"/>
      <c r="Z73" s="50"/>
      <c r="AA73" s="50"/>
      <c r="AB73" s="48"/>
      <c r="AC73" s="48"/>
      <c r="AD73" s="48"/>
      <c r="AE73" s="48"/>
      <c r="AF73" s="50"/>
      <c r="AG73" s="50"/>
      <c r="AH73" s="48"/>
      <c r="AI73" s="48"/>
      <c r="AJ73" s="48"/>
      <c r="AK73" s="48"/>
      <c r="AL73" s="50"/>
      <c r="AM73" s="50"/>
      <c r="AN73" s="48"/>
      <c r="AO73" s="48"/>
      <c r="AP73" s="48"/>
      <c r="AQ73" s="48"/>
      <c r="AR73" s="50"/>
      <c r="AS73" s="50"/>
      <c r="AT73" s="48"/>
      <c r="AU73" s="48"/>
      <c r="AV73" s="48"/>
      <c r="AW73" s="48"/>
      <c r="AX73" s="50"/>
      <c r="AY73" s="50"/>
      <c r="BD73" s="1"/>
      <c r="BE73" s="1"/>
      <c r="BJ73" s="1"/>
      <c r="BK73" s="1"/>
      <c r="BP73" s="1"/>
      <c r="BQ73" s="1"/>
      <c r="BV73" s="1"/>
      <c r="BW73" s="1"/>
      <c r="CL73" s="1"/>
      <c r="CM73" s="1"/>
      <c r="CQ73" s="30"/>
      <c r="CR73" s="30"/>
      <c r="CS73" s="30"/>
      <c r="CT73" s="30"/>
      <c r="CU73" s="30"/>
      <c r="CV73" s="32"/>
    </row>
    <row r="74" spans="1:100" ht="15.6" x14ac:dyDescent="0.3">
      <c r="A74" s="3">
        <v>1459.73</v>
      </c>
      <c r="B74" s="3">
        <f t="shared" si="3"/>
        <v>766559.87</v>
      </c>
      <c r="H74" s="3">
        <f>A74</f>
        <v>1459.73</v>
      </c>
      <c r="M74" s="3">
        <f>A74-D74-E74-H74-I74-J74-K74-L74</f>
        <v>0</v>
      </c>
      <c r="N74" s="3"/>
      <c r="O74" s="3"/>
      <c r="R74" s="48"/>
      <c r="S74" s="48"/>
      <c r="T74" s="50"/>
      <c r="U74" s="50"/>
      <c r="V74" s="48"/>
      <c r="W74" s="48"/>
      <c r="X74" s="48"/>
      <c r="Y74" s="48"/>
      <c r="Z74" s="50"/>
      <c r="AA74" s="50"/>
      <c r="AB74" s="48"/>
      <c r="AC74" s="48"/>
      <c r="AD74" s="48"/>
      <c r="AE74" s="48"/>
      <c r="AF74" s="50"/>
      <c r="AG74" s="50"/>
      <c r="AH74" s="48"/>
      <c r="AI74" s="48"/>
      <c r="AJ74" s="48"/>
      <c r="AK74" s="48"/>
      <c r="AL74" s="50"/>
      <c r="AM74" s="50"/>
      <c r="AN74" s="48"/>
      <c r="AO74" s="48"/>
      <c r="AP74" s="48"/>
      <c r="AQ74" s="48"/>
      <c r="AR74" s="50"/>
      <c r="AS74" s="50"/>
      <c r="AT74" s="48"/>
      <c r="AU74" s="48"/>
      <c r="AV74" s="48"/>
      <c r="AW74" s="48"/>
      <c r="AX74" s="50"/>
      <c r="AY74" s="50"/>
      <c r="BD74" s="1"/>
      <c r="BE74" s="1"/>
      <c r="BJ74" s="1"/>
      <c r="BK74" s="1"/>
      <c r="BP74" s="1"/>
      <c r="BQ74" s="1"/>
      <c r="BV74" s="1"/>
      <c r="BW74" s="1"/>
      <c r="CL74" s="1"/>
      <c r="CM74" s="1"/>
      <c r="CQ74" s="30"/>
      <c r="CR74" s="30"/>
      <c r="CS74" s="30"/>
      <c r="CT74" s="30"/>
      <c r="CU74" s="30"/>
      <c r="CV74" s="32"/>
    </row>
    <row r="75" spans="1:100" ht="15.6" x14ac:dyDescent="0.3">
      <c r="A75" s="3">
        <v>879.95</v>
      </c>
      <c r="B75" s="3">
        <f t="shared" si="3"/>
        <v>767439.82</v>
      </c>
      <c r="G75" s="3">
        <f>A75</f>
        <v>879.95</v>
      </c>
      <c r="M75" s="3">
        <f>A75-D75-E75-G75-I75-J75-K75-L75</f>
        <v>0</v>
      </c>
      <c r="N75" s="3"/>
      <c r="O75" s="3"/>
      <c r="R75" s="48"/>
      <c r="S75" s="48"/>
      <c r="T75" s="50"/>
      <c r="U75" s="50"/>
      <c r="V75" s="48"/>
      <c r="W75" s="48"/>
      <c r="X75" s="48"/>
      <c r="Y75" s="48"/>
      <c r="Z75" s="50"/>
      <c r="AA75" s="50"/>
      <c r="AB75" s="48"/>
      <c r="AC75" s="48"/>
      <c r="AD75" s="48"/>
      <c r="AE75" s="48"/>
      <c r="AF75" s="50"/>
      <c r="AG75" s="50"/>
      <c r="AH75" s="48"/>
      <c r="AI75" s="48"/>
      <c r="AJ75" s="48"/>
      <c r="AK75" s="48"/>
      <c r="AL75" s="50"/>
      <c r="AM75" s="50"/>
      <c r="AN75" s="48"/>
      <c r="AO75" s="48"/>
      <c r="AP75" s="48"/>
      <c r="AQ75" s="48"/>
      <c r="AR75" s="50"/>
      <c r="AS75" s="50"/>
      <c r="AT75" s="48"/>
      <c r="AU75" s="48"/>
      <c r="AV75" s="48"/>
      <c r="AW75" s="48"/>
      <c r="AX75" s="50"/>
      <c r="AY75" s="50"/>
      <c r="BD75" s="1"/>
      <c r="BE75" s="1"/>
      <c r="BJ75" s="1"/>
      <c r="BK75" s="1"/>
      <c r="BP75" s="1"/>
      <c r="BQ75" s="1"/>
      <c r="BV75" s="1"/>
      <c r="BW75" s="1"/>
      <c r="CL75" s="1"/>
      <c r="CM75" s="1"/>
      <c r="CQ75" s="30"/>
      <c r="CR75" s="30"/>
      <c r="CS75" s="30"/>
      <c r="CT75" s="30"/>
      <c r="CU75" s="30"/>
      <c r="CV75" s="32"/>
    </row>
    <row r="76" spans="1:100" ht="15.6" x14ac:dyDescent="0.3">
      <c r="A76" s="3">
        <v>3223.77</v>
      </c>
      <c r="B76" s="3">
        <f t="shared" si="3"/>
        <v>770663.59</v>
      </c>
      <c r="F76" s="3">
        <f>A76</f>
        <v>3223.77</v>
      </c>
      <c r="M76" s="3">
        <f t="shared" ref="M76:M81" si="7">A76-D76-E76-F76-I76-J76-K76-L76</f>
        <v>0</v>
      </c>
      <c r="N76" s="3"/>
      <c r="O76" s="3"/>
      <c r="R76" s="48"/>
      <c r="S76" s="48"/>
      <c r="T76" s="50"/>
      <c r="U76" s="50"/>
      <c r="V76" s="48"/>
      <c r="W76" s="48"/>
      <c r="X76" s="48"/>
      <c r="Y76" s="48"/>
      <c r="Z76" s="50"/>
      <c r="AA76" s="50"/>
      <c r="AB76" s="48"/>
      <c r="AC76" s="48"/>
      <c r="AD76" s="48"/>
      <c r="AE76" s="48"/>
      <c r="AF76" s="50"/>
      <c r="AG76" s="50"/>
      <c r="AH76" s="48"/>
      <c r="AI76" s="48"/>
      <c r="AJ76" s="48"/>
      <c r="AK76" s="48"/>
      <c r="AL76" s="50"/>
      <c r="AM76" s="50"/>
      <c r="AN76" s="48"/>
      <c r="AO76" s="48"/>
      <c r="AP76" s="48"/>
      <c r="AQ76" s="48"/>
      <c r="AR76" s="50"/>
      <c r="AS76" s="50"/>
      <c r="AT76" s="48"/>
      <c r="AU76" s="48"/>
      <c r="AV76" s="48"/>
      <c r="AW76" s="48"/>
      <c r="AX76" s="50"/>
      <c r="AY76" s="50"/>
      <c r="BD76" s="1"/>
      <c r="BE76" s="1"/>
      <c r="BJ76" s="1"/>
      <c r="BK76" s="1"/>
      <c r="BP76" s="1"/>
      <c r="BQ76" s="1"/>
      <c r="BV76" s="1"/>
      <c r="BW76" s="1"/>
      <c r="CL76" s="1"/>
      <c r="CM76" s="1"/>
      <c r="CQ76" s="30"/>
      <c r="CR76" s="30"/>
      <c r="CS76" s="30"/>
      <c r="CT76" s="30"/>
      <c r="CU76" s="30"/>
      <c r="CV76" s="32"/>
    </row>
    <row r="77" spans="1:100" ht="15.6" x14ac:dyDescent="0.3">
      <c r="A77" s="3">
        <v>0.46</v>
      </c>
      <c r="B77" s="3">
        <f t="shared" si="3"/>
        <v>770664.04999999993</v>
      </c>
      <c r="M77" s="3">
        <f t="shared" si="7"/>
        <v>0.46</v>
      </c>
      <c r="N77" s="3"/>
      <c r="O77" s="3"/>
      <c r="R77" s="48"/>
      <c r="S77" s="48"/>
      <c r="T77" s="50"/>
      <c r="U77" s="50"/>
      <c r="V77" s="48"/>
      <c r="W77" s="48"/>
      <c r="X77" s="48"/>
      <c r="Y77" s="48"/>
      <c r="Z77" s="50"/>
      <c r="AA77" s="50"/>
      <c r="AB77" s="48"/>
      <c r="AC77" s="48"/>
      <c r="AD77" s="48"/>
      <c r="AE77" s="48"/>
      <c r="AF77" s="50"/>
      <c r="AG77" s="50"/>
      <c r="AH77" s="48"/>
      <c r="AI77" s="48"/>
      <c r="AJ77" s="48"/>
      <c r="AK77" s="48"/>
      <c r="AL77" s="50"/>
      <c r="AM77" s="50"/>
      <c r="AN77" s="48"/>
      <c r="AO77" s="48"/>
      <c r="AP77" s="48"/>
      <c r="AQ77" s="48"/>
      <c r="AR77" s="50"/>
      <c r="AS77" s="50"/>
      <c r="AT77" s="48"/>
      <c r="AU77" s="48"/>
      <c r="AV77" s="48"/>
      <c r="AW77" s="48"/>
      <c r="AX77" s="50"/>
      <c r="AY77" s="50"/>
      <c r="BD77" s="1"/>
      <c r="BE77" s="1"/>
      <c r="BJ77" s="1"/>
      <c r="BK77" s="1"/>
      <c r="BP77" s="1"/>
      <c r="BQ77" s="1"/>
      <c r="BV77" s="1"/>
      <c r="BW77" s="1"/>
      <c r="CL77" s="1"/>
      <c r="CM77" s="1"/>
      <c r="CQ77" s="30"/>
      <c r="CR77" s="30"/>
      <c r="CS77" s="30"/>
      <c r="CT77" s="30"/>
      <c r="CU77" s="30"/>
      <c r="CV77" s="32"/>
    </row>
    <row r="78" spans="1:100" ht="16.2" thickBot="1" x14ac:dyDescent="0.35">
      <c r="A78" s="3">
        <v>75</v>
      </c>
      <c r="B78" s="3">
        <f t="shared" si="3"/>
        <v>770739.04999999993</v>
      </c>
      <c r="J78" s="3">
        <f>A78</f>
        <v>75</v>
      </c>
      <c r="M78" s="3">
        <f t="shared" si="7"/>
        <v>0</v>
      </c>
      <c r="N78" s="3"/>
      <c r="O78" s="3"/>
      <c r="R78" s="48"/>
      <c r="S78" s="48"/>
      <c r="T78" s="50"/>
      <c r="U78" s="50"/>
      <c r="V78" s="48"/>
      <c r="W78" s="48"/>
      <c r="X78" s="48"/>
      <c r="Y78" s="48"/>
      <c r="Z78" s="50"/>
      <c r="AA78" s="50"/>
      <c r="AB78" s="48"/>
      <c r="AC78" s="48"/>
      <c r="AD78" s="48"/>
      <c r="AE78" s="48"/>
      <c r="AF78" s="50"/>
      <c r="AG78" s="50"/>
      <c r="AH78" s="48"/>
      <c r="AI78" s="48"/>
      <c r="AJ78" s="48"/>
      <c r="AK78" s="48"/>
      <c r="AL78" s="50"/>
      <c r="AM78" s="50"/>
      <c r="AN78" s="48"/>
      <c r="AO78" s="48"/>
      <c r="AP78" s="48"/>
      <c r="AQ78" s="48"/>
      <c r="AR78" s="50"/>
      <c r="AS78" s="50"/>
      <c r="AT78" s="48"/>
      <c r="AU78" s="48"/>
      <c r="AV78" s="48"/>
      <c r="AW78" s="48"/>
      <c r="AX78" s="50"/>
      <c r="AY78" s="50"/>
      <c r="BD78" s="1"/>
      <c r="BE78" s="1"/>
      <c r="BJ78" s="1"/>
      <c r="BK78" s="1"/>
      <c r="BP78" s="1"/>
      <c r="BQ78" s="1"/>
      <c r="BV78" s="1"/>
      <c r="BW78" s="1"/>
      <c r="CL78" s="1"/>
      <c r="CM78" s="1"/>
      <c r="CQ78" s="30"/>
      <c r="CR78" s="30"/>
      <c r="CS78" s="30"/>
      <c r="CT78" s="30"/>
      <c r="CU78" s="30"/>
      <c r="CV78" s="33"/>
    </row>
    <row r="79" spans="1:100" ht="16.2" thickTop="1" x14ac:dyDescent="0.3">
      <c r="A79" s="3">
        <v>80</v>
      </c>
      <c r="B79" s="3">
        <f t="shared" si="3"/>
        <v>770819.04999999993</v>
      </c>
      <c r="J79" s="3">
        <f>A79</f>
        <v>80</v>
      </c>
      <c r="M79" s="3">
        <f t="shared" si="7"/>
        <v>0</v>
      </c>
      <c r="N79" s="3"/>
      <c r="O79" s="3"/>
      <c r="R79" s="48"/>
      <c r="S79" s="48"/>
      <c r="T79" s="50"/>
      <c r="U79" s="50"/>
      <c r="V79" s="48"/>
      <c r="W79" s="48"/>
      <c r="X79" s="48"/>
      <c r="Y79" s="48"/>
      <c r="Z79" s="50"/>
      <c r="AA79" s="50"/>
      <c r="AB79" s="48"/>
      <c r="AC79" s="48"/>
      <c r="AD79" s="48"/>
      <c r="AE79" s="48"/>
      <c r="AF79" s="50"/>
      <c r="AG79" s="50"/>
      <c r="AH79" s="48"/>
      <c r="AI79" s="48"/>
      <c r="AJ79" s="48"/>
      <c r="AK79" s="48"/>
      <c r="AL79" s="50"/>
      <c r="AM79" s="50"/>
      <c r="AN79" s="48"/>
      <c r="AO79" s="48"/>
      <c r="AP79" s="48"/>
      <c r="AQ79" s="48"/>
      <c r="AR79" s="50"/>
      <c r="AS79" s="50"/>
      <c r="AT79" s="48"/>
      <c r="AU79" s="48"/>
      <c r="AV79" s="48"/>
      <c r="AW79" s="48"/>
      <c r="AX79" s="50"/>
      <c r="AY79" s="50"/>
      <c r="BD79" s="1"/>
      <c r="BE79" s="1"/>
      <c r="BJ79" s="1"/>
      <c r="BK79" s="1"/>
      <c r="BP79" s="1"/>
      <c r="BQ79" s="1"/>
      <c r="BV79" s="1"/>
      <c r="BW79" s="1"/>
      <c r="CL79" s="1"/>
      <c r="CM79" s="1"/>
      <c r="CQ79" s="30"/>
      <c r="CR79" s="30"/>
      <c r="CS79" s="30"/>
      <c r="CT79" s="30"/>
      <c r="CU79" s="30"/>
      <c r="CV79" s="30"/>
    </row>
    <row r="80" spans="1:100" x14ac:dyDescent="0.3">
      <c r="A80" s="3">
        <v>80</v>
      </c>
      <c r="B80" s="3">
        <f t="shared" si="3"/>
        <v>770899.04999999993</v>
      </c>
      <c r="J80" s="3">
        <f>A80</f>
        <v>80</v>
      </c>
      <c r="M80" s="3">
        <f t="shared" si="7"/>
        <v>0</v>
      </c>
      <c r="N80" s="3"/>
      <c r="O80" s="3"/>
      <c r="R80" s="48"/>
      <c r="S80" s="48"/>
      <c r="T80" s="50"/>
      <c r="U80" s="50"/>
      <c r="V80" s="48"/>
      <c r="W80" s="48"/>
      <c r="X80" s="48"/>
      <c r="Y80" s="48"/>
      <c r="Z80" s="50"/>
      <c r="AA80" s="50"/>
      <c r="AB80" s="48"/>
      <c r="AC80" s="48"/>
      <c r="AD80" s="48"/>
      <c r="AE80" s="48"/>
      <c r="AF80" s="50"/>
      <c r="AG80" s="50"/>
      <c r="AH80" s="48"/>
      <c r="AI80" s="48"/>
      <c r="AJ80" s="48"/>
      <c r="AK80" s="48"/>
      <c r="AL80" s="50"/>
      <c r="AM80" s="50"/>
      <c r="AN80" s="48"/>
      <c r="AO80" s="48"/>
      <c r="AP80" s="48"/>
      <c r="AQ80" s="48"/>
      <c r="AR80" s="50"/>
      <c r="AS80" s="50"/>
      <c r="AT80" s="48"/>
      <c r="AU80" s="48"/>
      <c r="AV80" s="48"/>
      <c r="AW80" s="48"/>
      <c r="AX80" s="50"/>
      <c r="AY80" s="50"/>
      <c r="BD80" s="1"/>
      <c r="BE80" s="1"/>
      <c r="BJ80" s="1"/>
      <c r="BK80" s="1"/>
      <c r="BP80" s="1"/>
      <c r="BQ80" s="1"/>
      <c r="BV80" s="1"/>
      <c r="BW80" s="1"/>
      <c r="CL80" s="1"/>
      <c r="CM80" s="1"/>
    </row>
    <row r="81" spans="1:91" x14ac:dyDescent="0.3">
      <c r="A81" s="3">
        <v>4090.5</v>
      </c>
      <c r="B81" s="3">
        <f t="shared" si="3"/>
        <v>774989.54999999993</v>
      </c>
      <c r="I81" s="3">
        <f>A81</f>
        <v>4090.5</v>
      </c>
      <c r="M81" s="3">
        <f t="shared" si="7"/>
        <v>0</v>
      </c>
      <c r="N81" s="3"/>
      <c r="O81" s="3"/>
      <c r="R81" s="48"/>
      <c r="S81" s="48"/>
      <c r="T81" s="50"/>
      <c r="U81" s="50"/>
      <c r="V81" s="48"/>
      <c r="W81" s="48"/>
      <c r="X81" s="48"/>
      <c r="Y81" s="48"/>
      <c r="Z81" s="50"/>
      <c r="AA81" s="50"/>
      <c r="AB81" s="48"/>
      <c r="AC81" s="48"/>
      <c r="AD81" s="48"/>
      <c r="AE81" s="48"/>
      <c r="AF81" s="50"/>
      <c r="AG81" s="50"/>
      <c r="AH81" s="48"/>
      <c r="AI81" s="48"/>
      <c r="AJ81" s="48"/>
      <c r="AK81" s="48"/>
      <c r="AL81" s="50"/>
      <c r="AM81" s="50"/>
      <c r="AN81" s="48"/>
      <c r="AO81" s="48"/>
      <c r="AP81" s="48"/>
      <c r="AQ81" s="48"/>
      <c r="AR81" s="50"/>
      <c r="AS81" s="50"/>
      <c r="AT81" s="48"/>
      <c r="AU81" s="48"/>
      <c r="AV81" s="48"/>
      <c r="AW81" s="48"/>
      <c r="AX81" s="50"/>
      <c r="AY81" s="50"/>
      <c r="BD81" s="1"/>
      <c r="BE81" s="1"/>
      <c r="BJ81" s="1"/>
      <c r="BK81" s="1"/>
      <c r="BP81" s="1"/>
      <c r="BQ81" s="1"/>
      <c r="BV81" s="1"/>
      <c r="BW81" s="1"/>
      <c r="CL81" s="1"/>
      <c r="CM81" s="1"/>
    </row>
    <row r="82" spans="1:91" x14ac:dyDescent="0.3">
      <c r="A82" s="3">
        <v>2924.59</v>
      </c>
      <c r="B82" s="3">
        <f t="shared" si="3"/>
        <v>777914.1399999999</v>
      </c>
      <c r="H82" s="3">
        <f>A82</f>
        <v>2924.59</v>
      </c>
      <c r="M82" s="3">
        <f>A82-D82-E82-H82-I82-J82-K82-L82</f>
        <v>0</v>
      </c>
      <c r="N82" s="3"/>
      <c r="O82" s="3"/>
      <c r="R82" s="48"/>
      <c r="S82" s="48"/>
      <c r="T82" s="50"/>
      <c r="U82" s="50"/>
      <c r="V82" s="48"/>
      <c r="W82" s="48"/>
      <c r="X82" s="48"/>
      <c r="Y82" s="48"/>
      <c r="Z82" s="50"/>
      <c r="AA82" s="50"/>
      <c r="AB82" s="48"/>
      <c r="AC82" s="48"/>
      <c r="AD82" s="48"/>
      <c r="AE82" s="48"/>
      <c r="AF82" s="50"/>
      <c r="AG82" s="50"/>
      <c r="AH82" s="48"/>
      <c r="AI82" s="48"/>
      <c r="AJ82" s="48"/>
      <c r="AK82" s="48"/>
      <c r="AL82" s="50"/>
      <c r="AM82" s="50"/>
      <c r="AN82" s="48"/>
      <c r="AO82" s="48"/>
      <c r="AP82" s="48"/>
      <c r="AQ82" s="48"/>
      <c r="AR82" s="50"/>
      <c r="AS82" s="50"/>
      <c r="AT82" s="48"/>
      <c r="AU82" s="48"/>
      <c r="AV82" s="48"/>
      <c r="AW82" s="48"/>
      <c r="AX82" s="50"/>
      <c r="AY82" s="50"/>
      <c r="BD82" s="1"/>
      <c r="BE82" s="1"/>
      <c r="BJ82" s="1"/>
      <c r="BK82" s="1"/>
      <c r="BP82" s="1"/>
      <c r="BQ82" s="1"/>
      <c r="BV82" s="1"/>
      <c r="BW82" s="1"/>
      <c r="CL82" s="1"/>
      <c r="CM82" s="1"/>
    </row>
    <row r="83" spans="1:91" x14ac:dyDescent="0.3">
      <c r="A83" s="3">
        <v>405.65</v>
      </c>
      <c r="B83" s="3">
        <f t="shared" si="3"/>
        <v>778319.78999999992</v>
      </c>
      <c r="G83" s="3">
        <f>A83</f>
        <v>405.65</v>
      </c>
      <c r="M83" s="3">
        <f>A83-D83-E83-G83-I83-J83-K83-L83</f>
        <v>0</v>
      </c>
      <c r="N83" s="3"/>
      <c r="O83" s="3"/>
      <c r="R83" s="48"/>
      <c r="S83" s="48"/>
      <c r="T83" s="50"/>
      <c r="U83" s="50"/>
      <c r="V83" s="48"/>
      <c r="W83" s="48"/>
      <c r="X83" s="48"/>
      <c r="Y83" s="48"/>
      <c r="Z83" s="50"/>
      <c r="AA83" s="50"/>
      <c r="AB83" s="48"/>
      <c r="AC83" s="48"/>
      <c r="AD83" s="48"/>
      <c r="AE83" s="48"/>
      <c r="AF83" s="50"/>
      <c r="AG83" s="50"/>
      <c r="AH83" s="48"/>
      <c r="AI83" s="48"/>
      <c r="AJ83" s="48"/>
      <c r="AK83" s="48"/>
      <c r="AL83" s="50"/>
      <c r="AM83" s="50"/>
      <c r="AN83" s="48"/>
      <c r="AO83" s="48"/>
      <c r="AP83" s="48"/>
      <c r="AQ83" s="48"/>
      <c r="AR83" s="50"/>
      <c r="AS83" s="50"/>
      <c r="AT83" s="48"/>
      <c r="AU83" s="48"/>
      <c r="AV83" s="48"/>
      <c r="AW83" s="48"/>
      <c r="AX83" s="50"/>
      <c r="AY83" s="50"/>
      <c r="BD83" s="1"/>
      <c r="BE83" s="1"/>
      <c r="BJ83" s="1"/>
      <c r="BK83" s="1"/>
      <c r="BP83" s="1"/>
      <c r="BQ83" s="1"/>
      <c r="BV83" s="1"/>
      <c r="BW83" s="1"/>
      <c r="CL83" s="1"/>
      <c r="CM83" s="1"/>
    </row>
    <row r="84" spans="1:91" x14ac:dyDescent="0.3">
      <c r="A84" s="3">
        <v>2987.52</v>
      </c>
      <c r="B84" s="3">
        <f t="shared" si="3"/>
        <v>781307.30999999994</v>
      </c>
      <c r="F84" s="3">
        <f>A84</f>
        <v>2987.52</v>
      </c>
      <c r="M84" s="3">
        <f t="shared" ref="M84:M112" si="8">A84-D84-E84-F84-I84-J84-K84-L84</f>
        <v>0</v>
      </c>
      <c r="N84" s="3"/>
      <c r="O84" s="3"/>
      <c r="R84" s="48"/>
      <c r="S84" s="48"/>
      <c r="T84" s="50"/>
      <c r="U84" s="50"/>
      <c r="V84" s="48"/>
      <c r="W84" s="48"/>
      <c r="X84" s="48"/>
      <c r="Y84" s="48"/>
      <c r="Z84" s="50"/>
      <c r="AA84" s="50"/>
      <c r="AB84" s="48"/>
      <c r="AC84" s="48"/>
      <c r="AD84" s="48"/>
      <c r="AE84" s="48"/>
      <c r="AF84" s="50"/>
      <c r="AG84" s="50"/>
      <c r="AH84" s="48"/>
      <c r="AI84" s="48"/>
      <c r="AJ84" s="48"/>
      <c r="AK84" s="48"/>
      <c r="AL84" s="50"/>
      <c r="AM84" s="50"/>
      <c r="AN84" s="48"/>
      <c r="AO84" s="48"/>
      <c r="AP84" s="48"/>
      <c r="AQ84" s="48"/>
      <c r="AR84" s="50"/>
      <c r="AS84" s="50"/>
      <c r="AT84" s="48"/>
      <c r="AU84" s="48"/>
      <c r="AV84" s="48"/>
      <c r="AW84" s="48"/>
      <c r="AX84" s="50"/>
      <c r="AY84" s="50"/>
      <c r="BD84" s="1"/>
      <c r="BE84" s="1"/>
      <c r="BJ84" s="1"/>
      <c r="BK84" s="1"/>
      <c r="BP84" s="1"/>
      <c r="BQ84" s="1"/>
      <c r="BV84" s="1"/>
      <c r="BW84" s="1"/>
      <c r="CL84" s="1"/>
      <c r="CM84" s="1"/>
    </row>
    <row r="85" spans="1:91" x14ac:dyDescent="0.3">
      <c r="A85" s="3">
        <v>95578.49</v>
      </c>
      <c r="B85" s="3">
        <f t="shared" si="3"/>
        <v>876885.79999999993</v>
      </c>
      <c r="D85" s="3">
        <f>A85</f>
        <v>95578.49</v>
      </c>
      <c r="M85" s="3">
        <f t="shared" si="8"/>
        <v>0</v>
      </c>
      <c r="N85" s="3"/>
      <c r="O85" s="3"/>
      <c r="R85" s="48"/>
      <c r="S85" s="48"/>
      <c r="T85" s="50"/>
      <c r="U85" s="50"/>
      <c r="V85" s="48"/>
      <c r="W85" s="48"/>
      <c r="X85" s="48"/>
      <c r="Y85" s="48"/>
      <c r="Z85" s="50"/>
      <c r="AA85" s="50"/>
      <c r="AB85" s="48"/>
      <c r="AC85" s="48"/>
      <c r="AD85" s="48"/>
      <c r="AE85" s="48"/>
      <c r="AF85" s="50"/>
      <c r="AG85" s="50"/>
      <c r="AH85" s="48"/>
      <c r="AI85" s="48"/>
      <c r="AJ85" s="48"/>
      <c r="AK85" s="48"/>
      <c r="AL85" s="50"/>
      <c r="AM85" s="50"/>
      <c r="AN85" s="48"/>
      <c r="AO85" s="48"/>
      <c r="AP85" s="48"/>
      <c r="AQ85" s="48"/>
      <c r="AR85" s="50"/>
      <c r="AS85" s="50"/>
      <c r="AT85" s="48"/>
      <c r="AU85" s="48"/>
      <c r="AV85" s="48"/>
      <c r="AW85" s="48"/>
      <c r="AX85" s="50"/>
      <c r="AY85" s="50"/>
      <c r="BD85" s="1"/>
      <c r="BE85" s="1"/>
      <c r="BJ85" s="1"/>
      <c r="BK85" s="1"/>
      <c r="BP85" s="1"/>
      <c r="BQ85" s="1"/>
      <c r="BV85" s="1"/>
      <c r="BW85" s="1"/>
      <c r="CL85" s="1"/>
      <c r="CM85" s="1"/>
    </row>
    <row r="86" spans="1:91" x14ac:dyDescent="0.3">
      <c r="A86" s="3">
        <v>0.4</v>
      </c>
      <c r="B86" s="3">
        <f>B85+A86</f>
        <v>876886.2</v>
      </c>
      <c r="M86" s="3">
        <f t="shared" si="8"/>
        <v>0.4</v>
      </c>
      <c r="N86" s="3"/>
      <c r="O86" s="3"/>
      <c r="R86" s="48"/>
      <c r="S86" s="48"/>
      <c r="T86" s="50"/>
      <c r="U86" s="50"/>
      <c r="V86" s="48"/>
      <c r="W86" s="48"/>
      <c r="X86" s="48"/>
      <c r="Y86" s="48"/>
      <c r="Z86" s="50"/>
      <c r="AA86" s="50"/>
      <c r="AB86" s="48"/>
      <c r="AC86" s="48"/>
      <c r="AD86" s="48"/>
      <c r="AE86" s="48"/>
      <c r="AF86" s="50"/>
      <c r="AG86" s="50"/>
      <c r="AH86" s="48"/>
      <c r="AI86" s="48"/>
      <c r="AJ86" s="48"/>
      <c r="AK86" s="48"/>
      <c r="AL86" s="50"/>
      <c r="AM86" s="50"/>
      <c r="AN86" s="48"/>
      <c r="AO86" s="48"/>
      <c r="AP86" s="48"/>
      <c r="AQ86" s="48"/>
      <c r="AR86" s="50"/>
      <c r="AS86" s="50"/>
      <c r="AT86" s="48"/>
      <c r="AU86" s="48"/>
      <c r="AV86" s="48"/>
      <c r="AW86" s="48"/>
      <c r="AX86" s="50"/>
      <c r="AY86" s="50"/>
      <c r="BD86" s="1"/>
      <c r="BE86" s="1"/>
      <c r="BJ86" s="1"/>
      <c r="BK86" s="1"/>
      <c r="BP86" s="1"/>
      <c r="BQ86" s="1"/>
      <c r="BV86" s="1"/>
      <c r="BW86" s="1"/>
      <c r="CL86" s="1"/>
      <c r="CM86" s="1"/>
    </row>
    <row r="87" spans="1:91" x14ac:dyDescent="0.3">
      <c r="A87" s="3">
        <v>20</v>
      </c>
      <c r="B87" s="3">
        <f>B86+A87</f>
        <v>876906.2</v>
      </c>
      <c r="K87" s="3">
        <f>A87</f>
        <v>20</v>
      </c>
      <c r="M87" s="3">
        <f t="shared" si="8"/>
        <v>0</v>
      </c>
      <c r="N87" s="3"/>
      <c r="O87" s="3"/>
      <c r="R87" s="48"/>
      <c r="S87" s="48"/>
      <c r="T87" s="50"/>
      <c r="U87" s="50"/>
      <c r="V87" s="48"/>
      <c r="W87" s="48"/>
      <c r="X87" s="48"/>
      <c r="Y87" s="48"/>
      <c r="Z87" s="50"/>
      <c r="AA87" s="50"/>
      <c r="AB87" s="48"/>
      <c r="AC87" s="48"/>
      <c r="AD87" s="48"/>
      <c r="AE87" s="48"/>
      <c r="AF87" s="50"/>
      <c r="AG87" s="50"/>
      <c r="AH87" s="48"/>
      <c r="AI87" s="48"/>
      <c r="AJ87" s="48"/>
      <c r="AK87" s="48"/>
      <c r="AL87" s="50"/>
      <c r="AM87" s="50"/>
      <c r="AN87" s="48"/>
      <c r="AO87" s="48"/>
      <c r="AP87" s="48"/>
      <c r="AQ87" s="48"/>
      <c r="AR87" s="50"/>
      <c r="AS87" s="50"/>
      <c r="AT87" s="48"/>
      <c r="AU87" s="48"/>
      <c r="AV87" s="48"/>
      <c r="AW87" s="48"/>
      <c r="AX87" s="50"/>
      <c r="AY87" s="50"/>
      <c r="BD87" s="1"/>
      <c r="BE87" s="1"/>
      <c r="BJ87" s="1"/>
      <c r="BK87" s="1"/>
      <c r="BP87" s="1"/>
      <c r="BQ87" s="1"/>
      <c r="BV87" s="1"/>
      <c r="BW87" s="1"/>
      <c r="CL87" s="1"/>
      <c r="CM87" s="1"/>
    </row>
    <row r="88" spans="1:91" x14ac:dyDescent="0.3">
      <c r="A88" s="3">
        <v>20</v>
      </c>
      <c r="B88" s="3">
        <f t="shared" si="3"/>
        <v>876926.2</v>
      </c>
      <c r="K88" s="3">
        <f>A88</f>
        <v>20</v>
      </c>
      <c r="M88" s="3">
        <f t="shared" si="8"/>
        <v>0</v>
      </c>
      <c r="N88" s="3"/>
      <c r="O88" s="3"/>
      <c r="R88" s="48"/>
      <c r="S88" s="48"/>
      <c r="T88" s="50"/>
      <c r="U88" s="50"/>
      <c r="V88" s="48"/>
      <c r="W88" s="48"/>
      <c r="X88" s="48"/>
      <c r="Y88" s="48"/>
      <c r="Z88" s="50"/>
      <c r="AA88" s="50"/>
      <c r="AB88" s="48"/>
      <c r="AC88" s="48"/>
      <c r="AD88" s="48"/>
      <c r="AE88" s="48"/>
      <c r="AF88" s="50"/>
      <c r="AG88" s="50"/>
      <c r="AH88" s="48"/>
      <c r="AI88" s="48"/>
      <c r="AJ88" s="48"/>
      <c r="AK88" s="48"/>
      <c r="AL88" s="50"/>
      <c r="AM88" s="50"/>
      <c r="AN88" s="48"/>
      <c r="AO88" s="48"/>
      <c r="AP88" s="48"/>
      <c r="AQ88" s="48"/>
      <c r="AR88" s="50"/>
      <c r="AS88" s="50"/>
      <c r="AT88" s="48"/>
      <c r="AU88" s="48"/>
      <c r="AV88" s="48"/>
      <c r="AW88" s="48"/>
      <c r="AX88" s="50"/>
      <c r="AY88" s="50"/>
      <c r="BD88" s="1"/>
      <c r="BE88" s="1"/>
      <c r="BJ88" s="1"/>
      <c r="BK88" s="1"/>
      <c r="BP88" s="1"/>
      <c r="BQ88" s="1"/>
      <c r="BV88" s="1"/>
      <c r="BW88" s="1"/>
      <c r="CL88" s="1"/>
      <c r="CM88" s="1"/>
    </row>
    <row r="89" spans="1:91" x14ac:dyDescent="0.3">
      <c r="A89" s="3">
        <v>20</v>
      </c>
      <c r="B89" s="3">
        <f t="shared" si="3"/>
        <v>876946.2</v>
      </c>
      <c r="K89" s="3">
        <f>A89</f>
        <v>20</v>
      </c>
      <c r="M89" s="3">
        <f t="shared" si="8"/>
        <v>0</v>
      </c>
      <c r="N89" s="3"/>
      <c r="O89" s="3"/>
      <c r="R89" s="48"/>
      <c r="S89" s="48"/>
      <c r="T89" s="50"/>
      <c r="U89" s="50"/>
      <c r="V89" s="48"/>
      <c r="W89" s="48"/>
      <c r="X89" s="48"/>
      <c r="Y89" s="48"/>
      <c r="Z89" s="50"/>
      <c r="AA89" s="50"/>
      <c r="AB89" s="48"/>
      <c r="AC89" s="48"/>
      <c r="AD89" s="48"/>
      <c r="AE89" s="48"/>
      <c r="AF89" s="50"/>
      <c r="AG89" s="50"/>
      <c r="AH89" s="48"/>
      <c r="AI89" s="48"/>
      <c r="AJ89" s="48"/>
      <c r="AK89" s="48"/>
      <c r="AL89" s="50"/>
      <c r="AM89" s="50"/>
      <c r="AN89" s="48"/>
      <c r="AO89" s="48"/>
      <c r="AP89" s="48"/>
      <c r="AQ89" s="48"/>
      <c r="AR89" s="50"/>
      <c r="AS89" s="50"/>
      <c r="AT89" s="48"/>
      <c r="AU89" s="48"/>
      <c r="AV89" s="48"/>
      <c r="AW89" s="48"/>
      <c r="AX89" s="50"/>
      <c r="AY89" s="50"/>
      <c r="BD89" s="1"/>
      <c r="BE89" s="1"/>
      <c r="BJ89" s="1"/>
      <c r="BK89" s="1"/>
      <c r="BP89" s="1"/>
      <c r="BQ89" s="1"/>
      <c r="BV89" s="1"/>
      <c r="BW89" s="1"/>
      <c r="CL89" s="1"/>
      <c r="CM89" s="1"/>
    </row>
    <row r="90" spans="1:91" x14ac:dyDescent="0.3">
      <c r="A90" s="3">
        <v>1382.7</v>
      </c>
      <c r="B90" s="3">
        <f t="shared" si="3"/>
        <v>878328.89999999991</v>
      </c>
      <c r="E90" s="3">
        <f>A90</f>
        <v>1382.7</v>
      </c>
      <c r="M90" s="3">
        <f t="shared" si="8"/>
        <v>0</v>
      </c>
      <c r="N90" s="3"/>
      <c r="O90" s="3"/>
      <c r="R90" s="48"/>
      <c r="S90" s="48"/>
      <c r="T90" s="50"/>
      <c r="U90" s="50"/>
      <c r="V90" s="48"/>
      <c r="W90" s="48"/>
      <c r="X90" s="48"/>
      <c r="Y90" s="48"/>
      <c r="Z90" s="50"/>
      <c r="AA90" s="50"/>
      <c r="AB90" s="48"/>
      <c r="AC90" s="48"/>
      <c r="AD90" s="48"/>
      <c r="AE90" s="48"/>
      <c r="AF90" s="50"/>
      <c r="AG90" s="50"/>
      <c r="AH90" s="48"/>
      <c r="AI90" s="48"/>
      <c r="AJ90" s="48"/>
      <c r="AK90" s="48"/>
      <c r="AL90" s="50"/>
      <c r="AM90" s="50"/>
      <c r="AN90" s="48"/>
      <c r="AO90" s="48"/>
      <c r="AP90" s="48"/>
      <c r="AQ90" s="48"/>
      <c r="AR90" s="50"/>
      <c r="AS90" s="50"/>
      <c r="AT90" s="48"/>
      <c r="AU90" s="48"/>
      <c r="AV90" s="48"/>
      <c r="AW90" s="48"/>
      <c r="AX90" s="50"/>
      <c r="AY90" s="50"/>
      <c r="BD90" s="1"/>
      <c r="BE90" s="1"/>
      <c r="BJ90" s="1"/>
      <c r="BK90" s="1"/>
      <c r="BP90" s="1"/>
      <c r="BQ90" s="1"/>
      <c r="BV90" s="1"/>
      <c r="BW90" s="1"/>
      <c r="CL90" s="1"/>
      <c r="CM90" s="1"/>
    </row>
    <row r="91" spans="1:91" x14ac:dyDescent="0.3">
      <c r="A91" s="3">
        <v>20</v>
      </c>
      <c r="B91" s="3">
        <f t="shared" si="3"/>
        <v>878348.89999999991</v>
      </c>
      <c r="K91" s="3">
        <f>A91</f>
        <v>20</v>
      </c>
      <c r="M91" s="3">
        <f t="shared" si="8"/>
        <v>0</v>
      </c>
      <c r="N91" s="3"/>
      <c r="O91" s="3"/>
      <c r="R91" s="48"/>
      <c r="S91" s="48"/>
      <c r="T91" s="50"/>
      <c r="U91" s="50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</row>
    <row r="92" spans="1:91" x14ac:dyDescent="0.3">
      <c r="A92" s="3">
        <v>20</v>
      </c>
      <c r="B92" s="3">
        <f t="shared" si="3"/>
        <v>878368.89999999991</v>
      </c>
      <c r="K92" s="3">
        <f>A92</f>
        <v>20</v>
      </c>
      <c r="M92" s="3">
        <f t="shared" si="8"/>
        <v>0</v>
      </c>
      <c r="N92" s="3"/>
      <c r="O92" s="3"/>
      <c r="R92" s="48"/>
      <c r="S92" s="48"/>
      <c r="T92" s="50"/>
      <c r="U92" s="50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</row>
    <row r="93" spans="1:91" x14ac:dyDescent="0.3">
      <c r="A93" s="3">
        <v>1382.7</v>
      </c>
      <c r="B93" s="3">
        <f t="shared" si="3"/>
        <v>879751.59999999986</v>
      </c>
      <c r="E93" s="3">
        <f>A93</f>
        <v>1382.7</v>
      </c>
      <c r="M93" s="3">
        <f t="shared" si="8"/>
        <v>0</v>
      </c>
      <c r="N93" s="3"/>
      <c r="O93" s="3"/>
      <c r="R93" s="48"/>
      <c r="S93" s="48"/>
      <c r="T93" s="50"/>
      <c r="U93" s="50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</row>
    <row r="94" spans="1:91" x14ac:dyDescent="0.3">
      <c r="A94" s="3">
        <v>1382.7</v>
      </c>
      <c r="B94" s="3">
        <f t="shared" ref="B94:B130" si="9">B93+A94</f>
        <v>881134.29999999981</v>
      </c>
      <c r="E94" s="3">
        <f>A94</f>
        <v>1382.7</v>
      </c>
      <c r="M94" s="3">
        <f t="shared" si="8"/>
        <v>0</v>
      </c>
      <c r="N94" s="3"/>
      <c r="O94" s="3"/>
      <c r="R94" s="48"/>
      <c r="S94" s="48"/>
      <c r="T94" s="50"/>
      <c r="U94" s="50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</row>
    <row r="95" spans="1:91" x14ac:dyDescent="0.3">
      <c r="A95" s="3">
        <v>80</v>
      </c>
      <c r="B95" s="3">
        <f t="shared" si="9"/>
        <v>881214.29999999981</v>
      </c>
      <c r="J95" s="3">
        <f>A95</f>
        <v>80</v>
      </c>
      <c r="M95" s="3">
        <f t="shared" si="8"/>
        <v>0</v>
      </c>
      <c r="N95" s="3"/>
      <c r="O95" s="3"/>
      <c r="R95" s="160"/>
      <c r="S95" s="160"/>
      <c r="T95" s="161"/>
      <c r="U95" s="161"/>
      <c r="V95" s="48"/>
      <c r="W95" s="160"/>
      <c r="X95" s="160"/>
      <c r="Y95" s="160"/>
      <c r="Z95" s="161"/>
      <c r="AA95" s="161"/>
      <c r="AB95" s="48"/>
      <c r="AC95" s="160"/>
      <c r="AD95" s="160"/>
      <c r="AE95" s="160"/>
      <c r="AF95" s="161"/>
      <c r="AG95" s="161"/>
      <c r="AH95" s="48"/>
      <c r="AI95" s="160"/>
      <c r="AJ95" s="160"/>
      <c r="AK95" s="160"/>
      <c r="AL95" s="161"/>
      <c r="AM95" s="161"/>
      <c r="AN95" s="48"/>
      <c r="AO95" s="160"/>
      <c r="AP95" s="160"/>
      <c r="AQ95" s="160"/>
      <c r="AR95" s="161"/>
      <c r="AS95" s="161"/>
      <c r="AT95" s="48"/>
      <c r="AU95" s="160"/>
      <c r="AV95" s="160"/>
      <c r="AW95" s="160"/>
      <c r="AX95" s="161"/>
      <c r="AY95" s="161"/>
      <c r="BA95" s="7"/>
      <c r="BB95" s="7"/>
      <c r="BC95" s="7"/>
      <c r="BD95" s="6"/>
      <c r="BE95" s="6"/>
      <c r="BG95" s="7"/>
      <c r="BH95" s="7"/>
      <c r="BI95" s="7"/>
      <c r="BJ95" s="6"/>
      <c r="BK95" s="6"/>
      <c r="BM95" s="7"/>
      <c r="BN95" s="7"/>
      <c r="BO95" s="7"/>
      <c r="BP95" s="6"/>
      <c r="BQ95" s="6"/>
      <c r="BS95" s="7"/>
      <c r="BT95" s="7"/>
      <c r="BU95" s="7"/>
      <c r="BV95" s="6"/>
      <c r="BW95" s="6"/>
      <c r="BY95" s="7"/>
      <c r="BZ95" s="7"/>
      <c r="CA95" s="7"/>
      <c r="CB95" s="6"/>
      <c r="CC95" s="6"/>
      <c r="CI95" s="7"/>
      <c r="CJ95" s="7"/>
      <c r="CK95" s="7"/>
      <c r="CL95" s="6"/>
      <c r="CM95" s="6"/>
    </row>
    <row r="96" spans="1:91" x14ac:dyDescent="0.3">
      <c r="A96" s="3">
        <v>80</v>
      </c>
      <c r="B96" s="3">
        <f t="shared" si="9"/>
        <v>881294.29999999981</v>
      </c>
      <c r="J96" s="3">
        <f>A96</f>
        <v>80</v>
      </c>
      <c r="M96" s="3">
        <f t="shared" si="8"/>
        <v>0</v>
      </c>
      <c r="N96" s="3"/>
      <c r="O96" s="3"/>
      <c r="R96" s="160"/>
      <c r="S96" s="160"/>
      <c r="T96" s="161"/>
      <c r="U96" s="161"/>
      <c r="V96" s="48"/>
      <c r="W96" s="160"/>
      <c r="X96" s="160"/>
      <c r="Y96" s="160"/>
      <c r="Z96" s="161"/>
      <c r="AA96" s="161"/>
      <c r="AB96" s="48"/>
      <c r="AC96" s="160"/>
      <c r="AD96" s="160"/>
      <c r="AE96" s="160"/>
      <c r="AF96" s="161"/>
      <c r="AG96" s="161"/>
      <c r="AH96" s="48"/>
      <c r="AI96" s="160"/>
      <c r="AJ96" s="160"/>
      <c r="AK96" s="160"/>
      <c r="AL96" s="161"/>
      <c r="AM96" s="161"/>
      <c r="AN96" s="48"/>
      <c r="AO96" s="160"/>
      <c r="AP96" s="160"/>
      <c r="AQ96" s="160"/>
      <c r="AR96" s="161"/>
      <c r="AS96" s="161"/>
      <c r="AT96" s="48"/>
      <c r="AU96" s="160"/>
      <c r="AV96" s="160"/>
      <c r="AW96" s="160"/>
      <c r="AX96" s="161"/>
      <c r="AY96" s="161"/>
      <c r="BA96" s="7"/>
      <c r="BB96" s="7"/>
      <c r="BC96" s="7"/>
      <c r="BD96" s="6"/>
      <c r="BE96" s="6"/>
      <c r="BG96" s="7"/>
      <c r="BH96" s="7"/>
      <c r="BI96" s="7"/>
      <c r="BJ96" s="6"/>
      <c r="BK96" s="6"/>
      <c r="BM96" s="7"/>
      <c r="BN96" s="7"/>
      <c r="BO96" s="7"/>
      <c r="BP96" s="6"/>
      <c r="BQ96" s="6"/>
      <c r="BS96" s="7"/>
      <c r="BT96" s="7"/>
      <c r="BU96" s="7"/>
      <c r="BV96" s="6"/>
      <c r="BW96" s="6"/>
      <c r="BY96" s="7"/>
      <c r="BZ96" s="7"/>
      <c r="CA96" s="7"/>
      <c r="CB96" s="6"/>
      <c r="CC96" s="6"/>
      <c r="CI96" s="7"/>
      <c r="CJ96" s="7"/>
      <c r="CK96" s="7"/>
      <c r="CL96" s="6"/>
      <c r="CM96" s="6"/>
    </row>
    <row r="97" spans="1:91" x14ac:dyDescent="0.3">
      <c r="A97" s="3">
        <v>80</v>
      </c>
      <c r="B97" s="3">
        <f t="shared" si="9"/>
        <v>881374.29999999981</v>
      </c>
      <c r="J97" s="3">
        <f>A97</f>
        <v>80</v>
      </c>
      <c r="M97" s="3">
        <f t="shared" si="8"/>
        <v>0</v>
      </c>
      <c r="N97" s="3"/>
      <c r="O97" s="3"/>
      <c r="R97" s="48"/>
      <c r="S97" s="48"/>
      <c r="T97" s="50"/>
      <c r="U97" s="50"/>
      <c r="V97" s="48"/>
      <c r="W97" s="48"/>
      <c r="X97" s="48"/>
      <c r="Y97" s="48"/>
      <c r="Z97" s="50"/>
      <c r="AA97" s="50"/>
      <c r="AB97" s="48"/>
      <c r="AC97" s="48"/>
      <c r="AD97" s="48"/>
      <c r="AE97" s="48"/>
      <c r="AF97" s="50"/>
      <c r="AG97" s="50"/>
      <c r="AH97" s="48"/>
      <c r="AI97" s="48"/>
      <c r="AJ97" s="48"/>
      <c r="AK97" s="48"/>
      <c r="AL97" s="50"/>
      <c r="AM97" s="50"/>
      <c r="AN97" s="48"/>
      <c r="AO97" s="48"/>
      <c r="AP97" s="48"/>
      <c r="AQ97" s="48"/>
      <c r="AR97" s="50"/>
      <c r="AS97" s="50"/>
      <c r="AT97" s="48"/>
      <c r="AU97" s="48"/>
      <c r="AV97" s="48"/>
      <c r="AW97" s="48"/>
      <c r="AX97" s="50"/>
      <c r="AY97" s="50"/>
      <c r="BD97" s="1"/>
      <c r="BE97" s="1"/>
      <c r="BJ97" s="1"/>
      <c r="BK97" s="1"/>
      <c r="BP97" s="1"/>
      <c r="BQ97" s="1"/>
      <c r="BV97" s="1"/>
      <c r="BW97" s="1"/>
      <c r="CL97" s="1"/>
      <c r="CM97" s="1"/>
    </row>
    <row r="98" spans="1:91" x14ac:dyDescent="0.3">
      <c r="A98" s="3">
        <v>101036.17</v>
      </c>
      <c r="B98" s="3">
        <f t="shared" si="9"/>
        <v>982410.46999999986</v>
      </c>
      <c r="D98" s="3">
        <f>A98</f>
        <v>101036.17</v>
      </c>
      <c r="M98" s="3">
        <f t="shared" si="8"/>
        <v>0</v>
      </c>
      <c r="N98" s="3"/>
      <c r="O98" s="3"/>
      <c r="R98" s="48"/>
      <c r="S98" s="48"/>
      <c r="T98" s="50"/>
      <c r="U98" s="50"/>
      <c r="V98" s="48"/>
      <c r="W98" s="48"/>
      <c r="X98" s="48"/>
      <c r="Y98" s="48"/>
      <c r="Z98" s="50"/>
      <c r="AA98" s="50"/>
      <c r="AB98" s="48"/>
      <c r="AC98" s="48"/>
      <c r="AD98" s="48"/>
      <c r="AE98" s="48"/>
      <c r="AF98" s="50"/>
      <c r="AG98" s="50"/>
      <c r="AH98" s="48"/>
      <c r="AI98" s="48"/>
      <c r="AJ98" s="48"/>
      <c r="AK98" s="48"/>
      <c r="AL98" s="50"/>
      <c r="AM98" s="50"/>
      <c r="AN98" s="48"/>
      <c r="AO98" s="48"/>
      <c r="AP98" s="48"/>
      <c r="AQ98" s="48"/>
      <c r="AR98" s="50"/>
      <c r="AS98" s="50"/>
      <c r="AT98" s="48"/>
      <c r="AU98" s="48"/>
      <c r="AV98" s="48"/>
      <c r="AW98" s="48"/>
      <c r="AX98" s="50"/>
      <c r="AY98" s="50"/>
      <c r="BD98" s="1"/>
      <c r="BE98" s="1"/>
      <c r="BJ98" s="1"/>
      <c r="BK98" s="1"/>
      <c r="BP98" s="1"/>
      <c r="BQ98" s="1"/>
      <c r="BV98" s="1"/>
      <c r="BW98" s="1"/>
      <c r="CL98" s="1"/>
      <c r="CM98" s="1"/>
    </row>
    <row r="99" spans="1:91" x14ac:dyDescent="0.3">
      <c r="A99" s="3">
        <v>20</v>
      </c>
      <c r="B99" s="3">
        <f t="shared" si="9"/>
        <v>982430.46999999986</v>
      </c>
      <c r="K99" s="3">
        <f>A99</f>
        <v>20</v>
      </c>
      <c r="M99" s="3">
        <f t="shared" si="8"/>
        <v>0</v>
      </c>
      <c r="N99" s="3"/>
      <c r="O99" s="3"/>
      <c r="R99" s="48"/>
      <c r="S99" s="48"/>
      <c r="T99" s="50"/>
      <c r="U99" s="50"/>
      <c r="V99" s="48"/>
      <c r="W99" s="48"/>
      <c r="X99" s="48"/>
      <c r="Y99" s="48"/>
      <c r="Z99" s="50"/>
      <c r="AA99" s="50"/>
      <c r="AB99" s="48"/>
      <c r="AC99" s="48"/>
      <c r="AD99" s="48"/>
      <c r="AE99" s="48"/>
      <c r="AF99" s="50"/>
      <c r="AG99" s="50"/>
      <c r="AH99" s="48"/>
      <c r="AI99" s="48"/>
      <c r="AJ99" s="48"/>
      <c r="AK99" s="48"/>
      <c r="AL99" s="50"/>
      <c r="AM99" s="50"/>
      <c r="AN99" s="48"/>
      <c r="AO99" s="48"/>
      <c r="AP99" s="48"/>
      <c r="AQ99" s="48"/>
      <c r="AR99" s="50"/>
      <c r="AS99" s="50"/>
      <c r="AT99" s="48"/>
      <c r="AU99" s="48"/>
      <c r="AV99" s="48"/>
      <c r="AW99" s="48"/>
      <c r="AX99" s="50"/>
      <c r="AY99" s="50"/>
      <c r="BD99" s="1"/>
      <c r="BE99" s="1"/>
      <c r="BJ99" s="1"/>
      <c r="BK99" s="1"/>
      <c r="BP99" s="1"/>
      <c r="BQ99" s="1"/>
      <c r="BV99" s="1"/>
      <c r="BW99" s="1"/>
      <c r="CL99" s="1"/>
      <c r="CM99" s="1"/>
    </row>
    <row r="100" spans="1:91" x14ac:dyDescent="0.3">
      <c r="A100" s="3">
        <v>0.44</v>
      </c>
      <c r="B100" s="3">
        <f t="shared" si="9"/>
        <v>982430.9099999998</v>
      </c>
      <c r="M100" s="3">
        <f t="shared" si="8"/>
        <v>0.44</v>
      </c>
      <c r="N100" s="3"/>
      <c r="O100" s="3"/>
      <c r="R100" s="48"/>
      <c r="S100" s="48"/>
      <c r="T100" s="50"/>
      <c r="U100" s="50"/>
      <c r="V100" s="48"/>
      <c r="W100" s="48"/>
      <c r="X100" s="48"/>
      <c r="Y100" s="48"/>
      <c r="Z100" s="50"/>
      <c r="AA100" s="50"/>
      <c r="AB100" s="48"/>
      <c r="AC100" s="48"/>
      <c r="AD100" s="48"/>
      <c r="AE100" s="48"/>
      <c r="AF100" s="50"/>
      <c r="AG100" s="50"/>
      <c r="AH100" s="48"/>
      <c r="AI100" s="48"/>
      <c r="AJ100" s="48"/>
      <c r="AK100" s="48"/>
      <c r="AL100" s="50"/>
      <c r="AM100" s="50"/>
      <c r="AN100" s="48"/>
      <c r="AO100" s="48"/>
      <c r="AP100" s="48"/>
      <c r="AQ100" s="48"/>
      <c r="AR100" s="50"/>
      <c r="AS100" s="50"/>
      <c r="AT100" s="48"/>
      <c r="AU100" s="48"/>
      <c r="AV100" s="48"/>
      <c r="AW100" s="48"/>
      <c r="AX100" s="50"/>
      <c r="AY100" s="50"/>
      <c r="BD100" s="1"/>
      <c r="BE100" s="1"/>
      <c r="BJ100" s="1"/>
      <c r="BK100" s="1"/>
      <c r="BP100" s="1"/>
      <c r="BQ100" s="1"/>
      <c r="BV100" s="1"/>
      <c r="BW100" s="1"/>
      <c r="CL100" s="1"/>
      <c r="CM100" s="1"/>
    </row>
    <row r="101" spans="1:91" x14ac:dyDescent="0.3">
      <c r="A101" s="3">
        <v>80</v>
      </c>
      <c r="B101" s="3">
        <f t="shared" si="9"/>
        <v>982510.9099999998</v>
      </c>
      <c r="J101" s="3">
        <f>A101</f>
        <v>80</v>
      </c>
      <c r="M101" s="3">
        <f t="shared" si="8"/>
        <v>0</v>
      </c>
      <c r="N101" s="3"/>
      <c r="O101" s="3"/>
      <c r="R101" s="48"/>
      <c r="S101" s="48"/>
      <c r="T101" s="50"/>
      <c r="U101" s="50"/>
      <c r="V101" s="48"/>
      <c r="W101" s="48"/>
      <c r="X101" s="48"/>
      <c r="Y101" s="48"/>
      <c r="Z101" s="50"/>
      <c r="AA101" s="50"/>
      <c r="AB101" s="48"/>
      <c r="AC101" s="48"/>
      <c r="AD101" s="48"/>
      <c r="AE101" s="48"/>
      <c r="AF101" s="50"/>
      <c r="AG101" s="50"/>
      <c r="AH101" s="48"/>
      <c r="AI101" s="48"/>
      <c r="AJ101" s="48"/>
      <c r="AK101" s="48"/>
      <c r="AL101" s="50"/>
      <c r="AM101" s="50"/>
      <c r="AN101" s="48"/>
      <c r="AO101" s="48"/>
      <c r="AP101" s="48"/>
      <c r="AQ101" s="48"/>
      <c r="AR101" s="50"/>
      <c r="AS101" s="50"/>
      <c r="AT101" s="48"/>
      <c r="AU101" s="48"/>
      <c r="AV101" s="48"/>
      <c r="AW101" s="48"/>
      <c r="AX101" s="50"/>
      <c r="AY101" s="50"/>
      <c r="BD101" s="1"/>
      <c r="BE101" s="1"/>
      <c r="BJ101" s="1"/>
      <c r="BK101" s="1"/>
      <c r="BP101" s="1"/>
      <c r="BQ101" s="1"/>
      <c r="BV101" s="1"/>
      <c r="BW101" s="1"/>
      <c r="CL101" s="1"/>
      <c r="CM101" s="1"/>
    </row>
    <row r="102" spans="1:91" x14ac:dyDescent="0.3">
      <c r="A102" s="3">
        <v>90041.24</v>
      </c>
      <c r="B102" s="3">
        <f t="shared" si="9"/>
        <v>1072552.1499999999</v>
      </c>
      <c r="D102" s="3">
        <f>A102</f>
        <v>90041.24</v>
      </c>
      <c r="M102" s="3">
        <f t="shared" si="8"/>
        <v>0</v>
      </c>
      <c r="N102" s="3"/>
      <c r="O102" s="3"/>
      <c r="R102" s="48"/>
      <c r="S102" s="48"/>
      <c r="T102" s="50"/>
      <c r="U102" s="50"/>
      <c r="V102" s="48"/>
      <c r="W102" s="48"/>
      <c r="X102" s="48"/>
      <c r="Y102" s="48"/>
      <c r="Z102" s="50"/>
      <c r="AA102" s="50"/>
      <c r="AB102" s="48"/>
      <c r="AC102" s="48"/>
      <c r="AD102" s="48"/>
      <c r="AE102" s="48"/>
      <c r="AF102" s="50"/>
      <c r="AG102" s="50"/>
      <c r="AH102" s="48"/>
      <c r="AI102" s="48"/>
      <c r="AJ102" s="48"/>
      <c r="AK102" s="48"/>
      <c r="AL102" s="50"/>
      <c r="AM102" s="50"/>
      <c r="AN102" s="48"/>
      <c r="AO102" s="48"/>
      <c r="AP102" s="48"/>
      <c r="AQ102" s="48"/>
      <c r="AR102" s="50"/>
      <c r="AS102" s="50"/>
      <c r="AT102" s="48"/>
      <c r="AU102" s="48"/>
      <c r="AV102" s="48"/>
      <c r="AW102" s="48"/>
      <c r="AX102" s="50"/>
      <c r="AY102" s="50"/>
      <c r="BD102" s="1"/>
      <c r="BE102" s="1"/>
      <c r="BJ102" s="1"/>
      <c r="BK102" s="1"/>
      <c r="BP102" s="1"/>
      <c r="BQ102" s="1"/>
      <c r="BV102" s="1"/>
      <c r="BW102" s="1"/>
      <c r="CL102" s="1"/>
      <c r="CM102" s="1"/>
    </row>
    <row r="103" spans="1:91" x14ac:dyDescent="0.3">
      <c r="A103" s="3">
        <v>0.5</v>
      </c>
      <c r="B103" s="3">
        <f t="shared" si="9"/>
        <v>1072552.6499999999</v>
      </c>
      <c r="M103" s="3">
        <f t="shared" si="8"/>
        <v>0.5</v>
      </c>
      <c r="N103" s="3"/>
      <c r="O103" s="3"/>
      <c r="R103" s="48"/>
      <c r="S103" s="48"/>
      <c r="T103" s="50"/>
      <c r="U103" s="50"/>
      <c r="V103" s="48"/>
      <c r="W103" s="48"/>
      <c r="X103" s="48"/>
      <c r="Y103" s="48"/>
      <c r="Z103" s="50"/>
      <c r="AA103" s="50"/>
      <c r="AB103" s="48"/>
      <c r="AC103" s="48"/>
      <c r="AD103" s="48"/>
      <c r="AE103" s="48"/>
      <c r="AF103" s="50"/>
      <c r="AG103" s="50"/>
      <c r="AH103" s="48"/>
      <c r="AI103" s="48"/>
      <c r="AJ103" s="48"/>
      <c r="AK103" s="48"/>
      <c r="AL103" s="50"/>
      <c r="AM103" s="50"/>
      <c r="AN103" s="48"/>
      <c r="AO103" s="48"/>
      <c r="AP103" s="48"/>
      <c r="AQ103" s="48"/>
      <c r="AR103" s="50"/>
      <c r="AS103" s="50"/>
      <c r="AT103" s="48"/>
      <c r="AU103" s="48"/>
      <c r="AV103" s="48"/>
      <c r="AW103" s="48"/>
      <c r="AX103" s="50"/>
      <c r="AY103" s="50"/>
      <c r="BD103" s="1"/>
      <c r="BE103" s="1"/>
      <c r="BJ103" s="1"/>
      <c r="BK103" s="1"/>
      <c r="BP103" s="1"/>
      <c r="BQ103" s="1"/>
      <c r="BV103" s="1"/>
      <c r="BW103" s="1"/>
      <c r="CL103" s="1"/>
      <c r="CM103" s="1"/>
    </row>
    <row r="104" spans="1:91" x14ac:dyDescent="0.3">
      <c r="A104" s="3">
        <v>80</v>
      </c>
      <c r="B104" s="3">
        <f t="shared" si="9"/>
        <v>1072632.6499999999</v>
      </c>
      <c r="J104" s="3">
        <f>A104</f>
        <v>80</v>
      </c>
      <c r="M104" s="3">
        <f t="shared" si="8"/>
        <v>0</v>
      </c>
      <c r="N104" s="3"/>
      <c r="O104" s="3"/>
      <c r="R104" s="48"/>
      <c r="S104" s="48"/>
      <c r="T104" s="50"/>
      <c r="U104" s="50"/>
      <c r="V104" s="48"/>
      <c r="W104" s="48"/>
      <c r="X104" s="48"/>
      <c r="Y104" s="48"/>
      <c r="Z104" s="50"/>
      <c r="AA104" s="50"/>
      <c r="AB104" s="48"/>
      <c r="AC104" s="48"/>
      <c r="AD104" s="48"/>
      <c r="AE104" s="48"/>
      <c r="AF104" s="50"/>
      <c r="AG104" s="50"/>
      <c r="AH104" s="48"/>
      <c r="AI104" s="48"/>
      <c r="AJ104" s="48"/>
      <c r="AK104" s="48"/>
      <c r="AL104" s="50"/>
      <c r="AM104" s="50"/>
      <c r="AN104" s="48"/>
      <c r="AO104" s="48"/>
      <c r="AP104" s="48"/>
      <c r="AQ104" s="48"/>
      <c r="AR104" s="50"/>
      <c r="AS104" s="50"/>
      <c r="AT104" s="48"/>
      <c r="AU104" s="48"/>
      <c r="AV104" s="48"/>
      <c r="AW104" s="48"/>
      <c r="AX104" s="50"/>
      <c r="AY104" s="50"/>
      <c r="BD104" s="1"/>
      <c r="BE104" s="1"/>
      <c r="BJ104" s="1"/>
      <c r="BK104" s="1"/>
      <c r="BP104" s="1"/>
      <c r="BQ104" s="1"/>
      <c r="BV104" s="1"/>
      <c r="BW104" s="1"/>
      <c r="CL104" s="1"/>
      <c r="CM104" s="1"/>
    </row>
    <row r="105" spans="1:91" x14ac:dyDescent="0.3">
      <c r="A105" s="3">
        <v>20</v>
      </c>
      <c r="B105" s="3">
        <f t="shared" si="9"/>
        <v>1072652.6499999999</v>
      </c>
      <c r="K105" s="3">
        <f>A105</f>
        <v>20</v>
      </c>
      <c r="M105" s="3">
        <f t="shared" si="8"/>
        <v>0</v>
      </c>
      <c r="N105" s="3"/>
      <c r="O105" s="3"/>
      <c r="R105" s="48"/>
      <c r="S105" s="48"/>
      <c r="T105" s="50"/>
      <c r="U105" s="50"/>
      <c r="V105" s="48"/>
      <c r="W105" s="48"/>
      <c r="X105" s="48"/>
      <c r="Y105" s="48"/>
      <c r="Z105" s="50"/>
      <c r="AA105" s="50"/>
      <c r="AB105" s="48"/>
      <c r="AC105" s="48"/>
      <c r="AD105" s="48"/>
      <c r="AE105" s="48"/>
      <c r="AF105" s="50"/>
      <c r="AG105" s="50"/>
      <c r="AH105" s="48"/>
      <c r="AI105" s="48"/>
      <c r="AJ105" s="48"/>
      <c r="AK105" s="48"/>
      <c r="AL105" s="50"/>
      <c r="AM105" s="50"/>
      <c r="AN105" s="48"/>
      <c r="AO105" s="48"/>
      <c r="AP105" s="48"/>
      <c r="AQ105" s="48"/>
      <c r="AR105" s="50"/>
      <c r="AS105" s="50"/>
      <c r="AT105" s="48"/>
      <c r="AU105" s="48"/>
      <c r="AV105" s="48"/>
      <c r="AW105" s="48"/>
      <c r="AX105" s="50"/>
      <c r="AY105" s="50"/>
      <c r="BD105" s="1"/>
      <c r="BE105" s="1"/>
      <c r="BJ105" s="1"/>
      <c r="BK105" s="1"/>
      <c r="BP105" s="1"/>
      <c r="BQ105" s="1"/>
      <c r="BV105" s="1"/>
      <c r="BW105" s="1"/>
      <c r="CL105" s="1"/>
      <c r="CM105" s="1"/>
    </row>
    <row r="106" spans="1:91" x14ac:dyDescent="0.3">
      <c r="A106" s="3">
        <v>20</v>
      </c>
      <c r="B106" s="3">
        <f t="shared" si="9"/>
        <v>1072672.6499999999</v>
      </c>
      <c r="K106" s="3">
        <f>A106</f>
        <v>20</v>
      </c>
      <c r="M106" s="3">
        <f t="shared" si="8"/>
        <v>0</v>
      </c>
      <c r="N106" s="3"/>
      <c r="O106" s="3"/>
      <c r="R106" s="48"/>
      <c r="S106" s="48"/>
      <c r="T106" s="50"/>
      <c r="U106" s="50"/>
      <c r="V106" s="48"/>
      <c r="W106" s="48"/>
      <c r="X106" s="48"/>
      <c r="Y106" s="48"/>
      <c r="Z106" s="50"/>
      <c r="AA106" s="50"/>
      <c r="AB106" s="48"/>
      <c r="AC106" s="48"/>
      <c r="AD106" s="48"/>
      <c r="AE106" s="48"/>
      <c r="AF106" s="50"/>
      <c r="AG106" s="50"/>
      <c r="AH106" s="48"/>
      <c r="AI106" s="48"/>
      <c r="AJ106" s="48"/>
      <c r="AK106" s="48"/>
      <c r="AL106" s="50"/>
      <c r="AM106" s="50"/>
      <c r="AN106" s="48"/>
      <c r="AO106" s="48"/>
      <c r="AP106" s="48"/>
      <c r="AQ106" s="48"/>
      <c r="AR106" s="50"/>
      <c r="AS106" s="50"/>
      <c r="AT106" s="48"/>
      <c r="AU106" s="48"/>
      <c r="AV106" s="48"/>
      <c r="AW106" s="48"/>
      <c r="AX106" s="50"/>
      <c r="AY106" s="50"/>
      <c r="BD106" s="1"/>
      <c r="BE106" s="1"/>
      <c r="BJ106" s="1"/>
      <c r="BK106" s="1"/>
      <c r="BP106" s="1"/>
      <c r="BQ106" s="1"/>
      <c r="BV106" s="1"/>
      <c r="BW106" s="1"/>
      <c r="CL106" s="1"/>
      <c r="CM106" s="1"/>
    </row>
    <row r="107" spans="1:91" x14ac:dyDescent="0.3">
      <c r="A107" s="3">
        <v>1382.7</v>
      </c>
      <c r="B107" s="3">
        <f t="shared" si="9"/>
        <v>1074055.3499999999</v>
      </c>
      <c r="E107" s="3">
        <f>A107</f>
        <v>1382.7</v>
      </c>
      <c r="M107" s="3">
        <f t="shared" si="8"/>
        <v>0</v>
      </c>
      <c r="N107" s="3"/>
      <c r="O107" s="3"/>
      <c r="R107" s="48"/>
      <c r="S107" s="48"/>
      <c r="T107" s="50"/>
      <c r="U107" s="50"/>
      <c r="V107" s="48"/>
      <c r="W107" s="48"/>
      <c r="X107" s="48"/>
      <c r="Y107" s="48"/>
      <c r="Z107" s="50"/>
      <c r="AA107" s="50"/>
      <c r="AB107" s="48"/>
      <c r="AC107" s="48"/>
      <c r="AD107" s="48"/>
      <c r="AE107" s="48"/>
      <c r="AF107" s="50"/>
      <c r="AG107" s="50"/>
      <c r="AH107" s="48"/>
      <c r="AI107" s="48"/>
      <c r="AJ107" s="48"/>
      <c r="AK107" s="48"/>
      <c r="AL107" s="50"/>
      <c r="AM107" s="50"/>
      <c r="AN107" s="48"/>
      <c r="AO107" s="48"/>
      <c r="AP107" s="48"/>
      <c r="AQ107" s="48"/>
      <c r="AR107" s="50"/>
      <c r="AS107" s="50"/>
      <c r="AT107" s="48"/>
      <c r="AU107" s="48"/>
      <c r="AV107" s="48"/>
      <c r="AW107" s="48"/>
      <c r="AX107" s="50"/>
      <c r="AY107" s="50"/>
      <c r="BD107" s="1"/>
      <c r="BE107" s="1"/>
      <c r="BJ107" s="1"/>
      <c r="BK107" s="1"/>
      <c r="BP107" s="1"/>
      <c r="BQ107" s="1"/>
      <c r="BV107" s="1"/>
      <c r="BW107" s="1"/>
      <c r="CL107" s="1"/>
      <c r="CM107" s="1"/>
    </row>
    <row r="108" spans="1:91" x14ac:dyDescent="0.3">
      <c r="A108" s="3">
        <v>1382.7</v>
      </c>
      <c r="B108" s="3">
        <f t="shared" si="9"/>
        <v>1075438.0499999998</v>
      </c>
      <c r="E108" s="3">
        <f>A108</f>
        <v>1382.7</v>
      </c>
      <c r="M108" s="3">
        <f t="shared" si="8"/>
        <v>0</v>
      </c>
      <c r="N108" s="3"/>
      <c r="O108" s="3"/>
      <c r="R108" s="48"/>
      <c r="S108" s="48"/>
      <c r="T108" s="50"/>
      <c r="U108" s="50"/>
      <c r="V108" s="48"/>
      <c r="W108" s="48"/>
      <c r="X108" s="48"/>
      <c r="Y108" s="48"/>
      <c r="Z108" s="50"/>
      <c r="AA108" s="50"/>
      <c r="AB108" s="48"/>
      <c r="AC108" s="48"/>
      <c r="AD108" s="48"/>
      <c r="AE108" s="48"/>
      <c r="AF108" s="50"/>
      <c r="AG108" s="50"/>
      <c r="AH108" s="48"/>
      <c r="AI108" s="48"/>
      <c r="AJ108" s="48"/>
      <c r="AK108" s="48"/>
      <c r="AL108" s="50"/>
      <c r="AM108" s="50"/>
      <c r="AN108" s="48"/>
      <c r="AO108" s="48"/>
      <c r="AP108" s="48"/>
      <c r="AQ108" s="48"/>
      <c r="AR108" s="50"/>
      <c r="AS108" s="50"/>
      <c r="AT108" s="48"/>
      <c r="AU108" s="48"/>
      <c r="AV108" s="48"/>
      <c r="AW108" s="48"/>
      <c r="AX108" s="50"/>
      <c r="AY108" s="50"/>
      <c r="BD108" s="1"/>
      <c r="BE108" s="1"/>
      <c r="BJ108" s="1"/>
      <c r="BK108" s="1"/>
      <c r="BP108" s="1"/>
      <c r="BQ108" s="1"/>
      <c r="BV108" s="1"/>
      <c r="BW108" s="1"/>
      <c r="CL108" s="1"/>
      <c r="CM108" s="1"/>
    </row>
    <row r="109" spans="1:91" x14ac:dyDescent="0.3">
      <c r="A109" s="3">
        <v>20</v>
      </c>
      <c r="B109" s="3">
        <f t="shared" si="9"/>
        <v>1075458.0499999998</v>
      </c>
      <c r="K109" s="3">
        <f>A109</f>
        <v>20</v>
      </c>
      <c r="M109" s="3">
        <f t="shared" si="8"/>
        <v>0</v>
      </c>
      <c r="N109" s="3"/>
      <c r="O109" s="3"/>
      <c r="R109" s="48"/>
      <c r="S109" s="48"/>
      <c r="T109" s="50"/>
      <c r="U109" s="50"/>
      <c r="V109" s="48"/>
      <c r="W109" s="48"/>
      <c r="X109" s="48"/>
      <c r="Y109" s="48"/>
      <c r="Z109" s="50"/>
      <c r="AA109" s="50"/>
      <c r="AB109" s="48"/>
      <c r="AC109" s="48"/>
      <c r="AD109" s="48"/>
      <c r="AE109" s="48"/>
      <c r="AF109" s="50"/>
      <c r="AG109" s="50"/>
      <c r="AH109" s="48"/>
      <c r="AI109" s="48"/>
      <c r="AJ109" s="48"/>
      <c r="AK109" s="48"/>
      <c r="AL109" s="50"/>
      <c r="AM109" s="50"/>
      <c r="AN109" s="48"/>
      <c r="AO109" s="48"/>
      <c r="AP109" s="48"/>
      <c r="AQ109" s="48"/>
      <c r="AR109" s="50"/>
      <c r="AS109" s="50"/>
      <c r="AT109" s="48"/>
      <c r="AU109" s="48"/>
      <c r="AV109" s="48"/>
      <c r="AW109" s="48"/>
      <c r="AX109" s="50"/>
      <c r="AY109" s="50"/>
      <c r="BD109" s="1"/>
      <c r="BE109" s="1"/>
      <c r="BJ109" s="1"/>
      <c r="BK109" s="1"/>
      <c r="BP109" s="1"/>
      <c r="BQ109" s="1"/>
      <c r="BV109" s="1"/>
      <c r="BW109" s="1"/>
      <c r="CL109" s="1"/>
      <c r="CM109" s="1"/>
    </row>
    <row r="110" spans="1:91" x14ac:dyDescent="0.3">
      <c r="A110" s="3">
        <v>20</v>
      </c>
      <c r="B110" s="3">
        <f t="shared" si="9"/>
        <v>1075478.0499999998</v>
      </c>
      <c r="K110" s="3">
        <f>A110</f>
        <v>20</v>
      </c>
      <c r="M110" s="3">
        <f t="shared" si="8"/>
        <v>0</v>
      </c>
      <c r="N110" s="3"/>
      <c r="O110" s="3"/>
      <c r="R110" s="48"/>
      <c r="S110" s="48"/>
      <c r="T110" s="50"/>
      <c r="U110" s="50"/>
      <c r="V110" s="48"/>
      <c r="W110" s="48"/>
      <c r="X110" s="48"/>
      <c r="Y110" s="48"/>
      <c r="Z110" s="50"/>
      <c r="AA110" s="50"/>
      <c r="AB110" s="48"/>
      <c r="AC110" s="48"/>
      <c r="AD110" s="48"/>
      <c r="AE110" s="48"/>
      <c r="AF110" s="50"/>
      <c r="AG110" s="50"/>
      <c r="AH110" s="48"/>
      <c r="AI110" s="48"/>
      <c r="AJ110" s="48"/>
      <c r="AK110" s="48"/>
      <c r="AL110" s="50"/>
      <c r="AM110" s="50"/>
      <c r="AN110" s="48"/>
      <c r="AO110" s="48"/>
      <c r="AP110" s="48"/>
      <c r="AQ110" s="48"/>
      <c r="AR110" s="50"/>
      <c r="AS110" s="50"/>
      <c r="AT110" s="48"/>
      <c r="AU110" s="48"/>
      <c r="AV110" s="48"/>
      <c r="AW110" s="48"/>
      <c r="AX110" s="50"/>
      <c r="AY110" s="50"/>
      <c r="BD110" s="1"/>
      <c r="BE110" s="1"/>
      <c r="BJ110" s="1"/>
      <c r="BK110" s="1"/>
      <c r="BP110" s="1"/>
      <c r="BQ110" s="1"/>
      <c r="BV110" s="1"/>
      <c r="BW110" s="1"/>
      <c r="CL110" s="1"/>
      <c r="CM110" s="1"/>
    </row>
    <row r="111" spans="1:91" x14ac:dyDescent="0.3">
      <c r="A111" s="3">
        <v>11061.6</v>
      </c>
      <c r="B111" s="3">
        <f t="shared" si="9"/>
        <v>1086539.6499999999</v>
      </c>
      <c r="E111" s="3">
        <f>A111</f>
        <v>11061.6</v>
      </c>
      <c r="M111" s="3">
        <f t="shared" si="8"/>
        <v>0</v>
      </c>
      <c r="N111" s="3"/>
      <c r="O111" s="3"/>
      <c r="R111" s="48"/>
      <c r="S111" s="48"/>
      <c r="T111" s="50"/>
      <c r="U111" s="50"/>
      <c r="V111" s="48"/>
      <c r="W111" s="48"/>
      <c r="X111" s="48"/>
      <c r="Y111" s="48"/>
      <c r="Z111" s="50"/>
      <c r="AA111" s="50"/>
      <c r="AB111" s="48"/>
      <c r="AC111" s="48"/>
      <c r="AD111" s="48"/>
      <c r="AE111" s="48"/>
      <c r="AF111" s="50"/>
      <c r="AG111" s="50"/>
      <c r="AH111" s="48"/>
      <c r="AI111" s="48"/>
      <c r="AJ111" s="48"/>
      <c r="AK111" s="48"/>
      <c r="AL111" s="50"/>
      <c r="AM111" s="50"/>
      <c r="AN111" s="48"/>
      <c r="AO111" s="48"/>
      <c r="AP111" s="48"/>
      <c r="AQ111" s="48"/>
      <c r="AR111" s="50"/>
      <c r="AS111" s="50"/>
      <c r="AT111" s="48"/>
      <c r="AU111" s="48"/>
      <c r="AV111" s="48"/>
      <c r="AW111" s="48"/>
      <c r="AX111" s="50"/>
      <c r="AY111" s="50"/>
      <c r="BD111" s="1"/>
      <c r="BE111" s="1"/>
      <c r="BJ111" s="1"/>
      <c r="BK111" s="1"/>
      <c r="BP111" s="1"/>
      <c r="BQ111" s="1"/>
      <c r="BV111" s="1"/>
      <c r="BW111" s="1"/>
      <c r="CL111" s="1"/>
      <c r="CM111" s="1"/>
    </row>
    <row r="112" spans="1:91" x14ac:dyDescent="0.3">
      <c r="A112" s="3">
        <v>160</v>
      </c>
      <c r="B112" s="3">
        <f t="shared" si="9"/>
        <v>1086699.6499999999</v>
      </c>
      <c r="K112" s="3">
        <f>A112</f>
        <v>160</v>
      </c>
      <c r="M112" s="3">
        <f t="shared" si="8"/>
        <v>0</v>
      </c>
      <c r="N112" s="3"/>
      <c r="O112" s="3"/>
      <c r="R112" s="48"/>
      <c r="S112" s="48"/>
      <c r="T112" s="50"/>
      <c r="U112" s="50"/>
      <c r="V112" s="48"/>
      <c r="W112" s="48"/>
      <c r="X112" s="48"/>
      <c r="Y112" s="48"/>
      <c r="Z112" s="50"/>
      <c r="AA112" s="50"/>
      <c r="AB112" s="48"/>
      <c r="AC112" s="48"/>
      <c r="AD112" s="48"/>
      <c r="AE112" s="48"/>
      <c r="AF112" s="50"/>
      <c r="AG112" s="50"/>
      <c r="AH112" s="48"/>
      <c r="AI112" s="48"/>
      <c r="AJ112" s="48"/>
      <c r="AK112" s="48"/>
      <c r="AL112" s="50"/>
      <c r="AM112" s="50"/>
      <c r="AN112" s="48"/>
      <c r="AO112" s="48"/>
      <c r="AP112" s="48"/>
      <c r="AQ112" s="48"/>
      <c r="AR112" s="50"/>
      <c r="AS112" s="50"/>
      <c r="AT112" s="48"/>
      <c r="AU112" s="48"/>
      <c r="AV112" s="48"/>
      <c r="AW112" s="48"/>
      <c r="AX112" s="50"/>
      <c r="AY112" s="50"/>
      <c r="BD112" s="1"/>
      <c r="BE112" s="1"/>
      <c r="BJ112" s="1"/>
      <c r="BK112" s="1"/>
      <c r="BP112" s="1"/>
      <c r="BQ112" s="1"/>
      <c r="BV112" s="1"/>
      <c r="BW112" s="1"/>
      <c r="CL112" s="1"/>
      <c r="CM112" s="1"/>
    </row>
    <row r="113" spans="1:91" x14ac:dyDescent="0.3">
      <c r="A113" s="3">
        <v>396.48</v>
      </c>
      <c r="B113" s="3">
        <f t="shared" si="9"/>
        <v>1087096.1299999999</v>
      </c>
      <c r="G113" s="3">
        <f>A113</f>
        <v>396.48</v>
      </c>
      <c r="M113" s="3">
        <f>A113-D113-E113-G113-I113-J113-K113-L113</f>
        <v>0</v>
      </c>
      <c r="N113" s="3"/>
      <c r="O113" s="3"/>
      <c r="R113" s="48"/>
      <c r="S113" s="48"/>
      <c r="T113" s="50"/>
      <c r="U113" s="50"/>
      <c r="V113" s="48"/>
      <c r="W113" s="48"/>
      <c r="X113" s="48"/>
      <c r="Y113" s="48"/>
      <c r="Z113" s="50"/>
      <c r="AA113" s="50"/>
      <c r="AB113" s="48"/>
      <c r="AC113" s="48"/>
      <c r="AD113" s="48"/>
      <c r="AE113" s="48"/>
      <c r="AF113" s="50"/>
      <c r="AG113" s="50"/>
      <c r="AH113" s="48"/>
      <c r="AI113" s="48"/>
      <c r="AJ113" s="48"/>
      <c r="AK113" s="48"/>
      <c r="AL113" s="50"/>
      <c r="AM113" s="50"/>
      <c r="AN113" s="48"/>
      <c r="AO113" s="48"/>
      <c r="AP113" s="48"/>
      <c r="AQ113" s="48"/>
      <c r="AR113" s="50"/>
      <c r="AS113" s="50"/>
      <c r="AT113" s="48"/>
      <c r="AU113" s="48"/>
      <c r="AV113" s="48"/>
      <c r="AW113" s="48"/>
      <c r="AX113" s="50"/>
      <c r="AY113" s="50"/>
      <c r="BD113" s="1"/>
      <c r="BE113" s="1"/>
      <c r="BJ113" s="1"/>
      <c r="BK113" s="1"/>
      <c r="BP113" s="1"/>
      <c r="BQ113" s="1"/>
      <c r="BV113" s="1"/>
      <c r="BW113" s="1"/>
      <c r="CL113" s="1"/>
      <c r="CM113" s="1"/>
    </row>
    <row r="114" spans="1:91" x14ac:dyDescent="0.3">
      <c r="A114" s="3">
        <v>1427.7</v>
      </c>
      <c r="B114" s="3">
        <f t="shared" si="9"/>
        <v>1088523.8299999998</v>
      </c>
      <c r="H114" s="3">
        <f>A114</f>
        <v>1427.7</v>
      </c>
      <c r="M114" s="3">
        <f>A114-D114-E114-H114-I114-J114-K114-L114</f>
        <v>0</v>
      </c>
      <c r="N114" s="3"/>
      <c r="O114" s="3"/>
      <c r="R114" s="48"/>
      <c r="S114" s="48"/>
      <c r="T114" s="50"/>
      <c r="U114" s="50"/>
      <c r="V114" s="48"/>
      <c r="W114" s="48"/>
      <c r="X114" s="48"/>
      <c r="Y114" s="48"/>
      <c r="Z114" s="50"/>
      <c r="AA114" s="50"/>
      <c r="AB114" s="48"/>
      <c r="AC114" s="48"/>
      <c r="AD114" s="48"/>
      <c r="AE114" s="48"/>
      <c r="AF114" s="50"/>
      <c r="AG114" s="50"/>
      <c r="AH114" s="48"/>
      <c r="AI114" s="48"/>
      <c r="AJ114" s="48"/>
      <c r="AK114" s="48"/>
      <c r="AL114" s="50"/>
      <c r="AM114" s="50"/>
      <c r="AN114" s="48"/>
      <c r="AO114" s="48"/>
      <c r="AP114" s="48"/>
      <c r="AQ114" s="48"/>
      <c r="AR114" s="50"/>
      <c r="AS114" s="50"/>
      <c r="AT114" s="48"/>
      <c r="AU114" s="48"/>
      <c r="AV114" s="48"/>
      <c r="AW114" s="48"/>
      <c r="AX114" s="50"/>
      <c r="AY114" s="50"/>
      <c r="BD114" s="1"/>
      <c r="BE114" s="1"/>
      <c r="BJ114" s="1"/>
      <c r="BK114" s="1"/>
      <c r="BP114" s="1"/>
      <c r="BQ114" s="1"/>
      <c r="BV114" s="1"/>
      <c r="BW114" s="1"/>
      <c r="CL114" s="1"/>
      <c r="CM114" s="1"/>
    </row>
    <row r="115" spans="1:91" x14ac:dyDescent="0.3">
      <c r="A115" s="3">
        <v>83678.11</v>
      </c>
      <c r="B115" s="3">
        <f t="shared" si="9"/>
        <v>1172201.94</v>
      </c>
      <c r="D115" s="3">
        <f>A115</f>
        <v>83678.11</v>
      </c>
      <c r="M115" s="3">
        <f t="shared" ref="M115:M127" si="10">A115-D115-E115-F115-I115-J115-K115-L115</f>
        <v>0</v>
      </c>
      <c r="N115" s="3"/>
      <c r="O115" s="3"/>
      <c r="R115" s="48"/>
      <c r="S115" s="48"/>
      <c r="T115" s="50"/>
      <c r="U115" s="50"/>
      <c r="V115" s="48"/>
      <c r="W115" s="48"/>
      <c r="X115" s="48"/>
      <c r="Y115" s="48"/>
      <c r="Z115" s="50"/>
      <c r="AA115" s="50"/>
      <c r="AB115" s="48"/>
      <c r="AC115" s="48"/>
      <c r="AD115" s="48"/>
      <c r="AE115" s="48"/>
      <c r="AF115" s="50"/>
      <c r="AG115" s="50"/>
      <c r="AH115" s="48"/>
      <c r="AI115" s="48"/>
      <c r="AJ115" s="48"/>
      <c r="AK115" s="48"/>
      <c r="AL115" s="50"/>
      <c r="AM115" s="50"/>
      <c r="AN115" s="48"/>
      <c r="AO115" s="48"/>
      <c r="AP115" s="48"/>
      <c r="AQ115" s="48"/>
      <c r="AR115" s="50"/>
      <c r="AS115" s="50"/>
      <c r="AT115" s="48"/>
      <c r="AU115" s="48"/>
      <c r="AV115" s="48"/>
      <c r="AW115" s="48"/>
      <c r="AX115" s="50"/>
      <c r="AY115" s="50"/>
      <c r="BD115" s="1"/>
      <c r="BE115" s="1"/>
      <c r="BJ115" s="1"/>
      <c r="BK115" s="1"/>
      <c r="BP115" s="1"/>
      <c r="BQ115" s="1"/>
      <c r="BV115" s="1"/>
      <c r="BW115" s="1"/>
      <c r="CL115" s="1"/>
      <c r="CM115" s="1"/>
    </row>
    <row r="116" spans="1:91" x14ac:dyDescent="0.3">
      <c r="A116" s="3">
        <v>4040</v>
      </c>
      <c r="B116" s="3">
        <f t="shared" si="9"/>
        <v>1176241.94</v>
      </c>
      <c r="I116" s="3">
        <f>A116</f>
        <v>4040</v>
      </c>
      <c r="M116" s="3">
        <f t="shared" si="10"/>
        <v>0</v>
      </c>
      <c r="N116" s="3"/>
      <c r="O116" s="3"/>
      <c r="R116" s="48"/>
      <c r="S116" s="48"/>
      <c r="T116" s="50"/>
      <c r="U116" s="50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</row>
    <row r="117" spans="1:91" x14ac:dyDescent="0.3">
      <c r="A117" s="3">
        <v>2628.37</v>
      </c>
      <c r="B117" s="3">
        <f t="shared" si="9"/>
        <v>1178870.31</v>
      </c>
      <c r="F117" s="3">
        <f>A117</f>
        <v>2628.37</v>
      </c>
      <c r="M117" s="3">
        <f t="shared" si="10"/>
        <v>0</v>
      </c>
      <c r="N117" s="3"/>
      <c r="O117" s="3"/>
      <c r="R117" s="48"/>
      <c r="S117" s="48"/>
      <c r="T117" s="50"/>
      <c r="U117" s="50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</row>
    <row r="118" spans="1:91" x14ac:dyDescent="0.3">
      <c r="A118" s="3">
        <v>80</v>
      </c>
      <c r="B118" s="3">
        <f t="shared" si="9"/>
        <v>1178950.31</v>
      </c>
      <c r="J118" s="3">
        <f>A118</f>
        <v>80</v>
      </c>
      <c r="M118" s="3">
        <f t="shared" si="10"/>
        <v>0</v>
      </c>
      <c r="N118" s="3"/>
      <c r="O118" s="3"/>
      <c r="R118" s="48"/>
      <c r="S118" s="48"/>
      <c r="T118" s="50"/>
      <c r="U118" s="50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</row>
    <row r="119" spans="1:91" x14ac:dyDescent="0.3">
      <c r="A119" s="3">
        <v>80</v>
      </c>
      <c r="B119" s="3">
        <f t="shared" si="9"/>
        <v>1179030.31</v>
      </c>
      <c r="J119" s="3">
        <f>A119</f>
        <v>80</v>
      </c>
      <c r="M119" s="3">
        <f t="shared" si="10"/>
        <v>0</v>
      </c>
      <c r="N119" s="3"/>
      <c r="O119" s="3"/>
      <c r="R119" s="48"/>
      <c r="S119" s="48"/>
      <c r="T119" s="50"/>
      <c r="U119" s="50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</row>
    <row r="120" spans="1:91" x14ac:dyDescent="0.3">
      <c r="A120" s="3">
        <v>80</v>
      </c>
      <c r="B120" s="3">
        <f t="shared" si="9"/>
        <v>1179110.31</v>
      </c>
      <c r="J120" s="3">
        <f>A120</f>
        <v>80</v>
      </c>
      <c r="M120" s="3">
        <f t="shared" si="10"/>
        <v>0</v>
      </c>
      <c r="N120" s="3"/>
      <c r="O120" s="3"/>
      <c r="R120" s="49"/>
      <c r="S120" s="49"/>
      <c r="T120" s="8"/>
      <c r="U120" s="8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7"/>
      <c r="BY120" s="55"/>
      <c r="BZ120" s="55"/>
      <c r="CA120" s="55"/>
      <c r="CB120" s="55"/>
      <c r="CC120" s="55"/>
      <c r="CD120" s="55"/>
    </row>
    <row r="121" spans="1:91" x14ac:dyDescent="0.3">
      <c r="A121" s="3">
        <v>1382.7</v>
      </c>
      <c r="B121" s="3">
        <f t="shared" si="9"/>
        <v>1180493.01</v>
      </c>
      <c r="E121" s="3">
        <f>A121</f>
        <v>1382.7</v>
      </c>
      <c r="M121" s="3">
        <f t="shared" si="10"/>
        <v>0</v>
      </c>
      <c r="N121" s="3"/>
      <c r="O121" s="3"/>
      <c r="R121" s="49"/>
      <c r="S121" s="49"/>
      <c r="T121" s="8"/>
      <c r="U121" s="8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</row>
    <row r="122" spans="1:91" x14ac:dyDescent="0.3">
      <c r="A122" s="3">
        <v>20</v>
      </c>
      <c r="B122" s="3">
        <f t="shared" si="9"/>
        <v>1180513.01</v>
      </c>
      <c r="K122" s="3">
        <f>A122</f>
        <v>20</v>
      </c>
      <c r="M122" s="3">
        <f t="shared" si="10"/>
        <v>0</v>
      </c>
      <c r="N122" s="3"/>
      <c r="O122" s="3"/>
      <c r="R122" s="49"/>
      <c r="S122" s="49"/>
      <c r="T122" s="8"/>
      <c r="U122" s="8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55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55"/>
      <c r="BX122" s="55"/>
      <c r="BY122" s="55"/>
      <c r="BZ122" s="55"/>
      <c r="CA122" s="55"/>
      <c r="CB122" s="55"/>
      <c r="CC122" s="55"/>
      <c r="CD122" s="55"/>
    </row>
    <row r="123" spans="1:91" x14ac:dyDescent="0.3">
      <c r="A123" s="3">
        <v>80</v>
      </c>
      <c r="B123" s="3">
        <f t="shared" si="9"/>
        <v>1180593.01</v>
      </c>
      <c r="J123" s="3">
        <f>A123</f>
        <v>80</v>
      </c>
      <c r="M123" s="3">
        <f t="shared" si="10"/>
        <v>0</v>
      </c>
      <c r="N123" s="3"/>
      <c r="O123" s="3"/>
      <c r="R123" s="49"/>
      <c r="S123" s="49"/>
      <c r="T123" s="8"/>
      <c r="U123" s="8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  <c r="CC123" s="55"/>
      <c r="CD123" s="55"/>
    </row>
    <row r="124" spans="1:91" x14ac:dyDescent="0.3">
      <c r="A124" s="3">
        <v>80</v>
      </c>
      <c r="B124" s="3">
        <f t="shared" si="9"/>
        <v>1180673.01</v>
      </c>
      <c r="J124" s="3">
        <f>A124</f>
        <v>80</v>
      </c>
      <c r="M124" s="3">
        <f t="shared" si="10"/>
        <v>0</v>
      </c>
      <c r="N124" s="3"/>
      <c r="O124" s="3"/>
      <c r="R124" s="49"/>
      <c r="S124" s="49"/>
      <c r="T124" s="8"/>
      <c r="U124" s="8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</row>
    <row r="125" spans="1:91" x14ac:dyDescent="0.3">
      <c r="A125" s="3">
        <v>2611.5300000000002</v>
      </c>
      <c r="B125" s="3">
        <f t="shared" si="9"/>
        <v>1183284.54</v>
      </c>
      <c r="F125" s="3">
        <f>A125</f>
        <v>2611.5300000000002</v>
      </c>
      <c r="M125" s="3">
        <f t="shared" si="10"/>
        <v>0</v>
      </c>
      <c r="N125" s="3"/>
      <c r="O125" s="3"/>
      <c r="R125" s="49"/>
      <c r="S125" s="49"/>
      <c r="T125" s="8"/>
      <c r="U125" s="8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  <c r="CC125" s="55"/>
      <c r="CD125" s="55"/>
    </row>
    <row r="126" spans="1:91" x14ac:dyDescent="0.3">
      <c r="A126" s="3">
        <v>20</v>
      </c>
      <c r="B126" s="3">
        <f t="shared" si="9"/>
        <v>1183304.54</v>
      </c>
      <c r="K126" s="3">
        <f>A126</f>
        <v>20</v>
      </c>
      <c r="M126" s="3">
        <f t="shared" si="10"/>
        <v>0</v>
      </c>
      <c r="N126" s="3"/>
      <c r="O126" s="3"/>
      <c r="R126" s="49"/>
      <c r="S126" s="49"/>
      <c r="T126" s="8"/>
      <c r="U126" s="8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  <c r="CC126" s="55"/>
      <c r="CD126" s="55"/>
    </row>
    <row r="127" spans="1:91" x14ac:dyDescent="0.3">
      <c r="A127" s="3">
        <v>40.4</v>
      </c>
      <c r="B127" s="3">
        <f t="shared" si="9"/>
        <v>1183344.94</v>
      </c>
      <c r="F127" s="3">
        <f>A127</f>
        <v>40.4</v>
      </c>
      <c r="M127" s="3">
        <f t="shared" si="10"/>
        <v>0</v>
      </c>
      <c r="N127" s="3"/>
      <c r="O127" s="3"/>
      <c r="R127" s="55"/>
      <c r="S127" s="55"/>
      <c r="T127" s="56"/>
      <c r="U127" s="56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  <c r="CD127" s="55"/>
    </row>
    <row r="128" spans="1:91" x14ac:dyDescent="0.3">
      <c r="A128" s="3">
        <v>377.85</v>
      </c>
      <c r="B128" s="3">
        <f t="shared" si="9"/>
        <v>1183722.79</v>
      </c>
      <c r="G128" s="3">
        <f>A128</f>
        <v>377.85</v>
      </c>
      <c r="M128" s="3">
        <f>A128-D128-E128-G128-I128-J128-K128-L128</f>
        <v>0</v>
      </c>
      <c r="N128" s="3"/>
      <c r="O128" s="3"/>
      <c r="R128" s="55"/>
      <c r="S128" s="55"/>
      <c r="T128" s="56"/>
      <c r="U128" s="56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  <c r="CC128" s="55"/>
      <c r="CD128" s="55"/>
    </row>
    <row r="129" spans="1:82" x14ac:dyDescent="0.3">
      <c r="A129" s="3">
        <v>83226.14</v>
      </c>
      <c r="B129" s="3">
        <f t="shared" si="9"/>
        <v>1266948.93</v>
      </c>
      <c r="D129" s="3">
        <f>A129</f>
        <v>83226.14</v>
      </c>
      <c r="M129" s="3">
        <f>A129-D129-E129-F129-I129-J129-K129-L129</f>
        <v>0</v>
      </c>
      <c r="N129" s="3"/>
      <c r="O129" s="3" t="s">
        <v>203</v>
      </c>
      <c r="R129" s="55"/>
      <c r="S129" s="55"/>
      <c r="T129" s="56"/>
      <c r="U129" s="56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  <c r="CC129" s="55"/>
      <c r="CD129" s="55"/>
    </row>
    <row r="130" spans="1:82" x14ac:dyDescent="0.3">
      <c r="A130" s="3">
        <v>1562.27</v>
      </c>
      <c r="B130" s="3">
        <f t="shared" si="9"/>
        <v>1268511.2</v>
      </c>
      <c r="H130" s="3">
        <v>1592.27</v>
      </c>
      <c r="M130" s="3">
        <f>A130-D130-E130-F130-I130-J130-K130-L130</f>
        <v>1562.27</v>
      </c>
      <c r="N130" s="3"/>
      <c r="O130" s="3"/>
      <c r="R130" s="55"/>
      <c r="S130" s="55"/>
      <c r="T130" s="56"/>
      <c r="U130" s="56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55"/>
      <c r="BX130" s="55"/>
      <c r="BY130" s="55"/>
      <c r="BZ130" s="55"/>
      <c r="CA130" s="55"/>
      <c r="CB130" s="55"/>
      <c r="CC130" s="55"/>
      <c r="CD130" s="55"/>
    </row>
    <row r="131" spans="1:82" x14ac:dyDescent="0.3">
      <c r="N131" s="3"/>
      <c r="O131" s="3"/>
      <c r="R131" s="55"/>
      <c r="S131" s="55"/>
      <c r="T131" s="56"/>
      <c r="U131" s="56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S131" s="55"/>
      <c r="BT131" s="55"/>
      <c r="BU131" s="55"/>
      <c r="BV131" s="55"/>
      <c r="BW131" s="55"/>
      <c r="BX131" s="55"/>
      <c r="BY131" s="55"/>
      <c r="BZ131" s="55"/>
      <c r="CA131" s="55"/>
      <c r="CB131" s="55"/>
      <c r="CC131" s="55"/>
      <c r="CD131" s="55"/>
    </row>
    <row r="132" spans="1:82" x14ac:dyDescent="0.3">
      <c r="A132" s="3">
        <f>SUM(A27:A131)</f>
        <v>1268511.2</v>
      </c>
      <c r="D132" s="3">
        <f>SUM(D27:D131)</f>
        <v>1157613.8799999999</v>
      </c>
      <c r="E132" s="3">
        <f t="shared" ref="E132" si="11">SUM(E27:E131)</f>
        <v>23505.900000000005</v>
      </c>
      <c r="F132" s="3">
        <f>SUM(F27:F131)</f>
        <v>27580.02</v>
      </c>
      <c r="G132" s="3">
        <f t="shared" ref="G132:H132" si="12">SUM(G27:G131)</f>
        <v>6380.7899999999991</v>
      </c>
      <c r="H132" s="3">
        <f t="shared" si="12"/>
        <v>16554.32</v>
      </c>
      <c r="I132" s="3">
        <f>SUM(I27:I131)</f>
        <v>35047</v>
      </c>
      <c r="J132" s="3">
        <f>SUM(J27:J131)</f>
        <v>1345</v>
      </c>
      <c r="K132" s="3">
        <f>SUM(K27:K131)</f>
        <v>460</v>
      </c>
      <c r="L132" s="3">
        <f>SUM(L27:L131)</f>
        <v>52</v>
      </c>
      <c r="N132" s="3"/>
      <c r="O132" s="3"/>
      <c r="R132" s="55"/>
      <c r="S132" s="55"/>
      <c r="T132" s="56"/>
      <c r="U132" s="56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  <c r="BF132" s="55"/>
      <c r="BG132" s="55"/>
      <c r="BH132" s="55"/>
      <c r="BI132" s="55"/>
      <c r="BJ132" s="55"/>
      <c r="BK132" s="55"/>
      <c r="BL132" s="55"/>
      <c r="BM132" s="55"/>
      <c r="BN132" s="55"/>
      <c r="BO132" s="55"/>
      <c r="BP132" s="55"/>
      <c r="BQ132" s="55"/>
      <c r="BR132" s="55"/>
      <c r="BS132" s="55"/>
      <c r="BT132" s="55"/>
      <c r="BU132" s="55"/>
      <c r="BV132" s="55"/>
      <c r="BW132" s="55"/>
      <c r="BX132" s="55"/>
      <c r="BY132" s="55"/>
      <c r="BZ132" s="55"/>
      <c r="CA132" s="55"/>
      <c r="CB132" s="55"/>
      <c r="CC132" s="55"/>
      <c r="CD132" s="55"/>
    </row>
    <row r="133" spans="1:82" x14ac:dyDescent="0.3">
      <c r="N133" s="3"/>
      <c r="O133" s="3"/>
    </row>
    <row r="134" spans="1:82" x14ac:dyDescent="0.3">
      <c r="A134" s="3" t="s">
        <v>206</v>
      </c>
    </row>
    <row r="135" spans="1:82" x14ac:dyDescent="0.3">
      <c r="D135" s="3">
        <v>375</v>
      </c>
    </row>
    <row r="136" spans="1:82" x14ac:dyDescent="0.3">
      <c r="D136" s="3">
        <v>375</v>
      </c>
    </row>
    <row r="137" spans="1:82" x14ac:dyDescent="0.3">
      <c r="D137" s="3">
        <v>375</v>
      </c>
    </row>
    <row r="138" spans="1:82" x14ac:dyDescent="0.3">
      <c r="D138" s="3">
        <v>375</v>
      </c>
    </row>
    <row r="139" spans="1:82" x14ac:dyDescent="0.3">
      <c r="D139" s="3">
        <v>380</v>
      </c>
    </row>
    <row r="140" spans="1:82" x14ac:dyDescent="0.3">
      <c r="D140" s="3">
        <v>380</v>
      </c>
    </row>
    <row r="141" spans="1:82" x14ac:dyDescent="0.3">
      <c r="D141" s="3">
        <v>375</v>
      </c>
    </row>
    <row r="142" spans="1:82" x14ac:dyDescent="0.3">
      <c r="D142" s="3">
        <v>405</v>
      </c>
    </row>
    <row r="143" spans="1:82" x14ac:dyDescent="0.3">
      <c r="D143" s="3">
        <v>405</v>
      </c>
    </row>
    <row r="144" spans="1:82" x14ac:dyDescent="0.3">
      <c r="D144" s="3">
        <v>405</v>
      </c>
    </row>
    <row r="145" spans="1:10" x14ac:dyDescent="0.3">
      <c r="D145" s="3">
        <v>400</v>
      </c>
    </row>
    <row r="147" spans="1:10" x14ac:dyDescent="0.3">
      <c r="D147" s="3">
        <f>SUM(D135:D146)</f>
        <v>4250</v>
      </c>
    </row>
    <row r="149" spans="1:10" x14ac:dyDescent="0.3">
      <c r="A149" s="3" t="s">
        <v>205</v>
      </c>
    </row>
    <row r="150" spans="1:10" x14ac:dyDescent="0.3">
      <c r="E150" s="3" t="s">
        <v>207</v>
      </c>
      <c r="G150" s="3" t="s">
        <v>210</v>
      </c>
      <c r="H150" s="3" t="s">
        <v>209</v>
      </c>
      <c r="I150" s="3" t="s">
        <v>208</v>
      </c>
    </row>
    <row r="151" spans="1:10" x14ac:dyDescent="0.3">
      <c r="I151" s="3">
        <v>20</v>
      </c>
    </row>
    <row r="152" spans="1:10" x14ac:dyDescent="0.3">
      <c r="J152" s="3">
        <v>26</v>
      </c>
    </row>
    <row r="153" spans="1:10" x14ac:dyDescent="0.3">
      <c r="I153" s="3">
        <v>20</v>
      </c>
    </row>
    <row r="154" spans="1:10" x14ac:dyDescent="0.3">
      <c r="I154" s="3">
        <v>20</v>
      </c>
    </row>
    <row r="155" spans="1:10" x14ac:dyDescent="0.3">
      <c r="I155" s="3">
        <v>20</v>
      </c>
    </row>
    <row r="156" spans="1:10" x14ac:dyDescent="0.3">
      <c r="I156" s="3">
        <v>20</v>
      </c>
    </row>
    <row r="157" spans="1:10" x14ac:dyDescent="0.3">
      <c r="E157" s="3">
        <v>1382.7</v>
      </c>
    </row>
    <row r="158" spans="1:10" x14ac:dyDescent="0.3">
      <c r="I158" s="3">
        <v>20</v>
      </c>
    </row>
    <row r="159" spans="1:10" x14ac:dyDescent="0.3">
      <c r="I159" s="3">
        <v>20</v>
      </c>
    </row>
    <row r="160" spans="1:10" x14ac:dyDescent="0.3">
      <c r="H160" s="3">
        <v>284.89</v>
      </c>
    </row>
    <row r="161" spans="5:10" x14ac:dyDescent="0.3">
      <c r="I161" s="3">
        <v>20</v>
      </c>
    </row>
    <row r="162" spans="5:10" x14ac:dyDescent="0.3">
      <c r="E162" s="3">
        <v>1382.7</v>
      </c>
    </row>
    <row r="163" spans="5:10" x14ac:dyDescent="0.3">
      <c r="I163" s="3">
        <v>20</v>
      </c>
    </row>
    <row r="164" spans="5:10" x14ac:dyDescent="0.3">
      <c r="I164" s="3">
        <v>20</v>
      </c>
    </row>
    <row r="165" spans="5:10" x14ac:dyDescent="0.3">
      <c r="I165" s="3">
        <v>20</v>
      </c>
    </row>
    <row r="166" spans="5:10" x14ac:dyDescent="0.3">
      <c r="E166" s="3">
        <v>1382.7</v>
      </c>
    </row>
    <row r="167" spans="5:10" x14ac:dyDescent="0.3">
      <c r="E167" s="3">
        <v>1382.7</v>
      </c>
    </row>
    <row r="168" spans="5:10" x14ac:dyDescent="0.3">
      <c r="E168" s="3">
        <v>1382.7</v>
      </c>
    </row>
    <row r="169" spans="5:10" x14ac:dyDescent="0.3">
      <c r="I169" s="3">
        <v>20</v>
      </c>
    </row>
    <row r="170" spans="5:10" x14ac:dyDescent="0.3">
      <c r="I170" s="3">
        <v>20</v>
      </c>
    </row>
    <row r="171" spans="5:10" x14ac:dyDescent="0.3">
      <c r="G171" s="3">
        <v>18</v>
      </c>
    </row>
    <row r="172" spans="5:10" x14ac:dyDescent="0.3">
      <c r="E172" s="3">
        <v>1382.7</v>
      </c>
      <c r="H172" s="3">
        <v>724.88</v>
      </c>
      <c r="I172" s="3">
        <v>20</v>
      </c>
      <c r="J172" s="3">
        <v>26</v>
      </c>
    </row>
    <row r="173" spans="5:10" x14ac:dyDescent="0.3">
      <c r="H173" s="3" t="s">
        <v>211</v>
      </c>
      <c r="I173" s="3">
        <v>20</v>
      </c>
    </row>
    <row r="174" spans="5:10" x14ac:dyDescent="0.3">
      <c r="I174" s="3">
        <v>20</v>
      </c>
    </row>
    <row r="175" spans="5:10" x14ac:dyDescent="0.3">
      <c r="I175" s="3">
        <v>100</v>
      </c>
    </row>
    <row r="176" spans="5:10" x14ac:dyDescent="0.3">
      <c r="E176" s="3">
        <v>6913.5</v>
      </c>
    </row>
    <row r="177" spans="1:10" x14ac:dyDescent="0.3">
      <c r="I177" s="3">
        <v>20</v>
      </c>
    </row>
    <row r="178" spans="1:10" x14ac:dyDescent="0.3">
      <c r="I178" s="3">
        <v>20</v>
      </c>
    </row>
    <row r="179" spans="1:10" x14ac:dyDescent="0.3">
      <c r="I179" s="3">
        <v>20</v>
      </c>
    </row>
    <row r="180" spans="1:10" x14ac:dyDescent="0.3">
      <c r="E180" s="3">
        <v>1382.7</v>
      </c>
    </row>
    <row r="182" spans="1:10" x14ac:dyDescent="0.3">
      <c r="A182" s="3">
        <f>SUM(E182:J182)</f>
        <v>18152.170000000002</v>
      </c>
      <c r="E182" s="3">
        <f>SUM(E151:E181)</f>
        <v>16592.400000000001</v>
      </c>
      <c r="F182" s="3">
        <f t="shared" ref="F182:J182" si="13">SUM(F151:F181)</f>
        <v>0</v>
      </c>
      <c r="G182" s="3">
        <f>SUM(G151:G181)</f>
        <v>18</v>
      </c>
      <c r="H182" s="3">
        <f>SUM(H151:H181)</f>
        <v>1009.77</v>
      </c>
      <c r="I182" s="3">
        <f t="shared" si="13"/>
        <v>480</v>
      </c>
      <c r="J182" s="3">
        <f t="shared" si="13"/>
        <v>52</v>
      </c>
    </row>
    <row r="185" spans="1:10" x14ac:dyDescent="0.3">
      <c r="C185" s="3" t="s">
        <v>250</v>
      </c>
      <c r="E185" s="3">
        <f>E132+E182</f>
        <v>40098.300000000003</v>
      </c>
      <c r="F185" s="3" t="s">
        <v>357</v>
      </c>
    </row>
    <row r="186" spans="1:10" x14ac:dyDescent="0.3">
      <c r="E186" s="3">
        <v>1382.7</v>
      </c>
    </row>
    <row r="188" spans="1:10" x14ac:dyDescent="0.3">
      <c r="E188" s="3">
        <f>E185/E186</f>
        <v>29</v>
      </c>
    </row>
  </sheetData>
  <phoneticPr fontId="45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9FCB2-930C-4F4D-92D2-0AC736A7C4C1}">
  <dimension ref="B2:X75"/>
  <sheetViews>
    <sheetView showGridLines="0" zoomScaleNormal="100" workbookViewId="0">
      <selection activeCell="J3" sqref="J3"/>
    </sheetView>
  </sheetViews>
  <sheetFormatPr defaultRowHeight="14.4" x14ac:dyDescent="0.3"/>
  <cols>
    <col min="3" max="3" width="10.21875" style="1" bestFit="1" customWidth="1"/>
    <col min="5" max="7" width="13.88671875" bestFit="1" customWidth="1"/>
    <col min="8" max="8" width="12.88671875" bestFit="1" customWidth="1"/>
    <col min="9" max="9" width="14.5546875" bestFit="1" customWidth="1"/>
    <col min="18" max="19" width="11.21875" bestFit="1" customWidth="1"/>
    <col min="20" max="20" width="13.88671875" bestFit="1" customWidth="1"/>
    <col min="21" max="21" width="14.44140625" bestFit="1" customWidth="1"/>
    <col min="23" max="23" width="12.21875" bestFit="1" customWidth="1"/>
  </cols>
  <sheetData>
    <row r="2" spans="2:21" x14ac:dyDescent="0.3">
      <c r="F2" s="406" t="s">
        <v>251</v>
      </c>
      <c r="G2" s="406"/>
    </row>
    <row r="3" spans="2:21" x14ac:dyDescent="0.3">
      <c r="F3" s="391" t="s">
        <v>318</v>
      </c>
      <c r="G3" s="391"/>
    </row>
    <row r="4" spans="2:21" x14ac:dyDescent="0.3">
      <c r="B4" s="138" t="s">
        <v>319</v>
      </c>
      <c r="C4" s="88"/>
      <c r="D4" s="138"/>
      <c r="F4" s="238" t="s">
        <v>238</v>
      </c>
      <c r="G4" s="238" t="s">
        <v>252</v>
      </c>
    </row>
    <row r="5" spans="2:21" x14ac:dyDescent="0.3">
      <c r="B5" t="s">
        <v>231</v>
      </c>
      <c r="F5" s="52">
        <f>F32</f>
        <v>67867028</v>
      </c>
      <c r="G5" s="46">
        <f>H32</f>
        <v>982969.51727999991</v>
      </c>
    </row>
    <row r="6" spans="2:21" x14ac:dyDescent="0.3">
      <c r="B6" t="s">
        <v>232</v>
      </c>
      <c r="F6" s="52">
        <f>F46</f>
        <v>1700130</v>
      </c>
      <c r="G6" s="1">
        <f>H46</f>
        <v>20061.440000000002</v>
      </c>
      <c r="N6" s="407" t="s">
        <v>424</v>
      </c>
      <c r="O6" s="407"/>
      <c r="P6" s="407"/>
      <c r="Q6" s="407"/>
      <c r="R6" s="407"/>
      <c r="S6" s="407"/>
      <c r="T6" s="407"/>
      <c r="U6" s="407"/>
    </row>
    <row r="7" spans="2:21" x14ac:dyDescent="0.3">
      <c r="B7" t="s">
        <v>233</v>
      </c>
      <c r="F7" s="52">
        <f>F60</f>
        <v>3893000</v>
      </c>
      <c r="G7" s="1">
        <f>H60</f>
        <v>39360.004000000001</v>
      </c>
      <c r="O7" s="1"/>
      <c r="R7" s="406" t="s">
        <v>251</v>
      </c>
      <c r="S7" s="406"/>
    </row>
    <row r="8" spans="2:21" x14ac:dyDescent="0.3">
      <c r="B8" t="s">
        <v>234</v>
      </c>
      <c r="F8" s="52">
        <f>F74</f>
        <v>1292700</v>
      </c>
      <c r="G8" s="1">
        <f>H74</f>
        <v>11494.528</v>
      </c>
      <c r="H8" s="46">
        <f>SUM(G5:G8)</f>
        <v>1053885.4892799999</v>
      </c>
      <c r="O8" s="1"/>
      <c r="R8" s="391" t="s">
        <v>318</v>
      </c>
      <c r="S8" s="391"/>
      <c r="T8" s="46"/>
    </row>
    <row r="9" spans="2:21" x14ac:dyDescent="0.3">
      <c r="B9" t="s">
        <v>259</v>
      </c>
      <c r="F9" s="235"/>
      <c r="G9" s="88">
        <f>'Pro Forma Statement'!I17</f>
        <v>-27390</v>
      </c>
      <c r="N9" s="138" t="s">
        <v>319</v>
      </c>
      <c r="O9" s="88"/>
      <c r="P9" s="138"/>
      <c r="R9" s="238" t="s">
        <v>238</v>
      </c>
      <c r="S9" s="238" t="s">
        <v>252</v>
      </c>
    </row>
    <row r="10" spans="2:21" x14ac:dyDescent="0.3">
      <c r="G10" s="46"/>
      <c r="N10" t="s">
        <v>231</v>
      </c>
      <c r="O10" s="1"/>
      <c r="R10" s="52">
        <f>R32</f>
        <v>67867028</v>
      </c>
      <c r="S10" s="46">
        <f>T32</f>
        <v>1289744.3943155596</v>
      </c>
    </row>
    <row r="11" spans="2:21" ht="15" thickBot="1" x14ac:dyDescent="0.35">
      <c r="B11" t="s">
        <v>314</v>
      </c>
      <c r="F11" s="236">
        <f>SUM(F5:F10)</f>
        <v>74752858</v>
      </c>
      <c r="G11" s="50">
        <f>SUM(G5:G10)</f>
        <v>1026495.4892799999</v>
      </c>
      <c r="H11" s="3">
        <f>'Pro Forma Statement'!M18</f>
        <v>1026495.4892799999</v>
      </c>
      <c r="I11" s="47">
        <f>H11-G11</f>
        <v>0</v>
      </c>
      <c r="N11" t="s">
        <v>232</v>
      </c>
      <c r="O11" s="1"/>
      <c r="R11" s="52">
        <f>R46</f>
        <v>1700130</v>
      </c>
      <c r="S11" s="1">
        <f>T46</f>
        <v>26322.41318479021</v>
      </c>
      <c r="T11" s="3"/>
      <c r="U11" s="47"/>
    </row>
    <row r="12" spans="2:21" ht="15" thickTop="1" x14ac:dyDescent="0.3">
      <c r="B12" t="s">
        <v>317</v>
      </c>
      <c r="F12" s="52"/>
      <c r="G12" s="88">
        <f>-'Pro Forma Statement'!O16</f>
        <v>-1025199.6099999999</v>
      </c>
      <c r="N12" t="s">
        <v>233</v>
      </c>
      <c r="O12" s="1"/>
      <c r="R12" s="52">
        <f>R60</f>
        <v>3893000</v>
      </c>
      <c r="S12" s="1">
        <f>T60</f>
        <v>51643.864460527038</v>
      </c>
    </row>
    <row r="13" spans="2:21" x14ac:dyDescent="0.3">
      <c r="F13" s="52"/>
      <c r="G13" s="46"/>
      <c r="N13" t="s">
        <v>234</v>
      </c>
      <c r="O13" s="1"/>
      <c r="R13" s="52">
        <f>R74</f>
        <v>1292700</v>
      </c>
      <c r="S13" s="1">
        <f>T74</f>
        <v>15081.854312558831</v>
      </c>
    </row>
    <row r="14" spans="2:21" ht="15" thickBot="1" x14ac:dyDescent="0.35">
      <c r="B14" t="s">
        <v>315</v>
      </c>
      <c r="F14" s="52"/>
      <c r="G14" s="237">
        <f>G11+G12</f>
        <v>1295.8792799999937</v>
      </c>
      <c r="N14" t="s">
        <v>259</v>
      </c>
      <c r="O14" s="1"/>
      <c r="R14" s="235"/>
      <c r="S14" s="88">
        <f>G9*(1+Rates!G8)</f>
        <v>-35938.142881637803</v>
      </c>
    </row>
    <row r="15" spans="2:21" ht="15.6" thickTop="1" thickBot="1" x14ac:dyDescent="0.35">
      <c r="B15" t="s">
        <v>316</v>
      </c>
      <c r="F15" s="52"/>
      <c r="G15" s="311">
        <f>G14/G11</f>
        <v>1.2624305645112419E-3</v>
      </c>
      <c r="O15" s="1"/>
      <c r="S15" s="46"/>
    </row>
    <row r="16" spans="2:21" ht="15.6" thickTop="1" thickBot="1" x14ac:dyDescent="0.35">
      <c r="F16" s="52"/>
      <c r="G16" s="46"/>
      <c r="N16" t="s">
        <v>314</v>
      </c>
      <c r="O16" s="1"/>
      <c r="R16" s="236">
        <f>SUM(R10:R15)</f>
        <v>74752858</v>
      </c>
      <c r="S16" s="222">
        <f>SUM(S10:S15)</f>
        <v>1346854.3833917978</v>
      </c>
    </row>
    <row r="17" spans="2:24" ht="15" thickTop="1" x14ac:dyDescent="0.3">
      <c r="F17" s="52"/>
      <c r="G17" s="46"/>
      <c r="O17" s="1"/>
      <c r="R17" s="52"/>
      <c r="S17" s="50"/>
    </row>
    <row r="18" spans="2:24" x14ac:dyDescent="0.3">
      <c r="F18" s="52"/>
      <c r="G18" s="46"/>
      <c r="O18" s="1"/>
      <c r="R18" s="52"/>
      <c r="S18" s="46"/>
    </row>
    <row r="19" spans="2:24" x14ac:dyDescent="0.3">
      <c r="B19" s="138"/>
      <c r="E19" s="138"/>
      <c r="F19" s="138"/>
      <c r="G19" s="138"/>
      <c r="H19" s="138"/>
      <c r="N19" s="138"/>
      <c r="O19" s="1"/>
      <c r="Q19" s="138"/>
      <c r="R19" s="138"/>
      <c r="S19" s="138"/>
      <c r="T19" s="138"/>
    </row>
    <row r="20" spans="2:24" ht="16.2" x14ac:dyDescent="0.45">
      <c r="B20" s="144"/>
      <c r="C20" s="212"/>
      <c r="D20" s="213"/>
      <c r="E20" s="225" t="s">
        <v>237</v>
      </c>
      <c r="F20" s="225" t="s">
        <v>238</v>
      </c>
      <c r="G20" s="225" t="s">
        <v>239</v>
      </c>
      <c r="H20" s="225" t="s">
        <v>240</v>
      </c>
      <c r="I20" s="214"/>
      <c r="N20" s="144"/>
      <c r="O20" s="212"/>
      <c r="P20" s="213"/>
      <c r="Q20" s="225" t="s">
        <v>237</v>
      </c>
      <c r="R20" s="225" t="s">
        <v>238</v>
      </c>
      <c r="S20" s="225" t="s">
        <v>239</v>
      </c>
      <c r="T20" s="225" t="s">
        <v>240</v>
      </c>
      <c r="U20" s="214"/>
    </row>
    <row r="21" spans="2:24" x14ac:dyDescent="0.3">
      <c r="B21" s="219" t="s">
        <v>320</v>
      </c>
      <c r="C21" s="50"/>
      <c r="I21" s="145"/>
      <c r="N21" s="219" t="s">
        <v>320</v>
      </c>
      <c r="O21" s="50"/>
      <c r="U21" s="145"/>
    </row>
    <row r="22" spans="2:24" x14ac:dyDescent="0.3">
      <c r="B22" s="144" t="s">
        <v>235</v>
      </c>
      <c r="C22" s="50">
        <v>1500</v>
      </c>
      <c r="E22" s="50">
        <v>9389</v>
      </c>
      <c r="F22" s="50">
        <v>4821046</v>
      </c>
      <c r="G22" s="50">
        <v>4821046</v>
      </c>
      <c r="H22" s="50"/>
      <c r="I22" s="215">
        <f>SUM(G22:H22)</f>
        <v>4821046</v>
      </c>
      <c r="J22" s="1"/>
      <c r="N22" s="144" t="s">
        <v>235</v>
      </c>
      <c r="O22" s="50">
        <v>1500</v>
      </c>
      <c r="Q22" s="50">
        <v>9389</v>
      </c>
      <c r="R22" s="50">
        <v>4821046</v>
      </c>
      <c r="S22" s="50">
        <v>4821046</v>
      </c>
      <c r="T22" s="50"/>
      <c r="U22" s="215">
        <f>SUM(S22:T22)</f>
        <v>4821046</v>
      </c>
      <c r="V22" s="1"/>
    </row>
    <row r="23" spans="2:24" x14ac:dyDescent="0.3">
      <c r="B23" s="144" t="s">
        <v>236</v>
      </c>
      <c r="C23" s="50">
        <v>1500</v>
      </c>
      <c r="E23" s="50">
        <v>13935</v>
      </c>
      <c r="F23" s="50">
        <v>63045982</v>
      </c>
      <c r="G23" s="50">
        <v>20902500</v>
      </c>
      <c r="H23" s="50">
        <v>42143482</v>
      </c>
      <c r="I23" s="215">
        <f>SUM(G23:H23)</f>
        <v>63045982</v>
      </c>
      <c r="J23" s="1"/>
      <c r="N23" s="144" t="s">
        <v>236</v>
      </c>
      <c r="O23" s="50">
        <v>1500</v>
      </c>
      <c r="Q23" s="50">
        <v>13935</v>
      </c>
      <c r="R23" s="50">
        <v>63045982</v>
      </c>
      <c r="S23" s="50">
        <v>20902500</v>
      </c>
      <c r="T23" s="50">
        <v>42143482</v>
      </c>
      <c r="U23" s="215">
        <f>SUM(S23:T23)</f>
        <v>63045982</v>
      </c>
      <c r="V23" s="1"/>
    </row>
    <row r="24" spans="2:24" x14ac:dyDescent="0.3">
      <c r="B24" s="144"/>
      <c r="C24" s="50"/>
      <c r="E24" s="50"/>
      <c r="F24" s="50"/>
      <c r="G24" s="50"/>
      <c r="H24" s="50"/>
      <c r="I24" s="215"/>
      <c r="J24" s="1"/>
      <c r="N24" s="144"/>
      <c r="O24" s="50"/>
      <c r="Q24" s="50"/>
      <c r="R24" s="50"/>
      <c r="S24" s="50"/>
      <c r="T24" s="50"/>
      <c r="U24" s="215"/>
      <c r="V24" s="1"/>
    </row>
    <row r="25" spans="2:24" x14ac:dyDescent="0.3">
      <c r="B25" s="144" t="s">
        <v>91</v>
      </c>
      <c r="C25" s="50"/>
      <c r="E25" s="220">
        <f>SUM(E22:E24)</f>
        <v>23324</v>
      </c>
      <c r="F25" s="220">
        <f t="shared" ref="F25:I25" si="0">SUM(F22:F24)</f>
        <v>67867028</v>
      </c>
      <c r="G25" s="220">
        <f t="shared" si="0"/>
        <v>25723546</v>
      </c>
      <c r="H25" s="220">
        <f t="shared" si="0"/>
        <v>42143482</v>
      </c>
      <c r="I25" s="221">
        <f t="shared" si="0"/>
        <v>67867028</v>
      </c>
      <c r="J25" s="1"/>
      <c r="K25" s="8">
        <f>I25/E25</f>
        <v>2909.7508146115588</v>
      </c>
      <c r="N25" s="144" t="s">
        <v>91</v>
      </c>
      <c r="O25" s="50"/>
      <c r="Q25" s="220">
        <f>SUM(Q22:Q24)</f>
        <v>23324</v>
      </c>
      <c r="R25" s="220">
        <f t="shared" ref="R25:U25" si="1">SUM(R22:R24)</f>
        <v>67867028</v>
      </c>
      <c r="S25" s="220">
        <f t="shared" si="1"/>
        <v>25723546</v>
      </c>
      <c r="T25" s="220">
        <f t="shared" si="1"/>
        <v>42143482</v>
      </c>
      <c r="U25" s="221">
        <f t="shared" si="1"/>
        <v>67867028</v>
      </c>
      <c r="V25" s="1"/>
      <c r="W25" s="8">
        <f>U25/Q25</f>
        <v>2909.7508146115588</v>
      </c>
    </row>
    <row r="26" spans="2:24" x14ac:dyDescent="0.3">
      <c r="B26" s="144"/>
      <c r="C26" s="50"/>
      <c r="E26" s="50"/>
      <c r="F26" s="50"/>
      <c r="G26" s="50"/>
      <c r="H26" s="50"/>
      <c r="I26" s="215"/>
      <c r="J26" s="1"/>
      <c r="N26" s="144"/>
      <c r="O26" s="50"/>
      <c r="Q26" s="50"/>
      <c r="R26" s="50"/>
      <c r="S26" s="50"/>
      <c r="T26" s="50"/>
      <c r="U26" s="215"/>
      <c r="V26" s="1"/>
    </row>
    <row r="27" spans="2:24" ht="16.2" x14ac:dyDescent="0.45">
      <c r="B27" s="144"/>
      <c r="C27" s="50"/>
      <c r="E27" s="225" t="s">
        <v>237</v>
      </c>
      <c r="F27" s="225" t="s">
        <v>238</v>
      </c>
      <c r="G27" s="225" t="s">
        <v>248</v>
      </c>
      <c r="H27" s="225" t="s">
        <v>249</v>
      </c>
      <c r="I27" s="215"/>
      <c r="J27" s="1"/>
      <c r="N27" s="144"/>
      <c r="O27" s="50"/>
      <c r="Q27" s="225" t="s">
        <v>237</v>
      </c>
      <c r="R27" s="225" t="s">
        <v>238</v>
      </c>
      <c r="S27" s="225" t="s">
        <v>248</v>
      </c>
      <c r="T27" s="225" t="s">
        <v>249</v>
      </c>
      <c r="U27" s="215"/>
      <c r="V27" s="1"/>
    </row>
    <row r="28" spans="2:24" x14ac:dyDescent="0.3">
      <c r="B28" s="144" t="s">
        <v>247</v>
      </c>
      <c r="C28" s="50"/>
      <c r="E28" s="50"/>
      <c r="F28" s="50"/>
      <c r="G28" s="50"/>
      <c r="H28" s="50"/>
      <c r="I28" s="215"/>
      <c r="J28" s="1"/>
      <c r="N28" s="144" t="s">
        <v>247</v>
      </c>
      <c r="O28" s="50"/>
      <c r="Q28" s="50"/>
      <c r="R28" s="50"/>
      <c r="S28" s="50"/>
      <c r="T28" s="50"/>
      <c r="U28" s="215"/>
      <c r="V28" s="1"/>
    </row>
    <row r="29" spans="2:24" x14ac:dyDescent="0.3">
      <c r="B29" s="144" t="s">
        <v>235</v>
      </c>
      <c r="C29" s="50">
        <v>1500</v>
      </c>
      <c r="E29" s="50">
        <f>E25</f>
        <v>23324</v>
      </c>
      <c r="F29" s="50">
        <f>G25</f>
        <v>25723546</v>
      </c>
      <c r="G29" s="48">
        <v>25.81</v>
      </c>
      <c r="H29" s="44">
        <f>E29*G29</f>
        <v>601992.43999999994</v>
      </c>
      <c r="I29" s="215"/>
      <c r="J29" s="1"/>
      <c r="N29" s="144" t="s">
        <v>235</v>
      </c>
      <c r="O29" s="50">
        <v>1500</v>
      </c>
      <c r="Q29" s="50">
        <f>Q25</f>
        <v>23324</v>
      </c>
      <c r="R29" s="50">
        <f>S25</f>
        <v>25723546</v>
      </c>
      <c r="S29" s="48">
        <f>Rates!I8</f>
        <v>33.865040809604665</v>
      </c>
      <c r="T29" s="44">
        <f>Q29*S29</f>
        <v>789868.21184321924</v>
      </c>
      <c r="U29" s="215"/>
      <c r="V29" s="1"/>
    </row>
    <row r="30" spans="2:24" x14ac:dyDescent="0.3">
      <c r="B30" s="144" t="s">
        <v>236</v>
      </c>
      <c r="C30" s="50">
        <v>1500</v>
      </c>
      <c r="E30" s="50"/>
      <c r="F30" s="88">
        <f>H25</f>
        <v>42143482</v>
      </c>
      <c r="G30" s="137">
        <v>9.0399999999999994E-3</v>
      </c>
      <c r="H30" s="217">
        <f>F30*G30</f>
        <v>380977.07727999997</v>
      </c>
      <c r="I30" s="215"/>
      <c r="J30" s="1"/>
      <c r="N30" s="144" t="s">
        <v>236</v>
      </c>
      <c r="O30" s="50">
        <v>1500</v>
      </c>
      <c r="Q30" s="50"/>
      <c r="R30" s="88">
        <f>T25</f>
        <v>42143482</v>
      </c>
      <c r="S30" s="137">
        <f>Rates!I9</f>
        <v>1.1861292867835185E-2</v>
      </c>
      <c r="T30" s="217">
        <f>R30*S30</f>
        <v>499876.18247234047</v>
      </c>
      <c r="U30" s="215"/>
      <c r="V30" s="1"/>
    </row>
    <row r="31" spans="2:24" x14ac:dyDescent="0.3">
      <c r="B31" s="144"/>
      <c r="C31" s="50"/>
      <c r="E31" s="50"/>
      <c r="F31" s="50"/>
      <c r="G31" s="50"/>
      <c r="H31" s="44"/>
      <c r="I31" s="215"/>
      <c r="J31" s="1"/>
      <c r="N31" s="144"/>
      <c r="O31" s="50"/>
      <c r="Q31" s="50"/>
      <c r="R31" s="50"/>
      <c r="S31" s="50"/>
      <c r="T31" s="44"/>
      <c r="U31" s="215"/>
      <c r="V31" s="1"/>
    </row>
    <row r="32" spans="2:24" ht="15" thickBot="1" x14ac:dyDescent="0.35">
      <c r="B32" s="148" t="s">
        <v>91</v>
      </c>
      <c r="C32" s="88"/>
      <c r="D32" s="138"/>
      <c r="E32" s="88">
        <f>SUM(E29:E31)</f>
        <v>23324</v>
      </c>
      <c r="F32" s="222">
        <f t="shared" ref="F32:H32" si="2">SUM(F29:F31)</f>
        <v>67867028</v>
      </c>
      <c r="G32" s="88"/>
      <c r="H32" s="223">
        <f t="shared" si="2"/>
        <v>982969.51727999991</v>
      </c>
      <c r="I32" s="216"/>
      <c r="J32" s="1"/>
      <c r="N32" s="148" t="s">
        <v>91</v>
      </c>
      <c r="O32" s="88"/>
      <c r="P32" s="138"/>
      <c r="Q32" s="88">
        <f>SUM(Q29:Q31)</f>
        <v>23324</v>
      </c>
      <c r="R32" s="222">
        <f t="shared" ref="R32" si="3">SUM(R29:R31)</f>
        <v>67867028</v>
      </c>
      <c r="S32" s="88"/>
      <c r="T32" s="223">
        <f t="shared" ref="T32" si="4">SUM(T29:T31)</f>
        <v>1289744.3943155596</v>
      </c>
      <c r="U32" s="216"/>
      <c r="V32" s="1"/>
      <c r="W32" s="47">
        <f>T32-H32</f>
        <v>306774.87703555974</v>
      </c>
      <c r="X32">
        <f>W32/H32</f>
        <v>0.31208991900831712</v>
      </c>
    </row>
    <row r="33" spans="2:24" ht="15" thickTop="1" x14ac:dyDescent="0.3">
      <c r="E33" s="1"/>
      <c r="F33" s="1"/>
      <c r="G33" s="1"/>
      <c r="H33" s="1"/>
      <c r="I33" s="1"/>
      <c r="J33" s="1"/>
      <c r="O33" s="1"/>
      <c r="Q33" s="1"/>
      <c r="R33" s="1"/>
      <c r="S33" s="1"/>
      <c r="T33" s="1"/>
      <c r="U33" s="1"/>
      <c r="V33" s="1"/>
    </row>
    <row r="34" spans="2:24" ht="16.2" x14ac:dyDescent="0.45">
      <c r="B34" s="211"/>
      <c r="C34" s="212"/>
      <c r="D34" s="213"/>
      <c r="E34" s="224" t="s">
        <v>237</v>
      </c>
      <c r="F34" s="224" t="s">
        <v>238</v>
      </c>
      <c r="G34" s="224" t="s">
        <v>241</v>
      </c>
      <c r="H34" s="224" t="s">
        <v>242</v>
      </c>
      <c r="I34" s="218"/>
      <c r="J34" s="1"/>
      <c r="N34" s="211"/>
      <c r="O34" s="212"/>
      <c r="P34" s="213"/>
      <c r="Q34" s="224" t="s">
        <v>237</v>
      </c>
      <c r="R34" s="224" t="s">
        <v>238</v>
      </c>
      <c r="S34" s="224" t="s">
        <v>241</v>
      </c>
      <c r="T34" s="224" t="s">
        <v>242</v>
      </c>
      <c r="U34" s="218"/>
      <c r="V34" s="1"/>
    </row>
    <row r="35" spans="2:24" x14ac:dyDescent="0.3">
      <c r="B35" s="219" t="s">
        <v>321</v>
      </c>
      <c r="C35" s="50"/>
      <c r="E35" s="50"/>
      <c r="F35" s="50"/>
      <c r="G35" s="50"/>
      <c r="H35" s="50"/>
      <c r="I35" s="215"/>
      <c r="J35" s="1"/>
      <c r="N35" s="219" t="s">
        <v>321</v>
      </c>
      <c r="O35" s="50"/>
      <c r="Q35" s="50"/>
      <c r="R35" s="50"/>
      <c r="S35" s="50"/>
      <c r="T35" s="50"/>
      <c r="U35" s="215"/>
      <c r="V35" s="1"/>
    </row>
    <row r="36" spans="2:24" x14ac:dyDescent="0.3">
      <c r="B36" s="144" t="s">
        <v>1</v>
      </c>
      <c r="C36" s="50">
        <v>5000</v>
      </c>
      <c r="E36" s="50">
        <v>98</v>
      </c>
      <c r="F36" s="50">
        <v>153630</v>
      </c>
      <c r="G36" s="50">
        <v>153630</v>
      </c>
      <c r="H36" s="50"/>
      <c r="I36" s="215">
        <f>SUM(G36:H36)</f>
        <v>153630</v>
      </c>
      <c r="J36" s="1"/>
      <c r="N36" s="144" t="s">
        <v>1</v>
      </c>
      <c r="O36" s="50">
        <v>5000</v>
      </c>
      <c r="Q36" s="50">
        <v>98</v>
      </c>
      <c r="R36" s="50">
        <v>153630</v>
      </c>
      <c r="S36" s="50">
        <v>153630</v>
      </c>
      <c r="T36" s="50"/>
      <c r="U36" s="215">
        <f>SUM(S36:T36)</f>
        <v>153630</v>
      </c>
      <c r="V36" s="1"/>
    </row>
    <row r="37" spans="2:24" x14ac:dyDescent="0.3">
      <c r="B37" s="144" t="s">
        <v>236</v>
      </c>
      <c r="C37" s="50">
        <v>5000</v>
      </c>
      <c r="E37" s="50">
        <v>66</v>
      </c>
      <c r="F37" s="50">
        <v>1546500</v>
      </c>
      <c r="G37" s="50">
        <v>330000</v>
      </c>
      <c r="H37" s="50">
        <f>F37-G37</f>
        <v>1216500</v>
      </c>
      <c r="I37" s="215">
        <f>SUM(G37:H37)</f>
        <v>1546500</v>
      </c>
      <c r="J37" s="1"/>
      <c r="N37" s="144" t="s">
        <v>236</v>
      </c>
      <c r="O37" s="50">
        <v>5000</v>
      </c>
      <c r="Q37" s="50">
        <v>66</v>
      </c>
      <c r="R37" s="50">
        <v>1546500</v>
      </c>
      <c r="S37" s="50">
        <v>330000</v>
      </c>
      <c r="T37" s="50">
        <f>R37-S37</f>
        <v>1216500</v>
      </c>
      <c r="U37" s="215">
        <f>SUM(S37:T37)</f>
        <v>1546500</v>
      </c>
      <c r="V37" s="1"/>
    </row>
    <row r="38" spans="2:24" x14ac:dyDescent="0.3">
      <c r="B38" s="144"/>
      <c r="C38" s="50"/>
      <c r="E38" s="50"/>
      <c r="F38" s="50"/>
      <c r="G38" s="50"/>
      <c r="H38" s="50"/>
      <c r="I38" s="215"/>
      <c r="J38" s="1"/>
      <c r="N38" s="144"/>
      <c r="O38" s="50"/>
      <c r="Q38" s="50"/>
      <c r="R38" s="50"/>
      <c r="S38" s="50"/>
      <c r="T38" s="50"/>
      <c r="U38" s="215"/>
      <c r="V38" s="1"/>
    </row>
    <row r="39" spans="2:24" x14ac:dyDescent="0.3">
      <c r="B39" s="144" t="s">
        <v>91</v>
      </c>
      <c r="C39" s="50"/>
      <c r="E39" s="220">
        <f>SUM(E36:E38)</f>
        <v>164</v>
      </c>
      <c r="F39" s="220">
        <f t="shared" ref="F39" si="5">SUM(F36:F38)</f>
        <v>1700130</v>
      </c>
      <c r="G39" s="220">
        <f t="shared" ref="G39" si="6">SUM(G36:G38)</f>
        <v>483630</v>
      </c>
      <c r="H39" s="220">
        <f t="shared" ref="H39" si="7">SUM(H36:H38)</f>
        <v>1216500</v>
      </c>
      <c r="I39" s="221">
        <f t="shared" ref="I39" si="8">SUM(I36:I38)</f>
        <v>1700130</v>
      </c>
      <c r="J39" s="1"/>
      <c r="K39" s="8">
        <f>I39/E39</f>
        <v>10366.646341463415</v>
      </c>
      <c r="N39" s="144" t="s">
        <v>91</v>
      </c>
      <c r="O39" s="50"/>
      <c r="Q39" s="220">
        <f>SUM(Q36:Q38)</f>
        <v>164</v>
      </c>
      <c r="R39" s="220">
        <f t="shared" ref="R39:U39" si="9">SUM(R36:R38)</f>
        <v>1700130</v>
      </c>
      <c r="S39" s="220">
        <f t="shared" si="9"/>
        <v>483630</v>
      </c>
      <c r="T39" s="220">
        <f t="shared" si="9"/>
        <v>1216500</v>
      </c>
      <c r="U39" s="221">
        <f t="shared" si="9"/>
        <v>1700130</v>
      </c>
      <c r="V39" s="1"/>
      <c r="W39" s="8">
        <f>U39/Q39</f>
        <v>10366.646341463415</v>
      </c>
    </row>
    <row r="40" spans="2:24" x14ac:dyDescent="0.3">
      <c r="B40" s="144"/>
      <c r="C40" s="50"/>
      <c r="E40" s="50"/>
      <c r="F40" s="50"/>
      <c r="G40" s="50"/>
      <c r="H40" s="50"/>
      <c r="I40" s="215"/>
      <c r="J40" s="1"/>
      <c r="N40" s="144"/>
      <c r="O40" s="50"/>
      <c r="Q40" s="50"/>
      <c r="R40" s="50"/>
      <c r="S40" s="50"/>
      <c r="T40" s="50"/>
      <c r="U40" s="215"/>
      <c r="V40" s="1"/>
    </row>
    <row r="41" spans="2:24" ht="16.2" x14ac:dyDescent="0.45">
      <c r="B41" s="144"/>
      <c r="C41" s="50"/>
      <c r="E41" s="225" t="s">
        <v>237</v>
      </c>
      <c r="F41" s="225" t="s">
        <v>238</v>
      </c>
      <c r="G41" s="225" t="s">
        <v>248</v>
      </c>
      <c r="H41" s="225" t="s">
        <v>249</v>
      </c>
      <c r="I41" s="215"/>
      <c r="J41" s="1"/>
      <c r="N41" s="144"/>
      <c r="O41" s="50"/>
      <c r="Q41" s="225" t="s">
        <v>237</v>
      </c>
      <c r="R41" s="225" t="s">
        <v>238</v>
      </c>
      <c r="S41" s="225" t="s">
        <v>248</v>
      </c>
      <c r="T41" s="225" t="s">
        <v>249</v>
      </c>
      <c r="U41" s="215"/>
      <c r="V41" s="1"/>
    </row>
    <row r="42" spans="2:24" x14ac:dyDescent="0.3">
      <c r="B42" s="144" t="s">
        <v>247</v>
      </c>
      <c r="C42" s="50"/>
      <c r="E42" s="50"/>
      <c r="F42" s="50"/>
      <c r="G42" s="50"/>
      <c r="H42" s="50"/>
      <c r="I42" s="215"/>
      <c r="J42" s="1"/>
      <c r="N42" s="144" t="s">
        <v>247</v>
      </c>
      <c r="O42" s="50"/>
      <c r="Q42" s="50"/>
      <c r="R42" s="50"/>
      <c r="S42" s="50"/>
      <c r="T42" s="50"/>
      <c r="U42" s="215"/>
      <c r="V42" s="1"/>
    </row>
    <row r="43" spans="2:24" x14ac:dyDescent="0.3">
      <c r="B43" s="144" t="s">
        <v>235</v>
      </c>
      <c r="C43" s="50">
        <v>5000</v>
      </c>
      <c r="E43" s="50">
        <f>E39</f>
        <v>164</v>
      </c>
      <c r="F43" s="50">
        <f>G39</f>
        <v>483630</v>
      </c>
      <c r="G43" s="48">
        <v>55.27</v>
      </c>
      <c r="H43" s="44">
        <f>E43*G43</f>
        <v>9064.2800000000007</v>
      </c>
      <c r="I43" s="215"/>
      <c r="J43" s="1"/>
      <c r="N43" s="144" t="s">
        <v>235</v>
      </c>
      <c r="O43" s="50">
        <v>5000</v>
      </c>
      <c r="Q43" s="50">
        <f>Q39</f>
        <v>164</v>
      </c>
      <c r="R43" s="50">
        <f>S39</f>
        <v>483630</v>
      </c>
      <c r="S43" s="48">
        <f>Rates!I12</f>
        <v>72.519209823589691</v>
      </c>
      <c r="T43" s="44">
        <f>Q43*S43</f>
        <v>11893.150411068709</v>
      </c>
      <c r="U43" s="215"/>
      <c r="V43" s="1"/>
    </row>
    <row r="44" spans="2:24" x14ac:dyDescent="0.3">
      <c r="B44" s="144" t="s">
        <v>236</v>
      </c>
      <c r="C44" s="50">
        <v>5000</v>
      </c>
      <c r="E44" s="50"/>
      <c r="F44" s="88">
        <f>H39</f>
        <v>1216500</v>
      </c>
      <c r="G44" s="137">
        <v>9.0399999999999994E-3</v>
      </c>
      <c r="H44" s="217">
        <f>F44*G44</f>
        <v>10997.16</v>
      </c>
      <c r="I44" s="215"/>
      <c r="J44" s="1"/>
      <c r="N44" s="144" t="s">
        <v>236</v>
      </c>
      <c r="O44" s="50">
        <v>5000</v>
      </c>
      <c r="Q44" s="50"/>
      <c r="R44" s="88">
        <f>T39</f>
        <v>1216500</v>
      </c>
      <c r="S44" s="137">
        <f>S30</f>
        <v>1.1861292867835185E-2</v>
      </c>
      <c r="T44" s="217">
        <f>R44*S44</f>
        <v>14429.262773721503</v>
      </c>
      <c r="U44" s="215"/>
      <c r="V44" s="1"/>
    </row>
    <row r="45" spans="2:24" x14ac:dyDescent="0.3">
      <c r="B45" s="144"/>
      <c r="C45" s="50"/>
      <c r="E45" s="50"/>
      <c r="F45" s="50"/>
      <c r="G45" s="50"/>
      <c r="H45" s="44"/>
      <c r="I45" s="215"/>
      <c r="J45" s="1"/>
      <c r="N45" s="144"/>
      <c r="O45" s="50"/>
      <c r="Q45" s="50"/>
      <c r="R45" s="50"/>
      <c r="S45" s="50"/>
      <c r="T45" s="44"/>
      <c r="U45" s="215"/>
      <c r="V45" s="1"/>
    </row>
    <row r="46" spans="2:24" ht="15" thickBot="1" x14ac:dyDescent="0.35">
      <c r="B46" s="148" t="s">
        <v>91</v>
      </c>
      <c r="C46" s="88"/>
      <c r="D46" s="138"/>
      <c r="E46" s="88">
        <f>SUM(E43:E45)</f>
        <v>164</v>
      </c>
      <c r="F46" s="222">
        <f t="shared" ref="F46" si="10">SUM(F43:F45)</f>
        <v>1700130</v>
      </c>
      <c r="G46" s="88"/>
      <c r="H46" s="223">
        <f t="shared" ref="H46" si="11">SUM(H43:H45)</f>
        <v>20061.440000000002</v>
      </c>
      <c r="I46" s="216"/>
      <c r="J46" s="1"/>
      <c r="N46" s="148" t="s">
        <v>91</v>
      </c>
      <c r="O46" s="88"/>
      <c r="P46" s="138"/>
      <c r="Q46" s="88">
        <f>SUM(Q43:Q45)</f>
        <v>164</v>
      </c>
      <c r="R46" s="222">
        <f t="shared" ref="R46" si="12">SUM(R43:R45)</f>
        <v>1700130</v>
      </c>
      <c r="S46" s="88"/>
      <c r="T46" s="223">
        <f t="shared" ref="T46" si="13">SUM(T43:T45)</f>
        <v>26322.41318479021</v>
      </c>
      <c r="U46" s="216"/>
      <c r="V46" s="1"/>
      <c r="W46" s="47">
        <f>T46-H46</f>
        <v>6260.9731847902076</v>
      </c>
      <c r="X46">
        <f>W46/H46</f>
        <v>0.31208991900831679</v>
      </c>
    </row>
    <row r="47" spans="2:24" ht="15" thickTop="1" x14ac:dyDescent="0.3">
      <c r="E47" s="1"/>
      <c r="F47" s="1"/>
      <c r="G47" s="1"/>
      <c r="H47" s="1"/>
      <c r="I47" s="1"/>
      <c r="J47" s="1"/>
      <c r="O47" s="1"/>
      <c r="Q47" s="1"/>
      <c r="R47" s="1"/>
      <c r="S47" s="1"/>
      <c r="T47" s="1"/>
      <c r="U47" s="1"/>
      <c r="V47" s="1"/>
    </row>
    <row r="48" spans="2:24" ht="16.2" x14ac:dyDescent="0.45">
      <c r="B48" s="211"/>
      <c r="C48" s="212"/>
      <c r="D48" s="213"/>
      <c r="E48" s="224" t="s">
        <v>237</v>
      </c>
      <c r="F48" s="224" t="s">
        <v>238</v>
      </c>
      <c r="G48" s="224" t="s">
        <v>243</v>
      </c>
      <c r="H48" s="224" t="s">
        <v>244</v>
      </c>
      <c r="I48" s="218"/>
      <c r="J48" s="1"/>
      <c r="N48" s="211"/>
      <c r="O48" s="212"/>
      <c r="P48" s="213"/>
      <c r="Q48" s="224" t="s">
        <v>237</v>
      </c>
      <c r="R48" s="224" t="s">
        <v>238</v>
      </c>
      <c r="S48" s="224" t="s">
        <v>243</v>
      </c>
      <c r="T48" s="224" t="s">
        <v>244</v>
      </c>
      <c r="U48" s="218"/>
      <c r="V48" s="1"/>
    </row>
    <row r="49" spans="2:24" x14ac:dyDescent="0.3">
      <c r="B49" s="219" t="s">
        <v>322</v>
      </c>
      <c r="C49" s="50"/>
      <c r="E49" s="50"/>
      <c r="F49" s="50"/>
      <c r="G49" s="50"/>
      <c r="H49" s="50"/>
      <c r="I49" s="215"/>
      <c r="J49" s="1"/>
      <c r="N49" s="219" t="s">
        <v>322</v>
      </c>
      <c r="O49" s="50"/>
      <c r="Q49" s="50"/>
      <c r="R49" s="50"/>
      <c r="S49" s="50"/>
      <c r="T49" s="50"/>
      <c r="U49" s="215"/>
      <c r="V49" s="1"/>
    </row>
    <row r="50" spans="2:24" x14ac:dyDescent="0.3">
      <c r="B50" s="144" t="s">
        <v>1</v>
      </c>
      <c r="C50" s="50">
        <v>20000</v>
      </c>
      <c r="E50" s="50">
        <v>50</v>
      </c>
      <c r="F50" s="50">
        <v>260400</v>
      </c>
      <c r="G50" s="50">
        <f>F50</f>
        <v>260400</v>
      </c>
      <c r="H50" s="50"/>
      <c r="I50" s="215">
        <f>SUM(G50:H50)</f>
        <v>260400</v>
      </c>
      <c r="J50" s="1"/>
      <c r="N50" s="144" t="s">
        <v>1</v>
      </c>
      <c r="O50" s="50">
        <v>20000</v>
      </c>
      <c r="Q50" s="50">
        <v>50</v>
      </c>
      <c r="R50" s="50">
        <v>260400</v>
      </c>
      <c r="S50" s="50">
        <f>R50</f>
        <v>260400</v>
      </c>
      <c r="T50" s="50"/>
      <c r="U50" s="215">
        <f>SUM(S50:T50)</f>
        <v>260400</v>
      </c>
      <c r="V50" s="1"/>
    </row>
    <row r="51" spans="2:24" x14ac:dyDescent="0.3">
      <c r="B51" s="144" t="s">
        <v>236</v>
      </c>
      <c r="C51" s="50">
        <v>20000</v>
      </c>
      <c r="E51" s="50">
        <v>39</v>
      </c>
      <c r="F51" s="50">
        <f>G51+H51</f>
        <v>3632600</v>
      </c>
      <c r="G51" s="50">
        <v>780000</v>
      </c>
      <c r="H51" s="50">
        <v>2852600</v>
      </c>
      <c r="I51" s="215">
        <f>SUM(G51:H51)</f>
        <v>3632600</v>
      </c>
      <c r="J51" s="1"/>
      <c r="N51" s="144" t="s">
        <v>236</v>
      </c>
      <c r="O51" s="50">
        <v>20000</v>
      </c>
      <c r="Q51" s="50">
        <v>39</v>
      </c>
      <c r="R51" s="50">
        <f>S51+T51</f>
        <v>3632600</v>
      </c>
      <c r="S51" s="50">
        <v>780000</v>
      </c>
      <c r="T51" s="50">
        <v>2852600</v>
      </c>
      <c r="U51" s="215">
        <f>SUM(S51:T51)</f>
        <v>3632600</v>
      </c>
      <c r="V51" s="1"/>
    </row>
    <row r="52" spans="2:24" x14ac:dyDescent="0.3">
      <c r="B52" s="144"/>
      <c r="C52" s="50"/>
      <c r="E52" s="50"/>
      <c r="F52" s="50"/>
      <c r="G52" s="50"/>
      <c r="H52" s="50"/>
      <c r="I52" s="215"/>
      <c r="J52" s="1"/>
      <c r="N52" s="144"/>
      <c r="O52" s="50"/>
      <c r="Q52" s="50"/>
      <c r="R52" s="50"/>
      <c r="S52" s="50"/>
      <c r="T52" s="50"/>
      <c r="U52" s="215"/>
      <c r="V52" s="1"/>
    </row>
    <row r="53" spans="2:24" x14ac:dyDescent="0.3">
      <c r="B53" s="144"/>
      <c r="C53" s="50"/>
      <c r="E53" s="220">
        <f>SUM(E50:E52)</f>
        <v>89</v>
      </c>
      <c r="F53" s="220">
        <f>SUM(F50:F52)</f>
        <v>3893000</v>
      </c>
      <c r="G53" s="220">
        <f t="shared" ref="G53:H53" si="14">SUM(G50:G52)</f>
        <v>1040400</v>
      </c>
      <c r="H53" s="220">
        <f t="shared" si="14"/>
        <v>2852600</v>
      </c>
      <c r="I53" s="221">
        <f t="shared" ref="I53" si="15">SUM(I50:I52)</f>
        <v>3893000</v>
      </c>
      <c r="J53" s="1"/>
      <c r="K53" s="8">
        <f>I53/E53</f>
        <v>43741.573033707864</v>
      </c>
      <c r="N53" s="144"/>
      <c r="O53" s="50"/>
      <c r="Q53" s="220">
        <f>SUM(Q50:Q52)</f>
        <v>89</v>
      </c>
      <c r="R53" s="220">
        <f>SUM(R50:R52)</f>
        <v>3893000</v>
      </c>
      <c r="S53" s="220">
        <f t="shared" ref="S53:U53" si="16">SUM(S50:S52)</f>
        <v>1040400</v>
      </c>
      <c r="T53" s="220">
        <f t="shared" si="16"/>
        <v>2852600</v>
      </c>
      <c r="U53" s="221">
        <f t="shared" si="16"/>
        <v>3893000</v>
      </c>
      <c r="V53" s="1"/>
      <c r="W53" s="8">
        <f>U53/Q53</f>
        <v>43741.573033707864</v>
      </c>
    </row>
    <row r="54" spans="2:24" x14ac:dyDescent="0.3">
      <c r="B54" s="144"/>
      <c r="C54" s="50"/>
      <c r="E54" s="50"/>
      <c r="F54" s="50"/>
      <c r="G54" s="50"/>
      <c r="H54" s="50"/>
      <c r="I54" s="215"/>
      <c r="J54" s="1"/>
      <c r="N54" s="144"/>
      <c r="O54" s="50"/>
      <c r="Q54" s="50"/>
      <c r="R54" s="50"/>
      <c r="S54" s="50"/>
      <c r="T54" s="50"/>
      <c r="U54" s="215"/>
      <c r="V54" s="1"/>
    </row>
    <row r="55" spans="2:24" ht="16.2" x14ac:dyDescent="0.45">
      <c r="B55" s="144"/>
      <c r="C55" s="50"/>
      <c r="E55" s="225" t="s">
        <v>237</v>
      </c>
      <c r="F55" s="225" t="s">
        <v>238</v>
      </c>
      <c r="G55" s="225" t="s">
        <v>248</v>
      </c>
      <c r="H55" s="225" t="s">
        <v>249</v>
      </c>
      <c r="I55" s="215"/>
      <c r="J55" s="1"/>
      <c r="N55" s="144"/>
      <c r="O55" s="50"/>
      <c r="Q55" s="225" t="s">
        <v>237</v>
      </c>
      <c r="R55" s="225" t="s">
        <v>238</v>
      </c>
      <c r="S55" s="225" t="s">
        <v>248</v>
      </c>
      <c r="T55" s="225" t="s">
        <v>249</v>
      </c>
      <c r="U55" s="215"/>
      <c r="V55" s="1"/>
    </row>
    <row r="56" spans="2:24" x14ac:dyDescent="0.3">
      <c r="B56" s="144" t="s">
        <v>247</v>
      </c>
      <c r="C56" s="50"/>
      <c r="E56" s="50"/>
      <c r="F56" s="50"/>
      <c r="G56" s="50"/>
      <c r="H56" s="50"/>
      <c r="I56" s="215"/>
      <c r="J56" s="1"/>
      <c r="N56" s="144" t="s">
        <v>247</v>
      </c>
      <c r="O56" s="50"/>
      <c r="Q56" s="50"/>
      <c r="R56" s="50"/>
      <c r="S56" s="50"/>
      <c r="T56" s="50"/>
      <c r="U56" s="215"/>
      <c r="V56" s="1"/>
    </row>
    <row r="57" spans="2:24" x14ac:dyDescent="0.3">
      <c r="B57" s="144" t="s">
        <v>235</v>
      </c>
      <c r="C57" s="50">
        <v>20000</v>
      </c>
      <c r="E57" s="50">
        <f>E53</f>
        <v>89</v>
      </c>
      <c r="F57" s="50">
        <f>G53</f>
        <v>1040400</v>
      </c>
      <c r="G57" s="48">
        <v>152.5</v>
      </c>
      <c r="H57" s="44">
        <f>E57*G57</f>
        <v>13572.5</v>
      </c>
      <c r="I57" s="215"/>
      <c r="J57" s="1"/>
      <c r="N57" s="144" t="s">
        <v>235</v>
      </c>
      <c r="O57" s="50">
        <v>20000</v>
      </c>
      <c r="Q57" s="50">
        <f>Q53</f>
        <v>89</v>
      </c>
      <c r="R57" s="50">
        <f>S53</f>
        <v>1040400</v>
      </c>
      <c r="S57" s="48">
        <f>Rates!I16</f>
        <v>200.09371264876836</v>
      </c>
      <c r="T57" s="44">
        <f>Q57*S57</f>
        <v>17808.340425740385</v>
      </c>
      <c r="U57" s="215"/>
      <c r="V57" s="1"/>
    </row>
    <row r="58" spans="2:24" x14ac:dyDescent="0.3">
      <c r="B58" s="144" t="s">
        <v>236</v>
      </c>
      <c r="C58" s="50">
        <v>20000</v>
      </c>
      <c r="E58" s="50"/>
      <c r="F58" s="88">
        <f>H53</f>
        <v>2852600</v>
      </c>
      <c r="G58" s="137">
        <v>9.0399999999999994E-3</v>
      </c>
      <c r="H58" s="217">
        <f>F58*G58</f>
        <v>25787.503999999997</v>
      </c>
      <c r="I58" s="215"/>
      <c r="J58" s="1"/>
      <c r="N58" s="144" t="s">
        <v>236</v>
      </c>
      <c r="O58" s="50">
        <v>20000</v>
      </c>
      <c r="Q58" s="50"/>
      <c r="R58" s="88">
        <f>T53</f>
        <v>2852600</v>
      </c>
      <c r="S58" s="137">
        <f>S44</f>
        <v>1.1861292867835185E-2</v>
      </c>
      <c r="T58" s="217">
        <f>R58*S58</f>
        <v>33835.524034786649</v>
      </c>
      <c r="U58" s="215"/>
      <c r="V58" s="1"/>
    </row>
    <row r="59" spans="2:24" x14ac:dyDescent="0.3">
      <c r="B59" s="144"/>
      <c r="C59" s="50"/>
      <c r="E59" s="50"/>
      <c r="F59" s="50"/>
      <c r="G59" s="50"/>
      <c r="H59" s="44"/>
      <c r="I59" s="215"/>
      <c r="J59" s="1"/>
      <c r="N59" s="144"/>
      <c r="O59" s="50"/>
      <c r="Q59" s="50"/>
      <c r="R59" s="50"/>
      <c r="S59" s="50"/>
      <c r="T59" s="44"/>
      <c r="U59" s="215"/>
      <c r="V59" s="1"/>
    </row>
    <row r="60" spans="2:24" ht="15" thickBot="1" x14ac:dyDescent="0.35">
      <c r="B60" s="148" t="s">
        <v>91</v>
      </c>
      <c r="C60" s="88"/>
      <c r="D60" s="138"/>
      <c r="E60" s="88">
        <f>SUM(E57:E59)</f>
        <v>89</v>
      </c>
      <c r="F60" s="222">
        <f t="shared" ref="F60" si="17">SUM(F57:F59)</f>
        <v>3893000</v>
      </c>
      <c r="G60" s="88"/>
      <c r="H60" s="223">
        <f t="shared" ref="H60" si="18">SUM(H57:H59)</f>
        <v>39360.004000000001</v>
      </c>
      <c r="I60" s="216"/>
      <c r="J60" s="1"/>
      <c r="N60" s="148" t="s">
        <v>91</v>
      </c>
      <c r="O60" s="88"/>
      <c r="P60" s="138"/>
      <c r="Q60" s="88">
        <f>SUM(Q57:Q59)</f>
        <v>89</v>
      </c>
      <c r="R60" s="222">
        <f t="shared" ref="R60" si="19">SUM(R57:R59)</f>
        <v>3893000</v>
      </c>
      <c r="S60" s="88"/>
      <c r="T60" s="223">
        <f t="shared" ref="T60" si="20">SUM(T57:T59)</f>
        <v>51643.864460527038</v>
      </c>
      <c r="U60" s="216"/>
      <c r="V60" s="1"/>
      <c r="W60" s="47">
        <f>T60-H60</f>
        <v>12283.860460527038</v>
      </c>
      <c r="X60">
        <f>W60/H60</f>
        <v>0.31208991900831712</v>
      </c>
    </row>
    <row r="61" spans="2:24" ht="15" thickTop="1" x14ac:dyDescent="0.3">
      <c r="E61" s="1"/>
      <c r="F61" s="1"/>
      <c r="G61" s="1"/>
      <c r="H61" s="1"/>
      <c r="I61" s="1"/>
      <c r="J61" s="1"/>
      <c r="O61" s="1"/>
      <c r="Q61" s="1"/>
      <c r="R61" s="1"/>
      <c r="S61" s="1"/>
      <c r="T61" s="1"/>
      <c r="U61" s="1"/>
      <c r="V61" s="1"/>
    </row>
    <row r="62" spans="2:24" ht="16.2" x14ac:dyDescent="0.45">
      <c r="B62" s="211"/>
      <c r="C62" s="212"/>
      <c r="D62" s="213"/>
      <c r="E62" s="224" t="s">
        <v>237</v>
      </c>
      <c r="F62" s="224" t="s">
        <v>238</v>
      </c>
      <c r="G62" s="224" t="s">
        <v>245</v>
      </c>
      <c r="H62" s="224" t="s">
        <v>246</v>
      </c>
      <c r="I62" s="218"/>
      <c r="J62" s="1"/>
      <c r="N62" s="211"/>
      <c r="O62" s="212"/>
      <c r="P62" s="213"/>
      <c r="Q62" s="224" t="s">
        <v>237</v>
      </c>
      <c r="R62" s="224" t="s">
        <v>238</v>
      </c>
      <c r="S62" s="224" t="s">
        <v>245</v>
      </c>
      <c r="T62" s="224" t="s">
        <v>246</v>
      </c>
      <c r="U62" s="218"/>
      <c r="V62" s="1"/>
    </row>
    <row r="63" spans="2:24" x14ac:dyDescent="0.3">
      <c r="B63" s="219" t="s">
        <v>323</v>
      </c>
      <c r="C63" s="50"/>
      <c r="E63" s="50"/>
      <c r="F63" s="50"/>
      <c r="G63" s="50"/>
      <c r="H63" s="50"/>
      <c r="I63" s="215"/>
      <c r="J63" s="1"/>
      <c r="N63" s="219" t="s">
        <v>323</v>
      </c>
      <c r="O63" s="50"/>
      <c r="Q63" s="50"/>
      <c r="R63" s="50"/>
      <c r="S63" s="50"/>
      <c r="T63" s="50"/>
      <c r="U63" s="215"/>
      <c r="V63" s="1"/>
    </row>
    <row r="64" spans="2:24" x14ac:dyDescent="0.3">
      <c r="B64" s="144" t="s">
        <v>1</v>
      </c>
      <c r="C64" s="50">
        <v>50000</v>
      </c>
      <c r="E64" s="50"/>
      <c r="F64" s="50"/>
      <c r="G64" s="50"/>
      <c r="H64" s="50"/>
      <c r="I64" s="215">
        <f>SUM(G64:H64)</f>
        <v>0</v>
      </c>
      <c r="J64" s="1"/>
      <c r="N64" s="144" t="s">
        <v>1</v>
      </c>
      <c r="O64" s="50">
        <v>50000</v>
      </c>
      <c r="Q64" s="50"/>
      <c r="R64" s="50"/>
      <c r="S64" s="50"/>
      <c r="T64" s="50"/>
      <c r="U64" s="215">
        <f>SUM(S64:T64)</f>
        <v>0</v>
      </c>
      <c r="V64" s="1"/>
    </row>
    <row r="65" spans="2:24" x14ac:dyDescent="0.3">
      <c r="B65" s="144" t="s">
        <v>236</v>
      </c>
      <c r="C65" s="50">
        <v>50000</v>
      </c>
      <c r="E65" s="50">
        <v>2</v>
      </c>
      <c r="F65" s="50">
        <f>SUM(G65:H65)</f>
        <v>1292700</v>
      </c>
      <c r="G65" s="50">
        <v>100000</v>
      </c>
      <c r="H65" s="50">
        <v>1192700</v>
      </c>
      <c r="I65" s="215">
        <f>SUM(G65:H65)</f>
        <v>1292700</v>
      </c>
      <c r="J65" s="1"/>
      <c r="N65" s="144" t="s">
        <v>236</v>
      </c>
      <c r="O65" s="50">
        <v>50000</v>
      </c>
      <c r="Q65" s="50">
        <v>2</v>
      </c>
      <c r="R65" s="50">
        <f>SUM(S65:T65)</f>
        <v>1292700</v>
      </c>
      <c r="S65" s="50">
        <v>100000</v>
      </c>
      <c r="T65" s="50">
        <v>1192700</v>
      </c>
      <c r="U65" s="215">
        <f>SUM(S65:T65)</f>
        <v>1292700</v>
      </c>
      <c r="V65" s="1"/>
    </row>
    <row r="66" spans="2:24" x14ac:dyDescent="0.3">
      <c r="B66" s="144"/>
      <c r="C66" s="50"/>
      <c r="E66" s="50"/>
      <c r="F66" s="50"/>
      <c r="G66" s="50"/>
      <c r="H66" s="50"/>
      <c r="I66" s="215"/>
      <c r="J66" s="1"/>
      <c r="N66" s="144"/>
      <c r="O66" s="50"/>
      <c r="Q66" s="50"/>
      <c r="R66" s="50"/>
      <c r="S66" s="50"/>
      <c r="T66" s="50"/>
      <c r="U66" s="215"/>
      <c r="V66" s="1"/>
    </row>
    <row r="67" spans="2:24" x14ac:dyDescent="0.3">
      <c r="B67" s="144"/>
      <c r="C67" s="50"/>
      <c r="E67" s="220">
        <f>SUM(E64:E66)</f>
        <v>2</v>
      </c>
      <c r="F67" s="220">
        <f t="shared" ref="F67:H67" si="21">SUM(F64:F66)</f>
        <v>1292700</v>
      </c>
      <c r="G67" s="220">
        <f t="shared" si="21"/>
        <v>100000</v>
      </c>
      <c r="H67" s="220">
        <f t="shared" si="21"/>
        <v>1192700</v>
      </c>
      <c r="I67" s="221">
        <f t="shared" ref="I67" si="22">SUM(I64:I66)</f>
        <v>1292700</v>
      </c>
      <c r="J67" s="1"/>
      <c r="K67" s="8">
        <f>I67/E67</f>
        <v>646350</v>
      </c>
      <c r="N67" s="144"/>
      <c r="O67" s="50"/>
      <c r="Q67" s="220">
        <f>SUM(Q64:Q66)</f>
        <v>2</v>
      </c>
      <c r="R67" s="220">
        <f t="shared" ref="R67:U67" si="23">SUM(R64:R66)</f>
        <v>1292700</v>
      </c>
      <c r="S67" s="220">
        <f t="shared" si="23"/>
        <v>100000</v>
      </c>
      <c r="T67" s="220">
        <f t="shared" si="23"/>
        <v>1192700</v>
      </c>
      <c r="U67" s="221">
        <f t="shared" si="23"/>
        <v>1292700</v>
      </c>
      <c r="V67" s="1"/>
      <c r="W67" s="8">
        <f>U67/Q67</f>
        <v>646350</v>
      </c>
    </row>
    <row r="68" spans="2:24" x14ac:dyDescent="0.3">
      <c r="B68" s="144"/>
      <c r="C68" s="50"/>
      <c r="E68" s="50"/>
      <c r="F68" s="50"/>
      <c r="G68" s="50"/>
      <c r="H68" s="50"/>
      <c r="I68" s="215"/>
      <c r="J68" s="1"/>
      <c r="N68" s="144"/>
      <c r="O68" s="50"/>
      <c r="Q68" s="50"/>
      <c r="R68" s="50"/>
      <c r="S68" s="50"/>
      <c r="T68" s="50"/>
      <c r="U68" s="215"/>
      <c r="V68" s="1"/>
    </row>
    <row r="69" spans="2:24" ht="16.2" x14ac:dyDescent="0.45">
      <c r="B69" s="144"/>
      <c r="C69" s="50"/>
      <c r="E69" s="225" t="s">
        <v>237</v>
      </c>
      <c r="F69" s="225" t="s">
        <v>238</v>
      </c>
      <c r="G69" s="225" t="s">
        <v>248</v>
      </c>
      <c r="H69" s="225" t="s">
        <v>249</v>
      </c>
      <c r="I69" s="215"/>
      <c r="J69" s="1"/>
      <c r="N69" s="144"/>
      <c r="O69" s="50"/>
      <c r="Q69" s="225" t="s">
        <v>237</v>
      </c>
      <c r="R69" s="225" t="s">
        <v>238</v>
      </c>
      <c r="S69" s="225" t="s">
        <v>248</v>
      </c>
      <c r="T69" s="225" t="s">
        <v>249</v>
      </c>
      <c r="U69" s="215"/>
      <c r="V69" s="1"/>
    </row>
    <row r="70" spans="2:24" x14ac:dyDescent="0.3">
      <c r="B70" s="144" t="s">
        <v>247</v>
      </c>
      <c r="C70" s="50"/>
      <c r="E70" s="50"/>
      <c r="F70" s="50"/>
      <c r="G70" s="50"/>
      <c r="H70" s="50"/>
      <c r="I70" s="145"/>
      <c r="N70" s="144" t="s">
        <v>247</v>
      </c>
      <c r="O70" s="50"/>
      <c r="Q70" s="50"/>
      <c r="R70" s="50"/>
      <c r="S70" s="50"/>
      <c r="T70" s="50"/>
      <c r="U70" s="145"/>
    </row>
    <row r="71" spans="2:24" x14ac:dyDescent="0.3">
      <c r="B71" s="144" t="s">
        <v>235</v>
      </c>
      <c r="C71" s="50">
        <v>50000</v>
      </c>
      <c r="E71" s="50">
        <v>2</v>
      </c>
      <c r="F71" s="50">
        <f>G67</f>
        <v>100000</v>
      </c>
      <c r="G71" s="48">
        <v>356.26</v>
      </c>
      <c r="H71" s="44">
        <f>E71*G71</f>
        <v>712.52</v>
      </c>
      <c r="I71" s="145"/>
      <c r="N71" s="144" t="s">
        <v>235</v>
      </c>
      <c r="O71" s="50">
        <v>50000</v>
      </c>
      <c r="Q71" s="50">
        <v>2</v>
      </c>
      <c r="R71" s="50">
        <f>S67</f>
        <v>100000</v>
      </c>
      <c r="S71" s="48">
        <f>Rates!I20</f>
        <v>467.44515454590305</v>
      </c>
      <c r="T71" s="44">
        <f>Q71*S71</f>
        <v>934.8903090918061</v>
      </c>
      <c r="U71" s="145"/>
    </row>
    <row r="72" spans="2:24" x14ac:dyDescent="0.3">
      <c r="B72" s="144" t="s">
        <v>236</v>
      </c>
      <c r="C72" s="50">
        <v>50000</v>
      </c>
      <c r="E72" s="50"/>
      <c r="F72" s="88">
        <f>H67</f>
        <v>1192700</v>
      </c>
      <c r="G72" s="137">
        <v>9.0399999999999994E-3</v>
      </c>
      <c r="H72" s="217">
        <f>F72*G72</f>
        <v>10782.008</v>
      </c>
      <c r="I72" s="145"/>
      <c r="N72" s="144" t="s">
        <v>236</v>
      </c>
      <c r="O72" s="50">
        <v>50000</v>
      </c>
      <c r="Q72" s="50"/>
      <c r="R72" s="88">
        <f>T67</f>
        <v>1192700</v>
      </c>
      <c r="S72" s="137">
        <f>S58</f>
        <v>1.1861292867835185E-2</v>
      </c>
      <c r="T72" s="217">
        <f>R72*S72</f>
        <v>14146.964003467025</v>
      </c>
      <c r="U72" s="145"/>
    </row>
    <row r="73" spans="2:24" x14ac:dyDescent="0.3">
      <c r="B73" s="144"/>
      <c r="C73" s="50"/>
      <c r="E73" s="50"/>
      <c r="F73" s="50"/>
      <c r="G73" s="50"/>
      <c r="H73" s="44"/>
      <c r="I73" s="145"/>
      <c r="N73" s="144"/>
      <c r="O73" s="50"/>
      <c r="Q73" s="50"/>
      <c r="R73" s="50"/>
      <c r="S73" s="50"/>
      <c r="T73" s="44"/>
      <c r="U73" s="145"/>
    </row>
    <row r="74" spans="2:24" ht="15" thickBot="1" x14ac:dyDescent="0.35">
      <c r="B74" s="148" t="s">
        <v>91</v>
      </c>
      <c r="C74" s="88"/>
      <c r="D74" s="138"/>
      <c r="E74" s="88">
        <f>SUM(E71:E73)</f>
        <v>2</v>
      </c>
      <c r="F74" s="222">
        <f t="shared" ref="F74" si="24">SUM(F71:F73)</f>
        <v>1292700</v>
      </c>
      <c r="G74" s="88"/>
      <c r="H74" s="223">
        <f t="shared" ref="H74" si="25">SUM(H71:H73)</f>
        <v>11494.528</v>
      </c>
      <c r="I74" s="146"/>
      <c r="N74" s="148" t="s">
        <v>91</v>
      </c>
      <c r="O74" s="88"/>
      <c r="P74" s="138"/>
      <c r="Q74" s="88">
        <f>SUM(Q71:Q73)</f>
        <v>2</v>
      </c>
      <c r="R74" s="222">
        <f t="shared" ref="R74" si="26">SUM(R71:R73)</f>
        <v>1292700</v>
      </c>
      <c r="S74" s="88"/>
      <c r="T74" s="223">
        <f t="shared" ref="T74" si="27">SUM(T71:T73)</f>
        <v>15081.854312558831</v>
      </c>
      <c r="U74" s="146"/>
      <c r="W74" s="47">
        <f>T74-H74</f>
        <v>3587.326312558831</v>
      </c>
      <c r="X74">
        <f>W74/H74</f>
        <v>0.3120899190083169</v>
      </c>
    </row>
    <row r="75" spans="2:24" ht="15" thickTop="1" x14ac:dyDescent="0.3">
      <c r="O75" s="1"/>
    </row>
  </sheetData>
  <mergeCells count="5">
    <mergeCell ref="F3:G3"/>
    <mergeCell ref="F2:G2"/>
    <mergeCell ref="R7:S7"/>
    <mergeCell ref="R8:S8"/>
    <mergeCell ref="N6:U6"/>
  </mergeCells>
  <pageMargins left="0.7" right="0.7" top="0.75" bottom="0.75" header="0.3" footer="0.3"/>
  <pageSetup orientation="portrait" horizontalDpi="1200" verticalDpi="1200" r:id="rId1"/>
  <ignoredErrors>
    <ignoredError sqref="I22:I23 I36 I5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CBF6D-2667-4FFD-B424-60E300DF063F}">
  <sheetPr>
    <pageSetUpPr fitToPage="1"/>
  </sheetPr>
  <dimension ref="A1:BJ101"/>
  <sheetViews>
    <sheetView showGridLines="0" zoomScale="115" zoomScaleNormal="115" workbookViewId="0"/>
  </sheetViews>
  <sheetFormatPr defaultRowHeight="14.4" x14ac:dyDescent="0.3"/>
  <cols>
    <col min="1" max="1" width="26.21875" customWidth="1"/>
    <col min="2" max="2" width="9.6640625" bestFit="1" customWidth="1"/>
    <col min="3" max="3" width="1.21875" customWidth="1"/>
    <col min="4" max="4" width="8.6640625" bestFit="1" customWidth="1"/>
    <col min="5" max="5" width="0.88671875" customWidth="1"/>
    <col min="6" max="6" width="10.44140625" bestFit="1" customWidth="1"/>
    <col min="7" max="7" width="0.88671875" customWidth="1"/>
    <col min="8" max="8" width="8.5546875" bestFit="1" customWidth="1"/>
    <col min="9" max="9" width="0.88671875" customWidth="1"/>
    <col min="10" max="10" width="11" bestFit="1" customWidth="1"/>
    <col min="11" max="11" width="10.44140625" customWidth="1"/>
    <col min="12" max="12" width="17.109375" customWidth="1"/>
    <col min="13" max="13" width="10.44140625" bestFit="1" customWidth="1"/>
    <col min="14" max="14" width="12.109375" customWidth="1"/>
    <col min="15" max="15" width="12.5546875" bestFit="1" customWidth="1"/>
    <col min="16" max="16" width="13.109375" customWidth="1"/>
    <col min="17" max="17" width="13.88671875" bestFit="1" customWidth="1"/>
    <col min="18" max="18" width="11.21875" bestFit="1" customWidth="1"/>
    <col min="19" max="19" width="3.44140625" customWidth="1"/>
    <col min="20" max="20" width="11" bestFit="1" customWidth="1"/>
    <col min="21" max="21" width="27.88671875" customWidth="1"/>
    <col min="22" max="22" width="9.88671875" bestFit="1" customWidth="1"/>
    <col min="23" max="23" width="0.88671875" customWidth="1"/>
    <col min="25" max="25" width="15.109375" customWidth="1"/>
    <col min="26" max="26" width="9.88671875" bestFit="1" customWidth="1"/>
    <col min="27" max="27" width="0.88671875" customWidth="1"/>
    <col min="29" max="29" width="0.88671875" customWidth="1"/>
    <col min="31" max="31" width="0.88671875" customWidth="1"/>
    <col min="32" max="32" width="13" bestFit="1" customWidth="1"/>
    <col min="33" max="33" width="0.88671875" customWidth="1"/>
    <col min="34" max="34" width="10.88671875" customWidth="1"/>
    <col min="35" max="35" width="0.88671875" customWidth="1"/>
    <col min="36" max="36" width="8.77734375" customWidth="1"/>
    <col min="37" max="37" width="7.44140625" bestFit="1" customWidth="1"/>
    <col min="38" max="38" width="1.77734375" customWidth="1"/>
    <col min="39" max="39" width="9.6640625" bestFit="1" customWidth="1"/>
    <col min="40" max="40" width="1.77734375" customWidth="1"/>
    <col min="42" max="42" width="1.77734375" customWidth="1"/>
    <col min="43" max="43" width="12.21875" bestFit="1" customWidth="1"/>
    <col min="45" max="45" width="18.33203125" bestFit="1" customWidth="1"/>
    <col min="46" max="46" width="2.77734375" customWidth="1"/>
    <col min="49" max="49" width="12.109375" customWidth="1"/>
    <col min="50" max="50" width="11.21875" bestFit="1" customWidth="1"/>
    <col min="51" max="51" width="1.77734375" customWidth="1"/>
    <col min="52" max="52" width="11" bestFit="1" customWidth="1"/>
    <col min="53" max="53" width="1.77734375" customWidth="1"/>
    <col min="54" max="54" width="9" bestFit="1" customWidth="1"/>
    <col min="55" max="55" width="1.77734375" customWidth="1"/>
    <col min="56" max="56" width="9" bestFit="1" customWidth="1"/>
    <col min="61" max="61" width="9.33203125" bestFit="1" customWidth="1"/>
    <col min="62" max="62" width="11.21875" bestFit="1" customWidth="1"/>
  </cols>
  <sheetData>
    <row r="1" spans="1:62" x14ac:dyDescent="0.3">
      <c r="W1" s="5"/>
      <c r="X1" s="5"/>
      <c r="Y1" s="5" t="s">
        <v>103</v>
      </c>
      <c r="AK1" s="406"/>
      <c r="AL1" s="406"/>
      <c r="AM1" s="406"/>
      <c r="AN1" s="5"/>
      <c r="AX1" s="5"/>
      <c r="AY1" s="5"/>
      <c r="AZ1" s="5"/>
      <c r="BA1" s="5"/>
      <c r="BB1" s="5"/>
      <c r="BC1" s="5"/>
      <c r="BD1" s="5"/>
      <c r="BG1" s="5"/>
    </row>
    <row r="2" spans="1:62" x14ac:dyDescent="0.3">
      <c r="W2" s="5"/>
      <c r="X2" s="5"/>
      <c r="Y2" s="5" t="s">
        <v>115</v>
      </c>
      <c r="AG2" s="406"/>
      <c r="AH2" s="406"/>
      <c r="AI2" s="406"/>
      <c r="AK2" s="5"/>
      <c r="AL2" s="5"/>
      <c r="AM2" s="5"/>
      <c r="AN2" s="5"/>
      <c r="AO2" s="5"/>
      <c r="AQ2" s="5"/>
      <c r="AR2" s="5"/>
      <c r="BI2" s="43"/>
      <c r="BJ2" s="44"/>
    </row>
    <row r="3" spans="1:62" x14ac:dyDescent="0.3">
      <c r="F3" s="5" t="s">
        <v>267</v>
      </c>
      <c r="H3" s="5" t="s">
        <v>84</v>
      </c>
      <c r="W3" s="5"/>
      <c r="Y3" s="86" t="s">
        <v>330</v>
      </c>
      <c r="AK3" s="8"/>
      <c r="AL3" s="8"/>
      <c r="AO3" s="45"/>
      <c r="AQ3" s="46"/>
      <c r="AR3" s="47"/>
      <c r="BI3" s="43"/>
      <c r="BJ3" s="48"/>
    </row>
    <row r="4" spans="1:62" x14ac:dyDescent="0.3">
      <c r="F4" s="5" t="s">
        <v>272</v>
      </c>
      <c r="H4" s="5" t="s">
        <v>274</v>
      </c>
      <c r="J4" s="5" t="s">
        <v>267</v>
      </c>
      <c r="U4" t="s">
        <v>415</v>
      </c>
      <c r="Z4" s="49"/>
      <c r="AA4" s="49"/>
      <c r="AB4" s="49"/>
      <c r="AC4" s="49"/>
      <c r="AD4" s="49"/>
      <c r="AK4" s="8"/>
      <c r="AL4" s="8"/>
      <c r="AO4" s="49"/>
      <c r="AQ4" s="46"/>
      <c r="BI4" s="43"/>
      <c r="BJ4" s="48"/>
    </row>
    <row r="5" spans="1:62" x14ac:dyDescent="0.3">
      <c r="A5" t="s">
        <v>269</v>
      </c>
      <c r="F5" s="86" t="s">
        <v>268</v>
      </c>
      <c r="H5" s="86" t="s">
        <v>275</v>
      </c>
      <c r="J5" s="86" t="s">
        <v>268</v>
      </c>
      <c r="L5" t="s">
        <v>273</v>
      </c>
      <c r="O5" s="5"/>
      <c r="U5" t="s">
        <v>329</v>
      </c>
      <c r="W5" s="132"/>
      <c r="X5" s="312"/>
      <c r="Y5" s="132">
        <v>967.46</v>
      </c>
      <c r="Z5" s="4"/>
      <c r="AK5" s="8"/>
      <c r="AL5" s="8"/>
      <c r="AO5" s="49"/>
      <c r="AQ5" s="46"/>
      <c r="BJ5" s="48"/>
    </row>
    <row r="6" spans="1:62" x14ac:dyDescent="0.3">
      <c r="B6" s="5"/>
      <c r="C6" s="5"/>
      <c r="D6" s="5"/>
      <c r="E6" s="155"/>
      <c r="F6" s="155"/>
      <c r="G6" s="5"/>
      <c r="H6" s="5"/>
      <c r="I6" s="5"/>
      <c r="J6" s="5"/>
      <c r="K6" s="5"/>
      <c r="L6" s="5"/>
      <c r="M6" s="5"/>
      <c r="O6" s="5"/>
      <c r="P6" s="5"/>
      <c r="Q6" s="5"/>
      <c r="R6" s="5"/>
      <c r="U6" t="s">
        <v>413</v>
      </c>
      <c r="W6" s="3"/>
      <c r="X6" s="312"/>
      <c r="Y6" s="87">
        <v>2805.64</v>
      </c>
      <c r="Z6" s="49"/>
      <c r="AA6" s="49"/>
      <c r="AB6" s="49"/>
      <c r="AI6" s="2"/>
      <c r="AK6" s="8"/>
      <c r="AL6" s="8"/>
      <c r="AO6" s="49"/>
      <c r="AQ6" s="8"/>
      <c r="AR6" s="49"/>
      <c r="AU6" s="2"/>
      <c r="BJ6" s="51"/>
    </row>
    <row r="7" spans="1:62" x14ac:dyDescent="0.3">
      <c r="A7" t="s">
        <v>262</v>
      </c>
      <c r="E7" s="155"/>
      <c r="F7" s="243">
        <f>L7*N7</f>
        <v>46002</v>
      </c>
      <c r="G7" s="244"/>
      <c r="H7" s="244">
        <v>1000</v>
      </c>
      <c r="I7" s="5"/>
      <c r="J7" s="245">
        <f>SUM(F7:I7)</f>
        <v>47002</v>
      </c>
      <c r="K7" s="5"/>
      <c r="L7" s="242">
        <v>1916.75</v>
      </c>
      <c r="M7" s="242"/>
      <c r="N7" s="6">
        <v>24</v>
      </c>
      <c r="O7" s="5"/>
      <c r="P7" s="2"/>
      <c r="Q7" s="5"/>
      <c r="R7" s="5"/>
      <c r="Y7" s="3"/>
      <c r="AA7" s="49"/>
      <c r="AB7" s="49"/>
      <c r="AI7" s="2"/>
      <c r="AK7" s="8"/>
      <c r="AL7" s="8"/>
      <c r="AO7" s="49"/>
      <c r="AQ7" s="8"/>
      <c r="AR7" s="49"/>
      <c r="AU7" s="2"/>
      <c r="BJ7" s="51"/>
    </row>
    <row r="8" spans="1:62" x14ac:dyDescent="0.3">
      <c r="A8" t="s">
        <v>263</v>
      </c>
      <c r="E8" s="156"/>
      <c r="F8" s="247">
        <f t="shared" ref="F8:F9" si="0">L8*N8</f>
        <v>44111.76</v>
      </c>
      <c r="G8" s="8"/>
      <c r="H8" s="8">
        <v>1000</v>
      </c>
      <c r="I8" s="8"/>
      <c r="J8" s="6">
        <f t="shared" ref="J8:J13" si="1">SUM(F8:I8)</f>
        <v>45111.76</v>
      </c>
      <c r="K8" s="49"/>
      <c r="L8" s="241">
        <v>1837.99</v>
      </c>
      <c r="M8" s="241"/>
      <c r="N8" s="8">
        <v>24</v>
      </c>
      <c r="O8" s="4"/>
      <c r="P8" s="49"/>
      <c r="Q8" s="49"/>
      <c r="R8" s="49"/>
      <c r="T8" s="4"/>
      <c r="U8" t="s">
        <v>326</v>
      </c>
      <c r="Y8" s="3">
        <f>SUM(Y5:Y7)</f>
        <v>3773.1</v>
      </c>
      <c r="AA8" s="49"/>
      <c r="AB8" s="49"/>
      <c r="AI8" s="2"/>
      <c r="AK8" s="8"/>
      <c r="AL8" s="8"/>
      <c r="AO8" s="49"/>
      <c r="AQ8" s="8"/>
      <c r="AR8" s="49"/>
      <c r="AU8" s="2"/>
      <c r="BJ8" s="50"/>
    </row>
    <row r="9" spans="1:62" x14ac:dyDescent="0.3">
      <c r="A9" t="s">
        <v>261</v>
      </c>
      <c r="E9" s="49"/>
      <c r="F9" s="247">
        <f t="shared" si="0"/>
        <v>36870.239999999998</v>
      </c>
      <c r="G9" s="8"/>
      <c r="H9" s="8">
        <v>1000</v>
      </c>
      <c r="I9" s="8"/>
      <c r="J9" s="6">
        <f t="shared" si="1"/>
        <v>37870.239999999998</v>
      </c>
      <c r="K9" s="49"/>
      <c r="L9" s="240">
        <v>1536.26</v>
      </c>
      <c r="M9" s="240"/>
      <c r="N9" s="8">
        <v>24</v>
      </c>
      <c r="O9" s="4"/>
      <c r="P9" s="49"/>
      <c r="Q9" s="49"/>
      <c r="R9" s="49"/>
      <c r="T9" s="4"/>
      <c r="U9" t="s">
        <v>416</v>
      </c>
      <c r="Y9" s="87">
        <v>656.1</v>
      </c>
      <c r="AI9" s="2"/>
      <c r="AK9" s="8"/>
      <c r="AL9" s="8"/>
      <c r="AO9" s="49"/>
      <c r="AQ9" s="8"/>
      <c r="AR9" s="49"/>
      <c r="AU9" s="2"/>
    </row>
    <row r="10" spans="1:62" x14ac:dyDescent="0.3">
      <c r="D10" s="5" t="s">
        <v>324</v>
      </c>
      <c r="F10" s="1"/>
      <c r="G10" s="8"/>
      <c r="H10" s="8"/>
      <c r="I10" s="8"/>
      <c r="J10" s="6"/>
      <c r="K10" s="49"/>
      <c r="L10" s="49"/>
      <c r="M10" s="49"/>
      <c r="O10" s="4"/>
      <c r="P10" s="49"/>
      <c r="Q10" s="49"/>
      <c r="R10" s="49"/>
      <c r="T10" s="4"/>
      <c r="V10" s="3"/>
      <c r="Y10" s="3"/>
      <c r="Z10" s="49"/>
      <c r="AI10" s="2"/>
      <c r="AK10" s="8"/>
      <c r="AL10" s="8"/>
      <c r="AO10" s="49"/>
      <c r="AQ10" s="8"/>
      <c r="AR10" s="49"/>
      <c r="AU10" s="2"/>
      <c r="BJ10" s="51"/>
    </row>
    <row r="11" spans="1:62" x14ac:dyDescent="0.3">
      <c r="A11" t="s">
        <v>270</v>
      </c>
      <c r="B11" s="86" t="s">
        <v>271</v>
      </c>
      <c r="C11" s="5"/>
      <c r="D11" s="246" t="s">
        <v>325</v>
      </c>
      <c r="E11" s="49"/>
      <c r="F11" s="8"/>
      <c r="G11" s="8"/>
      <c r="H11" s="8"/>
      <c r="I11" s="8"/>
      <c r="J11" s="6"/>
      <c r="K11" s="49"/>
      <c r="L11" s="49"/>
      <c r="M11" s="49"/>
      <c r="O11" s="4"/>
      <c r="P11" s="49"/>
      <c r="Q11" s="49"/>
      <c r="R11" s="49"/>
      <c r="T11" s="4"/>
      <c r="U11" t="s">
        <v>327</v>
      </c>
      <c r="Y11" s="3">
        <f>SUM(Y8:Y10)</f>
        <v>4429.2</v>
      </c>
      <c r="AI11" s="2"/>
      <c r="AK11" s="8"/>
      <c r="AL11" s="8"/>
      <c r="AO11" s="49"/>
      <c r="AQ11" s="8"/>
      <c r="AR11" s="49"/>
      <c r="AU11" s="2"/>
    </row>
    <row r="12" spans="1:62" x14ac:dyDescent="0.3">
      <c r="F12" s="1"/>
      <c r="G12" s="1"/>
      <c r="H12" s="1"/>
      <c r="I12" s="1"/>
      <c r="J12" s="6"/>
      <c r="L12" s="49"/>
      <c r="M12" s="49"/>
      <c r="O12" s="4"/>
      <c r="P12" s="49"/>
      <c r="Q12" s="49"/>
      <c r="R12" s="49"/>
      <c r="T12" s="4"/>
      <c r="U12" t="s">
        <v>328</v>
      </c>
      <c r="Y12" s="88">
        <v>12</v>
      </c>
      <c r="AA12" s="49"/>
      <c r="AB12" s="49"/>
      <c r="AI12" s="2"/>
      <c r="AK12" s="8"/>
      <c r="AL12" s="8"/>
      <c r="AO12" s="49"/>
      <c r="AQ12" s="8"/>
      <c r="AR12" s="49"/>
      <c r="AU12" s="2"/>
    </row>
    <row r="13" spans="1:62" x14ac:dyDescent="0.3">
      <c r="A13" t="s">
        <v>264</v>
      </c>
      <c r="B13" s="242">
        <v>16.54</v>
      </c>
      <c r="C13" s="240"/>
      <c r="D13" s="8">
        <v>1309</v>
      </c>
      <c r="E13" s="49"/>
      <c r="F13" s="248">
        <f>B13*D13</f>
        <v>21650.86</v>
      </c>
      <c r="G13" s="1"/>
      <c r="H13" s="88">
        <v>1000</v>
      </c>
      <c r="I13" s="1"/>
      <c r="J13" s="249">
        <f t="shared" si="1"/>
        <v>22650.86</v>
      </c>
      <c r="L13" s="49"/>
      <c r="M13" s="49"/>
      <c r="O13" s="4"/>
      <c r="P13" s="49"/>
      <c r="Q13" s="49"/>
      <c r="R13" s="49"/>
      <c r="T13" s="4"/>
      <c r="Y13" s="3"/>
      <c r="AI13" s="2"/>
      <c r="AK13" s="8"/>
      <c r="AL13" s="8"/>
      <c r="AO13" s="49"/>
      <c r="AQ13" s="8"/>
      <c r="AR13" s="49"/>
      <c r="AU13" s="2"/>
    </row>
    <row r="14" spans="1:62" x14ac:dyDescent="0.3">
      <c r="D14" s="49"/>
      <c r="E14" s="49"/>
      <c r="F14" s="49"/>
      <c r="L14" s="49"/>
      <c r="M14" s="49"/>
      <c r="O14" s="4"/>
      <c r="P14" s="49"/>
      <c r="Q14" s="49"/>
      <c r="R14" s="49"/>
      <c r="T14" s="4"/>
      <c r="U14" t="s">
        <v>267</v>
      </c>
      <c r="Y14" s="1">
        <f>Y11*Y12</f>
        <v>53150.399999999994</v>
      </c>
      <c r="AI14" s="2"/>
      <c r="AK14" s="8"/>
      <c r="AL14" s="8"/>
      <c r="AO14" s="49"/>
      <c r="AQ14" s="8"/>
      <c r="AR14" s="49"/>
      <c r="AU14" s="2"/>
    </row>
    <row r="15" spans="1:62" ht="15" thickBot="1" x14ac:dyDescent="0.35">
      <c r="A15" t="s">
        <v>267</v>
      </c>
      <c r="D15" s="49"/>
      <c r="E15" s="49"/>
      <c r="F15" s="250">
        <f>SUM(F7:F14)</f>
        <v>148634.85999999999</v>
      </c>
      <c r="G15" s="157"/>
      <c r="H15" s="250">
        <f t="shared" ref="H15:J15" si="2">SUM(H7:H14)</f>
        <v>4000</v>
      </c>
      <c r="I15" s="157"/>
      <c r="J15" s="8">
        <f t="shared" si="2"/>
        <v>152634.85999999999</v>
      </c>
      <c r="L15" s="49"/>
      <c r="M15" s="49"/>
      <c r="O15" s="4"/>
      <c r="P15" s="49"/>
      <c r="Q15" s="49"/>
      <c r="R15" s="49"/>
      <c r="T15" s="4"/>
      <c r="U15" t="s">
        <v>88</v>
      </c>
      <c r="Y15" s="88">
        <f>-'Pro Forma Statement'!G34</f>
        <v>-40415</v>
      </c>
      <c r="AI15" s="2"/>
      <c r="AK15" s="8"/>
      <c r="AL15" s="8"/>
      <c r="AO15" s="49"/>
      <c r="AQ15" s="8"/>
      <c r="AR15" s="49"/>
      <c r="AU15" s="2"/>
    </row>
    <row r="16" spans="1:62" ht="15" thickTop="1" x14ac:dyDescent="0.3">
      <c r="A16" t="s">
        <v>88</v>
      </c>
      <c r="D16" s="49"/>
      <c r="E16" s="49"/>
      <c r="F16" s="49"/>
      <c r="J16" s="88">
        <f>-'Pro Forma Statement'!G32</f>
        <v>-147559</v>
      </c>
      <c r="L16" s="49"/>
      <c r="M16" s="49"/>
      <c r="O16" s="4"/>
      <c r="P16" s="49"/>
      <c r="Q16" s="49"/>
      <c r="R16" s="49"/>
      <c r="T16" s="4"/>
      <c r="Y16" s="52"/>
      <c r="AI16" s="2"/>
      <c r="AK16" s="8"/>
      <c r="AL16" s="8"/>
      <c r="AO16" s="49"/>
      <c r="AQ16" s="8"/>
      <c r="AR16" s="49"/>
      <c r="AU16" s="2"/>
    </row>
    <row r="17" spans="1:47" ht="15" thickBot="1" x14ac:dyDescent="0.35">
      <c r="D17" s="49"/>
      <c r="E17" s="49"/>
      <c r="F17" s="49"/>
      <c r="L17" s="49"/>
      <c r="M17" s="49"/>
      <c r="O17" s="4"/>
      <c r="P17" s="49"/>
      <c r="Q17" s="49"/>
      <c r="R17" s="49"/>
      <c r="T17" s="4"/>
      <c r="U17" t="s">
        <v>25</v>
      </c>
      <c r="Y17" s="251">
        <f>Y14+Y15</f>
        <v>12735.399999999994</v>
      </c>
      <c r="AI17" s="2"/>
      <c r="AK17" s="8"/>
      <c r="AL17" s="8"/>
      <c r="AO17" s="49"/>
      <c r="AQ17" s="8"/>
      <c r="AR17" s="49"/>
      <c r="AU17" s="2"/>
    </row>
    <row r="18" spans="1:47" ht="15.6" thickTop="1" thickBot="1" x14ac:dyDescent="0.35">
      <c r="A18" t="s">
        <v>25</v>
      </c>
      <c r="D18" s="49"/>
      <c r="E18" s="49"/>
      <c r="F18" s="49"/>
      <c r="J18" s="251">
        <f>J15+J16</f>
        <v>5075.859999999986</v>
      </c>
      <c r="L18" s="49"/>
      <c r="M18" s="49"/>
      <c r="O18" s="4"/>
      <c r="P18" s="49"/>
      <c r="Q18" s="49"/>
      <c r="R18" s="49"/>
      <c r="T18" s="4"/>
      <c r="AI18" s="2"/>
      <c r="AK18" s="8"/>
      <c r="AL18" s="8"/>
      <c r="AO18" s="49"/>
      <c r="AQ18" s="8"/>
      <c r="AR18" s="49"/>
      <c r="AU18" s="2"/>
    </row>
    <row r="19" spans="1:47" ht="15" thickTop="1" x14ac:dyDescent="0.3">
      <c r="D19" s="49"/>
      <c r="E19" s="49"/>
      <c r="F19" s="49"/>
      <c r="L19" s="49"/>
      <c r="M19" s="49"/>
      <c r="O19" s="4"/>
      <c r="P19" s="49"/>
      <c r="Q19" s="49"/>
      <c r="R19" s="49"/>
      <c r="T19" s="4"/>
      <c r="AI19" s="2"/>
      <c r="AK19" s="8"/>
      <c r="AL19" s="8"/>
      <c r="AO19" s="49"/>
      <c r="AQ19" s="8"/>
      <c r="AR19" s="49"/>
      <c r="AU19" s="2"/>
    </row>
    <row r="20" spans="1:47" x14ac:dyDescent="0.3">
      <c r="D20" s="49"/>
      <c r="E20" s="49"/>
      <c r="F20" s="49"/>
      <c r="L20" s="49"/>
      <c r="M20" s="49"/>
      <c r="O20" s="4"/>
      <c r="P20" s="49"/>
      <c r="Q20" s="49"/>
      <c r="R20" s="49"/>
      <c r="T20" s="4"/>
      <c r="AI20" s="2"/>
      <c r="AK20" s="8"/>
      <c r="AL20" s="8"/>
      <c r="AO20" s="49"/>
      <c r="AQ20" s="8"/>
      <c r="AR20" s="49"/>
      <c r="AU20" s="2"/>
    </row>
    <row r="21" spans="1:47" x14ac:dyDescent="0.3">
      <c r="D21" s="49"/>
      <c r="E21" s="49"/>
      <c r="F21" s="49"/>
      <c r="L21" s="49"/>
      <c r="M21" s="49"/>
      <c r="O21" s="4"/>
      <c r="P21" s="49"/>
      <c r="Q21" s="49"/>
      <c r="R21" s="49"/>
      <c r="T21" s="4"/>
      <c r="AI21" s="2"/>
      <c r="AK21" s="8"/>
      <c r="AL21" s="8"/>
      <c r="AO21" s="49"/>
      <c r="AQ21" s="8"/>
      <c r="AR21" s="49"/>
      <c r="AU21" s="2"/>
    </row>
    <row r="22" spans="1:47" x14ac:dyDescent="0.3">
      <c r="D22" s="49"/>
      <c r="E22" s="49"/>
      <c r="F22" s="49"/>
      <c r="L22" s="49"/>
      <c r="M22" s="49"/>
      <c r="O22" s="4"/>
      <c r="P22" s="49"/>
      <c r="Q22" s="49"/>
      <c r="R22" s="49"/>
      <c r="T22" s="4"/>
      <c r="AI22" s="2"/>
      <c r="AK22" s="8"/>
      <c r="AL22" s="8"/>
      <c r="AO22" s="49"/>
      <c r="AQ22" s="8"/>
      <c r="AR22" s="49"/>
      <c r="AU22" s="2"/>
    </row>
    <row r="23" spans="1:47" x14ac:dyDescent="0.3">
      <c r="D23" t="s">
        <v>377</v>
      </c>
      <c r="E23" s="49"/>
      <c r="F23" s="49"/>
      <c r="J23" s="309">
        <f>J15</f>
        <v>152634.85999999999</v>
      </c>
      <c r="L23" s="49"/>
      <c r="M23" s="49"/>
      <c r="O23" s="4"/>
      <c r="P23" s="49"/>
      <c r="Q23" s="49"/>
      <c r="R23" s="49"/>
      <c r="T23" s="4"/>
      <c r="AI23" s="2"/>
      <c r="AK23" s="8"/>
      <c r="AL23" s="8"/>
      <c r="AO23" s="49"/>
      <c r="AQ23" s="8"/>
      <c r="AR23" s="49"/>
      <c r="AU23" s="2"/>
    </row>
    <row r="24" spans="1:47" x14ac:dyDescent="0.3">
      <c r="D24" t="s">
        <v>378</v>
      </c>
      <c r="E24" s="49"/>
      <c r="F24" s="49"/>
      <c r="J24" s="355">
        <v>7.6499999999999999E-2</v>
      </c>
      <c r="L24" s="49"/>
      <c r="M24" s="49"/>
      <c r="O24" s="4"/>
      <c r="P24" s="49"/>
      <c r="Q24" s="49"/>
      <c r="R24" s="49"/>
      <c r="T24" s="4"/>
      <c r="U24" t="s">
        <v>414</v>
      </c>
      <c r="AI24" s="2"/>
      <c r="AK24" s="8"/>
      <c r="AL24" s="8"/>
      <c r="AO24" s="49"/>
      <c r="AQ24" s="8"/>
      <c r="AR24" s="49"/>
      <c r="AU24" s="2"/>
    </row>
    <row r="25" spans="1:47" x14ac:dyDescent="0.3">
      <c r="E25" s="49"/>
      <c r="F25" s="49"/>
      <c r="L25" s="49"/>
      <c r="M25" s="49"/>
      <c r="O25" s="4"/>
      <c r="P25" s="49"/>
      <c r="Q25" s="49"/>
      <c r="R25" s="49"/>
      <c r="T25" s="4"/>
      <c r="AI25" s="2"/>
      <c r="AK25" s="8"/>
      <c r="AL25" s="8"/>
      <c r="AO25" s="49"/>
      <c r="AQ25" s="8"/>
      <c r="AR25" s="49"/>
      <c r="AU25" s="2"/>
    </row>
    <row r="26" spans="1:47" x14ac:dyDescent="0.3">
      <c r="D26" t="s">
        <v>379</v>
      </c>
      <c r="E26" s="49"/>
      <c r="F26" s="49"/>
      <c r="J26" s="1">
        <f>J23*J24</f>
        <v>11676.566789999999</v>
      </c>
      <c r="L26" s="49"/>
      <c r="M26" s="49"/>
      <c r="O26" s="4"/>
      <c r="P26" s="49"/>
      <c r="Q26" s="49"/>
      <c r="R26" s="49"/>
      <c r="T26" s="4"/>
      <c r="AI26" s="2"/>
      <c r="AK26" s="8"/>
      <c r="AL26" s="8"/>
      <c r="AO26" s="49"/>
      <c r="AQ26" s="8"/>
      <c r="AR26" s="49"/>
      <c r="AU26" s="2"/>
    </row>
    <row r="27" spans="1:47" x14ac:dyDescent="0.3">
      <c r="D27" t="s">
        <v>88</v>
      </c>
      <c r="E27" s="49"/>
      <c r="F27" s="49"/>
      <c r="J27" s="88">
        <f>-'Pro Forma Statement'!G54</f>
        <v>-10803</v>
      </c>
      <c r="L27" s="49"/>
      <c r="M27" s="49"/>
      <c r="O27" s="4"/>
      <c r="P27" s="49"/>
      <c r="Q27" s="49"/>
      <c r="R27" s="49"/>
      <c r="T27" s="4"/>
      <c r="AI27" s="2"/>
      <c r="AK27" s="8"/>
      <c r="AL27" s="8"/>
      <c r="AO27" s="49"/>
      <c r="AQ27" s="8"/>
      <c r="AR27" s="49"/>
      <c r="AU27" s="2"/>
    </row>
    <row r="28" spans="1:47" x14ac:dyDescent="0.3">
      <c r="E28" s="49"/>
      <c r="F28" s="49"/>
      <c r="L28" s="49"/>
      <c r="M28" s="49"/>
      <c r="O28" s="4"/>
      <c r="P28" s="49"/>
      <c r="Q28" s="49"/>
      <c r="R28" s="49"/>
      <c r="T28" s="4"/>
      <c r="AI28" s="2"/>
      <c r="AK28" s="8"/>
      <c r="AL28" s="8"/>
      <c r="AO28" s="49"/>
      <c r="AQ28" s="8"/>
      <c r="AR28" s="49"/>
      <c r="AU28" s="2"/>
    </row>
    <row r="29" spans="1:47" ht="15" thickBot="1" x14ac:dyDescent="0.35">
      <c r="D29" t="s">
        <v>25</v>
      </c>
      <c r="E29" s="49"/>
      <c r="F29" s="49"/>
      <c r="J29" s="251">
        <f>J26+J27</f>
        <v>873.56678999999895</v>
      </c>
      <c r="L29" s="49"/>
      <c r="M29" s="49"/>
      <c r="O29" s="4"/>
      <c r="P29" s="49"/>
      <c r="Q29" s="49"/>
      <c r="R29" s="49"/>
      <c r="T29" s="4"/>
      <c r="AI29" s="2"/>
      <c r="AK29" s="8"/>
      <c r="AL29" s="8"/>
      <c r="AO29" s="49"/>
      <c r="AQ29" s="8"/>
      <c r="AR29" s="49"/>
      <c r="AU29" s="2"/>
    </row>
    <row r="30" spans="1:47" ht="15" thickTop="1" x14ac:dyDescent="0.3">
      <c r="D30" s="49"/>
      <c r="E30" s="49"/>
      <c r="F30" s="49"/>
      <c r="L30" s="49"/>
      <c r="M30" s="49"/>
      <c r="O30" s="4"/>
      <c r="P30" s="49"/>
      <c r="Q30" s="49"/>
      <c r="R30" s="49"/>
      <c r="T30" s="4"/>
      <c r="AI30" s="2"/>
      <c r="AK30" s="8"/>
      <c r="AL30" s="8"/>
      <c r="AO30" s="49"/>
      <c r="AQ30" s="8"/>
      <c r="AR30" s="49"/>
      <c r="AU30" s="2"/>
    </row>
    <row r="31" spans="1:47" x14ac:dyDescent="0.3">
      <c r="D31" s="49"/>
      <c r="E31" s="49"/>
      <c r="F31" s="49"/>
      <c r="G31" s="49"/>
      <c r="H31" s="49"/>
      <c r="I31" s="49"/>
      <c r="J31" s="49"/>
      <c r="K31" s="49"/>
      <c r="L31" s="49"/>
      <c r="M31" s="49"/>
      <c r="O31" s="4"/>
      <c r="P31" s="49"/>
      <c r="Q31" s="49"/>
      <c r="R31" s="49"/>
      <c r="T31" s="4"/>
      <c r="AK31" s="8"/>
      <c r="AL31" s="8"/>
      <c r="AO31" s="49"/>
      <c r="AQ31" s="8"/>
      <c r="AR31" s="49"/>
    </row>
    <row r="32" spans="1:47" x14ac:dyDescent="0.3">
      <c r="A32" s="49"/>
      <c r="D32" s="49"/>
      <c r="E32" s="49"/>
      <c r="F32" s="49"/>
      <c r="L32" s="49"/>
      <c r="M32" s="49"/>
      <c r="O32" s="4"/>
      <c r="P32" s="49"/>
      <c r="Q32" s="49"/>
      <c r="R32" s="49"/>
      <c r="T32" s="4"/>
      <c r="AI32" s="2"/>
      <c r="AK32" s="8"/>
      <c r="AL32" s="8"/>
      <c r="AO32" s="49"/>
      <c r="AQ32" s="8"/>
      <c r="AR32" s="49"/>
    </row>
    <row r="33" spans="1:44" x14ac:dyDescent="0.3">
      <c r="A33" s="49"/>
      <c r="D33" s="49"/>
      <c r="E33" s="49"/>
      <c r="F33" s="49"/>
      <c r="L33" s="49"/>
      <c r="M33" s="49"/>
      <c r="O33" s="4"/>
      <c r="P33" s="49"/>
      <c r="Q33" s="49"/>
      <c r="R33" s="49"/>
      <c r="T33" s="4"/>
      <c r="AI33" s="2"/>
      <c r="AK33" s="8"/>
      <c r="AL33" s="8"/>
      <c r="AO33" s="49"/>
      <c r="AQ33" s="8"/>
      <c r="AR33" s="49"/>
    </row>
    <row r="34" spans="1:44" x14ac:dyDescent="0.3">
      <c r="A34" s="49"/>
      <c r="D34" s="49"/>
      <c r="E34" s="49"/>
      <c r="F34" s="49"/>
      <c r="L34" s="49"/>
      <c r="M34" s="49"/>
      <c r="O34" s="4"/>
      <c r="P34" s="49"/>
      <c r="Q34" s="49"/>
      <c r="R34" s="49"/>
      <c r="T34" s="4"/>
      <c r="AK34" s="8"/>
      <c r="AL34" s="8"/>
      <c r="AO34" s="49"/>
      <c r="AQ34" s="8"/>
      <c r="AR34" s="49"/>
    </row>
    <row r="35" spans="1:44" x14ac:dyDescent="0.3">
      <c r="A35" s="49"/>
      <c r="D35" s="49"/>
      <c r="E35" s="49"/>
      <c r="F35" s="49"/>
      <c r="L35" s="49"/>
      <c r="M35" s="49"/>
      <c r="O35" s="4"/>
      <c r="P35" s="49"/>
      <c r="Q35" s="49"/>
      <c r="R35" s="49"/>
      <c r="T35" s="4"/>
      <c r="AK35" s="8"/>
      <c r="AL35" s="8"/>
      <c r="AO35" s="49"/>
      <c r="AQ35" s="8"/>
      <c r="AR35" s="49"/>
    </row>
    <row r="36" spans="1:44" x14ac:dyDescent="0.3">
      <c r="A36" s="49" t="s">
        <v>263</v>
      </c>
      <c r="D36" s="49"/>
      <c r="E36" s="49"/>
      <c r="F36" s="49"/>
      <c r="L36" s="49"/>
      <c r="M36" s="49"/>
      <c r="AQ36" s="8"/>
      <c r="AR36" s="49"/>
    </row>
    <row r="37" spans="1:44" x14ac:dyDescent="0.3">
      <c r="A37" s="49"/>
      <c r="D37" s="49"/>
      <c r="E37" s="49"/>
      <c r="F37" s="49"/>
      <c r="L37" s="49"/>
      <c r="M37" s="49"/>
      <c r="R37" s="4"/>
      <c r="AK37" s="8"/>
      <c r="AL37" s="8"/>
      <c r="AO37" s="49"/>
      <c r="AQ37" s="8"/>
      <c r="AR37" s="49"/>
    </row>
    <row r="38" spans="1:44" x14ac:dyDescent="0.3">
      <c r="A38" s="49" t="s">
        <v>265</v>
      </c>
      <c r="D38" s="49"/>
      <c r="E38" s="49"/>
      <c r="F38" s="49"/>
      <c r="L38" s="49"/>
      <c r="M38" s="49"/>
      <c r="AK38" s="8"/>
      <c r="AL38" s="8"/>
      <c r="AO38" s="49"/>
      <c r="AQ38" s="8"/>
      <c r="AR38" s="49"/>
    </row>
    <row r="39" spans="1:44" x14ac:dyDescent="0.3">
      <c r="A39" s="49"/>
      <c r="D39" s="49"/>
      <c r="E39" s="49"/>
      <c r="F39" s="49"/>
      <c r="L39" s="49"/>
      <c r="M39" s="49"/>
      <c r="AK39" s="8"/>
      <c r="AL39" s="8"/>
      <c r="AO39" s="49"/>
      <c r="AQ39" s="8"/>
    </row>
    <row r="40" spans="1:44" x14ac:dyDescent="0.3">
      <c r="A40" s="49" t="s">
        <v>266</v>
      </c>
      <c r="D40" s="49"/>
      <c r="E40" s="49"/>
      <c r="F40" s="49"/>
      <c r="L40" s="49"/>
      <c r="M40" s="49"/>
      <c r="AK40" s="8"/>
      <c r="AL40" s="8"/>
      <c r="AO40" s="49"/>
      <c r="AQ40" s="8"/>
    </row>
    <row r="41" spans="1:44" x14ac:dyDescent="0.3">
      <c r="A41" s="49"/>
      <c r="D41" s="49"/>
      <c r="E41" s="49"/>
      <c r="F41" s="49"/>
      <c r="L41" s="49"/>
      <c r="M41" s="49"/>
      <c r="AK41" s="8"/>
      <c r="AL41" s="8"/>
      <c r="AO41" s="49"/>
      <c r="AQ41" s="8"/>
    </row>
    <row r="42" spans="1:44" x14ac:dyDescent="0.3">
      <c r="A42" s="49" t="s">
        <v>261</v>
      </c>
      <c r="D42" s="49"/>
      <c r="E42" s="49"/>
      <c r="F42" s="49"/>
      <c r="L42" s="49"/>
      <c r="M42" s="49"/>
      <c r="AK42" s="8"/>
      <c r="AL42" s="8"/>
      <c r="AO42" s="49"/>
      <c r="AQ42" s="8"/>
    </row>
    <row r="43" spans="1:44" x14ac:dyDescent="0.3">
      <c r="D43" s="49"/>
      <c r="E43" s="49"/>
      <c r="F43" s="49"/>
      <c r="G43" s="49"/>
      <c r="H43" s="49"/>
      <c r="I43" s="49"/>
      <c r="J43" s="49"/>
      <c r="K43" s="49"/>
      <c r="L43" s="49"/>
      <c r="M43" s="49"/>
      <c r="AK43" s="8"/>
      <c r="AL43" s="8"/>
      <c r="AO43" s="49"/>
      <c r="AQ43" s="8"/>
    </row>
    <row r="44" spans="1:44" x14ac:dyDescent="0.3">
      <c r="D44" s="49"/>
      <c r="E44" s="49"/>
      <c r="F44" s="49"/>
      <c r="G44" s="49"/>
      <c r="H44" s="49"/>
      <c r="I44" s="49"/>
      <c r="J44" s="49"/>
      <c r="K44" s="49"/>
      <c r="L44" s="49"/>
      <c r="M44" s="49"/>
      <c r="AK44" s="8"/>
      <c r="AL44" s="8"/>
      <c r="AO44" s="49"/>
      <c r="AQ44" s="8"/>
    </row>
    <row r="45" spans="1:44" x14ac:dyDescent="0.3">
      <c r="D45" s="49"/>
      <c r="E45" s="49"/>
      <c r="F45" s="49"/>
      <c r="G45" s="49"/>
      <c r="H45" s="49"/>
      <c r="I45" s="49"/>
      <c r="J45" s="49"/>
      <c r="K45" s="49"/>
      <c r="L45" s="49"/>
      <c r="M45" s="49"/>
      <c r="AK45" s="8"/>
      <c r="AL45" s="8"/>
      <c r="AO45" s="49"/>
      <c r="AQ45" s="8"/>
    </row>
    <row r="46" spans="1:44" x14ac:dyDescent="0.3">
      <c r="D46" s="49"/>
      <c r="E46" s="49"/>
      <c r="F46" s="49"/>
      <c r="G46" s="49"/>
      <c r="H46" s="49"/>
      <c r="I46" s="49"/>
      <c r="J46" s="49"/>
      <c r="K46" s="49"/>
      <c r="L46" s="49"/>
      <c r="M46" s="49"/>
      <c r="AK46" s="8"/>
      <c r="AL46" s="8"/>
      <c r="AQ46" s="46"/>
      <c r="AR46" s="47"/>
    </row>
    <row r="47" spans="1:44" x14ac:dyDescent="0.3">
      <c r="D47" s="49"/>
      <c r="E47" s="49"/>
      <c r="F47" s="49"/>
      <c r="G47" s="49"/>
      <c r="H47" s="49"/>
      <c r="I47" s="49"/>
      <c r="J47" s="49"/>
      <c r="K47" s="49"/>
      <c r="L47" s="49"/>
      <c r="M47" s="49"/>
      <c r="AK47" s="8"/>
      <c r="AL47" s="8"/>
      <c r="AQ47" s="46"/>
      <c r="AR47" s="47"/>
    </row>
    <row r="48" spans="1:44" x14ac:dyDescent="0.3">
      <c r="I48" s="49"/>
      <c r="J48" s="49"/>
      <c r="K48" s="49"/>
      <c r="L48" s="49"/>
      <c r="M48" s="49"/>
      <c r="AK48" s="8"/>
      <c r="AL48" s="8"/>
      <c r="AQ48" s="46"/>
      <c r="AR48" s="47"/>
    </row>
    <row r="52" spans="4:56" x14ac:dyDescent="0.3">
      <c r="AX52" s="5"/>
      <c r="AY52" s="5"/>
      <c r="AZ52" s="5"/>
      <c r="BA52" s="5"/>
      <c r="BB52" s="5"/>
      <c r="BC52" s="5"/>
      <c r="BD52" s="5"/>
    </row>
    <row r="53" spans="4:56" x14ac:dyDescent="0.3">
      <c r="Z53" s="5"/>
      <c r="AA53" s="5"/>
      <c r="AB53" s="5"/>
      <c r="AC53" s="5"/>
      <c r="AD53" s="5"/>
      <c r="AE53" s="5"/>
      <c r="AF53" s="5"/>
      <c r="AQ53" s="46"/>
    </row>
    <row r="54" spans="4:56" x14ac:dyDescent="0.3">
      <c r="Z54" s="5"/>
      <c r="AA54" s="5"/>
      <c r="AB54" s="5"/>
      <c r="AC54" s="5"/>
      <c r="AD54" s="5"/>
      <c r="AE54" s="5"/>
      <c r="AF54" s="5"/>
      <c r="AQ54" s="52"/>
      <c r="AX54" s="44"/>
      <c r="AY54" s="44"/>
      <c r="AZ54" s="44"/>
      <c r="BA54" s="44"/>
      <c r="BB54" s="44"/>
      <c r="BC54" s="44"/>
      <c r="BD54" s="53"/>
    </row>
    <row r="55" spans="4:56" x14ac:dyDescent="0.3">
      <c r="Z55" s="5"/>
      <c r="AA55" s="5"/>
      <c r="AB55" s="5"/>
      <c r="AC55" s="5"/>
      <c r="AD55" s="5"/>
      <c r="AE55" s="5"/>
      <c r="AF55" s="5"/>
      <c r="AX55" s="50"/>
      <c r="AY55" s="50"/>
      <c r="AZ55" s="50"/>
      <c r="BA55" s="50"/>
      <c r="BB55" s="50"/>
      <c r="BC55" s="50"/>
      <c r="BD55" s="50"/>
    </row>
    <row r="56" spans="4:56" x14ac:dyDescent="0.3">
      <c r="AQ56" s="46"/>
    </row>
    <row r="57" spans="4:56" x14ac:dyDescent="0.3">
      <c r="Z57" s="8"/>
      <c r="AB57" s="49"/>
      <c r="AC57" s="157"/>
      <c r="AD57" s="157"/>
      <c r="AE57" s="157"/>
      <c r="AF57" s="157"/>
      <c r="AQ57" s="158"/>
      <c r="AX57" s="44"/>
      <c r="AY57" s="44"/>
      <c r="AZ57" s="44"/>
      <c r="BA57" s="44"/>
      <c r="BB57" s="44"/>
      <c r="BC57" s="44"/>
      <c r="BD57" s="44"/>
    </row>
    <row r="58" spans="4:56" x14ac:dyDescent="0.3">
      <c r="Z58" s="8"/>
      <c r="AB58" s="49"/>
      <c r="AD58" s="8"/>
      <c r="AE58" s="8"/>
      <c r="AF58" s="8"/>
      <c r="AX58" s="48"/>
      <c r="AY58" s="48"/>
      <c r="AZ58" s="48"/>
      <c r="BA58" s="48"/>
      <c r="BB58" s="48"/>
      <c r="BC58" s="48"/>
      <c r="BD58" s="48"/>
    </row>
    <row r="59" spans="4:56" x14ac:dyDescent="0.3">
      <c r="Z59" s="8"/>
      <c r="AB59" s="49"/>
      <c r="AD59" s="8"/>
      <c r="AE59" s="8"/>
      <c r="AF59" s="8"/>
      <c r="AQ59" s="8"/>
    </row>
    <row r="60" spans="4:56" x14ac:dyDescent="0.3">
      <c r="D60" s="4"/>
      <c r="Z60" s="8"/>
      <c r="AB60" s="49"/>
      <c r="AD60" s="8"/>
      <c r="AE60" s="8"/>
      <c r="AF60" s="8"/>
      <c r="AQ60" s="8"/>
      <c r="AX60" s="50"/>
      <c r="AY60" s="50"/>
      <c r="AZ60" s="50"/>
      <c r="BA60" s="50"/>
      <c r="BB60" s="50"/>
      <c r="BC60" s="50"/>
      <c r="BD60" s="50"/>
    </row>
    <row r="61" spans="4:56" x14ac:dyDescent="0.3">
      <c r="Z61" s="8"/>
      <c r="AD61" s="8"/>
      <c r="AE61" s="8"/>
      <c r="AF61" s="8"/>
      <c r="AQ61" s="8"/>
    </row>
    <row r="62" spans="4:56" x14ac:dyDescent="0.3">
      <c r="Z62" s="8"/>
      <c r="AD62" s="8"/>
      <c r="AE62" s="8"/>
      <c r="AF62" s="8"/>
      <c r="AQ62" s="157"/>
      <c r="AX62" s="50"/>
      <c r="AY62" s="50"/>
      <c r="AZ62" s="50"/>
      <c r="BA62" s="50"/>
      <c r="BB62" s="50"/>
      <c r="BC62" s="50"/>
      <c r="BD62" s="50"/>
    </row>
    <row r="63" spans="4:56" x14ac:dyDescent="0.3">
      <c r="O63" s="2"/>
      <c r="Q63" s="159"/>
      <c r="R63" s="159"/>
      <c r="Z63" s="8"/>
      <c r="AD63" s="8"/>
      <c r="AE63" s="8"/>
      <c r="AF63" s="8"/>
      <c r="AX63" s="54"/>
      <c r="AY63" s="54"/>
      <c r="AZ63" s="54"/>
      <c r="BA63" s="54"/>
      <c r="BB63" s="54"/>
      <c r="BC63" s="54"/>
      <c r="BD63" s="54"/>
    </row>
    <row r="64" spans="4:56" x14ac:dyDescent="0.3"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2"/>
      <c r="Q64" s="159"/>
      <c r="AD64" s="8"/>
      <c r="AE64" s="8"/>
      <c r="AF64" s="8"/>
    </row>
    <row r="65" spans="4:56" x14ac:dyDescent="0.3"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2"/>
      <c r="Q65" s="159"/>
      <c r="R65" s="159"/>
      <c r="AX65" s="51"/>
      <c r="AY65" s="51"/>
      <c r="AZ65" s="51"/>
      <c r="BA65" s="51"/>
      <c r="BB65" s="51"/>
      <c r="BC65" s="51"/>
      <c r="BD65" s="51"/>
    </row>
    <row r="66" spans="4:56" x14ac:dyDescent="0.3"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2"/>
      <c r="AF66" s="8"/>
    </row>
    <row r="67" spans="4:56" x14ac:dyDescent="0.3"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2"/>
      <c r="P67" s="2"/>
      <c r="Q67" s="159"/>
      <c r="R67" s="159"/>
      <c r="AF67" s="8"/>
      <c r="AX67" s="46"/>
    </row>
    <row r="68" spans="4:56" x14ac:dyDescent="0.3"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2"/>
      <c r="P68" s="2"/>
      <c r="Q68" s="159"/>
      <c r="R68" s="159"/>
      <c r="AX68" s="50"/>
    </row>
    <row r="69" spans="4:56" x14ac:dyDescent="0.3"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2"/>
      <c r="P69" s="2"/>
      <c r="Q69" s="159"/>
      <c r="R69" s="159"/>
      <c r="AF69" s="157"/>
      <c r="AQ69" s="46"/>
    </row>
    <row r="70" spans="4:56" x14ac:dyDescent="0.3"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2"/>
      <c r="P70" s="2"/>
      <c r="Q70" s="159"/>
      <c r="R70" s="159"/>
      <c r="AQ70" s="158"/>
      <c r="AX70" s="46"/>
    </row>
    <row r="71" spans="4:56" x14ac:dyDescent="0.3"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2"/>
      <c r="P71" s="2"/>
      <c r="Q71" s="159"/>
      <c r="R71" s="159"/>
    </row>
    <row r="72" spans="4:56" x14ac:dyDescent="0.3"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2"/>
      <c r="P72" s="2"/>
      <c r="Q72" s="159"/>
      <c r="R72" s="159"/>
      <c r="AQ72" s="8"/>
    </row>
    <row r="73" spans="4:56" x14ac:dyDescent="0.3"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2"/>
      <c r="P73" s="2"/>
      <c r="Q73" s="159"/>
      <c r="R73" s="159"/>
      <c r="AF73" s="157"/>
      <c r="AQ73" s="8"/>
    </row>
    <row r="74" spans="4:56" x14ac:dyDescent="0.3"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Q74" s="4"/>
      <c r="AF74" s="158"/>
    </row>
    <row r="75" spans="4:56" x14ac:dyDescent="0.3"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Q75" s="4"/>
      <c r="R75" s="159"/>
      <c r="AQ75" s="157"/>
    </row>
    <row r="76" spans="4:56" x14ac:dyDescent="0.3"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AF76" s="8"/>
    </row>
    <row r="77" spans="4:56" x14ac:dyDescent="0.3"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AF77" s="8"/>
    </row>
    <row r="78" spans="4:56" x14ac:dyDescent="0.3"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</row>
    <row r="79" spans="4:56" x14ac:dyDescent="0.3"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AF79" s="157"/>
    </row>
    <row r="80" spans="4:56" x14ac:dyDescent="0.3"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Q80" s="4"/>
    </row>
    <row r="82" spans="17:17" x14ac:dyDescent="0.3">
      <c r="Q82" s="4"/>
    </row>
    <row r="101" spans="5:6" x14ac:dyDescent="0.3">
      <c r="E101" s="1"/>
      <c r="F101" s="1"/>
    </row>
  </sheetData>
  <mergeCells count="2">
    <mergeCell ref="AK1:AM1"/>
    <mergeCell ref="AG2:AI2"/>
  </mergeCells>
  <pageMargins left="0.7" right="0.7" top="0.75" bottom="0.75" header="0.3" footer="0.3"/>
  <pageSetup scale="3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A0D49-FDCF-42CE-9B03-F778B4F0218C}">
  <dimension ref="A1:Y72"/>
  <sheetViews>
    <sheetView showGridLines="0" topLeftCell="A48" zoomScaleNormal="100" workbookViewId="0">
      <selection activeCell="M16" sqref="M16"/>
    </sheetView>
  </sheetViews>
  <sheetFormatPr defaultRowHeight="15.6" x14ac:dyDescent="0.3"/>
  <cols>
    <col min="1" max="1" width="1.5546875" style="39" customWidth="1"/>
    <col min="2" max="2" width="23.33203125" style="39" customWidth="1"/>
    <col min="3" max="3" width="0.88671875" style="39" customWidth="1"/>
    <col min="4" max="4" width="0.5546875" style="39" customWidth="1"/>
    <col min="5" max="5" width="37.109375" style="39" customWidth="1"/>
    <col min="6" max="6" width="0.88671875" style="39" customWidth="1"/>
    <col min="7" max="7" width="11.6640625" style="39" bestFit="1" customWidth="1"/>
    <col min="8" max="8" width="0.88671875" style="39" customWidth="1"/>
    <col min="9" max="9" width="11.5546875" style="39" bestFit="1" customWidth="1"/>
    <col min="10" max="10" width="0.88671875" style="39" customWidth="1"/>
    <col min="11" max="11" width="14.109375" style="39" customWidth="1"/>
    <col min="12" max="16" width="8.88671875" style="39"/>
    <col min="17" max="17" width="9.5546875" style="39" bestFit="1" customWidth="1"/>
    <col min="18" max="18" width="1.33203125" style="39" customWidth="1"/>
    <col min="19" max="19" width="11.21875" style="39" bestFit="1" customWidth="1"/>
    <col min="20" max="20" width="16.88671875" style="39" customWidth="1"/>
    <col min="21" max="21" width="12.33203125" style="39" bestFit="1" customWidth="1"/>
    <col min="22" max="22" width="0.88671875" style="39" customWidth="1"/>
    <col min="23" max="23" width="8.88671875" style="39"/>
    <col min="24" max="24" width="0.88671875" style="39" customWidth="1"/>
    <col min="25" max="25" width="14.109375" style="39" bestFit="1" customWidth="1"/>
    <col min="26" max="16384" width="8.88671875" style="39"/>
  </cols>
  <sheetData>
    <row r="1" spans="1:25" x14ac:dyDescent="0.3">
      <c r="C1" s="22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25" x14ac:dyDescent="0.3">
      <c r="C2" s="130"/>
      <c r="D2" s="130"/>
      <c r="E2" s="130"/>
      <c r="F2" s="130"/>
      <c r="G2" s="341" t="s">
        <v>354</v>
      </c>
      <c r="H2" s="130"/>
      <c r="I2" s="341" t="s">
        <v>346</v>
      </c>
      <c r="J2" s="130"/>
      <c r="K2" s="131"/>
      <c r="L2" s="77"/>
      <c r="M2" s="77"/>
      <c r="N2" s="77"/>
      <c r="O2" s="77"/>
      <c r="P2" s="77"/>
      <c r="Q2" s="77"/>
      <c r="U2" s="343" t="s">
        <v>354</v>
      </c>
      <c r="V2" s="348"/>
      <c r="W2" s="343" t="s">
        <v>346</v>
      </c>
      <c r="X2" s="348"/>
      <c r="Y2" s="348"/>
    </row>
    <row r="3" spans="1:25" x14ac:dyDescent="0.3">
      <c r="C3" s="130"/>
      <c r="D3" s="130"/>
      <c r="E3" s="130"/>
      <c r="F3" s="130"/>
      <c r="G3" s="341" t="s">
        <v>355</v>
      </c>
      <c r="H3" s="130"/>
      <c r="I3" s="341" t="s">
        <v>345</v>
      </c>
      <c r="J3" s="130"/>
      <c r="K3" s="341" t="s">
        <v>84</v>
      </c>
      <c r="L3" s="77"/>
      <c r="M3" s="77"/>
      <c r="N3" s="77"/>
      <c r="O3" s="77"/>
      <c r="P3" s="77"/>
      <c r="Q3" s="77"/>
      <c r="U3" s="343" t="s">
        <v>355</v>
      </c>
      <c r="V3" s="348"/>
      <c r="W3" s="343" t="s">
        <v>345</v>
      </c>
      <c r="X3" s="348"/>
      <c r="Y3" s="343" t="s">
        <v>84</v>
      </c>
    </row>
    <row r="4" spans="1:25" x14ac:dyDescent="0.3">
      <c r="A4" s="352" t="s">
        <v>343</v>
      </c>
      <c r="B4" s="352"/>
      <c r="C4" s="131"/>
      <c r="D4" s="130"/>
      <c r="E4" s="346" t="s">
        <v>344</v>
      </c>
      <c r="F4" s="130"/>
      <c r="G4" s="346" t="s">
        <v>356</v>
      </c>
      <c r="H4" s="130"/>
      <c r="I4" s="346" t="s">
        <v>83</v>
      </c>
      <c r="J4" s="130"/>
      <c r="K4" s="346" t="s">
        <v>60</v>
      </c>
      <c r="L4" s="77"/>
      <c r="M4" s="77"/>
      <c r="N4" s="77"/>
      <c r="O4" s="77"/>
      <c r="P4" s="77"/>
      <c r="Q4" s="77"/>
      <c r="U4" s="346" t="s">
        <v>356</v>
      </c>
      <c r="V4" s="348"/>
      <c r="W4" s="346" t="s">
        <v>83</v>
      </c>
      <c r="X4" s="348"/>
      <c r="Y4" s="346" t="s">
        <v>60</v>
      </c>
    </row>
    <row r="5" spans="1:25" x14ac:dyDescent="0.3"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1:25" x14ac:dyDescent="0.3">
      <c r="A6" s="349" t="s">
        <v>368</v>
      </c>
      <c r="B6" s="349"/>
      <c r="L6" s="77"/>
      <c r="M6" s="77"/>
      <c r="N6" s="77"/>
      <c r="O6" s="77"/>
      <c r="P6" s="342" t="s">
        <v>358</v>
      </c>
      <c r="Q6" s="77"/>
      <c r="U6" s="347">
        <v>1382.7</v>
      </c>
    </row>
    <row r="7" spans="1:25" x14ac:dyDescent="0.3">
      <c r="B7" s="340" t="s">
        <v>347</v>
      </c>
      <c r="C7" s="227"/>
      <c r="D7" s="77"/>
      <c r="E7" s="353" t="s">
        <v>372</v>
      </c>
      <c r="F7" s="77"/>
      <c r="H7" s="77"/>
      <c r="I7" s="229"/>
      <c r="J7" s="77"/>
      <c r="K7" s="228"/>
      <c r="L7" s="77"/>
      <c r="M7" s="77"/>
      <c r="N7" s="77"/>
      <c r="O7" s="77"/>
      <c r="P7" s="342" t="s">
        <v>359</v>
      </c>
      <c r="Q7" s="77"/>
      <c r="U7" s="344">
        <v>29</v>
      </c>
    </row>
    <row r="8" spans="1:25" x14ac:dyDescent="0.3">
      <c r="C8" s="227"/>
      <c r="D8" s="77"/>
      <c r="E8" s="353" t="s">
        <v>373</v>
      </c>
      <c r="F8" s="77"/>
      <c r="G8" s="228">
        <v>-11419.89</v>
      </c>
      <c r="H8" s="77"/>
      <c r="I8" s="229">
        <v>22.5</v>
      </c>
      <c r="J8" s="77"/>
      <c r="K8" s="228">
        <f>G8/I8*-1</f>
        <v>507.55066666666664</v>
      </c>
      <c r="L8" s="77"/>
      <c r="M8" s="77"/>
      <c r="N8" s="77"/>
      <c r="O8" s="77"/>
      <c r="P8" s="77"/>
      <c r="Q8" s="77"/>
    </row>
    <row r="9" spans="1:25" x14ac:dyDescent="0.3">
      <c r="B9" s="340" t="s">
        <v>348</v>
      </c>
      <c r="C9" s="227"/>
      <c r="D9" s="77"/>
      <c r="E9" s="342" t="s">
        <v>349</v>
      </c>
      <c r="F9" s="77"/>
      <c r="G9" s="77">
        <v>-1125</v>
      </c>
      <c r="H9" s="77"/>
      <c r="I9" s="77">
        <v>7</v>
      </c>
      <c r="J9" s="77"/>
      <c r="K9" s="77">
        <f t="shared" ref="K9:K11" si="0">G9/I9*-1</f>
        <v>160.71428571428572</v>
      </c>
      <c r="L9" s="77"/>
      <c r="M9" s="77"/>
      <c r="N9" s="77"/>
      <c r="O9" s="77"/>
      <c r="P9" s="342" t="s">
        <v>360</v>
      </c>
      <c r="Q9" s="77"/>
      <c r="U9" s="39">
        <f>U6*U7</f>
        <v>40098.300000000003</v>
      </c>
    </row>
    <row r="10" spans="1:25" x14ac:dyDescent="0.3">
      <c r="B10" s="340" t="s">
        <v>350</v>
      </c>
      <c r="C10" s="77"/>
      <c r="D10" s="77"/>
      <c r="E10" s="342" t="s">
        <v>351</v>
      </c>
      <c r="F10" s="77"/>
      <c r="G10" s="77">
        <v>-6435</v>
      </c>
      <c r="H10" s="77"/>
      <c r="I10" s="229">
        <v>22.5</v>
      </c>
      <c r="J10" s="77"/>
      <c r="K10" s="77">
        <f t="shared" si="0"/>
        <v>286</v>
      </c>
      <c r="L10" s="77"/>
      <c r="M10" s="77"/>
      <c r="N10" s="77"/>
      <c r="O10" s="77"/>
      <c r="P10" s="342" t="s">
        <v>361</v>
      </c>
      <c r="Q10" s="77"/>
      <c r="U10" s="344">
        <f>'Reconcile GL to AR'!D71</f>
        <v>-6048</v>
      </c>
    </row>
    <row r="11" spans="1:25" x14ac:dyDescent="0.3">
      <c r="B11" s="340" t="s">
        <v>352</v>
      </c>
      <c r="C11" s="77"/>
      <c r="D11" s="77"/>
      <c r="E11" s="342" t="s">
        <v>353</v>
      </c>
      <c r="F11" s="77"/>
      <c r="G11" s="344">
        <v>-1000</v>
      </c>
      <c r="H11" s="77"/>
      <c r="I11" s="77">
        <v>5</v>
      </c>
      <c r="J11" s="77"/>
      <c r="K11" s="77">
        <f t="shared" si="0"/>
        <v>200</v>
      </c>
      <c r="L11" s="77"/>
      <c r="M11" s="77"/>
      <c r="N11" s="77"/>
      <c r="O11" s="77"/>
      <c r="P11" s="77"/>
      <c r="Q11" s="77"/>
    </row>
    <row r="12" spans="1:25" ht="16.2" thickBot="1" x14ac:dyDescent="0.35"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342" t="s">
        <v>362</v>
      </c>
      <c r="Q12" s="77"/>
      <c r="U12" s="345">
        <f>U9+U10</f>
        <v>34050.300000000003</v>
      </c>
      <c r="W12" s="39">
        <v>45</v>
      </c>
      <c r="Y12" s="345">
        <f>U12/W12</f>
        <v>756.6733333333334</v>
      </c>
    </row>
    <row r="13" spans="1:25" ht="16.8" thickTop="1" thickBot="1" x14ac:dyDescent="0.35">
      <c r="A13" s="349" t="s">
        <v>366</v>
      </c>
      <c r="C13" s="77"/>
      <c r="D13" s="77"/>
      <c r="E13" s="77"/>
      <c r="F13" s="77"/>
      <c r="G13" s="77">
        <f>SUM(G8:G12)</f>
        <v>-19979.89</v>
      </c>
      <c r="H13" s="77"/>
      <c r="I13" s="77"/>
      <c r="J13" s="77"/>
      <c r="K13" s="228"/>
      <c r="L13" s="77"/>
      <c r="M13" s="77"/>
      <c r="N13" s="77"/>
      <c r="O13" s="77"/>
      <c r="P13" s="342" t="s">
        <v>364</v>
      </c>
      <c r="Q13" s="77"/>
      <c r="U13" s="345">
        <f>U12/2*-1</f>
        <v>-17025.150000000001</v>
      </c>
    </row>
    <row r="14" spans="1:25" ht="16.8" thickTop="1" thickBot="1" x14ac:dyDescent="0.35">
      <c r="B14" s="253"/>
      <c r="C14" s="77"/>
      <c r="D14" s="77"/>
      <c r="E14" s="77"/>
      <c r="F14" s="77"/>
      <c r="G14" s="77"/>
      <c r="H14" s="77"/>
      <c r="I14" s="77"/>
      <c r="J14" s="77"/>
      <c r="K14" s="254"/>
      <c r="L14" s="77"/>
      <c r="M14" s="77"/>
      <c r="N14" s="77"/>
      <c r="O14" s="77"/>
      <c r="P14" s="77"/>
      <c r="Q14" s="77"/>
      <c r="S14" s="340" t="s">
        <v>363</v>
      </c>
      <c r="U14" s="345">
        <f>U13</f>
        <v>-17025.150000000001</v>
      </c>
    </row>
    <row r="15" spans="1:25" ht="18" thickTop="1" x14ac:dyDescent="0.45">
      <c r="A15" s="349" t="s">
        <v>369</v>
      </c>
      <c r="B15" s="14"/>
      <c r="C15" s="77"/>
      <c r="D15" s="77"/>
      <c r="E15" s="77"/>
      <c r="F15" s="77"/>
      <c r="G15" s="77"/>
      <c r="H15" s="77"/>
      <c r="I15" s="77"/>
      <c r="J15" s="77"/>
      <c r="K15" s="77"/>
      <c r="L15" s="227"/>
      <c r="M15" s="77"/>
      <c r="N15" s="77"/>
      <c r="O15" s="77"/>
      <c r="P15" s="77"/>
      <c r="Q15" s="77"/>
    </row>
    <row r="16" spans="1:25" x14ac:dyDescent="0.3">
      <c r="B16" s="349" t="s">
        <v>370</v>
      </c>
      <c r="E16" s="349" t="s">
        <v>371</v>
      </c>
      <c r="F16" s="77"/>
      <c r="G16" s="344">
        <v>-3200</v>
      </c>
      <c r="H16" s="77"/>
      <c r="I16" s="229">
        <v>37.5</v>
      </c>
      <c r="J16" s="77"/>
      <c r="K16" s="344">
        <f t="shared" ref="K16" si="1">G16/I16*-1</f>
        <v>85.333333333333329</v>
      </c>
      <c r="L16" s="77"/>
      <c r="M16" s="353"/>
      <c r="N16" s="77"/>
      <c r="O16" s="77"/>
      <c r="P16" s="77"/>
      <c r="Q16" s="77"/>
    </row>
    <row r="17" spans="1:17" x14ac:dyDescent="0.3">
      <c r="C17" s="77"/>
      <c r="D17" s="77"/>
      <c r="E17" s="77"/>
      <c r="F17" s="77"/>
      <c r="G17" s="77"/>
      <c r="H17" s="77"/>
      <c r="I17" s="77"/>
      <c r="J17" s="77"/>
      <c r="K17" s="77"/>
      <c r="L17" s="408"/>
      <c r="M17" s="408"/>
      <c r="N17" s="408"/>
      <c r="O17" s="408"/>
      <c r="P17" s="408"/>
      <c r="Q17" s="408"/>
    </row>
    <row r="18" spans="1:17" ht="16.2" thickBot="1" x14ac:dyDescent="0.35">
      <c r="A18" s="349" t="s">
        <v>33</v>
      </c>
      <c r="B18" s="349"/>
      <c r="C18" s="77"/>
      <c r="D18" s="77"/>
      <c r="E18" s="77"/>
      <c r="F18" s="77"/>
      <c r="G18" s="345">
        <f>G13+G16</f>
        <v>-23179.89</v>
      </c>
      <c r="H18" s="77"/>
      <c r="I18" s="77"/>
      <c r="J18" s="77"/>
      <c r="K18" s="345">
        <f>SUM(K8:K17)</f>
        <v>1239.5982857142856</v>
      </c>
      <c r="L18" s="227"/>
      <c r="M18" s="77"/>
      <c r="N18" s="77"/>
      <c r="O18" s="77"/>
      <c r="P18" s="77"/>
      <c r="Q18" s="228"/>
    </row>
    <row r="19" spans="1:17" ht="16.2" thickTop="1" x14ac:dyDescent="0.3">
      <c r="B19" s="349"/>
      <c r="C19" s="350"/>
      <c r="D19" s="350"/>
      <c r="E19" s="350"/>
      <c r="F19" s="350"/>
      <c r="G19" s="351"/>
      <c r="H19" s="350"/>
      <c r="I19" s="350"/>
      <c r="J19" s="350"/>
      <c r="K19" s="350"/>
      <c r="L19" s="227"/>
      <c r="M19" s="77"/>
      <c r="N19" s="77"/>
      <c r="O19" s="77"/>
      <c r="P19" s="77"/>
      <c r="Q19" s="77"/>
    </row>
    <row r="20" spans="1:17" x14ac:dyDescent="0.3">
      <c r="C20" s="77"/>
      <c r="D20" s="77"/>
      <c r="E20" s="77"/>
      <c r="F20" s="77"/>
      <c r="G20" s="230"/>
      <c r="H20" s="130"/>
      <c r="I20" s="131"/>
      <c r="J20" s="77"/>
      <c r="K20" s="131"/>
      <c r="L20" s="227"/>
      <c r="M20" s="77"/>
      <c r="N20" s="77"/>
      <c r="O20" s="77"/>
      <c r="P20" s="77"/>
      <c r="Q20" s="77"/>
    </row>
    <row r="21" spans="1:17" x14ac:dyDescent="0.3">
      <c r="B21" s="349"/>
      <c r="C21" s="77"/>
      <c r="D21" s="77"/>
      <c r="E21" s="77"/>
      <c r="F21" s="77"/>
      <c r="G21" s="228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1:17" x14ac:dyDescent="0.3">
      <c r="C22" s="227"/>
      <c r="D22" s="77"/>
      <c r="E22" s="77"/>
      <c r="F22" s="77"/>
      <c r="G22" s="77"/>
      <c r="H22" s="77"/>
      <c r="I22" s="77"/>
      <c r="J22" s="77"/>
      <c r="K22" s="77"/>
      <c r="L22" s="227"/>
      <c r="M22" s="77"/>
      <c r="N22" s="77"/>
      <c r="O22" s="77"/>
      <c r="P22" s="77"/>
      <c r="Q22" s="228"/>
    </row>
    <row r="23" spans="1:17" x14ac:dyDescent="0.3">
      <c r="C23" s="227"/>
      <c r="D23" s="77"/>
      <c r="E23" s="77"/>
      <c r="F23" s="77"/>
      <c r="G23" s="228"/>
      <c r="H23" s="77"/>
      <c r="I23" s="228"/>
      <c r="J23" s="77"/>
      <c r="K23" s="77"/>
      <c r="L23" s="77"/>
      <c r="M23" s="77"/>
      <c r="N23" s="77"/>
      <c r="O23" s="77"/>
      <c r="P23" s="77"/>
      <c r="Q23" s="77"/>
    </row>
    <row r="24" spans="1:17" x14ac:dyDescent="0.3">
      <c r="C24" s="77"/>
      <c r="D24" s="77"/>
      <c r="E24" s="77"/>
      <c r="F24" s="77"/>
      <c r="G24" s="77"/>
      <c r="H24" s="77"/>
      <c r="I24" s="77"/>
      <c r="J24" s="77"/>
      <c r="K24" s="77"/>
      <c r="L24" s="408"/>
      <c r="M24" s="408"/>
      <c r="N24" s="408"/>
      <c r="O24" s="408"/>
      <c r="P24" s="408"/>
      <c r="Q24" s="408"/>
    </row>
    <row r="25" spans="1:17" x14ac:dyDescent="0.3">
      <c r="C25" s="227"/>
      <c r="D25" s="77"/>
      <c r="E25" s="77"/>
      <c r="F25" s="77"/>
      <c r="G25" s="228"/>
      <c r="H25" s="77"/>
      <c r="I25" s="228"/>
      <c r="J25" s="77"/>
      <c r="K25" s="228"/>
      <c r="L25" s="227"/>
      <c r="M25" s="77"/>
      <c r="N25" s="77"/>
      <c r="O25" s="77"/>
      <c r="P25" s="77"/>
      <c r="Q25" s="228"/>
    </row>
    <row r="26" spans="1:17" x14ac:dyDescent="0.3">
      <c r="C26" s="227"/>
      <c r="D26" s="77"/>
      <c r="E26" s="77"/>
      <c r="F26" s="77"/>
      <c r="G26" s="77"/>
      <c r="H26" s="77"/>
      <c r="I26" s="77"/>
      <c r="J26" s="77"/>
      <c r="K26" s="77"/>
      <c r="L26" s="227"/>
      <c r="M26" s="77"/>
      <c r="N26" s="77"/>
      <c r="O26" s="77"/>
      <c r="P26" s="77"/>
      <c r="Q26" s="77"/>
    </row>
    <row r="27" spans="1:17" x14ac:dyDescent="0.3">
      <c r="C27" s="77"/>
      <c r="D27" s="77"/>
      <c r="E27" s="77"/>
      <c r="F27" s="77"/>
      <c r="G27" s="130"/>
      <c r="H27" s="130"/>
      <c r="I27" s="131"/>
      <c r="J27" s="130"/>
      <c r="K27" s="131"/>
      <c r="L27" s="77"/>
      <c r="M27" s="77"/>
      <c r="N27" s="77"/>
      <c r="O27" s="77"/>
      <c r="P27" s="77"/>
      <c r="Q27" s="77"/>
    </row>
    <row r="28" spans="1:17" x14ac:dyDescent="0.3">
      <c r="C28" s="77"/>
      <c r="D28" s="77"/>
      <c r="E28" s="77"/>
      <c r="F28" s="77"/>
      <c r="G28" s="131"/>
      <c r="H28" s="130"/>
      <c r="I28" s="131"/>
      <c r="J28" s="130"/>
      <c r="K28" s="131"/>
      <c r="L28" s="227"/>
      <c r="M28" s="77"/>
      <c r="N28" s="77"/>
      <c r="O28" s="77"/>
      <c r="P28" s="77"/>
      <c r="Q28" s="228"/>
    </row>
    <row r="29" spans="1:17" x14ac:dyDescent="0.3">
      <c r="C29" s="77"/>
      <c r="D29" s="77"/>
      <c r="E29" s="77"/>
      <c r="F29" s="77"/>
      <c r="G29" s="131"/>
      <c r="H29" s="130"/>
      <c r="I29" s="131"/>
      <c r="J29" s="130"/>
      <c r="K29" s="131"/>
      <c r="L29" s="77"/>
      <c r="M29" s="77"/>
      <c r="N29" s="77"/>
      <c r="O29" s="77"/>
      <c r="P29" s="77"/>
      <c r="Q29" s="77"/>
    </row>
    <row r="30" spans="1:17" x14ac:dyDescent="0.3">
      <c r="C30" s="231"/>
      <c r="D30" s="77"/>
      <c r="E30" s="77"/>
      <c r="F30" s="77"/>
      <c r="G30" s="131"/>
      <c r="H30" s="130"/>
      <c r="I30" s="131"/>
      <c r="J30" s="130"/>
      <c r="K30" s="131"/>
      <c r="L30" s="77"/>
      <c r="M30" s="77"/>
      <c r="N30" s="77"/>
      <c r="O30" s="77"/>
      <c r="P30" s="77"/>
      <c r="Q30" s="77"/>
    </row>
    <row r="31" spans="1:17" x14ac:dyDescent="0.3">
      <c r="C31" s="227"/>
      <c r="D31" s="77"/>
      <c r="E31" s="77"/>
      <c r="F31" s="77"/>
      <c r="G31" s="228"/>
      <c r="H31" s="77"/>
      <c r="I31" s="227"/>
      <c r="J31" s="77"/>
      <c r="K31" s="77"/>
      <c r="L31" s="77"/>
      <c r="M31" s="77"/>
      <c r="N31" s="77"/>
      <c r="O31" s="77"/>
      <c r="P31" s="77"/>
      <c r="Q31" s="77"/>
    </row>
    <row r="32" spans="1:17" x14ac:dyDescent="0.3">
      <c r="C32" s="227"/>
      <c r="D32" s="77"/>
      <c r="E32" s="77"/>
      <c r="F32" s="77"/>
      <c r="G32" s="77"/>
      <c r="H32" s="77"/>
      <c r="I32" s="77"/>
      <c r="J32" s="77"/>
      <c r="K32" s="228"/>
      <c r="L32" s="77"/>
      <c r="M32" s="77"/>
      <c r="N32" s="77"/>
      <c r="O32" s="77"/>
      <c r="P32" s="77"/>
      <c r="Q32" s="77"/>
    </row>
    <row r="33" spans="2:20" x14ac:dyDescent="0.3">
      <c r="B33" s="252" t="s">
        <v>276</v>
      </c>
      <c r="C33" s="22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2:20" x14ac:dyDescent="0.3"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2:20" x14ac:dyDescent="0.3">
      <c r="C35" s="227"/>
      <c r="D35" s="77"/>
      <c r="E35" s="77"/>
      <c r="F35" s="77"/>
      <c r="G35" s="228"/>
      <c r="H35" s="77"/>
      <c r="I35" s="77"/>
      <c r="J35" s="77"/>
      <c r="K35" s="228"/>
      <c r="L35" s="77"/>
      <c r="M35" s="77"/>
      <c r="N35" s="77"/>
      <c r="O35" s="77"/>
      <c r="P35" s="77"/>
      <c r="Q35" s="77"/>
    </row>
    <row r="36" spans="2:20" x14ac:dyDescent="0.3"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2:20" x14ac:dyDescent="0.3">
      <c r="C37" s="22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T37" s="252" t="s">
        <v>277</v>
      </c>
    </row>
    <row r="38" spans="2:20" x14ac:dyDescent="0.3"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2:20" x14ac:dyDescent="0.3"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2:20" x14ac:dyDescent="0.3"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2:20" x14ac:dyDescent="0.3"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50" spans="2:6" x14ac:dyDescent="0.3">
      <c r="F50" s="129"/>
    </row>
    <row r="52" spans="2:6" x14ac:dyDescent="0.3">
      <c r="B52" s="252" t="s">
        <v>278</v>
      </c>
    </row>
    <row r="72" spans="2:2" x14ac:dyDescent="0.3">
      <c r="B72" s="252" t="s">
        <v>279</v>
      </c>
    </row>
  </sheetData>
  <mergeCells count="2">
    <mergeCell ref="L24:Q24"/>
    <mergeCell ref="L17:Q1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E484F-1E27-4E52-908F-4B01BCAAC6E0}">
  <dimension ref="A2:BK144"/>
  <sheetViews>
    <sheetView showGridLines="0" zoomScale="85" zoomScaleNormal="85" workbookViewId="0">
      <pane ySplit="21" topLeftCell="A22" activePane="bottomLeft" state="frozen"/>
      <selection pane="bottomLeft" activeCell="D2" sqref="D2"/>
    </sheetView>
  </sheetViews>
  <sheetFormatPr defaultRowHeight="15.6" x14ac:dyDescent="0.3"/>
  <cols>
    <col min="1" max="1" width="8.88671875" style="61"/>
    <col min="2" max="2" width="17.21875" style="61" customWidth="1"/>
    <col min="3" max="3" width="0.88671875" style="61" customWidth="1"/>
    <col min="4" max="4" width="15.33203125" style="61" bestFit="1" customWidth="1"/>
    <col min="5" max="5" width="0.88671875" style="61" customWidth="1"/>
    <col min="6" max="6" width="15.33203125" style="315" bestFit="1" customWidth="1"/>
    <col min="7" max="7" width="0.88671875" style="61" customWidth="1"/>
    <col min="8" max="8" width="14.109375" style="61" bestFit="1" customWidth="1"/>
    <col min="9" max="9" width="0.88671875" style="61" customWidth="1"/>
    <col min="10" max="10" width="14.5546875" style="61" customWidth="1"/>
    <col min="11" max="11" width="8.88671875" style="61"/>
    <col min="12" max="12" width="18.33203125" style="29" bestFit="1" customWidth="1"/>
    <col min="13" max="13" width="18.44140625" style="61" bestFit="1" customWidth="1"/>
    <col min="14" max="14" width="26.21875" style="61" bestFit="1" customWidth="1"/>
    <col min="15" max="15" width="13.77734375" style="61" customWidth="1"/>
    <col min="16" max="16" width="15.33203125" style="61" bestFit="1" customWidth="1"/>
    <col min="17" max="17" width="0.88671875" style="61" customWidth="1"/>
    <col min="18" max="18" width="16.44140625" style="61" bestFit="1" customWidth="1"/>
    <col min="19" max="19" width="0.77734375" style="61" customWidth="1"/>
    <col min="20" max="20" width="14.88671875" style="61" bestFit="1" customWidth="1"/>
    <col min="21" max="21" width="16" style="29" bestFit="1" customWidth="1"/>
    <col min="22" max="22" width="14" style="61" bestFit="1" customWidth="1"/>
    <col min="23" max="23" width="13.6640625" style="61" bestFit="1" customWidth="1"/>
    <col min="24" max="24" width="14.109375" style="61" bestFit="1" customWidth="1"/>
    <col min="25" max="25" width="13.88671875" style="61" bestFit="1" customWidth="1"/>
    <col min="26" max="26" width="12.5546875" style="29" bestFit="1" customWidth="1"/>
    <col min="27" max="27" width="14" style="61" bestFit="1" customWidth="1"/>
    <col min="28" max="28" width="12.5546875" style="61" bestFit="1" customWidth="1"/>
    <col min="29" max="29" width="8.88671875" style="61"/>
    <col min="30" max="30" width="12.88671875" style="61" bestFit="1" customWidth="1"/>
    <col min="31" max="31" width="18.109375" style="29" customWidth="1"/>
    <col min="32" max="32" width="14.109375" style="61" bestFit="1" customWidth="1"/>
    <col min="33" max="33" width="13.88671875" style="61" customWidth="1"/>
    <col min="34" max="34" width="8.88671875" style="61"/>
    <col min="35" max="35" width="12.88671875" style="61" bestFit="1" customWidth="1"/>
    <col min="36" max="36" width="17.33203125" style="29" bestFit="1" customWidth="1"/>
    <col min="37" max="37" width="14" style="61" bestFit="1" customWidth="1"/>
    <col min="38" max="38" width="12.44140625" style="61" customWidth="1"/>
    <col min="39" max="39" width="8.88671875" style="61"/>
    <col min="40" max="40" width="12.88671875" style="61" bestFit="1" customWidth="1"/>
    <col min="41" max="41" width="15.88671875" style="29" bestFit="1" customWidth="1"/>
    <col min="42" max="42" width="14" style="61" bestFit="1" customWidth="1"/>
    <col min="43" max="43" width="11.77734375" style="61" bestFit="1" customWidth="1"/>
    <col min="44" max="44" width="8.88671875" style="61"/>
    <col min="45" max="45" width="10.44140625" style="61" bestFit="1" customWidth="1"/>
    <col min="46" max="46" width="17.33203125" style="29" bestFit="1" customWidth="1"/>
    <col min="47" max="48" width="18.109375" style="61" customWidth="1"/>
    <col min="49" max="49" width="8.88671875" style="61"/>
    <col min="50" max="50" width="11.77734375" style="61" bestFit="1" customWidth="1"/>
    <col min="51" max="51" width="17.33203125" style="29" bestFit="1" customWidth="1"/>
    <col min="52" max="52" width="13" style="61" bestFit="1" customWidth="1"/>
    <col min="53" max="53" width="12.44140625" style="61" customWidth="1"/>
    <col min="54" max="54" width="8.88671875" style="61"/>
    <col min="55" max="55" width="11.77734375" style="61" bestFit="1" customWidth="1"/>
    <col min="56" max="56" width="17.33203125" style="29" bestFit="1" customWidth="1"/>
    <col min="57" max="58" width="12.44140625" style="61" customWidth="1"/>
    <col min="59" max="59" width="8.88671875" style="61"/>
    <col min="60" max="60" width="17.33203125" style="61" bestFit="1" customWidth="1"/>
    <col min="61" max="61" width="9.44140625" style="61" bestFit="1" customWidth="1"/>
    <col min="62" max="62" width="15.21875" style="61" bestFit="1" customWidth="1"/>
    <col min="63" max="63" width="10.6640625" style="61" bestFit="1" customWidth="1"/>
    <col min="64" max="16384" width="8.88671875" style="61"/>
  </cols>
  <sheetData>
    <row r="2" spans="1:27" x14ac:dyDescent="0.3">
      <c r="D2" s="313"/>
      <c r="E2" s="255"/>
      <c r="F2" s="316"/>
      <c r="G2" s="255"/>
      <c r="H2" s="112"/>
      <c r="I2" s="112"/>
      <c r="J2" s="112"/>
      <c r="O2" s="314" t="s">
        <v>335</v>
      </c>
      <c r="T2" s="314" t="s">
        <v>336</v>
      </c>
      <c r="U2" s="361" t="s">
        <v>390</v>
      </c>
      <c r="V2" s="362" t="s">
        <v>391</v>
      </c>
      <c r="W2" s="314" t="s">
        <v>337</v>
      </c>
    </row>
    <row r="3" spans="1:27" x14ac:dyDescent="0.3">
      <c r="A3" s="256"/>
      <c r="D3" s="257"/>
      <c r="F3" s="330" t="s">
        <v>95</v>
      </c>
      <c r="H3" s="314" t="s">
        <v>332</v>
      </c>
      <c r="J3" s="257"/>
      <c r="O3" s="314" t="s">
        <v>238</v>
      </c>
      <c r="P3" s="314" t="s">
        <v>340</v>
      </c>
      <c r="T3" s="314" t="s">
        <v>238</v>
      </c>
      <c r="U3" s="314" t="s">
        <v>340</v>
      </c>
      <c r="W3" s="314" t="s">
        <v>238</v>
      </c>
      <c r="X3" s="314" t="s">
        <v>340</v>
      </c>
    </row>
    <row r="4" spans="1:27" x14ac:dyDescent="0.3">
      <c r="A4" s="106"/>
      <c r="D4" s="258"/>
      <c r="H4" s="336">
        <v>25.21</v>
      </c>
      <c r="N4" s="64">
        <v>45306</v>
      </c>
      <c r="O4" s="317">
        <v>6883400</v>
      </c>
      <c r="P4" s="317">
        <f>O4*$O$29</f>
        <v>24091.9</v>
      </c>
      <c r="Q4" s="317"/>
      <c r="R4" s="317"/>
      <c r="S4" s="317"/>
      <c r="T4" s="317">
        <v>198600</v>
      </c>
      <c r="U4" s="317">
        <f>T4*$O$29</f>
        <v>695.1</v>
      </c>
      <c r="V4" s="317"/>
      <c r="W4" s="317">
        <v>454100</v>
      </c>
      <c r="X4" s="317">
        <f>W4*$O$29</f>
        <v>1589.3500000000001</v>
      </c>
      <c r="Y4" s="317"/>
      <c r="Z4" s="29">
        <f>O4+T4+W4</f>
        <v>7536100</v>
      </c>
      <c r="AA4" s="65">
        <f>P4+U4+X4</f>
        <v>26376.35</v>
      </c>
    </row>
    <row r="5" spans="1:27" x14ac:dyDescent="0.3">
      <c r="H5" s="336">
        <v>15.23</v>
      </c>
      <c r="N5" s="64">
        <v>45707</v>
      </c>
      <c r="O5" s="317">
        <v>7053000</v>
      </c>
      <c r="P5" s="317">
        <f t="shared" ref="P5:P16" si="0">O5*$O$29</f>
        <v>24685.5</v>
      </c>
      <c r="Q5" s="317"/>
      <c r="R5" s="317"/>
      <c r="S5" s="317"/>
      <c r="T5" s="317">
        <v>217200</v>
      </c>
      <c r="U5" s="317">
        <f t="shared" ref="U5:U16" si="1">T5*$O$29</f>
        <v>760.2</v>
      </c>
      <c r="V5" s="317"/>
      <c r="W5" s="317">
        <v>705700</v>
      </c>
      <c r="X5" s="317">
        <f t="shared" ref="X5:X15" si="2">W5*$O$29</f>
        <v>2469.9500000000003</v>
      </c>
      <c r="Y5" s="317"/>
      <c r="Z5" s="29">
        <f t="shared" ref="Z5:Z15" si="3">O5+T5+W5</f>
        <v>7975900</v>
      </c>
      <c r="AA5" s="65">
        <f t="shared" ref="AA5:AA15" si="4">P5+U5+X5</f>
        <v>27915.65</v>
      </c>
    </row>
    <row r="6" spans="1:27" x14ac:dyDescent="0.3">
      <c r="A6" s="106"/>
      <c r="D6" s="29"/>
      <c r="E6" s="29"/>
      <c r="F6" s="70"/>
      <c r="H6" s="337">
        <v>65.099999999999994</v>
      </c>
      <c r="I6" s="65"/>
      <c r="J6" s="65"/>
      <c r="N6" s="64">
        <v>45366</v>
      </c>
      <c r="O6" s="317">
        <v>5826000</v>
      </c>
      <c r="P6" s="317">
        <f t="shared" si="0"/>
        <v>20391</v>
      </c>
      <c r="Q6" s="317"/>
      <c r="R6" s="317"/>
      <c r="S6" s="317"/>
      <c r="T6" s="317">
        <v>145300</v>
      </c>
      <c r="U6" s="317">
        <f t="shared" si="1"/>
        <v>508.55</v>
      </c>
      <c r="V6" s="317"/>
      <c r="W6" s="317">
        <v>338100</v>
      </c>
      <c r="X6" s="317">
        <f t="shared" si="2"/>
        <v>1183.3500000000001</v>
      </c>
      <c r="Y6" s="317"/>
      <c r="Z6" s="29">
        <f t="shared" si="3"/>
        <v>6309400</v>
      </c>
      <c r="AA6" s="65">
        <f t="shared" si="4"/>
        <v>22082.899999999998</v>
      </c>
    </row>
    <row r="7" spans="1:27" ht="15.6" customHeight="1" x14ac:dyDescent="0.3">
      <c r="H7" s="336">
        <v>107.79</v>
      </c>
      <c r="N7" s="64">
        <v>45397</v>
      </c>
      <c r="O7" s="317">
        <v>7423000</v>
      </c>
      <c r="P7" s="317">
        <f t="shared" si="0"/>
        <v>25980.5</v>
      </c>
      <c r="Q7" s="317"/>
      <c r="R7" s="317"/>
      <c r="S7" s="317"/>
      <c r="T7" s="317">
        <v>200700</v>
      </c>
      <c r="U7" s="317">
        <f t="shared" si="1"/>
        <v>702.45</v>
      </c>
      <c r="V7" s="317"/>
      <c r="W7" s="317">
        <v>372400</v>
      </c>
      <c r="X7" s="317">
        <f t="shared" si="2"/>
        <v>1303.4000000000001</v>
      </c>
      <c r="Y7" s="317"/>
      <c r="Z7" s="29">
        <f t="shared" si="3"/>
        <v>7996100</v>
      </c>
      <c r="AA7" s="65">
        <f t="shared" si="4"/>
        <v>27986.350000000002</v>
      </c>
    </row>
    <row r="8" spans="1:27" x14ac:dyDescent="0.3">
      <c r="A8" s="106"/>
      <c r="D8" s="71">
        <f>SUM(F8:F10)</f>
        <v>23598.05</v>
      </c>
      <c r="E8" s="65"/>
      <c r="F8" s="315">
        <v>1934.45</v>
      </c>
      <c r="G8" s="65"/>
      <c r="H8" s="336"/>
      <c r="I8" s="65"/>
      <c r="J8" s="29"/>
      <c r="M8" s="314" t="s">
        <v>342</v>
      </c>
      <c r="N8" s="64">
        <v>45426</v>
      </c>
      <c r="O8" s="317">
        <v>6627000</v>
      </c>
      <c r="P8" s="317">
        <f t="shared" si="0"/>
        <v>23194.5</v>
      </c>
      <c r="Q8" s="317"/>
      <c r="R8" s="317"/>
      <c r="S8" s="317"/>
      <c r="T8" s="360">
        <v>474600</v>
      </c>
      <c r="U8" s="334">
        <f t="shared" si="1"/>
        <v>1661.1000000000001</v>
      </c>
      <c r="V8" s="317">
        <v>1661</v>
      </c>
      <c r="W8" s="317">
        <v>430600</v>
      </c>
      <c r="X8" s="317">
        <f t="shared" si="2"/>
        <v>1507.1000000000001</v>
      </c>
      <c r="Y8" s="317"/>
      <c r="Z8" s="29">
        <f t="shared" si="3"/>
        <v>7532200</v>
      </c>
      <c r="AA8" s="65">
        <f t="shared" si="4"/>
        <v>26362.699999999997</v>
      </c>
    </row>
    <row r="9" spans="1:27" x14ac:dyDescent="0.3">
      <c r="A9" s="256"/>
      <c r="D9" s="28"/>
      <c r="E9" s="28"/>
      <c r="F9" s="70">
        <v>21063</v>
      </c>
      <c r="G9" s="28"/>
      <c r="H9" s="338"/>
      <c r="N9" s="64">
        <v>45460</v>
      </c>
      <c r="O9" s="317">
        <v>8724000</v>
      </c>
      <c r="P9" s="317">
        <f t="shared" si="0"/>
        <v>30534</v>
      </c>
      <c r="Q9" s="317"/>
      <c r="R9" s="317"/>
      <c r="S9" s="317"/>
      <c r="T9" s="317">
        <v>255500</v>
      </c>
      <c r="U9" s="334">
        <f t="shared" si="1"/>
        <v>894.25</v>
      </c>
      <c r="V9" s="317">
        <v>0</v>
      </c>
      <c r="W9" s="317">
        <v>534000</v>
      </c>
      <c r="X9" s="317">
        <f t="shared" si="2"/>
        <v>1869</v>
      </c>
      <c r="Y9" s="317"/>
      <c r="Z9" s="29">
        <f t="shared" si="3"/>
        <v>9513500</v>
      </c>
      <c r="AA9" s="65">
        <f t="shared" si="4"/>
        <v>33297.25</v>
      </c>
    </row>
    <row r="10" spans="1:27" x14ac:dyDescent="0.3">
      <c r="D10" s="28"/>
      <c r="E10" s="28"/>
      <c r="F10" s="70">
        <v>600.6</v>
      </c>
      <c r="G10" s="28"/>
      <c r="H10" s="338"/>
      <c r="N10" s="64">
        <v>45488</v>
      </c>
      <c r="O10" s="317">
        <v>8966000</v>
      </c>
      <c r="P10" s="317">
        <f t="shared" si="0"/>
        <v>31381</v>
      </c>
      <c r="Q10" s="317"/>
      <c r="R10" s="317"/>
      <c r="S10" s="317"/>
      <c r="T10" s="317">
        <v>245600</v>
      </c>
      <c r="U10" s="334">
        <f t="shared" si="1"/>
        <v>859.6</v>
      </c>
      <c r="V10" s="317">
        <v>703.85</v>
      </c>
      <c r="W10" s="317">
        <v>649400</v>
      </c>
      <c r="X10" s="317">
        <f t="shared" si="2"/>
        <v>2272.9</v>
      </c>
      <c r="Y10" s="317"/>
      <c r="Z10" s="29">
        <f t="shared" si="3"/>
        <v>9861000</v>
      </c>
      <c r="AA10" s="65">
        <f t="shared" si="4"/>
        <v>34513.5</v>
      </c>
    </row>
    <row r="11" spans="1:27" x14ac:dyDescent="0.3">
      <c r="A11" s="106"/>
      <c r="D11" s="73"/>
      <c r="E11" s="73"/>
      <c r="F11" s="70"/>
      <c r="G11" s="73"/>
      <c r="H11" s="339">
        <v>8.69</v>
      </c>
      <c r="J11" s="259"/>
      <c r="N11" s="64">
        <v>45518</v>
      </c>
      <c r="O11" s="317">
        <v>7878000</v>
      </c>
      <c r="P11" s="317">
        <f t="shared" si="0"/>
        <v>27573</v>
      </c>
      <c r="Q11" s="317"/>
      <c r="R11" s="317"/>
      <c r="S11" s="317"/>
      <c r="T11" s="317">
        <v>200200</v>
      </c>
      <c r="U11" s="317">
        <f>T11*$O$29</f>
        <v>700.7</v>
      </c>
      <c r="V11" s="317"/>
      <c r="W11" s="317">
        <v>616200</v>
      </c>
      <c r="X11" s="317">
        <f t="shared" si="2"/>
        <v>2156.6999999999998</v>
      </c>
      <c r="Y11" s="317"/>
      <c r="Z11" s="29">
        <f t="shared" si="3"/>
        <v>8694400</v>
      </c>
      <c r="AA11" s="65">
        <f t="shared" si="4"/>
        <v>30430.400000000001</v>
      </c>
    </row>
    <row r="12" spans="1:27" x14ac:dyDescent="0.3">
      <c r="A12" s="256"/>
      <c r="H12" s="336">
        <v>25.21</v>
      </c>
      <c r="J12" s="29"/>
      <c r="N12" s="64">
        <v>45553</v>
      </c>
      <c r="O12" s="317">
        <v>8438000</v>
      </c>
      <c r="P12" s="317">
        <f t="shared" si="0"/>
        <v>29533</v>
      </c>
      <c r="Q12" s="317"/>
      <c r="R12" s="317"/>
      <c r="S12" s="317"/>
      <c r="T12" s="317">
        <v>250900</v>
      </c>
      <c r="U12" s="317">
        <f t="shared" si="1"/>
        <v>878.15</v>
      </c>
      <c r="V12" s="317"/>
      <c r="W12" s="317">
        <v>536700</v>
      </c>
      <c r="X12" s="317">
        <f t="shared" si="2"/>
        <v>1878.45</v>
      </c>
      <c r="Y12" s="317"/>
      <c r="Z12" s="29">
        <f t="shared" si="3"/>
        <v>9225600</v>
      </c>
      <c r="AA12" s="65">
        <f t="shared" si="4"/>
        <v>32289.600000000002</v>
      </c>
    </row>
    <row r="13" spans="1:27" x14ac:dyDescent="0.3">
      <c r="H13" s="336">
        <v>10.43</v>
      </c>
      <c r="N13" s="64">
        <v>45580</v>
      </c>
      <c r="O13" s="317">
        <v>6124000</v>
      </c>
      <c r="P13" s="317">
        <f t="shared" si="0"/>
        <v>21434</v>
      </c>
      <c r="Q13" s="317"/>
      <c r="R13" s="317"/>
      <c r="S13" s="317"/>
      <c r="T13" s="317">
        <v>176300</v>
      </c>
      <c r="U13" s="317">
        <f t="shared" si="1"/>
        <v>617.05000000000007</v>
      </c>
      <c r="V13" s="317"/>
      <c r="W13" s="317">
        <v>388800</v>
      </c>
      <c r="X13" s="317">
        <f t="shared" si="2"/>
        <v>1360.8</v>
      </c>
      <c r="Y13" s="317"/>
      <c r="Z13" s="29">
        <f t="shared" si="3"/>
        <v>6689100</v>
      </c>
      <c r="AA13" s="65">
        <f t="shared" si="4"/>
        <v>23411.85</v>
      </c>
    </row>
    <row r="14" spans="1:27" x14ac:dyDescent="0.3">
      <c r="A14" s="256"/>
      <c r="H14" s="336">
        <v>107.79</v>
      </c>
      <c r="J14" s="259"/>
      <c r="N14" s="64">
        <v>45614</v>
      </c>
      <c r="O14" s="317">
        <v>8106000</v>
      </c>
      <c r="P14" s="317">
        <f t="shared" si="0"/>
        <v>28371</v>
      </c>
      <c r="Q14" s="317"/>
      <c r="R14" s="317"/>
      <c r="S14" s="317"/>
      <c r="T14" s="317">
        <v>227100</v>
      </c>
      <c r="U14" s="317">
        <f t="shared" si="1"/>
        <v>794.85</v>
      </c>
      <c r="V14" s="317"/>
      <c r="W14" s="317">
        <v>570400</v>
      </c>
      <c r="X14" s="317">
        <f t="shared" si="2"/>
        <v>1996.4</v>
      </c>
      <c r="Y14" s="317"/>
      <c r="Z14" s="29">
        <f t="shared" si="3"/>
        <v>8903500</v>
      </c>
      <c r="AA14" s="65">
        <f t="shared" si="4"/>
        <v>31162.25</v>
      </c>
    </row>
    <row r="15" spans="1:27" x14ac:dyDescent="0.3">
      <c r="D15" s="71">
        <f>SUM(F15:F17)</f>
        <v>26376.35</v>
      </c>
      <c r="F15" s="315">
        <v>1589.35</v>
      </c>
      <c r="H15" s="336"/>
      <c r="N15" s="64">
        <v>45642</v>
      </c>
      <c r="O15" s="317">
        <v>6261000</v>
      </c>
      <c r="P15" s="317">
        <f t="shared" si="0"/>
        <v>21913.5</v>
      </c>
      <c r="Q15" s="317"/>
      <c r="R15" s="317"/>
      <c r="S15" s="317"/>
      <c r="T15" s="317">
        <v>198500</v>
      </c>
      <c r="U15" s="317">
        <f t="shared" si="1"/>
        <v>694.75</v>
      </c>
      <c r="V15" s="317"/>
      <c r="W15" s="317">
        <v>395100</v>
      </c>
      <c r="X15" s="317">
        <f t="shared" si="2"/>
        <v>1382.8500000000001</v>
      </c>
      <c r="Y15" s="317"/>
      <c r="Z15" s="29">
        <f t="shared" si="3"/>
        <v>6854600</v>
      </c>
      <c r="AA15" s="65">
        <f t="shared" si="4"/>
        <v>23991.1</v>
      </c>
    </row>
    <row r="16" spans="1:27" x14ac:dyDescent="0.3">
      <c r="F16" s="315">
        <v>24091.9</v>
      </c>
      <c r="H16" s="336"/>
      <c r="N16" s="64">
        <v>45666</v>
      </c>
      <c r="O16" s="317">
        <v>6872000</v>
      </c>
      <c r="P16" s="317">
        <f t="shared" si="0"/>
        <v>24052</v>
      </c>
      <c r="Q16" s="317"/>
      <c r="R16" s="317"/>
      <c r="S16" s="317"/>
      <c r="T16" s="317">
        <v>228500</v>
      </c>
      <c r="U16" s="317">
        <f t="shared" si="1"/>
        <v>799.75</v>
      </c>
      <c r="V16" s="317"/>
      <c r="W16" s="325" t="s">
        <v>338</v>
      </c>
      <c r="X16" s="317"/>
      <c r="Y16" s="317"/>
    </row>
    <row r="17" spans="1:61" x14ac:dyDescent="0.3">
      <c r="E17" s="256"/>
      <c r="F17" s="331">
        <v>695.1</v>
      </c>
      <c r="H17" s="336"/>
      <c r="L17" s="122"/>
      <c r="M17" s="106"/>
      <c r="N17" s="106"/>
      <c r="O17" s="121"/>
      <c r="P17" s="317"/>
      <c r="Q17" s="121"/>
      <c r="R17" s="121"/>
      <c r="S17" s="317"/>
      <c r="T17" s="317"/>
      <c r="V17" s="317"/>
      <c r="W17" s="317"/>
      <c r="X17" s="317"/>
      <c r="Y17" s="317"/>
    </row>
    <row r="18" spans="1:61" x14ac:dyDescent="0.3">
      <c r="E18" s="255"/>
      <c r="F18" s="332"/>
      <c r="H18" s="336">
        <v>6.93</v>
      </c>
      <c r="L18" s="106"/>
      <c r="M18" s="106"/>
      <c r="N18" s="314" t="s">
        <v>333</v>
      </c>
      <c r="O18" s="317">
        <f>SUM(O4:O15)</f>
        <v>88309400</v>
      </c>
      <c r="P18" s="317">
        <f>SUM(P4:P15)</f>
        <v>309082.90000000002</v>
      </c>
      <c r="Q18" s="121"/>
      <c r="R18" s="121"/>
      <c r="S18" s="317"/>
      <c r="T18" s="317">
        <f>SUM(T4:T15)</f>
        <v>2790500</v>
      </c>
      <c r="U18" s="317">
        <f>SUM(U4:U15)</f>
        <v>9766.75</v>
      </c>
      <c r="V18" s="317"/>
      <c r="W18" s="317">
        <f>SUM(W4:W15)</f>
        <v>5991500</v>
      </c>
      <c r="X18" s="317">
        <f>SUM(X4:X15)</f>
        <v>20970.25</v>
      </c>
      <c r="Y18" s="317"/>
      <c r="Z18" s="29">
        <f>SUM(Z4:Z17)</f>
        <v>97091400</v>
      </c>
      <c r="AA18" s="73">
        <f>SUM(AA4:AA17)</f>
        <v>339819.89999999997</v>
      </c>
      <c r="AE18" s="62"/>
    </row>
    <row r="19" spans="1:61" x14ac:dyDescent="0.3">
      <c r="D19" s="260"/>
      <c r="E19" s="255"/>
      <c r="F19" s="332"/>
      <c r="H19" s="336">
        <v>8.69</v>
      </c>
      <c r="L19" s="106"/>
      <c r="M19" s="106"/>
      <c r="N19" s="314" t="s">
        <v>334</v>
      </c>
      <c r="O19" s="318">
        <f>SUM(O5:O16)</f>
        <v>88298000</v>
      </c>
      <c r="P19" s="318">
        <f>SUM(P5:P16)</f>
        <v>309043</v>
      </c>
      <c r="Q19" s="122"/>
      <c r="R19" s="121"/>
      <c r="S19" s="317"/>
      <c r="T19" s="318">
        <f>SUM(T5:T16)</f>
        <v>2820400</v>
      </c>
      <c r="U19" s="318">
        <f>SUM(U5:U16)</f>
        <v>9871.4</v>
      </c>
      <c r="V19" s="317"/>
      <c r="W19" s="318">
        <f>SUM(W5:W16)</f>
        <v>5537400</v>
      </c>
      <c r="X19" s="318">
        <f>SUM(X5:X16)</f>
        <v>19380.900000000001</v>
      </c>
      <c r="Y19" s="317"/>
      <c r="AE19" s="62"/>
    </row>
    <row r="20" spans="1:61" x14ac:dyDescent="0.3">
      <c r="A20" s="256"/>
      <c r="D20" s="259"/>
      <c r="F20" s="70"/>
      <c r="H20" s="336">
        <v>10.43</v>
      </c>
      <c r="L20" s="106"/>
      <c r="M20" s="106"/>
      <c r="N20" s="262"/>
      <c r="O20" s="319"/>
      <c r="P20" s="320"/>
      <c r="Q20" s="121"/>
      <c r="R20" s="121"/>
      <c r="S20" s="317"/>
      <c r="T20" s="317"/>
      <c r="V20" s="317"/>
      <c r="W20" s="317"/>
      <c r="X20" s="317"/>
      <c r="Y20" s="317"/>
      <c r="AE20" s="62"/>
    </row>
    <row r="21" spans="1:61" x14ac:dyDescent="0.3">
      <c r="A21" s="256"/>
      <c r="D21" s="264"/>
      <c r="F21" s="70"/>
      <c r="H21" s="336">
        <v>25.21</v>
      </c>
      <c r="M21" s="106"/>
      <c r="N21" s="106"/>
      <c r="O21" s="321"/>
      <c r="P21" s="322"/>
      <c r="Q21" s="322"/>
      <c r="R21" s="322"/>
      <c r="S21" s="323"/>
      <c r="T21" s="324"/>
      <c r="V21" s="317"/>
      <c r="W21" s="317"/>
      <c r="X21" s="317"/>
      <c r="Y21" s="317"/>
      <c r="AE21" s="62"/>
    </row>
    <row r="22" spans="1:61" x14ac:dyDescent="0.3">
      <c r="H22" s="336">
        <v>107.79</v>
      </c>
      <c r="M22" s="106"/>
      <c r="N22" s="106"/>
      <c r="O22" s="266"/>
      <c r="P22" s="112"/>
      <c r="Q22" s="112"/>
      <c r="R22" s="112"/>
      <c r="S22" s="255"/>
      <c r="T22" s="265"/>
      <c r="AE22" s="62"/>
    </row>
    <row r="23" spans="1:61" x14ac:dyDescent="0.3">
      <c r="A23" s="256"/>
      <c r="D23" s="259"/>
      <c r="H23" s="336">
        <v>5.78</v>
      </c>
      <c r="K23" s="267"/>
      <c r="L23" s="268"/>
      <c r="M23" s="269"/>
      <c r="N23" s="363" t="s">
        <v>392</v>
      </c>
      <c r="O23" s="123"/>
      <c r="P23" s="123"/>
      <c r="Q23" s="261"/>
      <c r="R23" s="122"/>
      <c r="V23" s="28"/>
      <c r="W23" s="28"/>
      <c r="Y23" s="64"/>
      <c r="AA23" s="123"/>
      <c r="AB23" s="28"/>
      <c r="AF23" s="28"/>
      <c r="AI23" s="64"/>
      <c r="AK23" s="28"/>
      <c r="AL23" s="28"/>
      <c r="AN23" s="64"/>
      <c r="AP23" s="28"/>
      <c r="AQ23" s="28"/>
      <c r="AR23" s="28"/>
      <c r="AS23" s="64"/>
      <c r="AU23" s="28"/>
      <c r="AV23" s="65"/>
      <c r="AX23" s="64"/>
      <c r="AZ23" s="28"/>
      <c r="BA23" s="65"/>
      <c r="BC23" s="64"/>
      <c r="BE23" s="28"/>
      <c r="BF23" s="65"/>
      <c r="BH23" s="65"/>
      <c r="BI23" s="65"/>
    </row>
    <row r="24" spans="1:61" x14ac:dyDescent="0.3">
      <c r="H24" s="336">
        <v>16.75</v>
      </c>
      <c r="K24" s="267"/>
      <c r="L24" s="268"/>
      <c r="M24" s="269"/>
      <c r="N24" s="270"/>
      <c r="O24" s="124"/>
      <c r="P24" s="124"/>
      <c r="Q24" s="106"/>
      <c r="R24" s="122"/>
      <c r="V24" s="28"/>
      <c r="W24" s="28"/>
      <c r="AA24" s="28"/>
      <c r="AB24" s="28"/>
      <c r="AK24" s="28"/>
      <c r="AL24" s="28"/>
      <c r="AP24" s="28"/>
      <c r="AQ24" s="28"/>
      <c r="AR24" s="28"/>
      <c r="AU24" s="28"/>
      <c r="AV24" s="28"/>
      <c r="AZ24" s="28"/>
      <c r="BA24" s="28"/>
      <c r="BE24" s="28"/>
      <c r="BF24" s="28"/>
    </row>
    <row r="25" spans="1:61" x14ac:dyDescent="0.3">
      <c r="H25" s="336">
        <v>71.61</v>
      </c>
      <c r="K25" s="267"/>
      <c r="L25" s="268"/>
      <c r="M25" s="269"/>
      <c r="N25" s="270"/>
      <c r="O25" s="326" t="s">
        <v>339</v>
      </c>
      <c r="P25" s="124"/>
      <c r="Q25" s="106"/>
      <c r="R25" s="122"/>
      <c r="AU25" s="66"/>
      <c r="AV25" s="66"/>
      <c r="BA25" s="66"/>
      <c r="BF25" s="66"/>
    </row>
    <row r="26" spans="1:61" x14ac:dyDescent="0.3">
      <c r="H26" s="336">
        <v>25.21</v>
      </c>
      <c r="K26" s="267"/>
      <c r="L26" s="268"/>
      <c r="M26" s="269"/>
      <c r="N26" s="329" t="s">
        <v>340</v>
      </c>
      <c r="O26" s="123">
        <v>22960</v>
      </c>
      <c r="P26" s="123"/>
      <c r="Q26" s="123"/>
      <c r="R26" s="123"/>
      <c r="S26" s="327"/>
      <c r="T26" s="327">
        <v>807.1</v>
      </c>
      <c r="U26" s="28"/>
      <c r="V26" s="28"/>
      <c r="W26" s="28">
        <v>1695.75</v>
      </c>
      <c r="Y26" s="64"/>
      <c r="AA26" s="28"/>
      <c r="AB26" s="28"/>
      <c r="AD26" s="64"/>
      <c r="AF26" s="28"/>
      <c r="AG26" s="28"/>
      <c r="AI26" s="64"/>
      <c r="AK26" s="28"/>
      <c r="AL26" s="28"/>
      <c r="AN26" s="64"/>
      <c r="AP26" s="28"/>
      <c r="AQ26" s="28"/>
      <c r="AR26" s="28"/>
      <c r="AS26" s="64"/>
      <c r="AU26" s="28"/>
      <c r="AV26" s="65"/>
      <c r="AX26" s="64"/>
      <c r="AZ26" s="28"/>
      <c r="BA26" s="65"/>
      <c r="BC26" s="64"/>
      <c r="BE26" s="28"/>
      <c r="BF26" s="65"/>
      <c r="BH26" s="65"/>
      <c r="BI26" s="65"/>
    </row>
    <row r="27" spans="1:61" x14ac:dyDescent="0.3">
      <c r="A27" s="271"/>
      <c r="H27" s="336">
        <v>10.43</v>
      </c>
      <c r="K27" s="267"/>
      <c r="L27" s="268"/>
      <c r="M27" s="269"/>
      <c r="N27" s="329" t="s">
        <v>238</v>
      </c>
      <c r="O27" s="122">
        <v>6560000</v>
      </c>
      <c r="P27" s="124"/>
      <c r="Q27" s="106"/>
      <c r="R27" s="122"/>
      <c r="T27" s="61">
        <v>230600</v>
      </c>
      <c r="V27" s="28"/>
      <c r="W27" s="29">
        <v>484500</v>
      </c>
      <c r="AA27" s="28"/>
      <c r="AB27" s="28"/>
      <c r="AF27" s="28"/>
      <c r="AG27" s="28"/>
      <c r="AK27" s="28"/>
      <c r="AL27" s="28"/>
      <c r="AP27" s="28"/>
      <c r="AQ27" s="28"/>
      <c r="AR27" s="28"/>
      <c r="AZ27" s="28"/>
      <c r="BE27" s="28"/>
    </row>
    <row r="28" spans="1:61" x14ac:dyDescent="0.3">
      <c r="A28" s="271"/>
      <c r="H28" s="336">
        <v>107.79</v>
      </c>
      <c r="K28" s="267"/>
      <c r="L28" s="268"/>
      <c r="M28" s="269"/>
      <c r="N28" s="270"/>
      <c r="O28" s="124"/>
      <c r="P28" s="124"/>
      <c r="Q28" s="106"/>
      <c r="R28" s="122"/>
      <c r="AU28" s="28"/>
      <c r="AV28" s="28"/>
      <c r="BA28" s="28"/>
      <c r="BF28" s="28"/>
    </row>
    <row r="29" spans="1:61" x14ac:dyDescent="0.3">
      <c r="H29" s="336">
        <v>8.69</v>
      </c>
      <c r="K29" s="267"/>
      <c r="L29" s="268"/>
      <c r="M29" s="269"/>
      <c r="N29" s="329" t="s">
        <v>341</v>
      </c>
      <c r="O29" s="328">
        <f>O26/O27</f>
        <v>3.5000000000000001E-3</v>
      </c>
      <c r="P29" s="124"/>
      <c r="Q29" s="123"/>
      <c r="R29" s="122"/>
      <c r="T29" s="328">
        <f>T26/T27</f>
        <v>3.5000000000000001E-3</v>
      </c>
      <c r="V29" s="28"/>
      <c r="W29" s="328">
        <f>W26/W27</f>
        <v>3.5000000000000001E-3</v>
      </c>
      <c r="Y29" s="64"/>
      <c r="AA29" s="28"/>
      <c r="AB29" s="28"/>
      <c r="AD29" s="64"/>
      <c r="AF29" s="28"/>
      <c r="AG29" s="28"/>
      <c r="AI29" s="64"/>
      <c r="AK29" s="28"/>
      <c r="AL29" s="28"/>
      <c r="AN29" s="64"/>
      <c r="AP29" s="28"/>
      <c r="AQ29" s="28"/>
      <c r="AR29" s="28"/>
      <c r="AS29" s="64"/>
      <c r="AU29" s="28"/>
      <c r="AV29" s="65"/>
      <c r="AX29" s="64"/>
      <c r="AZ29" s="28"/>
      <c r="BA29" s="65"/>
      <c r="BC29" s="64"/>
      <c r="BE29" s="28"/>
      <c r="BF29" s="65"/>
      <c r="BH29" s="65"/>
      <c r="BI29" s="65"/>
    </row>
    <row r="30" spans="1:61" x14ac:dyDescent="0.3">
      <c r="A30" s="271"/>
      <c r="D30" s="71">
        <f>SUM(F30:F32)</f>
        <v>27915.65</v>
      </c>
      <c r="F30" s="315">
        <v>760.2</v>
      </c>
      <c r="H30" s="336"/>
      <c r="K30" s="267"/>
      <c r="L30" s="268"/>
      <c r="M30" s="269"/>
      <c r="N30" s="270"/>
      <c r="O30" s="124"/>
      <c r="P30" s="124"/>
      <c r="Q30" s="106"/>
      <c r="R30" s="122"/>
      <c r="V30" s="28"/>
      <c r="W30" s="28"/>
      <c r="AA30" s="28"/>
      <c r="AB30" s="28"/>
      <c r="AF30" s="28"/>
      <c r="AG30" s="28"/>
      <c r="AK30" s="28"/>
      <c r="AL30" s="28"/>
      <c r="AP30" s="28"/>
      <c r="AQ30" s="28"/>
      <c r="AR30" s="28"/>
      <c r="AZ30" s="28"/>
      <c r="BE30" s="28"/>
    </row>
    <row r="31" spans="1:61" x14ac:dyDescent="0.3">
      <c r="F31" s="315">
        <v>24685.5</v>
      </c>
      <c r="H31" s="336"/>
      <c r="K31" s="267"/>
      <c r="L31" s="268"/>
      <c r="M31" s="269"/>
      <c r="N31" s="270"/>
      <c r="O31" s="124"/>
      <c r="P31" s="124"/>
      <c r="Q31" s="106"/>
      <c r="R31" s="122"/>
    </row>
    <row r="32" spans="1:61" x14ac:dyDescent="0.3">
      <c r="F32" s="315">
        <v>2469.9499999999998</v>
      </c>
      <c r="H32" s="336">
        <v>84.63</v>
      </c>
      <c r="K32" s="267"/>
      <c r="L32" s="268"/>
      <c r="M32" s="269"/>
      <c r="N32" s="270"/>
      <c r="O32" s="124"/>
      <c r="P32" s="124"/>
      <c r="Q32" s="123"/>
      <c r="R32" s="122"/>
      <c r="V32" s="28"/>
      <c r="W32" s="28"/>
      <c r="Y32" s="64"/>
      <c r="AA32" s="28"/>
      <c r="AB32" s="28"/>
      <c r="AD32" s="64"/>
      <c r="AF32" s="28"/>
      <c r="AG32" s="28"/>
      <c r="AI32" s="64"/>
      <c r="AK32" s="28"/>
      <c r="AL32" s="28"/>
      <c r="AN32" s="64"/>
      <c r="AP32" s="28"/>
      <c r="AQ32" s="28"/>
      <c r="AR32" s="28"/>
      <c r="AS32" s="64"/>
      <c r="AU32" s="28"/>
      <c r="AV32" s="65"/>
      <c r="AX32" s="64"/>
      <c r="AZ32" s="28"/>
      <c r="BA32" s="65"/>
      <c r="BC32" s="64"/>
      <c r="BE32" s="28"/>
      <c r="BF32" s="65"/>
      <c r="BH32" s="65"/>
      <c r="BI32" s="65"/>
    </row>
    <row r="33" spans="4:61" x14ac:dyDescent="0.3">
      <c r="H33" s="336">
        <v>107.79</v>
      </c>
      <c r="K33" s="267"/>
      <c r="L33" s="268"/>
      <c r="M33" s="269"/>
      <c r="N33" s="270"/>
      <c r="O33" s="124"/>
      <c r="P33" s="124"/>
      <c r="Q33" s="106"/>
      <c r="R33" s="122"/>
      <c r="V33" s="28"/>
      <c r="W33" s="28"/>
      <c r="AA33" s="28"/>
      <c r="AB33" s="28"/>
      <c r="AF33" s="28"/>
      <c r="AG33" s="28"/>
      <c r="AK33" s="28"/>
      <c r="AL33" s="28"/>
      <c r="AP33" s="28"/>
      <c r="AQ33" s="28"/>
      <c r="AR33" s="28"/>
      <c r="AU33" s="66"/>
      <c r="AV33" s="66"/>
      <c r="AZ33" s="28"/>
      <c r="BA33" s="66"/>
      <c r="BE33" s="28"/>
      <c r="BF33" s="66"/>
    </row>
    <row r="34" spans="4:61" x14ac:dyDescent="0.3">
      <c r="H34" s="336">
        <v>6.83</v>
      </c>
      <c r="K34" s="267"/>
      <c r="L34" s="268"/>
      <c r="M34" s="269"/>
      <c r="N34" s="270"/>
      <c r="O34" s="124"/>
      <c r="P34" s="124"/>
      <c r="Q34" s="106"/>
      <c r="R34" s="122"/>
    </row>
    <row r="35" spans="4:61" x14ac:dyDescent="0.3">
      <c r="H35" s="336">
        <v>8.19</v>
      </c>
      <c r="K35" s="267"/>
      <c r="L35" s="268"/>
      <c r="M35" s="269"/>
      <c r="N35" s="270"/>
      <c r="O35" s="124"/>
      <c r="P35" s="124"/>
      <c r="Q35" s="123"/>
      <c r="R35" s="261"/>
      <c r="T35" s="64"/>
      <c r="V35" s="28"/>
      <c r="W35" s="28"/>
      <c r="Y35" s="64"/>
      <c r="AA35" s="28"/>
      <c r="AB35" s="28"/>
      <c r="AD35" s="64"/>
      <c r="AF35" s="28"/>
      <c r="AG35" s="28"/>
      <c r="AI35" s="64"/>
      <c r="AK35" s="28"/>
      <c r="AL35" s="28"/>
      <c r="AN35" s="64"/>
      <c r="AP35" s="28"/>
      <c r="AQ35" s="28"/>
      <c r="AR35" s="28"/>
      <c r="AS35" s="64"/>
      <c r="AU35" s="28"/>
      <c r="AV35" s="65"/>
      <c r="AX35" s="64"/>
      <c r="AZ35" s="28"/>
      <c r="BA35" s="65"/>
      <c r="BC35" s="64"/>
      <c r="BE35" s="28"/>
      <c r="BF35" s="65"/>
      <c r="BH35" s="65"/>
      <c r="BI35" s="65"/>
    </row>
    <row r="36" spans="4:61" x14ac:dyDescent="0.3">
      <c r="H36" s="336">
        <v>25.21</v>
      </c>
      <c r="K36" s="267"/>
      <c r="L36" s="268"/>
      <c r="M36" s="269"/>
      <c r="N36" s="270"/>
      <c r="O36" s="124"/>
      <c r="P36" s="124"/>
      <c r="Q36" s="122"/>
      <c r="R36" s="122"/>
      <c r="T36" s="359">
        <f>T8*3.5</f>
        <v>1661100</v>
      </c>
      <c r="V36" s="28"/>
      <c r="W36" s="28"/>
      <c r="AA36" s="28"/>
      <c r="AB36" s="28"/>
      <c r="AF36" s="28"/>
      <c r="AG36" s="28"/>
      <c r="AK36" s="28"/>
      <c r="AL36" s="28"/>
      <c r="AP36" s="28"/>
      <c r="AQ36" s="28"/>
      <c r="AR36" s="28"/>
      <c r="AU36" s="28"/>
      <c r="AV36" s="28"/>
      <c r="AZ36" s="28"/>
      <c r="BA36" s="28"/>
      <c r="BE36" s="28"/>
      <c r="BF36" s="28"/>
    </row>
    <row r="37" spans="4:61" x14ac:dyDescent="0.3">
      <c r="H37" s="336">
        <v>0.28000000000000003</v>
      </c>
      <c r="L37" s="268"/>
      <c r="M37" s="269"/>
      <c r="N37" s="270"/>
      <c r="O37" s="272"/>
      <c r="P37" s="122"/>
      <c r="Q37" s="106"/>
      <c r="R37" s="106"/>
      <c r="AU37" s="66"/>
      <c r="AV37" s="66"/>
      <c r="BA37" s="66"/>
      <c r="BF37" s="66"/>
    </row>
    <row r="38" spans="4:61" x14ac:dyDescent="0.3">
      <c r="H38" s="336">
        <v>8.69</v>
      </c>
      <c r="L38" s="268"/>
      <c r="M38" s="269"/>
      <c r="N38" s="270"/>
      <c r="O38" s="272"/>
      <c r="P38" s="122"/>
      <c r="Q38" s="106"/>
      <c r="R38" s="106"/>
      <c r="AU38" s="66"/>
      <c r="AV38" s="66"/>
      <c r="BA38" s="66"/>
      <c r="BF38" s="66"/>
    </row>
    <row r="39" spans="4:61" x14ac:dyDescent="0.3">
      <c r="H39" s="336">
        <v>19.79</v>
      </c>
      <c r="K39" s="106"/>
      <c r="L39" s="268"/>
      <c r="M39" s="269"/>
      <c r="N39" s="269"/>
      <c r="O39" s="272"/>
      <c r="P39" s="122"/>
      <c r="Q39" s="106"/>
      <c r="R39" s="106"/>
      <c r="AU39" s="66"/>
      <c r="AV39" s="66"/>
      <c r="BA39" s="66"/>
      <c r="BF39" s="66"/>
    </row>
    <row r="40" spans="4:61" x14ac:dyDescent="0.3">
      <c r="H40" s="336">
        <v>26.47</v>
      </c>
      <c r="K40" s="106"/>
      <c r="L40" s="268"/>
      <c r="M40" s="269"/>
      <c r="N40" s="269"/>
      <c r="O40" s="272"/>
      <c r="P40" s="122"/>
      <c r="Q40" s="106"/>
      <c r="R40" s="106"/>
      <c r="AU40" s="66"/>
      <c r="AV40" s="66"/>
      <c r="BA40" s="66"/>
      <c r="BF40" s="66"/>
    </row>
    <row r="41" spans="4:61" x14ac:dyDescent="0.3">
      <c r="H41" s="336">
        <v>113.18</v>
      </c>
      <c r="L41" s="268"/>
      <c r="M41" s="269"/>
      <c r="N41" s="270"/>
      <c r="O41" s="272"/>
      <c r="P41" s="122"/>
      <c r="Q41" s="106"/>
      <c r="R41" s="106"/>
      <c r="AU41" s="66"/>
      <c r="AV41" s="66"/>
      <c r="BA41" s="66"/>
      <c r="BF41" s="66"/>
    </row>
    <row r="42" spans="4:61" x14ac:dyDescent="0.3">
      <c r="H42" s="336">
        <v>9.1300000000000008</v>
      </c>
      <c r="L42" s="268"/>
      <c r="M42" s="273"/>
      <c r="N42" s="274"/>
      <c r="O42" s="272"/>
      <c r="P42" s="122"/>
      <c r="Q42" s="106"/>
      <c r="R42" s="106"/>
      <c r="AU42" s="66"/>
      <c r="AV42" s="66"/>
      <c r="BA42" s="66"/>
      <c r="BF42" s="66"/>
    </row>
    <row r="43" spans="4:61" x14ac:dyDescent="0.3">
      <c r="D43" s="71">
        <f>SUM(F43:F45)</f>
        <v>22082.899999999998</v>
      </c>
      <c r="F43" s="315">
        <v>508.55</v>
      </c>
      <c r="H43" s="336"/>
      <c r="L43" s="106"/>
      <c r="M43" s="106"/>
      <c r="N43" s="106"/>
      <c r="O43" s="124"/>
      <c r="P43" s="123"/>
      <c r="Q43" s="123"/>
      <c r="R43" s="261"/>
      <c r="T43" s="64"/>
      <c r="V43" s="28"/>
      <c r="W43" s="28"/>
      <c r="Y43" s="64"/>
      <c r="AA43" s="28"/>
      <c r="AB43" s="28"/>
      <c r="AD43" s="64"/>
      <c r="AF43" s="28"/>
      <c r="AG43" s="28"/>
      <c r="AI43" s="64"/>
      <c r="AK43" s="28"/>
      <c r="AL43" s="28"/>
      <c r="AN43" s="64"/>
      <c r="AP43" s="28"/>
      <c r="AQ43" s="28"/>
      <c r="AR43" s="28"/>
      <c r="AS43" s="64"/>
      <c r="AU43" s="28"/>
      <c r="AV43" s="65"/>
      <c r="AX43" s="64"/>
      <c r="AZ43" s="28"/>
      <c r="BA43" s="65"/>
      <c r="BC43" s="64"/>
      <c r="BE43" s="28"/>
      <c r="BF43" s="65"/>
      <c r="BH43" s="65"/>
      <c r="BI43" s="65"/>
    </row>
    <row r="44" spans="4:61" x14ac:dyDescent="0.3">
      <c r="F44" s="315">
        <v>20391</v>
      </c>
      <c r="H44" s="336"/>
      <c r="L44" s="106"/>
      <c r="M44" s="106"/>
      <c r="N44" s="106"/>
      <c r="O44" s="409"/>
      <c r="P44" s="409"/>
      <c r="Q44" s="106"/>
      <c r="R44" s="106"/>
      <c r="V44" s="28"/>
      <c r="W44" s="28"/>
      <c r="AA44" s="28"/>
      <c r="AB44" s="28"/>
      <c r="AF44" s="28"/>
      <c r="AG44" s="28"/>
      <c r="AK44" s="28"/>
      <c r="AL44" s="28"/>
      <c r="AP44" s="28"/>
      <c r="AQ44" s="28"/>
      <c r="AR44" s="28"/>
      <c r="AZ44" s="28"/>
      <c r="BE44" s="28"/>
    </row>
    <row r="45" spans="4:61" x14ac:dyDescent="0.3">
      <c r="F45" s="315">
        <v>1183.3499999999999</v>
      </c>
      <c r="H45" s="336"/>
      <c r="L45" s="106"/>
      <c r="M45" s="106"/>
      <c r="N45" s="262"/>
      <c r="O45" s="263"/>
      <c r="P45" s="124"/>
      <c r="Q45" s="106"/>
      <c r="R45" s="106"/>
      <c r="AU45" s="28"/>
      <c r="AV45" s="28"/>
      <c r="BA45" s="28"/>
      <c r="BF45" s="28"/>
    </row>
    <row r="46" spans="4:61" x14ac:dyDescent="0.3">
      <c r="H46" s="336">
        <v>6.06</v>
      </c>
      <c r="M46" s="106"/>
      <c r="N46" s="106"/>
      <c r="O46" s="275"/>
      <c r="P46" s="125"/>
      <c r="Q46" s="123"/>
      <c r="R46" s="261"/>
      <c r="T46" s="64"/>
      <c r="V46" s="28"/>
      <c r="W46" s="28"/>
      <c r="Y46" s="64"/>
      <c r="AA46" s="28"/>
      <c r="AB46" s="28"/>
      <c r="AD46" s="64"/>
      <c r="AF46" s="28"/>
      <c r="AG46" s="28"/>
      <c r="AI46" s="64"/>
      <c r="AK46" s="28"/>
      <c r="AL46" s="28"/>
      <c r="AN46" s="64"/>
      <c r="AP46" s="28"/>
      <c r="AQ46" s="28"/>
      <c r="AR46" s="28"/>
      <c r="AS46" s="64"/>
      <c r="AU46" s="28"/>
      <c r="AV46" s="65"/>
      <c r="AX46" s="64"/>
      <c r="AZ46" s="28"/>
      <c r="BA46" s="65"/>
      <c r="BC46" s="64"/>
      <c r="BE46" s="28"/>
      <c r="BF46" s="65"/>
      <c r="BH46" s="65"/>
      <c r="BI46" s="65"/>
    </row>
    <row r="47" spans="4:61" x14ac:dyDescent="0.3">
      <c r="H47" s="336">
        <v>4.41</v>
      </c>
      <c r="M47" s="106"/>
      <c r="N47" s="106"/>
      <c r="O47" s="275"/>
      <c r="P47" s="125"/>
      <c r="Q47" s="123"/>
      <c r="R47" s="261"/>
      <c r="T47" s="64"/>
      <c r="V47" s="28"/>
      <c r="W47" s="28"/>
      <c r="Y47" s="64"/>
      <c r="AA47" s="28"/>
      <c r="AB47" s="28"/>
      <c r="AD47" s="64"/>
      <c r="AF47" s="28"/>
      <c r="AG47" s="28"/>
      <c r="AI47" s="64"/>
      <c r="AK47" s="28"/>
      <c r="AL47" s="28"/>
      <c r="AN47" s="64"/>
      <c r="AP47" s="28"/>
      <c r="AQ47" s="28"/>
      <c r="AR47" s="28"/>
      <c r="AS47" s="64"/>
      <c r="AU47" s="28"/>
      <c r="AV47" s="65"/>
      <c r="AX47" s="64"/>
      <c r="AZ47" s="28"/>
      <c r="BA47" s="65"/>
      <c r="BC47" s="64"/>
      <c r="BE47" s="28"/>
      <c r="BF47" s="65"/>
      <c r="BH47" s="65"/>
      <c r="BI47" s="65"/>
    </row>
    <row r="48" spans="4:61" x14ac:dyDescent="0.3">
      <c r="H48" s="336">
        <v>17.579999999999998</v>
      </c>
      <c r="K48" s="267"/>
      <c r="L48" s="268"/>
      <c r="M48" s="269"/>
      <c r="N48" s="270"/>
      <c r="O48" s="123"/>
      <c r="P48" s="268"/>
      <c r="Q48" s="106"/>
      <c r="R48" s="106"/>
      <c r="V48" s="28"/>
      <c r="W48" s="28"/>
      <c r="AA48" s="28"/>
      <c r="AB48" s="28"/>
      <c r="AF48" s="28"/>
      <c r="AG48" s="28"/>
      <c r="AK48" s="28"/>
      <c r="AL48" s="28"/>
      <c r="AP48" s="28"/>
      <c r="AQ48" s="28"/>
      <c r="AR48" s="28"/>
      <c r="AZ48" s="28"/>
      <c r="BE48" s="28"/>
    </row>
    <row r="49" spans="4:63" x14ac:dyDescent="0.3">
      <c r="H49" s="336">
        <v>75.19</v>
      </c>
      <c r="K49" s="267"/>
      <c r="L49" s="268"/>
      <c r="M49" s="269"/>
      <c r="N49" s="270"/>
      <c r="O49" s="124"/>
      <c r="P49" s="268"/>
      <c r="Q49" s="106"/>
      <c r="R49" s="106"/>
    </row>
    <row r="50" spans="4:63" x14ac:dyDescent="0.3">
      <c r="H50" s="336">
        <v>113.18</v>
      </c>
      <c r="K50" s="267"/>
      <c r="L50" s="268"/>
      <c r="M50" s="269"/>
      <c r="N50" s="270"/>
      <c r="O50" s="124"/>
      <c r="P50" s="268"/>
      <c r="Q50" s="123"/>
      <c r="R50" s="261"/>
      <c r="T50" s="64"/>
      <c r="V50" s="28"/>
      <c r="W50" s="28"/>
      <c r="Y50" s="64"/>
      <c r="AA50" s="28"/>
      <c r="AB50" s="28"/>
      <c r="AD50" s="64"/>
      <c r="AF50" s="28"/>
      <c r="AG50" s="28"/>
      <c r="AI50" s="64"/>
      <c r="AK50" s="28"/>
      <c r="AL50" s="28"/>
      <c r="AN50" s="64"/>
      <c r="AP50" s="28"/>
      <c r="AQ50" s="28"/>
      <c r="AR50" s="28"/>
      <c r="AS50" s="67"/>
      <c r="AT50" s="58"/>
      <c r="AU50" s="59"/>
      <c r="AV50" s="65"/>
      <c r="AX50" s="67"/>
      <c r="AY50" s="58"/>
      <c r="AZ50" s="59"/>
      <c r="BA50" s="65"/>
      <c r="BB50" s="68"/>
      <c r="BC50" s="67"/>
      <c r="BD50" s="58"/>
      <c r="BE50" s="59"/>
      <c r="BF50" s="65"/>
      <c r="BH50" s="65"/>
      <c r="BI50" s="65"/>
    </row>
    <row r="51" spans="4:63" x14ac:dyDescent="0.3">
      <c r="H51" s="336">
        <v>7.28</v>
      </c>
      <c r="K51" s="267"/>
      <c r="L51" s="268"/>
      <c r="M51" s="269"/>
      <c r="N51" s="270"/>
      <c r="O51" s="124"/>
      <c r="P51" s="268"/>
      <c r="Q51" s="106"/>
      <c r="R51" s="106"/>
      <c r="V51" s="28"/>
      <c r="W51" s="28"/>
      <c r="AA51" s="28"/>
      <c r="AB51" s="28"/>
      <c r="AF51" s="28"/>
      <c r="AG51" s="28"/>
      <c r="AK51" s="28"/>
      <c r="AL51" s="28"/>
      <c r="AP51" s="28"/>
      <c r="AQ51" s="28"/>
      <c r="AR51" s="28"/>
      <c r="AU51" s="66"/>
      <c r="AV51" s="66"/>
      <c r="AX51" s="68"/>
      <c r="AY51" s="58"/>
      <c r="AZ51" s="59"/>
      <c r="BA51" s="66"/>
      <c r="BB51" s="68"/>
      <c r="BC51" s="68"/>
      <c r="BD51" s="58"/>
      <c r="BE51" s="59"/>
      <c r="BF51" s="66"/>
    </row>
    <row r="52" spans="4:63" x14ac:dyDescent="0.3">
      <c r="H52" s="336">
        <v>26.47</v>
      </c>
      <c r="K52" s="267"/>
      <c r="L52" s="268"/>
      <c r="M52" s="269"/>
      <c r="N52" s="270"/>
      <c r="O52" s="124"/>
      <c r="P52" s="268"/>
      <c r="Q52" s="106"/>
      <c r="R52" s="276"/>
      <c r="AX52" s="68"/>
      <c r="AY52" s="58"/>
      <c r="AZ52" s="68"/>
      <c r="BB52" s="68"/>
      <c r="BC52" s="68"/>
      <c r="BD52" s="58"/>
      <c r="BE52" s="68"/>
    </row>
    <row r="53" spans="4:63" x14ac:dyDescent="0.3">
      <c r="H53" s="336">
        <v>26.47</v>
      </c>
      <c r="K53" s="267"/>
      <c r="L53" s="268"/>
      <c r="M53" s="269"/>
      <c r="N53" s="270"/>
      <c r="O53" s="124"/>
      <c r="P53" s="268"/>
      <c r="Q53" s="123"/>
      <c r="R53" s="276"/>
      <c r="T53" s="64"/>
      <c r="V53" s="28"/>
      <c r="W53" s="28"/>
      <c r="Y53" s="64"/>
      <c r="AA53" s="28"/>
      <c r="AB53" s="28"/>
      <c r="AD53" s="64"/>
      <c r="AF53" s="28"/>
      <c r="AG53" s="28"/>
      <c r="AI53" s="64"/>
      <c r="AK53" s="28"/>
      <c r="AL53" s="28"/>
      <c r="AN53" s="64"/>
      <c r="AP53" s="28"/>
      <c r="AQ53" s="28"/>
      <c r="AR53" s="28"/>
      <c r="AS53" s="67"/>
      <c r="AT53" s="58"/>
      <c r="AU53" s="59"/>
      <c r="AV53" s="65"/>
      <c r="AX53" s="67"/>
      <c r="AY53" s="58"/>
      <c r="AZ53" s="59"/>
      <c r="BA53" s="65"/>
      <c r="BB53" s="68"/>
      <c r="BC53" s="67"/>
      <c r="BD53" s="58"/>
      <c r="BE53" s="59"/>
      <c r="BF53" s="65"/>
      <c r="BH53" s="65"/>
      <c r="BI53" s="65"/>
    </row>
    <row r="54" spans="4:63" x14ac:dyDescent="0.3">
      <c r="H54" s="336">
        <v>113.18</v>
      </c>
      <c r="K54" s="267"/>
      <c r="L54" s="268"/>
      <c r="M54" s="269"/>
      <c r="N54" s="270"/>
      <c r="O54" s="124"/>
      <c r="P54" s="268"/>
      <c r="Q54" s="106"/>
      <c r="R54" s="276"/>
      <c r="V54" s="28"/>
      <c r="W54" s="28"/>
      <c r="AA54" s="28"/>
      <c r="AB54" s="28"/>
      <c r="AF54" s="28"/>
      <c r="AG54" s="28"/>
      <c r="AK54" s="28"/>
      <c r="AL54" s="28"/>
      <c r="AP54" s="28"/>
      <c r="AQ54" s="28"/>
      <c r="AR54" s="28"/>
      <c r="AS54" s="68"/>
      <c r="AT54" s="58"/>
      <c r="AU54" s="59"/>
      <c r="AV54" s="59"/>
      <c r="AX54" s="68"/>
      <c r="AY54" s="58"/>
      <c r="AZ54" s="59"/>
      <c r="BA54" s="59"/>
      <c r="BB54" s="68"/>
      <c r="BC54" s="68"/>
      <c r="BD54" s="58"/>
      <c r="BE54" s="59"/>
      <c r="BF54" s="59"/>
    </row>
    <row r="55" spans="4:63" x14ac:dyDescent="0.3">
      <c r="D55" s="71">
        <f>SUM(F55:F57)</f>
        <v>27986.350000000002</v>
      </c>
      <c r="F55" s="315">
        <v>25980.5</v>
      </c>
      <c r="H55" s="336"/>
      <c r="K55" s="267"/>
      <c r="L55" s="268"/>
      <c r="M55" s="269"/>
      <c r="N55" s="270"/>
      <c r="O55" s="124"/>
      <c r="P55" s="268"/>
      <c r="Q55" s="106"/>
      <c r="R55" s="276"/>
      <c r="AU55" s="66"/>
      <c r="AV55" s="66"/>
      <c r="AX55" s="68"/>
      <c r="AY55" s="58"/>
      <c r="AZ55" s="68"/>
      <c r="BA55" s="66"/>
      <c r="BB55" s="68"/>
      <c r="BC55" s="68"/>
      <c r="BD55" s="58"/>
      <c r="BE55" s="68"/>
      <c r="BF55" s="66"/>
    </row>
    <row r="56" spans="4:63" x14ac:dyDescent="0.3">
      <c r="F56" s="315">
        <v>1303.4000000000001</v>
      </c>
      <c r="H56" s="336"/>
      <c r="K56" s="267"/>
      <c r="L56" s="268"/>
      <c r="M56" s="269"/>
      <c r="N56" s="270"/>
      <c r="O56" s="124"/>
      <c r="P56" s="268"/>
      <c r="Q56" s="123"/>
      <c r="R56" s="276"/>
      <c r="T56" s="64"/>
      <c r="V56" s="28"/>
      <c r="W56" s="28"/>
      <c r="Y56" s="64"/>
      <c r="AA56" s="28"/>
      <c r="AB56" s="28"/>
      <c r="AD56" s="64"/>
      <c r="AF56" s="28"/>
      <c r="AG56" s="28"/>
      <c r="AI56" s="64"/>
      <c r="AK56" s="28"/>
      <c r="AL56" s="28"/>
      <c r="AN56" s="64"/>
      <c r="AP56" s="28"/>
      <c r="AQ56" s="28"/>
      <c r="AR56" s="28"/>
      <c r="AS56" s="67"/>
      <c r="AT56" s="58"/>
      <c r="AU56" s="59"/>
      <c r="AV56" s="65"/>
      <c r="AX56" s="67"/>
      <c r="AY56" s="58"/>
      <c r="AZ56" s="59"/>
      <c r="BA56" s="65"/>
      <c r="BB56" s="68"/>
      <c r="BC56" s="67"/>
      <c r="BD56" s="58"/>
      <c r="BE56" s="59"/>
      <c r="BF56" s="65"/>
      <c r="BH56" s="65"/>
      <c r="BI56" s="65"/>
    </row>
    <row r="57" spans="4:63" x14ac:dyDescent="0.3">
      <c r="F57" s="315">
        <v>702.45</v>
      </c>
      <c r="H57" s="336"/>
      <c r="K57" s="267"/>
      <c r="L57" s="268"/>
      <c r="M57" s="269"/>
      <c r="N57" s="270"/>
      <c r="O57" s="124"/>
      <c r="P57" s="268"/>
      <c r="Q57" s="106"/>
      <c r="R57" s="276"/>
      <c r="V57" s="28"/>
      <c r="W57" s="28"/>
      <c r="AA57" s="28"/>
      <c r="AB57" s="28"/>
      <c r="AF57" s="28"/>
      <c r="AG57" s="28"/>
      <c r="AK57" s="28"/>
      <c r="AL57" s="28"/>
      <c r="AP57" s="28"/>
      <c r="AQ57" s="28"/>
      <c r="AR57" s="28"/>
      <c r="AX57" s="68"/>
      <c r="AY57" s="58"/>
      <c r="AZ57" s="59"/>
      <c r="BB57" s="68"/>
      <c r="BC57" s="68"/>
      <c r="BD57" s="58"/>
      <c r="BE57" s="59"/>
    </row>
    <row r="58" spans="4:63" x14ac:dyDescent="0.3">
      <c r="H58" s="336">
        <v>113.18</v>
      </c>
      <c r="K58" s="267"/>
      <c r="L58" s="268"/>
      <c r="M58" s="269"/>
      <c r="N58" s="270"/>
      <c r="O58" s="124"/>
      <c r="P58" s="268"/>
      <c r="Q58" s="106"/>
      <c r="R58" s="276"/>
      <c r="AS58" s="68"/>
      <c r="AT58" s="58"/>
      <c r="AU58" s="59"/>
      <c r="AV58" s="59"/>
      <c r="AX58" s="68"/>
      <c r="AY58" s="58"/>
      <c r="AZ58" s="68"/>
      <c r="BA58" s="59"/>
      <c r="BB58" s="68"/>
      <c r="BC58" s="68"/>
      <c r="BD58" s="58"/>
      <c r="BE58" s="68"/>
      <c r="BF58" s="59"/>
    </row>
    <row r="59" spans="4:63" x14ac:dyDescent="0.3">
      <c r="H59" s="336">
        <v>5.51</v>
      </c>
      <c r="K59" s="267"/>
      <c r="L59" s="268"/>
      <c r="M59" s="269"/>
      <c r="N59" s="270"/>
      <c r="O59" s="124"/>
      <c r="P59" s="268"/>
      <c r="Q59" s="123"/>
      <c r="R59" s="276"/>
      <c r="T59" s="64"/>
      <c r="V59" s="28"/>
      <c r="W59" s="28"/>
      <c r="Y59" s="64"/>
      <c r="AA59" s="28"/>
      <c r="AB59" s="28"/>
      <c r="AD59" s="64"/>
      <c r="AF59" s="28"/>
      <c r="AG59" s="28"/>
      <c r="AI59" s="64"/>
      <c r="AK59" s="28"/>
      <c r="AL59" s="28"/>
      <c r="AN59" s="64"/>
      <c r="AP59" s="28"/>
      <c r="AQ59" s="28"/>
      <c r="AR59" s="28"/>
      <c r="AS59" s="67"/>
      <c r="AT59" s="58"/>
      <c r="AU59" s="59"/>
      <c r="AV59" s="65"/>
      <c r="AX59" s="67"/>
      <c r="AY59" s="58"/>
      <c r="AZ59" s="59"/>
      <c r="BA59" s="65"/>
      <c r="BB59" s="68"/>
      <c r="BC59" s="67"/>
      <c r="BD59" s="58"/>
      <c r="BE59" s="59"/>
      <c r="BF59" s="65"/>
      <c r="BH59" s="65"/>
      <c r="BI59" s="65"/>
    </row>
    <row r="60" spans="4:63" x14ac:dyDescent="0.3">
      <c r="H60" s="336">
        <v>6.62</v>
      </c>
      <c r="K60" s="267"/>
      <c r="L60" s="268"/>
      <c r="M60" s="269"/>
      <c r="N60" s="270"/>
      <c r="O60" s="124"/>
      <c r="P60" s="268"/>
      <c r="Q60" s="106"/>
      <c r="R60" s="276"/>
      <c r="V60" s="28"/>
      <c r="W60" s="28"/>
      <c r="AA60" s="28"/>
      <c r="AB60" s="28"/>
      <c r="AF60" s="28"/>
      <c r="AG60" s="28"/>
      <c r="AK60" s="28"/>
      <c r="AL60" s="28"/>
      <c r="AP60" s="28"/>
      <c r="AQ60" s="28"/>
      <c r="AR60" s="28"/>
      <c r="AS60" s="68"/>
      <c r="AT60" s="58"/>
      <c r="AU60" s="68"/>
      <c r="AV60" s="68"/>
      <c r="AX60" s="68"/>
      <c r="AY60" s="58"/>
      <c r="AZ60" s="59"/>
      <c r="BA60" s="68"/>
      <c r="BB60" s="68"/>
      <c r="BC60" s="68"/>
      <c r="BD60" s="58"/>
      <c r="BE60" s="59"/>
      <c r="BF60" s="68"/>
    </row>
    <row r="61" spans="4:63" x14ac:dyDescent="0.3">
      <c r="H61" s="336">
        <v>15.99</v>
      </c>
      <c r="K61" s="267"/>
      <c r="L61" s="268"/>
      <c r="M61" s="269"/>
      <c r="N61" s="270"/>
      <c r="O61" s="124"/>
      <c r="P61" s="268"/>
      <c r="Q61" s="106"/>
      <c r="R61" s="276"/>
      <c r="AA61" s="106"/>
      <c r="AX61" s="68"/>
      <c r="AY61" s="58"/>
      <c r="AZ61" s="68"/>
      <c r="BB61" s="68"/>
      <c r="BC61" s="68"/>
      <c r="BD61" s="58"/>
      <c r="BE61" s="68"/>
    </row>
    <row r="62" spans="4:63" x14ac:dyDescent="0.3">
      <c r="H62" s="336">
        <v>68.36</v>
      </c>
      <c r="L62" s="277"/>
      <c r="M62" s="278"/>
      <c r="N62" s="279"/>
      <c r="O62" s="278"/>
      <c r="P62" s="123"/>
      <c r="Q62" s="123"/>
      <c r="R62" s="261"/>
      <c r="AD62" s="64"/>
      <c r="AF62" s="28"/>
      <c r="AG62" s="28"/>
      <c r="AR62" s="28"/>
      <c r="AS62" s="67"/>
      <c r="AT62" s="58"/>
      <c r="AU62" s="59"/>
      <c r="AV62" s="65"/>
      <c r="AX62" s="67"/>
      <c r="AY62" s="58"/>
      <c r="AZ62" s="59"/>
      <c r="BA62" s="65"/>
      <c r="BB62" s="68"/>
      <c r="BC62" s="67"/>
      <c r="BD62" s="58"/>
      <c r="BE62" s="59"/>
      <c r="BF62" s="65"/>
      <c r="BH62" s="65"/>
      <c r="BI62" s="65"/>
      <c r="BK62" s="65"/>
    </row>
    <row r="63" spans="4:63" x14ac:dyDescent="0.3">
      <c r="H63" s="336">
        <v>26.47</v>
      </c>
      <c r="K63" s="106"/>
      <c r="L63" s="106"/>
      <c r="M63" s="280"/>
      <c r="N63" s="123"/>
      <c r="O63" s="106"/>
      <c r="P63" s="106"/>
      <c r="Q63" s="106"/>
      <c r="R63" s="106"/>
      <c r="V63" s="28"/>
      <c r="W63" s="28"/>
      <c r="AB63" s="28"/>
      <c r="AF63" s="28"/>
      <c r="AG63" s="28"/>
      <c r="AK63" s="28"/>
      <c r="AL63" s="28"/>
      <c r="AP63" s="28"/>
      <c r="AQ63" s="28"/>
      <c r="AR63" s="28"/>
      <c r="AS63" s="68"/>
      <c r="AT63" s="58"/>
      <c r="AU63" s="69"/>
      <c r="AV63" s="69"/>
      <c r="AX63" s="68"/>
      <c r="AY63" s="58"/>
      <c r="AZ63" s="59"/>
      <c r="BA63" s="69"/>
      <c r="BB63" s="68"/>
      <c r="BC63" s="68"/>
      <c r="BD63" s="58"/>
      <c r="BE63" s="59"/>
      <c r="BF63" s="69"/>
    </row>
    <row r="64" spans="4:63" x14ac:dyDescent="0.3">
      <c r="H64" s="336">
        <v>113.18</v>
      </c>
      <c r="K64" s="106"/>
      <c r="L64" s="281"/>
      <c r="M64" s="280"/>
      <c r="N64" s="280"/>
      <c r="O64" s="106"/>
      <c r="P64" s="261"/>
      <c r="Q64" s="261"/>
      <c r="R64" s="261"/>
      <c r="W64" s="28"/>
      <c r="AB64" s="28"/>
      <c r="AG64" s="28"/>
      <c r="AL64" s="28"/>
      <c r="AP64" s="28"/>
      <c r="AQ64" s="28"/>
      <c r="AR64" s="28"/>
      <c r="AS64" s="68"/>
      <c r="AT64" s="58"/>
      <c r="AU64" s="69"/>
      <c r="AV64" s="69"/>
      <c r="AX64" s="68"/>
      <c r="AY64" s="58"/>
      <c r="AZ64" s="69"/>
      <c r="BA64" s="69"/>
      <c r="BB64" s="68"/>
      <c r="BC64" s="68"/>
      <c r="BD64" s="58"/>
      <c r="BE64" s="69"/>
      <c r="BF64" s="69"/>
    </row>
    <row r="65" spans="4:63" x14ac:dyDescent="0.3">
      <c r="H65" s="336">
        <v>26.47</v>
      </c>
      <c r="L65" s="106"/>
      <c r="M65" s="106"/>
      <c r="N65" s="106"/>
      <c r="O65" s="106"/>
      <c r="P65" s="106"/>
      <c r="Q65" s="106"/>
      <c r="R65" s="106"/>
      <c r="V65" s="28"/>
      <c r="W65" s="28"/>
      <c r="AA65" s="28"/>
      <c r="AB65" s="28"/>
      <c r="AF65" s="28"/>
      <c r="AG65" s="28"/>
      <c r="AK65" s="28"/>
      <c r="AL65" s="28"/>
      <c r="AP65" s="28"/>
      <c r="AQ65" s="28"/>
      <c r="AR65" s="28"/>
      <c r="AS65" s="68"/>
      <c r="AT65" s="58"/>
      <c r="AU65" s="69"/>
      <c r="AV65" s="69"/>
      <c r="AX65" s="68"/>
      <c r="AY65" s="58"/>
      <c r="AZ65" s="59"/>
      <c r="BA65" s="69"/>
      <c r="BB65" s="68"/>
      <c r="BC65" s="68"/>
      <c r="BD65" s="58"/>
      <c r="BE65" s="59"/>
      <c r="BF65" s="69"/>
    </row>
    <row r="66" spans="4:63" x14ac:dyDescent="0.3">
      <c r="D66" s="71">
        <f>SUM(F66:F68)</f>
        <v>26362.7</v>
      </c>
      <c r="F66" s="315">
        <v>1507.1</v>
      </c>
      <c r="H66" s="336"/>
      <c r="K66" s="106"/>
      <c r="L66" s="122"/>
      <c r="M66" s="106"/>
      <c r="N66" s="106"/>
      <c r="P66" s="106"/>
      <c r="Q66" s="106"/>
      <c r="R66" s="106"/>
      <c r="V66" s="28"/>
      <c r="W66" s="28"/>
      <c r="AA66" s="28"/>
      <c r="AB66" s="28"/>
      <c r="AF66" s="28"/>
      <c r="AG66" s="28"/>
      <c r="AK66" s="28"/>
      <c r="AL66" s="28"/>
      <c r="AP66" s="28"/>
      <c r="AQ66" s="28"/>
      <c r="AR66" s="28"/>
      <c r="AS66" s="68"/>
      <c r="AT66" s="58"/>
      <c r="AU66" s="69"/>
      <c r="AV66" s="69"/>
      <c r="AX66" s="68"/>
      <c r="AY66" s="58"/>
      <c r="AZ66" s="59"/>
      <c r="BA66" s="69"/>
      <c r="BB66" s="68"/>
      <c r="BC66" s="68"/>
      <c r="BD66" s="58"/>
      <c r="BE66" s="59"/>
      <c r="BF66" s="69"/>
    </row>
    <row r="67" spans="4:63" x14ac:dyDescent="0.3">
      <c r="F67" s="315">
        <v>1661.1</v>
      </c>
      <c r="H67" s="336"/>
      <c r="K67" s="106"/>
      <c r="L67" s="122"/>
      <c r="M67" s="280"/>
      <c r="N67" s="123"/>
      <c r="O67" s="106"/>
      <c r="P67" s="106"/>
      <c r="Q67" s="106"/>
      <c r="R67" s="106"/>
      <c r="T67" s="64"/>
      <c r="V67" s="28"/>
      <c r="W67" s="28"/>
      <c r="Y67" s="64"/>
      <c r="AA67" s="28"/>
      <c r="AB67" s="28"/>
      <c r="AF67" s="28"/>
      <c r="AG67" s="28"/>
      <c r="AI67" s="64"/>
      <c r="AK67" s="28"/>
      <c r="AL67" s="28"/>
      <c r="AN67" s="64"/>
      <c r="AP67" s="28"/>
      <c r="AQ67" s="28"/>
      <c r="AR67" s="28"/>
      <c r="AS67" s="68"/>
      <c r="AT67" s="58"/>
      <c r="AU67" s="69"/>
      <c r="AV67" s="69"/>
      <c r="AX67" s="68"/>
      <c r="AY67" s="58"/>
      <c r="AZ67" s="59"/>
      <c r="BA67" s="69"/>
      <c r="BB67" s="68"/>
      <c r="BC67" s="68"/>
      <c r="BD67" s="58"/>
      <c r="BE67" s="59"/>
      <c r="BF67" s="69"/>
    </row>
    <row r="68" spans="4:63" x14ac:dyDescent="0.3">
      <c r="D68" s="282"/>
      <c r="F68" s="315">
        <v>23194.5</v>
      </c>
      <c r="H68" s="336"/>
      <c r="K68" s="106"/>
      <c r="L68" s="122"/>
      <c r="M68" s="280"/>
      <c r="N68" s="280"/>
      <c r="P68" s="106"/>
      <c r="Q68" s="106"/>
      <c r="R68" s="106"/>
      <c r="V68" s="28"/>
      <c r="W68" s="28"/>
      <c r="AA68" s="28"/>
      <c r="AB68" s="28"/>
      <c r="AF68" s="28"/>
      <c r="AG68" s="28"/>
      <c r="AK68" s="28"/>
      <c r="AL68" s="28"/>
      <c r="AP68" s="28"/>
      <c r="AQ68" s="28"/>
      <c r="AR68" s="28"/>
      <c r="AS68" s="68"/>
      <c r="AT68" s="58"/>
      <c r="AU68" s="69"/>
      <c r="AV68" s="69"/>
      <c r="AX68" s="68"/>
      <c r="AY68" s="58"/>
      <c r="AZ68" s="59"/>
      <c r="BA68" s="69"/>
      <c r="BB68" s="68"/>
      <c r="BC68" s="68"/>
      <c r="BD68" s="58"/>
      <c r="BE68" s="59"/>
      <c r="BF68" s="69"/>
    </row>
    <row r="69" spans="4:63" x14ac:dyDescent="0.3">
      <c r="H69" s="336">
        <v>0.55000000000000004</v>
      </c>
      <c r="L69" s="122"/>
      <c r="M69" s="106"/>
      <c r="N69" s="106"/>
      <c r="O69" s="106"/>
      <c r="P69" s="106"/>
      <c r="Q69" s="106"/>
      <c r="R69" s="106"/>
      <c r="AK69" s="66"/>
      <c r="AL69" s="66"/>
      <c r="AQ69" s="66"/>
      <c r="AS69" s="68"/>
      <c r="AT69" s="58"/>
      <c r="AU69" s="68"/>
      <c r="AV69" s="68"/>
      <c r="AX69" s="68"/>
      <c r="AY69" s="58"/>
      <c r="AZ69" s="68"/>
      <c r="BA69" s="68"/>
      <c r="BB69" s="68"/>
      <c r="BC69" s="68"/>
      <c r="BD69" s="58"/>
      <c r="BE69" s="68"/>
      <c r="BF69" s="68"/>
    </row>
    <row r="70" spans="4:63" x14ac:dyDescent="0.3">
      <c r="H70" s="336">
        <v>17.579999999999998</v>
      </c>
      <c r="L70" s="122"/>
      <c r="M70" s="123"/>
      <c r="N70" s="123"/>
      <c r="O70" s="106"/>
      <c r="P70" s="123"/>
      <c r="Q70" s="123"/>
      <c r="R70" s="261"/>
      <c r="T70" s="64"/>
      <c r="V70" s="28"/>
      <c r="W70" s="28"/>
      <c r="Y70" s="64"/>
      <c r="AA70" s="28"/>
      <c r="AB70" s="28"/>
      <c r="AD70" s="64"/>
      <c r="AF70" s="28"/>
      <c r="AG70" s="28"/>
      <c r="AI70" s="64"/>
      <c r="AK70" s="28"/>
      <c r="AL70" s="28"/>
      <c r="AN70" s="64"/>
      <c r="AP70" s="28"/>
      <c r="AQ70" s="28"/>
      <c r="AR70" s="28"/>
      <c r="AS70" s="67"/>
      <c r="AT70" s="58"/>
      <c r="AU70" s="59"/>
      <c r="AV70" s="65"/>
      <c r="AX70" s="67"/>
      <c r="AY70" s="58"/>
      <c r="AZ70" s="59"/>
      <c r="BA70" s="65"/>
      <c r="BB70" s="68"/>
      <c r="BC70" s="67"/>
      <c r="BD70" s="58"/>
      <c r="BE70" s="59"/>
      <c r="BF70" s="65"/>
      <c r="BH70" s="65"/>
      <c r="BI70" s="65"/>
      <c r="BJ70" s="65"/>
      <c r="BK70" s="65"/>
    </row>
    <row r="71" spans="4:63" x14ac:dyDescent="0.3">
      <c r="H71" s="336">
        <v>6.69</v>
      </c>
      <c r="L71" s="122"/>
      <c r="M71" s="106"/>
      <c r="N71" s="106"/>
      <c r="O71" s="106"/>
      <c r="P71" s="106"/>
      <c r="Q71" s="106"/>
      <c r="R71" s="106"/>
      <c r="V71" s="28"/>
      <c r="W71" s="28"/>
      <c r="AA71" s="28"/>
      <c r="AB71" s="28"/>
      <c r="AF71" s="28"/>
      <c r="AG71" s="28"/>
      <c r="AK71" s="66"/>
      <c r="AL71" s="66"/>
      <c r="AP71" s="28"/>
      <c r="AQ71" s="66"/>
      <c r="AR71" s="28"/>
      <c r="AS71" s="68"/>
      <c r="AT71" s="58"/>
      <c r="AU71" s="59"/>
      <c r="AV71" s="59"/>
      <c r="AX71" s="68"/>
      <c r="AY71" s="58"/>
      <c r="AZ71" s="59"/>
      <c r="BA71" s="59"/>
      <c r="BB71" s="68"/>
      <c r="BC71" s="68"/>
      <c r="BD71" s="58"/>
      <c r="BE71" s="59"/>
      <c r="BF71" s="59"/>
    </row>
    <row r="72" spans="4:63" x14ac:dyDescent="0.3">
      <c r="H72" s="336">
        <v>6.06</v>
      </c>
      <c r="K72" s="411"/>
      <c r="L72" s="411"/>
      <c r="M72" s="411"/>
      <c r="N72" s="411"/>
      <c r="O72" s="106"/>
      <c r="P72" s="106"/>
      <c r="Q72" s="106"/>
      <c r="R72" s="106"/>
      <c r="AS72" s="68"/>
      <c r="AT72" s="58"/>
      <c r="AU72" s="69"/>
      <c r="AV72" s="69"/>
      <c r="AX72" s="68"/>
      <c r="AY72" s="58"/>
      <c r="AZ72" s="68"/>
      <c r="BA72" s="69"/>
      <c r="BB72" s="68"/>
      <c r="BC72" s="68"/>
      <c r="BD72" s="58"/>
      <c r="BE72" s="68"/>
      <c r="BF72" s="69"/>
    </row>
    <row r="73" spans="4:63" x14ac:dyDescent="0.3">
      <c r="H73" s="336">
        <v>75.19</v>
      </c>
      <c r="K73" s="283"/>
      <c r="L73" s="122"/>
      <c r="M73" s="122"/>
      <c r="N73" s="284"/>
      <c r="O73" s="123"/>
      <c r="P73" s="123"/>
      <c r="Q73" s="123"/>
      <c r="R73" s="261"/>
      <c r="T73" s="64"/>
      <c r="V73" s="28"/>
      <c r="W73" s="28"/>
      <c r="Y73" s="64"/>
      <c r="AA73" s="28"/>
      <c r="AB73" s="28"/>
      <c r="AD73" s="64"/>
      <c r="AF73" s="28"/>
      <c r="AG73" s="28"/>
      <c r="AI73" s="64"/>
      <c r="AK73" s="28"/>
      <c r="AL73" s="28"/>
      <c r="AN73" s="64"/>
      <c r="AP73" s="28"/>
      <c r="AQ73" s="28"/>
      <c r="AR73" s="28"/>
      <c r="AS73" s="67"/>
      <c r="AT73" s="58"/>
      <c r="AU73" s="59"/>
      <c r="AV73" s="65"/>
      <c r="AX73" s="67"/>
      <c r="AY73" s="58"/>
      <c r="AZ73" s="59"/>
      <c r="BA73" s="65"/>
      <c r="BB73" s="68"/>
      <c r="BC73" s="67"/>
      <c r="BD73" s="58"/>
      <c r="BE73" s="59"/>
      <c r="BF73" s="65"/>
      <c r="BH73" s="65"/>
      <c r="BI73" s="65"/>
    </row>
    <row r="74" spans="4:63" x14ac:dyDescent="0.3">
      <c r="H74" s="336">
        <v>113.18</v>
      </c>
      <c r="K74" s="283"/>
      <c r="L74" s="122"/>
      <c r="M74" s="122"/>
      <c r="N74" s="284"/>
      <c r="O74" s="106"/>
      <c r="P74" s="106"/>
      <c r="Q74" s="106"/>
      <c r="R74" s="106"/>
      <c r="V74" s="28"/>
      <c r="W74" s="28"/>
      <c r="AA74" s="28"/>
      <c r="AB74" s="28"/>
      <c r="AF74" s="28"/>
      <c r="AG74" s="28"/>
      <c r="AP74" s="28"/>
      <c r="AQ74" s="28"/>
      <c r="AR74" s="28"/>
      <c r="AX74" s="68"/>
      <c r="AY74" s="58"/>
      <c r="AZ74" s="59"/>
      <c r="BA74" s="59"/>
      <c r="BB74" s="68"/>
      <c r="BC74" s="68"/>
      <c r="BD74" s="58"/>
      <c r="BE74" s="59"/>
      <c r="BF74" s="59"/>
    </row>
    <row r="75" spans="4:63" x14ac:dyDescent="0.3">
      <c r="H75" s="336">
        <v>26.47</v>
      </c>
      <c r="K75" s="283"/>
      <c r="L75" s="122"/>
      <c r="M75" s="122"/>
      <c r="N75" s="284"/>
      <c r="O75" s="106"/>
      <c r="P75" s="106"/>
      <c r="Q75" s="106"/>
      <c r="R75" s="106"/>
      <c r="AK75" s="66"/>
      <c r="AL75" s="66"/>
      <c r="AS75" s="68"/>
      <c r="AT75" s="58"/>
      <c r="AU75" s="59"/>
      <c r="AV75" s="59"/>
      <c r="AX75" s="68"/>
      <c r="AY75" s="58"/>
      <c r="AZ75" s="68"/>
      <c r="BA75" s="68"/>
      <c r="BB75" s="68"/>
      <c r="BC75" s="68"/>
      <c r="BD75" s="58"/>
      <c r="BE75" s="68"/>
      <c r="BF75" s="68"/>
    </row>
    <row r="76" spans="4:63" x14ac:dyDescent="0.3">
      <c r="H76" s="336">
        <v>6.84</v>
      </c>
      <c r="K76" s="283"/>
      <c r="L76" s="122"/>
      <c r="M76" s="122"/>
      <c r="N76" s="284"/>
      <c r="O76" s="106"/>
      <c r="P76" s="106"/>
      <c r="Q76" s="106"/>
      <c r="R76" s="106"/>
      <c r="AN76" s="64"/>
      <c r="AP76" s="28"/>
      <c r="AQ76" s="28"/>
      <c r="AR76" s="28"/>
      <c r="AS76" s="68"/>
      <c r="AT76" s="58"/>
      <c r="AU76" s="69"/>
      <c r="AV76" s="69"/>
    </row>
    <row r="77" spans="4:63" x14ac:dyDescent="0.3">
      <c r="H77" s="336">
        <v>1.6</v>
      </c>
      <c r="K77" s="283"/>
      <c r="L77" s="122"/>
      <c r="M77" s="122"/>
      <c r="N77" s="284"/>
      <c r="O77" s="106"/>
      <c r="P77" s="106"/>
      <c r="Q77" s="106"/>
      <c r="V77" s="106"/>
      <c r="AP77" s="28"/>
      <c r="AQ77" s="28"/>
      <c r="AR77" s="28"/>
      <c r="AS77" s="68"/>
      <c r="AT77" s="58"/>
      <c r="AU77" s="68"/>
      <c r="AV77" s="68"/>
    </row>
    <row r="78" spans="4:63" x14ac:dyDescent="0.3">
      <c r="H78" s="336">
        <v>26.47</v>
      </c>
      <c r="K78" s="283"/>
      <c r="L78" s="122"/>
      <c r="M78" s="122"/>
      <c r="N78" s="284"/>
      <c r="O78" s="106"/>
      <c r="P78" s="106"/>
      <c r="Q78" s="106"/>
      <c r="T78" s="106"/>
      <c r="U78" s="112"/>
      <c r="V78" s="106"/>
      <c r="X78" s="106"/>
      <c r="Y78" s="106"/>
      <c r="AP78" s="66"/>
      <c r="AQ78" s="66"/>
      <c r="AR78" s="66"/>
    </row>
    <row r="79" spans="4:63" x14ac:dyDescent="0.3">
      <c r="H79" s="336">
        <v>113.18</v>
      </c>
      <c r="K79" s="283"/>
      <c r="L79" s="122"/>
      <c r="M79" s="122"/>
      <c r="N79" s="284"/>
      <c r="O79" s="106"/>
      <c r="P79" s="106"/>
      <c r="Q79" s="106"/>
      <c r="R79" s="106"/>
      <c r="T79" s="106"/>
      <c r="V79" s="264"/>
      <c r="X79" s="29"/>
      <c r="Y79" s="29"/>
      <c r="AS79" s="68"/>
      <c r="AT79" s="58"/>
      <c r="AU79" s="59"/>
      <c r="AV79" s="59"/>
    </row>
    <row r="80" spans="4:63" x14ac:dyDescent="0.3">
      <c r="D80" s="71">
        <f>SUM(F80:F82)</f>
        <v>32403</v>
      </c>
      <c r="F80" s="315">
        <v>1869</v>
      </c>
      <c r="H80" s="336"/>
      <c r="K80" s="283"/>
      <c r="L80" s="122"/>
      <c r="M80" s="122"/>
      <c r="N80" s="284"/>
      <c r="O80" s="106"/>
      <c r="P80" s="106"/>
      <c r="Q80" s="106"/>
      <c r="R80" s="106"/>
      <c r="V80" s="264"/>
      <c r="X80" s="106"/>
      <c r="AS80" s="68"/>
      <c r="AT80" s="58"/>
      <c r="AU80" s="69"/>
      <c r="AV80" s="69"/>
    </row>
    <row r="81" spans="4:62" x14ac:dyDescent="0.3">
      <c r="F81" s="315">
        <v>30534</v>
      </c>
      <c r="H81" s="336"/>
      <c r="K81" s="283"/>
      <c r="L81" s="122">
        <v>894</v>
      </c>
      <c r="M81" s="122"/>
      <c r="N81" s="284"/>
      <c r="O81" s="106"/>
      <c r="P81" s="106"/>
      <c r="Q81" s="106"/>
      <c r="R81" s="106"/>
      <c r="T81" s="106"/>
      <c r="V81" s="264"/>
      <c r="AS81" s="68"/>
      <c r="AT81" s="58"/>
      <c r="AU81" s="68"/>
      <c r="AV81" s="68"/>
    </row>
    <row r="82" spans="4:62" x14ac:dyDescent="0.3">
      <c r="H82" s="336">
        <v>102.53</v>
      </c>
      <c r="K82" s="283"/>
      <c r="L82" s="122"/>
      <c r="M82" s="122"/>
      <c r="N82" s="284"/>
      <c r="O82" s="106"/>
      <c r="P82" s="106"/>
      <c r="Q82" s="106"/>
      <c r="R82" s="106"/>
      <c r="V82" s="264"/>
    </row>
    <row r="83" spans="4:62" x14ac:dyDescent="0.3">
      <c r="H83" s="336">
        <v>23.98</v>
      </c>
      <c r="K83" s="283"/>
      <c r="L83" s="122"/>
      <c r="M83" s="122"/>
      <c r="N83" s="284"/>
      <c r="O83" s="106"/>
      <c r="P83" s="106"/>
      <c r="Q83" s="106"/>
      <c r="R83" s="106"/>
      <c r="T83" s="29"/>
      <c r="V83" s="264"/>
      <c r="AE83" s="62"/>
    </row>
    <row r="84" spans="4:62" x14ac:dyDescent="0.3">
      <c r="H84" s="336">
        <v>8.27</v>
      </c>
      <c r="K84" s="283"/>
      <c r="L84" s="122"/>
      <c r="M84" s="122"/>
      <c r="N84" s="284"/>
      <c r="O84" s="106"/>
      <c r="P84" s="123"/>
      <c r="Q84" s="123"/>
      <c r="R84" s="261"/>
      <c r="T84" s="106"/>
      <c r="V84" s="264"/>
      <c r="X84" s="106"/>
      <c r="AE84" s="62"/>
    </row>
    <row r="85" spans="4:62" x14ac:dyDescent="0.3">
      <c r="H85" s="336">
        <v>113.18</v>
      </c>
      <c r="L85" s="122"/>
      <c r="N85" s="123"/>
      <c r="O85" s="123"/>
      <c r="P85" s="123"/>
      <c r="Q85" s="123"/>
      <c r="R85" s="261"/>
      <c r="T85" s="285"/>
      <c r="V85" s="264"/>
      <c r="X85" s="29"/>
      <c r="AA85" s="28"/>
      <c r="AB85" s="28"/>
      <c r="AD85" s="64"/>
      <c r="AF85" s="28"/>
      <c r="AG85" s="28"/>
      <c r="AI85" s="64"/>
      <c r="AK85" s="28"/>
      <c r="AL85" s="28"/>
      <c r="AN85" s="64"/>
      <c r="AP85" s="28"/>
      <c r="AQ85" s="28"/>
      <c r="AR85" s="28"/>
      <c r="AS85" s="64"/>
      <c r="AU85" s="28"/>
      <c r="AV85" s="65"/>
      <c r="AX85" s="64"/>
      <c r="AZ85" s="28"/>
      <c r="BA85" s="65"/>
      <c r="BC85" s="64"/>
      <c r="BE85" s="28"/>
      <c r="BF85" s="65"/>
      <c r="BH85" s="65"/>
      <c r="BI85" s="65"/>
      <c r="BJ85" s="63"/>
    </row>
    <row r="86" spans="4:62" x14ac:dyDescent="0.3">
      <c r="H86" s="336">
        <v>26.47</v>
      </c>
      <c r="L86" s="122"/>
      <c r="M86" s="106"/>
      <c r="N86" s="106"/>
      <c r="O86" s="106"/>
      <c r="P86" s="106"/>
      <c r="Q86" s="106"/>
      <c r="R86" s="106"/>
      <c r="V86" s="264"/>
      <c r="X86" s="123"/>
      <c r="Y86" s="106"/>
      <c r="AA86" s="28"/>
      <c r="AB86" s="28"/>
      <c r="AF86" s="28"/>
      <c r="AG86" s="28"/>
      <c r="AK86" s="28"/>
      <c r="AL86" s="28"/>
      <c r="AP86" s="28"/>
      <c r="AQ86" s="28"/>
      <c r="AR86" s="28"/>
      <c r="AZ86" s="28"/>
      <c r="BE86" s="28"/>
    </row>
    <row r="87" spans="4:62" x14ac:dyDescent="0.3">
      <c r="D87" s="71">
        <f>SUM(F87:F89)</f>
        <v>34357.75</v>
      </c>
      <c r="F87" s="315">
        <v>2272.9</v>
      </c>
      <c r="H87" s="336"/>
      <c r="L87" s="122"/>
      <c r="M87" s="122"/>
      <c r="N87" s="268"/>
      <c r="O87" s="106"/>
      <c r="P87" s="106"/>
      <c r="Q87" s="106"/>
      <c r="R87" s="106"/>
      <c r="T87" s="106"/>
      <c r="V87" s="264"/>
      <c r="AU87" s="28"/>
      <c r="AV87" s="28"/>
      <c r="BA87" s="28"/>
      <c r="BF87" s="28"/>
    </row>
    <row r="88" spans="4:62" x14ac:dyDescent="0.3">
      <c r="F88" s="315">
        <v>703.85</v>
      </c>
      <c r="H88" s="336"/>
      <c r="J88" s="335">
        <v>860</v>
      </c>
      <c r="L88" s="122">
        <f>J88-F88</f>
        <v>156.14999999999998</v>
      </c>
      <c r="M88" s="123"/>
      <c r="N88" s="123"/>
      <c r="O88" s="123"/>
      <c r="P88" s="123"/>
      <c r="Q88" s="123"/>
      <c r="R88" s="261"/>
      <c r="T88" s="64"/>
      <c r="V88" s="28"/>
      <c r="W88" s="28"/>
      <c r="Y88" s="64"/>
      <c r="AA88" s="28"/>
      <c r="AB88" s="28"/>
      <c r="AD88" s="64"/>
      <c r="AF88" s="28"/>
      <c r="AG88" s="28"/>
      <c r="AI88" s="64"/>
      <c r="AK88" s="28"/>
      <c r="AL88" s="28"/>
      <c r="AN88" s="64"/>
      <c r="AP88" s="28"/>
      <c r="AQ88" s="28"/>
      <c r="AR88" s="28"/>
      <c r="AS88" s="64"/>
      <c r="AU88" s="28"/>
      <c r="AV88" s="65"/>
      <c r="AX88" s="64"/>
      <c r="AZ88" s="28"/>
      <c r="BA88" s="65"/>
      <c r="BC88" s="64"/>
      <c r="BE88" s="28"/>
      <c r="BF88" s="65"/>
      <c r="BH88" s="65"/>
      <c r="BI88" s="65"/>
      <c r="BJ88" s="63"/>
    </row>
    <row r="89" spans="4:62" x14ac:dyDescent="0.3">
      <c r="F89" s="315">
        <v>31381</v>
      </c>
      <c r="H89" s="336"/>
      <c r="L89" s="122"/>
      <c r="M89" s="106"/>
      <c r="N89" s="106"/>
      <c r="O89" s="106"/>
      <c r="P89" s="106"/>
      <c r="Q89" s="106"/>
      <c r="R89" s="106"/>
      <c r="T89" s="106"/>
      <c r="V89" s="28"/>
      <c r="W89" s="28"/>
      <c r="AA89" s="28"/>
      <c r="AB89" s="28"/>
      <c r="AF89" s="28"/>
      <c r="AG89" s="28"/>
      <c r="AK89" s="28"/>
      <c r="AL89" s="28"/>
      <c r="AP89" s="28"/>
      <c r="AQ89" s="28"/>
      <c r="AR89" s="28"/>
      <c r="AZ89" s="28"/>
      <c r="BE89" s="28"/>
    </row>
    <row r="90" spans="4:62" x14ac:dyDescent="0.3">
      <c r="H90" s="336"/>
      <c r="L90" s="122"/>
      <c r="M90" s="106"/>
      <c r="N90" s="106"/>
      <c r="O90" s="106"/>
      <c r="P90" s="106"/>
      <c r="Q90" s="106"/>
      <c r="R90" s="106"/>
      <c r="T90" s="106"/>
      <c r="V90" s="28"/>
      <c r="W90" s="28"/>
      <c r="AA90" s="28"/>
      <c r="AB90" s="28"/>
      <c r="AF90" s="28"/>
      <c r="AG90" s="28"/>
      <c r="AK90" s="28"/>
      <c r="AL90" s="28"/>
      <c r="AP90" s="28"/>
      <c r="AQ90" s="28"/>
      <c r="AR90" s="28"/>
      <c r="AZ90" s="28"/>
      <c r="BE90" s="28"/>
    </row>
    <row r="91" spans="4:62" x14ac:dyDescent="0.3">
      <c r="D91" s="71">
        <f>SUM(F91:F93)</f>
        <v>30430.400000000001</v>
      </c>
      <c r="F91" s="315">
        <v>700.7</v>
      </c>
      <c r="H91" s="336"/>
      <c r="L91" s="122"/>
      <c r="M91" s="106"/>
      <c r="N91" s="106"/>
      <c r="O91" s="106"/>
      <c r="P91" s="106"/>
      <c r="Q91" s="106"/>
      <c r="R91" s="106"/>
    </row>
    <row r="92" spans="4:62" x14ac:dyDescent="0.3">
      <c r="F92" s="315">
        <v>2156.6999999999998</v>
      </c>
      <c r="H92" s="336"/>
      <c r="L92" s="122"/>
      <c r="M92" s="123"/>
      <c r="N92" s="123"/>
      <c r="O92" s="123"/>
      <c r="P92" s="123"/>
      <c r="Q92" s="123"/>
      <c r="R92" s="261"/>
      <c r="T92" s="64"/>
      <c r="U92" s="410"/>
      <c r="V92" s="410"/>
      <c r="W92" s="410"/>
      <c r="Y92" s="64"/>
      <c r="AA92" s="28"/>
      <c r="AB92" s="28"/>
      <c r="AD92" s="64"/>
      <c r="AF92" s="28"/>
      <c r="AG92" s="28"/>
      <c r="AI92" s="64"/>
      <c r="AK92" s="28"/>
      <c r="AL92" s="28"/>
      <c r="AN92" s="64"/>
      <c r="AP92" s="28"/>
      <c r="AQ92" s="28"/>
      <c r="AR92" s="28"/>
      <c r="AS92" s="64"/>
      <c r="AU92" s="28"/>
      <c r="AV92" s="65"/>
      <c r="AX92" s="64"/>
      <c r="AZ92" s="28"/>
      <c r="BA92" s="65"/>
      <c r="BC92" s="64"/>
      <c r="BE92" s="28"/>
      <c r="BF92" s="65"/>
      <c r="BH92" s="65"/>
      <c r="BI92" s="65"/>
      <c r="BJ92" s="63"/>
    </row>
    <row r="93" spans="4:62" x14ac:dyDescent="0.3">
      <c r="F93" s="315">
        <v>27573</v>
      </c>
      <c r="H93" s="336"/>
      <c r="L93" s="122"/>
      <c r="M93" s="106"/>
      <c r="N93" s="106"/>
      <c r="O93" s="106"/>
      <c r="P93" s="106"/>
      <c r="Q93" s="106"/>
      <c r="R93" s="106"/>
      <c r="U93" s="127"/>
      <c r="V93" s="125"/>
      <c r="W93" s="112"/>
      <c r="AA93" s="28"/>
      <c r="AB93" s="28"/>
      <c r="AF93" s="28"/>
      <c r="AG93" s="28"/>
      <c r="AK93" s="28"/>
      <c r="AL93" s="28"/>
      <c r="AP93" s="28"/>
      <c r="AQ93" s="28"/>
      <c r="AR93" s="28"/>
      <c r="AU93" s="66"/>
      <c r="AV93" s="66"/>
      <c r="AZ93" s="28"/>
      <c r="BA93" s="66"/>
      <c r="BE93" s="28"/>
      <c r="BF93" s="66"/>
    </row>
    <row r="94" spans="4:62" x14ac:dyDescent="0.3">
      <c r="H94" s="336"/>
      <c r="L94" s="122"/>
      <c r="M94" s="106"/>
      <c r="N94" s="106"/>
      <c r="O94" s="106"/>
      <c r="P94" s="106"/>
      <c r="Q94" s="106"/>
      <c r="R94" s="106"/>
      <c r="U94" s="127"/>
      <c r="V94" s="125"/>
      <c r="W94" s="112"/>
      <c r="AA94" s="28"/>
      <c r="AB94" s="28"/>
      <c r="AF94" s="28"/>
      <c r="AG94" s="28"/>
      <c r="AK94" s="28"/>
      <c r="AL94" s="28"/>
      <c r="AP94" s="28"/>
      <c r="AQ94" s="28"/>
      <c r="AR94" s="28"/>
      <c r="AU94" s="66"/>
      <c r="AV94" s="66"/>
      <c r="AZ94" s="28"/>
      <c r="BA94" s="66"/>
      <c r="BE94" s="28"/>
      <c r="BF94" s="66"/>
    </row>
    <row r="95" spans="4:62" x14ac:dyDescent="0.3">
      <c r="D95" s="71">
        <f>SUM(F95:F97)</f>
        <v>32289.600000000002</v>
      </c>
      <c r="F95" s="315">
        <v>1878.45</v>
      </c>
      <c r="H95" s="336"/>
      <c r="L95" s="122"/>
      <c r="M95" s="106"/>
      <c r="N95" s="106"/>
      <c r="O95" s="106"/>
      <c r="P95" s="106"/>
      <c r="Q95" s="106"/>
      <c r="R95" s="106"/>
      <c r="U95" s="127"/>
      <c r="V95" s="112"/>
      <c r="W95" s="106"/>
    </row>
    <row r="96" spans="4:62" x14ac:dyDescent="0.3">
      <c r="F96" s="315">
        <v>29533</v>
      </c>
      <c r="H96" s="336"/>
      <c r="L96" s="122"/>
      <c r="M96" s="123"/>
      <c r="N96" s="123"/>
      <c r="O96" s="123"/>
      <c r="P96" s="123"/>
      <c r="Q96" s="123"/>
      <c r="R96" s="261"/>
      <c r="T96" s="106"/>
      <c r="V96" s="29"/>
      <c r="W96" s="126"/>
      <c r="Y96" s="64"/>
      <c r="AA96" s="28"/>
      <c r="AB96" s="28"/>
      <c r="AD96" s="64"/>
      <c r="AF96" s="28"/>
      <c r="AG96" s="28"/>
      <c r="AI96" s="64"/>
      <c r="AK96" s="28"/>
      <c r="AL96" s="28"/>
      <c r="AN96" s="64"/>
      <c r="AP96" s="28"/>
      <c r="AQ96" s="28"/>
      <c r="AR96" s="28"/>
      <c r="AS96" s="64"/>
      <c r="AU96" s="28"/>
      <c r="AV96" s="65"/>
      <c r="AX96" s="64"/>
      <c r="AZ96" s="28"/>
      <c r="BA96" s="65"/>
      <c r="BC96" s="64"/>
      <c r="BE96" s="28"/>
      <c r="BF96" s="65"/>
      <c r="BH96" s="65"/>
      <c r="BI96" s="65"/>
      <c r="BJ96" s="63"/>
    </row>
    <row r="97" spans="4:62" x14ac:dyDescent="0.3">
      <c r="F97" s="315">
        <v>878.15</v>
      </c>
      <c r="H97" s="336"/>
      <c r="L97" s="122"/>
      <c r="M97" s="106"/>
      <c r="N97" s="106"/>
      <c r="O97" s="106"/>
      <c r="P97" s="106"/>
      <c r="Q97" s="106"/>
      <c r="R97" s="106"/>
      <c r="T97" s="106"/>
      <c r="V97" s="29"/>
      <c r="W97" s="126"/>
      <c r="AA97" s="28"/>
      <c r="AB97" s="28"/>
      <c r="AF97" s="28"/>
      <c r="AG97" s="28"/>
      <c r="AK97" s="28"/>
      <c r="AL97" s="28"/>
      <c r="AP97" s="28"/>
      <c r="AQ97" s="28"/>
      <c r="AR97" s="28"/>
      <c r="AU97" s="28"/>
      <c r="AV97" s="28"/>
      <c r="AZ97" s="28"/>
      <c r="BA97" s="28"/>
      <c r="BE97" s="28"/>
      <c r="BF97" s="28"/>
    </row>
    <row r="98" spans="4:62" x14ac:dyDescent="0.3">
      <c r="H98" s="336"/>
      <c r="L98" s="122"/>
      <c r="M98" s="106"/>
      <c r="N98" s="106"/>
      <c r="O98" s="106"/>
      <c r="P98" s="106"/>
      <c r="Q98" s="106"/>
      <c r="R98" s="106"/>
      <c r="T98" s="106"/>
      <c r="V98" s="29"/>
      <c r="W98" s="126"/>
      <c r="AA98" s="28"/>
      <c r="AB98" s="28"/>
      <c r="AF98" s="28"/>
      <c r="AG98" s="28"/>
      <c r="AK98" s="28"/>
      <c r="AL98" s="28"/>
      <c r="AP98" s="28"/>
      <c r="AQ98" s="28"/>
      <c r="AR98" s="28"/>
      <c r="AU98" s="28"/>
      <c r="AV98" s="28"/>
      <c r="AZ98" s="28"/>
      <c r="BA98" s="28"/>
      <c r="BE98" s="28"/>
      <c r="BF98" s="28"/>
    </row>
    <row r="99" spans="4:62" x14ac:dyDescent="0.3">
      <c r="D99" s="71">
        <f>SUM(F99:F101)</f>
        <v>23411.85</v>
      </c>
      <c r="F99" s="315">
        <v>617.04999999999995</v>
      </c>
      <c r="H99" s="336"/>
      <c r="L99" s="122"/>
      <c r="M99" s="106"/>
      <c r="N99" s="106"/>
      <c r="O99" s="106"/>
      <c r="P99" s="106"/>
      <c r="Q99" s="106"/>
      <c r="R99" s="106"/>
      <c r="AU99" s="66"/>
      <c r="AV99" s="66"/>
      <c r="BA99" s="66"/>
      <c r="BF99" s="66"/>
    </row>
    <row r="100" spans="4:62" x14ac:dyDescent="0.3">
      <c r="F100" s="315">
        <v>21434</v>
      </c>
      <c r="H100" s="336"/>
      <c r="L100" s="122"/>
      <c r="M100" s="123"/>
      <c r="N100" s="123"/>
      <c r="O100" s="123"/>
      <c r="P100" s="123"/>
      <c r="Q100" s="123"/>
      <c r="R100" s="261"/>
      <c r="T100" s="64"/>
      <c r="V100" s="28"/>
      <c r="W100" s="28"/>
      <c r="Y100" s="64"/>
      <c r="AA100" s="28"/>
      <c r="AB100" s="28"/>
      <c r="AD100" s="64"/>
      <c r="AF100" s="28"/>
      <c r="AG100" s="28"/>
      <c r="AI100" s="64"/>
      <c r="AK100" s="28"/>
      <c r="AL100" s="28"/>
      <c r="AN100" s="64"/>
      <c r="AP100" s="28"/>
      <c r="AQ100" s="28"/>
      <c r="AR100" s="28"/>
      <c r="AS100" s="64"/>
      <c r="AU100" s="28"/>
      <c r="AV100" s="65"/>
      <c r="AX100" s="64"/>
      <c r="AZ100" s="28"/>
      <c r="BA100" s="65"/>
      <c r="BC100" s="64"/>
      <c r="BE100" s="28"/>
      <c r="BF100" s="65"/>
      <c r="BH100" s="65"/>
      <c r="BI100" s="65"/>
      <c r="BJ100" s="63"/>
    </row>
    <row r="101" spans="4:62" x14ac:dyDescent="0.3">
      <c r="F101" s="315">
        <v>1360.8</v>
      </c>
      <c r="H101" s="336"/>
      <c r="L101" s="122"/>
      <c r="M101" s="106"/>
      <c r="N101" s="106"/>
      <c r="O101" s="106"/>
      <c r="P101" s="106"/>
      <c r="Q101" s="106"/>
      <c r="R101" s="106"/>
      <c r="V101" s="28"/>
      <c r="W101" s="28"/>
      <c r="AA101" s="28"/>
      <c r="AB101" s="28"/>
      <c r="AF101" s="28"/>
      <c r="AG101" s="28"/>
      <c r="AK101" s="28"/>
      <c r="AL101" s="28"/>
      <c r="AP101" s="28"/>
      <c r="AQ101" s="28"/>
      <c r="AR101" s="28"/>
      <c r="AZ101" s="28"/>
      <c r="BE101" s="28"/>
    </row>
    <row r="102" spans="4:62" x14ac:dyDescent="0.3">
      <c r="H102" s="336"/>
      <c r="L102" s="122"/>
      <c r="M102" s="106"/>
      <c r="N102" s="106"/>
      <c r="O102" s="106"/>
      <c r="P102" s="106"/>
      <c r="Q102" s="106"/>
      <c r="R102" s="106"/>
      <c r="V102" s="28"/>
      <c r="W102" s="28"/>
      <c r="AA102" s="28"/>
      <c r="AB102" s="28"/>
      <c r="AF102" s="28"/>
      <c r="AG102" s="28"/>
      <c r="AK102" s="28"/>
      <c r="AL102" s="28"/>
      <c r="AP102" s="28"/>
      <c r="AQ102" s="28"/>
      <c r="AR102" s="28"/>
      <c r="AZ102" s="28"/>
      <c r="BE102" s="28"/>
    </row>
    <row r="103" spans="4:62" x14ac:dyDescent="0.3">
      <c r="D103" s="71">
        <f>SUM(F103:F105)</f>
        <v>31162.25</v>
      </c>
      <c r="F103" s="315">
        <v>28371</v>
      </c>
      <c r="H103" s="336"/>
      <c r="L103" s="122"/>
      <c r="M103" s="106"/>
      <c r="N103" s="106"/>
      <c r="O103" s="106"/>
      <c r="P103" s="106"/>
      <c r="Q103" s="106"/>
      <c r="R103" s="106"/>
      <c r="AU103" s="28"/>
      <c r="AV103" s="28"/>
      <c r="BA103" s="28"/>
      <c r="BF103" s="28"/>
    </row>
    <row r="104" spans="4:62" x14ac:dyDescent="0.3">
      <c r="F104" s="315">
        <v>1996.4</v>
      </c>
      <c r="H104" s="336"/>
      <c r="L104" s="122"/>
      <c r="M104" s="123"/>
      <c r="N104" s="123"/>
      <c r="O104" s="123"/>
      <c r="P104" s="123"/>
      <c r="Q104" s="123"/>
      <c r="R104" s="261"/>
      <c r="T104" s="64"/>
      <c r="V104" s="28"/>
      <c r="W104" s="28"/>
      <c r="Y104" s="64"/>
      <c r="AA104" s="28"/>
      <c r="AB104" s="28"/>
      <c r="AD104" s="64"/>
      <c r="AF104" s="28"/>
      <c r="AG104" s="28"/>
      <c r="AI104" s="64"/>
      <c r="AK104" s="28"/>
      <c r="AL104" s="28"/>
      <c r="AN104" s="64"/>
      <c r="AP104" s="28"/>
      <c r="AQ104" s="28"/>
      <c r="AR104" s="28"/>
      <c r="AS104" s="64"/>
      <c r="AU104" s="28"/>
      <c r="AV104" s="65"/>
      <c r="AX104" s="64"/>
      <c r="AZ104" s="28"/>
      <c r="BA104" s="65"/>
      <c r="BC104" s="64"/>
      <c r="BE104" s="28"/>
      <c r="BF104" s="65"/>
      <c r="BH104" s="65"/>
      <c r="BI104" s="65"/>
      <c r="BJ104" s="63"/>
    </row>
    <row r="105" spans="4:62" x14ac:dyDescent="0.3">
      <c r="F105" s="315">
        <v>794.85</v>
      </c>
      <c r="H105" s="336"/>
      <c r="L105" s="122"/>
      <c r="M105" s="106"/>
      <c r="N105" s="106"/>
      <c r="O105" s="106"/>
      <c r="P105" s="106"/>
      <c r="Q105" s="106"/>
      <c r="R105" s="106"/>
      <c r="V105" s="28"/>
      <c r="W105" s="28"/>
      <c r="AA105" s="28"/>
      <c r="AB105" s="28"/>
      <c r="AF105" s="28"/>
      <c r="AG105" s="28"/>
      <c r="AK105" s="28"/>
      <c r="AL105" s="28"/>
      <c r="AP105" s="28"/>
      <c r="AQ105" s="28"/>
      <c r="AR105" s="28"/>
      <c r="AZ105" s="28"/>
      <c r="BE105" s="28"/>
    </row>
    <row r="106" spans="4:62" x14ac:dyDescent="0.3">
      <c r="H106" s="336"/>
      <c r="L106" s="122"/>
      <c r="M106" s="106"/>
      <c r="N106" s="106"/>
      <c r="O106" s="106"/>
      <c r="P106" s="106"/>
      <c r="Q106" s="106"/>
      <c r="R106" s="106"/>
      <c r="V106" s="28"/>
      <c r="W106" s="28"/>
      <c r="AA106" s="28"/>
      <c r="AB106" s="28"/>
      <c r="AF106" s="28"/>
      <c r="AG106" s="28"/>
      <c r="AK106" s="28"/>
      <c r="AL106" s="28"/>
      <c r="AP106" s="28"/>
      <c r="AQ106" s="28"/>
      <c r="AR106" s="28"/>
      <c r="AZ106" s="28"/>
      <c r="BE106" s="28"/>
    </row>
    <row r="107" spans="4:62" x14ac:dyDescent="0.3">
      <c r="D107" s="71">
        <f>SUM(F107:F109)</f>
        <v>23991.1</v>
      </c>
      <c r="F107" s="315">
        <v>1382.85</v>
      </c>
      <c r="H107" s="336"/>
      <c r="L107" s="122"/>
      <c r="M107" s="106"/>
      <c r="N107" s="106"/>
      <c r="O107" s="106"/>
      <c r="P107" s="106"/>
      <c r="Q107" s="106"/>
      <c r="R107" s="106"/>
    </row>
    <row r="108" spans="4:62" x14ac:dyDescent="0.3">
      <c r="F108" s="315">
        <v>694.75</v>
      </c>
      <c r="H108" s="336"/>
      <c r="L108" s="122"/>
      <c r="M108" s="123"/>
      <c r="N108" s="123"/>
      <c r="O108" s="123"/>
      <c r="P108" s="123"/>
      <c r="Q108" s="123"/>
      <c r="R108" s="261"/>
      <c r="T108" s="64"/>
      <c r="V108" s="28"/>
      <c r="W108" s="28"/>
      <c r="Y108" s="64"/>
      <c r="AA108" s="28"/>
      <c r="AB108" s="28"/>
      <c r="AD108" s="64"/>
      <c r="AF108" s="28"/>
      <c r="AG108" s="28"/>
      <c r="AI108" s="64"/>
      <c r="AK108" s="28"/>
      <c r="AL108" s="28"/>
      <c r="AN108" s="64"/>
      <c r="AP108" s="28"/>
      <c r="AQ108" s="28"/>
      <c r="AR108" s="28"/>
      <c r="AS108" s="67"/>
      <c r="AT108" s="58"/>
      <c r="AU108" s="59"/>
      <c r="AV108" s="65"/>
      <c r="AX108" s="67"/>
      <c r="AY108" s="58"/>
      <c r="AZ108" s="59"/>
      <c r="BA108" s="65"/>
      <c r="BB108" s="68"/>
      <c r="BC108" s="67"/>
      <c r="BD108" s="58"/>
      <c r="BE108" s="59"/>
      <c r="BF108" s="65"/>
      <c r="BH108" s="65"/>
      <c r="BI108" s="65"/>
      <c r="BJ108" s="63"/>
    </row>
    <row r="109" spans="4:62" x14ac:dyDescent="0.3">
      <c r="D109" s="333"/>
      <c r="F109" s="315">
        <v>21913.5</v>
      </c>
      <c r="H109" s="336"/>
      <c r="L109" s="122"/>
      <c r="M109" s="106"/>
      <c r="N109" s="106"/>
      <c r="O109" s="106"/>
      <c r="P109" s="106"/>
      <c r="Q109" s="106"/>
      <c r="R109" s="106"/>
      <c r="V109" s="28"/>
      <c r="W109" s="28"/>
      <c r="AA109" s="28"/>
      <c r="AB109" s="28"/>
      <c r="AF109" s="28"/>
      <c r="AG109" s="28"/>
      <c r="AK109" s="28"/>
      <c r="AL109" s="28"/>
      <c r="AP109" s="28"/>
      <c r="AQ109" s="28"/>
      <c r="AR109" s="28"/>
      <c r="AU109" s="66"/>
      <c r="AV109" s="66"/>
      <c r="AX109" s="68"/>
      <c r="AY109" s="58"/>
      <c r="AZ109" s="59"/>
      <c r="BA109" s="66"/>
      <c r="BB109" s="68"/>
      <c r="BC109" s="68"/>
      <c r="BD109" s="58"/>
      <c r="BE109" s="59"/>
      <c r="BF109" s="66"/>
    </row>
    <row r="110" spans="4:62" x14ac:dyDescent="0.3">
      <c r="H110" s="336"/>
      <c r="L110" s="122"/>
      <c r="M110" s="106"/>
      <c r="N110" s="106"/>
      <c r="O110" s="106"/>
      <c r="P110" s="106"/>
      <c r="Q110" s="106"/>
      <c r="R110" s="106"/>
      <c r="AX110" s="68"/>
      <c r="AY110" s="58"/>
      <c r="AZ110" s="68"/>
      <c r="BB110" s="68"/>
      <c r="BC110" s="68"/>
      <c r="BD110" s="58"/>
      <c r="BE110" s="68"/>
    </row>
    <row r="111" spans="4:62" x14ac:dyDescent="0.3">
      <c r="F111" s="315">
        <f>SUM(F2:F110)</f>
        <v>362367.95</v>
      </c>
      <c r="G111" s="61">
        <f t="shared" ref="G111:I111" si="5">SUM(G2:G110)</f>
        <v>0</v>
      </c>
      <c r="H111" s="336">
        <f>SUM(H2:H110)</f>
        <v>2614.7899999999995</v>
      </c>
      <c r="I111" s="61">
        <f t="shared" si="5"/>
        <v>0</v>
      </c>
      <c r="J111" s="71">
        <f>F111+H111</f>
        <v>364982.74</v>
      </c>
      <c r="L111" s="122"/>
      <c r="M111" s="123"/>
      <c r="N111" s="123"/>
      <c r="O111" s="123"/>
      <c r="P111" s="123"/>
      <c r="Q111" s="123"/>
      <c r="R111" s="261"/>
      <c r="T111" s="64"/>
      <c r="V111" s="28"/>
      <c r="W111" s="28"/>
      <c r="Y111" s="64"/>
      <c r="AA111" s="28"/>
      <c r="AB111" s="28"/>
      <c r="AD111" s="64"/>
      <c r="AF111" s="28"/>
      <c r="AG111" s="28"/>
      <c r="AI111" s="64"/>
      <c r="AK111" s="28"/>
      <c r="AL111" s="28"/>
      <c r="AN111" s="64"/>
      <c r="AP111" s="28"/>
      <c r="AQ111" s="28"/>
      <c r="AR111" s="28"/>
      <c r="AS111" s="67"/>
      <c r="AT111" s="58"/>
      <c r="AU111" s="59"/>
      <c r="AV111" s="65"/>
      <c r="AX111" s="67"/>
      <c r="AY111" s="58"/>
      <c r="AZ111" s="59"/>
      <c r="BA111" s="65"/>
      <c r="BB111" s="68"/>
      <c r="BC111" s="67"/>
      <c r="BD111" s="58"/>
      <c r="BE111" s="59"/>
      <c r="BF111" s="65"/>
      <c r="BH111" s="65"/>
      <c r="BI111" s="65"/>
      <c r="BJ111" s="63"/>
    </row>
    <row r="112" spans="4:62" x14ac:dyDescent="0.3">
      <c r="L112" s="122"/>
      <c r="M112" s="106"/>
      <c r="N112" s="106"/>
      <c r="O112" s="106"/>
      <c r="P112" s="106"/>
      <c r="Q112" s="106"/>
      <c r="R112" s="106"/>
      <c r="V112" s="28"/>
      <c r="W112" s="28"/>
      <c r="AA112" s="28"/>
      <c r="AB112" s="28"/>
      <c r="AF112" s="28"/>
      <c r="AG112" s="28"/>
      <c r="AK112" s="28"/>
      <c r="AL112" s="28"/>
      <c r="AP112" s="28"/>
      <c r="AQ112" s="28"/>
      <c r="AR112" s="28"/>
      <c r="AS112" s="68"/>
      <c r="AT112" s="58"/>
      <c r="AU112" s="59"/>
      <c r="AV112" s="59"/>
      <c r="AX112" s="68"/>
      <c r="AY112" s="58"/>
      <c r="AZ112" s="59"/>
      <c r="BA112" s="59"/>
      <c r="BB112" s="68"/>
      <c r="BC112" s="68"/>
      <c r="BD112" s="58"/>
      <c r="BE112" s="59"/>
      <c r="BF112" s="59"/>
    </row>
    <row r="113" spans="6:63" x14ac:dyDescent="0.3">
      <c r="F113" s="315">
        <f>-F8</f>
        <v>-1934.45</v>
      </c>
      <c r="L113" s="122"/>
      <c r="M113" s="106"/>
      <c r="N113" s="106"/>
      <c r="O113" s="106"/>
      <c r="P113" s="106"/>
      <c r="Q113" s="106"/>
      <c r="R113" s="106"/>
      <c r="AU113" s="66"/>
      <c r="AV113" s="66"/>
      <c r="AX113" s="68"/>
      <c r="AY113" s="58"/>
      <c r="AZ113" s="68"/>
      <c r="BA113" s="66"/>
      <c r="BB113" s="68"/>
      <c r="BC113" s="68"/>
      <c r="BD113" s="58"/>
      <c r="BE113" s="68"/>
      <c r="BF113" s="66"/>
    </row>
    <row r="114" spans="6:63" x14ac:dyDescent="0.3">
      <c r="F114" s="315">
        <f>-F9</f>
        <v>-21063</v>
      </c>
      <c r="M114" s="28"/>
      <c r="N114" s="28"/>
      <c r="O114" s="28"/>
      <c r="P114" s="28"/>
      <c r="Q114" s="28"/>
      <c r="R114" s="63"/>
      <c r="T114" s="64"/>
      <c r="V114" s="28"/>
      <c r="W114" s="28"/>
      <c r="Y114" s="64"/>
      <c r="AA114" s="28"/>
      <c r="AB114" s="28"/>
      <c r="AD114" s="64"/>
      <c r="AF114" s="28"/>
      <c r="AG114" s="28"/>
      <c r="AI114" s="64"/>
      <c r="AK114" s="28"/>
      <c r="AL114" s="28"/>
      <c r="AN114" s="64"/>
      <c r="AP114" s="28"/>
      <c r="AQ114" s="28"/>
      <c r="AR114" s="28"/>
      <c r="AS114" s="67"/>
      <c r="AT114" s="58"/>
      <c r="AU114" s="59"/>
      <c r="AV114" s="65"/>
      <c r="AX114" s="67"/>
      <c r="AY114" s="58"/>
      <c r="AZ114" s="59"/>
      <c r="BA114" s="65"/>
      <c r="BB114" s="68"/>
      <c r="BC114" s="67"/>
      <c r="BD114" s="58"/>
      <c r="BE114" s="59"/>
      <c r="BF114" s="65"/>
      <c r="BH114" s="65"/>
      <c r="BI114" s="65"/>
      <c r="BJ114" s="63"/>
    </row>
    <row r="115" spans="6:63" x14ac:dyDescent="0.3">
      <c r="F115" s="315">
        <f>-F10</f>
        <v>-600.6</v>
      </c>
      <c r="H115" s="71">
        <f>SUM(F113:F115)</f>
        <v>-23598.05</v>
      </c>
      <c r="V115" s="28"/>
      <c r="W115" s="28"/>
      <c r="AA115" s="28"/>
      <c r="AB115" s="28"/>
      <c r="AF115" s="28"/>
      <c r="AG115" s="28"/>
      <c r="AK115" s="28"/>
      <c r="AL115" s="28"/>
      <c r="AP115" s="28"/>
      <c r="AQ115" s="28"/>
      <c r="AR115" s="28"/>
      <c r="AX115" s="68"/>
      <c r="AY115" s="58"/>
      <c r="AZ115" s="59"/>
      <c r="BB115" s="68"/>
      <c r="BC115" s="68"/>
      <c r="BD115" s="58"/>
      <c r="BE115" s="59"/>
    </row>
    <row r="116" spans="6:63" x14ac:dyDescent="0.3">
      <c r="AS116" s="68"/>
      <c r="AT116" s="58"/>
      <c r="AU116" s="59"/>
      <c r="AV116" s="59"/>
      <c r="AX116" s="68"/>
      <c r="AY116" s="58"/>
      <c r="AZ116" s="68"/>
      <c r="BA116" s="59"/>
      <c r="BB116" s="68"/>
      <c r="BC116" s="68"/>
      <c r="BD116" s="58"/>
      <c r="BE116" s="68"/>
      <c r="BF116" s="59"/>
    </row>
    <row r="117" spans="6:63" x14ac:dyDescent="0.3">
      <c r="F117" s="315">
        <f>SUM(F111:F115)</f>
        <v>338769.9</v>
      </c>
      <c r="M117" s="28"/>
      <c r="N117" s="28"/>
      <c r="O117" s="28"/>
      <c r="P117" s="28"/>
      <c r="Q117" s="28"/>
      <c r="R117" s="63"/>
      <c r="T117" s="64"/>
      <c r="V117" s="28"/>
      <c r="W117" s="28"/>
      <c r="Y117" s="64"/>
      <c r="AA117" s="28"/>
      <c r="AB117" s="28"/>
      <c r="AD117" s="64"/>
      <c r="AF117" s="28"/>
      <c r="AG117" s="28"/>
      <c r="AI117" s="64"/>
      <c r="AK117" s="28"/>
      <c r="AL117" s="28"/>
      <c r="AN117" s="64"/>
      <c r="AP117" s="28"/>
      <c r="AQ117" s="28"/>
      <c r="AR117" s="28"/>
      <c r="AS117" s="67"/>
      <c r="AT117" s="58"/>
      <c r="AU117" s="59"/>
      <c r="AV117" s="65"/>
      <c r="AX117" s="67"/>
      <c r="AY117" s="58"/>
      <c r="AZ117" s="59"/>
      <c r="BA117" s="65"/>
      <c r="BB117" s="68"/>
      <c r="BC117" s="67"/>
      <c r="BD117" s="58"/>
      <c r="BE117" s="59"/>
      <c r="BF117" s="65"/>
      <c r="BH117" s="65"/>
      <c r="BI117" s="65"/>
      <c r="BJ117" s="63"/>
    </row>
    <row r="118" spans="6:63" x14ac:dyDescent="0.3">
      <c r="F118" s="315">
        <f>-AA18</f>
        <v>-339819.89999999997</v>
      </c>
      <c r="V118" s="28"/>
      <c r="W118" s="28"/>
      <c r="AA118" s="28"/>
      <c r="AB118" s="28"/>
      <c r="AF118" s="28"/>
      <c r="AG118" s="28"/>
      <c r="AK118" s="28"/>
      <c r="AL118" s="28"/>
      <c r="AP118" s="28"/>
      <c r="AQ118" s="28"/>
      <c r="AR118" s="28"/>
      <c r="AS118" s="68"/>
      <c r="AT118" s="58"/>
      <c r="AU118" s="68"/>
      <c r="AV118" s="68"/>
      <c r="AX118" s="68"/>
      <c r="AY118" s="58"/>
      <c r="AZ118" s="59"/>
      <c r="BA118" s="68"/>
      <c r="BB118" s="68"/>
      <c r="BC118" s="68"/>
      <c r="BD118" s="58"/>
      <c r="BE118" s="59"/>
      <c r="BF118" s="68"/>
    </row>
    <row r="119" spans="6:63" x14ac:dyDescent="0.3">
      <c r="F119" s="315">
        <f>+F117+F118</f>
        <v>-1049.9999999999418</v>
      </c>
      <c r="L119" s="29">
        <f>SUM(L80:L118)</f>
        <v>1050.1500000000001</v>
      </c>
      <c r="AX119" s="68"/>
      <c r="AY119" s="58"/>
      <c r="AZ119" s="68"/>
      <c r="BB119" s="68"/>
      <c r="BC119" s="68"/>
      <c r="BD119" s="58"/>
      <c r="BE119" s="68"/>
    </row>
    <row r="120" spans="6:63" x14ac:dyDescent="0.3">
      <c r="M120" s="28"/>
      <c r="N120" s="28"/>
      <c r="O120" s="28"/>
      <c r="P120" s="28"/>
      <c r="Q120" s="28"/>
      <c r="R120" s="63"/>
      <c r="T120" s="64"/>
      <c r="V120" s="28"/>
      <c r="W120" s="28"/>
      <c r="Y120" s="64"/>
      <c r="AA120" s="28"/>
      <c r="AB120" s="28"/>
      <c r="AD120" s="64"/>
      <c r="AF120" s="28"/>
      <c r="AG120" s="28"/>
      <c r="AI120" s="64"/>
      <c r="AK120" s="28"/>
      <c r="AL120" s="28"/>
      <c r="AN120" s="64"/>
      <c r="AP120" s="28"/>
      <c r="AQ120" s="28"/>
      <c r="AR120" s="28"/>
      <c r="AS120" s="67"/>
      <c r="AT120" s="58"/>
      <c r="AU120" s="59"/>
      <c r="AV120" s="65"/>
      <c r="AX120" s="67"/>
      <c r="AY120" s="58"/>
      <c r="AZ120" s="59"/>
      <c r="BA120" s="65"/>
      <c r="BB120" s="68"/>
      <c r="BC120" s="67"/>
      <c r="BD120" s="58"/>
      <c r="BE120" s="59"/>
      <c r="BF120" s="65"/>
      <c r="BH120" s="65"/>
      <c r="BI120" s="65"/>
      <c r="BJ120" s="63"/>
      <c r="BK120" s="65"/>
    </row>
    <row r="121" spans="6:63" x14ac:dyDescent="0.3">
      <c r="V121" s="28"/>
      <c r="W121" s="28"/>
      <c r="AB121" s="28"/>
      <c r="AF121" s="28"/>
      <c r="AG121" s="28"/>
      <c r="AK121" s="28"/>
      <c r="AL121" s="28"/>
      <c r="AP121" s="28"/>
      <c r="AQ121" s="28"/>
      <c r="AR121" s="28"/>
      <c r="AS121" s="68"/>
      <c r="AT121" s="58"/>
      <c r="AU121" s="69"/>
      <c r="AV121" s="69"/>
      <c r="AX121" s="68"/>
      <c r="AY121" s="58"/>
      <c r="AZ121" s="59"/>
      <c r="BA121" s="69"/>
      <c r="BB121" s="68"/>
      <c r="BC121" s="68"/>
      <c r="BD121" s="58"/>
      <c r="BE121" s="59"/>
      <c r="BF121" s="69"/>
    </row>
    <row r="122" spans="6:63" x14ac:dyDescent="0.3">
      <c r="AS122" s="68"/>
      <c r="AT122" s="58"/>
      <c r="AU122" s="68"/>
      <c r="AV122" s="68"/>
      <c r="AX122" s="68"/>
      <c r="AY122" s="58"/>
      <c r="AZ122" s="68"/>
      <c r="BA122" s="68"/>
      <c r="BB122" s="68"/>
      <c r="BC122" s="68"/>
      <c r="BD122" s="58"/>
      <c r="BE122" s="68"/>
      <c r="BF122" s="68"/>
    </row>
    <row r="123" spans="6:63" x14ac:dyDescent="0.3">
      <c r="M123" s="28"/>
      <c r="N123" s="28"/>
      <c r="O123" s="28"/>
      <c r="P123" s="28"/>
      <c r="Q123" s="28"/>
      <c r="R123" s="63"/>
      <c r="T123" s="64"/>
      <c r="V123" s="28"/>
      <c r="W123" s="28"/>
      <c r="Y123" s="64"/>
      <c r="AA123" s="28"/>
      <c r="AB123" s="28"/>
      <c r="AD123" s="64"/>
      <c r="AF123" s="28"/>
      <c r="AG123" s="28"/>
      <c r="AI123" s="64"/>
      <c r="AK123" s="28"/>
      <c r="AL123" s="28"/>
      <c r="AN123" s="64"/>
      <c r="AP123" s="28"/>
      <c r="AQ123" s="28"/>
      <c r="AR123" s="28"/>
      <c r="AS123" s="67"/>
      <c r="AT123" s="58"/>
      <c r="AU123" s="59"/>
      <c r="AV123" s="65"/>
      <c r="AX123" s="67"/>
      <c r="AY123" s="58"/>
      <c r="AZ123" s="59"/>
      <c r="BA123" s="65"/>
      <c r="BB123" s="68"/>
      <c r="BC123" s="67"/>
      <c r="BD123" s="58"/>
      <c r="BE123" s="59"/>
      <c r="BF123" s="65"/>
      <c r="BH123" s="65"/>
      <c r="BI123" s="65"/>
      <c r="BJ123" s="63"/>
      <c r="BK123" s="65"/>
    </row>
    <row r="124" spans="6:63" x14ac:dyDescent="0.3">
      <c r="BH124" s="65"/>
      <c r="BJ124" s="63"/>
    </row>
    <row r="125" spans="6:63" x14ac:dyDescent="0.3">
      <c r="BH125" s="65"/>
      <c r="BJ125" s="63"/>
    </row>
    <row r="126" spans="6:63" x14ac:dyDescent="0.3">
      <c r="BJ126" s="63"/>
    </row>
    <row r="127" spans="6:63" x14ac:dyDescent="0.3">
      <c r="L127" s="70"/>
      <c r="R127" s="70"/>
      <c r="U127" s="70"/>
      <c r="W127" s="70"/>
      <c r="Z127" s="70"/>
      <c r="AB127" s="70"/>
      <c r="AE127" s="70"/>
      <c r="AG127" s="70"/>
      <c r="AJ127" s="70"/>
      <c r="AL127" s="70"/>
      <c r="AO127" s="70"/>
      <c r="AQ127" s="70"/>
      <c r="AT127" s="70"/>
      <c r="AV127" s="70"/>
      <c r="AY127" s="70"/>
      <c r="BA127" s="70"/>
      <c r="BD127" s="70"/>
      <c r="BF127" s="70"/>
      <c r="BH127" s="71"/>
      <c r="BJ127" s="71"/>
    </row>
    <row r="128" spans="6:63" x14ac:dyDescent="0.3">
      <c r="AB128" s="71"/>
      <c r="AQ128" s="71"/>
      <c r="BF128" s="71"/>
    </row>
    <row r="130" spans="12:58" x14ac:dyDescent="0.3">
      <c r="V130" s="28"/>
      <c r="W130" s="28"/>
      <c r="AA130" s="28"/>
      <c r="AB130" s="28"/>
      <c r="AF130" s="28"/>
      <c r="AG130" s="28"/>
      <c r="AK130" s="28"/>
      <c r="AL130" s="28"/>
      <c r="AP130" s="28"/>
      <c r="AQ130" s="28"/>
      <c r="AR130" s="28"/>
      <c r="AS130" s="68"/>
      <c r="AT130" s="58"/>
      <c r="AU130" s="59"/>
      <c r="AV130" s="59"/>
      <c r="AX130" s="68"/>
      <c r="AY130" s="58"/>
      <c r="AZ130" s="59"/>
      <c r="BA130" s="59"/>
      <c r="BB130" s="68"/>
      <c r="BC130" s="68"/>
      <c r="BD130" s="58"/>
      <c r="BE130" s="59"/>
      <c r="BF130" s="59"/>
    </row>
    <row r="131" spans="12:58" x14ac:dyDescent="0.3">
      <c r="L131" s="60"/>
      <c r="M131" s="255"/>
      <c r="N131" s="255"/>
      <c r="O131" s="255"/>
      <c r="P131" s="255"/>
      <c r="Q131" s="255"/>
      <c r="R131" s="255"/>
      <c r="AK131" s="66"/>
      <c r="AL131" s="66"/>
      <c r="AQ131" s="66"/>
      <c r="AS131" s="68"/>
      <c r="AT131" s="58"/>
      <c r="AU131" s="69"/>
      <c r="AV131" s="69"/>
      <c r="AX131" s="68"/>
      <c r="AY131" s="58"/>
      <c r="AZ131" s="68"/>
      <c r="BA131" s="69"/>
      <c r="BB131" s="68"/>
      <c r="BC131" s="68"/>
      <c r="BD131" s="58"/>
      <c r="BE131" s="68"/>
      <c r="BF131" s="69"/>
    </row>
    <row r="132" spans="12:58" x14ac:dyDescent="0.3">
      <c r="L132" s="60"/>
      <c r="M132" s="60"/>
      <c r="N132" s="60"/>
      <c r="O132" s="255"/>
      <c r="P132" s="255"/>
      <c r="Q132" s="255"/>
      <c r="R132" s="255"/>
      <c r="V132" s="28"/>
      <c r="W132" s="28"/>
      <c r="AA132" s="28"/>
      <c r="AB132" s="28"/>
      <c r="AF132" s="28"/>
      <c r="AG132" s="28"/>
      <c r="AI132" s="64"/>
      <c r="AK132" s="28"/>
      <c r="AL132" s="28"/>
      <c r="AN132" s="64"/>
      <c r="AP132" s="28"/>
      <c r="AQ132" s="28"/>
      <c r="AR132" s="28"/>
      <c r="AX132" s="68"/>
      <c r="AY132" s="58"/>
      <c r="AZ132" s="59"/>
      <c r="BA132" s="59"/>
      <c r="BB132" s="68"/>
      <c r="BC132" s="68"/>
      <c r="BD132" s="58"/>
      <c r="BE132" s="59"/>
      <c r="BF132" s="59"/>
    </row>
    <row r="133" spans="12:58" x14ac:dyDescent="0.3">
      <c r="L133" s="60"/>
      <c r="M133" s="60"/>
      <c r="N133" s="60"/>
      <c r="O133" s="255"/>
      <c r="P133" s="255"/>
      <c r="Q133" s="255"/>
      <c r="R133" s="255"/>
      <c r="AK133" s="66"/>
      <c r="AL133" s="66"/>
      <c r="AS133" s="68"/>
      <c r="AT133" s="58"/>
      <c r="AU133" s="59"/>
      <c r="AV133" s="59"/>
      <c r="AX133" s="68"/>
      <c r="AY133" s="58"/>
      <c r="AZ133" s="68"/>
      <c r="BA133" s="68"/>
      <c r="BB133" s="68"/>
      <c r="BC133" s="68"/>
      <c r="BD133" s="58"/>
      <c r="BE133" s="68"/>
      <c r="BF133" s="68"/>
    </row>
    <row r="134" spans="12:58" x14ac:dyDescent="0.3">
      <c r="M134" s="29"/>
      <c r="N134" s="29"/>
      <c r="AP134" s="28"/>
      <c r="AQ134" s="28"/>
      <c r="AR134" s="28"/>
      <c r="AS134" s="68"/>
      <c r="AT134" s="58"/>
      <c r="AU134" s="68"/>
      <c r="AV134" s="68"/>
    </row>
    <row r="135" spans="12:58" x14ac:dyDescent="0.3">
      <c r="L135" s="72"/>
      <c r="M135" s="29"/>
      <c r="N135" s="29"/>
      <c r="O135" s="28"/>
      <c r="P135" s="28"/>
      <c r="Q135" s="28"/>
      <c r="R135" s="73"/>
      <c r="AP135" s="66"/>
      <c r="AQ135" s="66"/>
      <c r="AR135" s="66"/>
    </row>
    <row r="136" spans="12:58" x14ac:dyDescent="0.3">
      <c r="L136" s="72"/>
      <c r="M136" s="71"/>
      <c r="N136" s="71"/>
      <c r="O136" s="70"/>
      <c r="R136" s="29"/>
      <c r="AS136" s="68"/>
      <c r="AT136" s="58"/>
      <c r="AU136" s="59"/>
      <c r="AV136" s="59"/>
    </row>
    <row r="137" spans="12:58" x14ac:dyDescent="0.3">
      <c r="L137" s="72"/>
      <c r="M137" s="71"/>
      <c r="N137" s="71"/>
      <c r="O137" s="70"/>
      <c r="R137" s="29"/>
      <c r="AS137" s="68"/>
      <c r="AT137" s="58"/>
      <c r="AU137" s="69"/>
      <c r="AV137" s="69"/>
    </row>
    <row r="138" spans="12:58" x14ac:dyDescent="0.3">
      <c r="L138" s="72"/>
      <c r="M138" s="71"/>
      <c r="N138" s="71"/>
      <c r="O138" s="70"/>
      <c r="R138" s="29"/>
    </row>
    <row r="139" spans="12:58" x14ac:dyDescent="0.3">
      <c r="L139" s="72"/>
      <c r="M139" s="71"/>
      <c r="N139" s="71"/>
      <c r="O139" s="70"/>
      <c r="R139" s="29"/>
    </row>
    <row r="140" spans="12:58" x14ac:dyDescent="0.3">
      <c r="R140" s="29"/>
    </row>
    <row r="141" spans="12:58" x14ac:dyDescent="0.3">
      <c r="M141" s="65"/>
      <c r="N141" s="65"/>
      <c r="R141" s="29"/>
    </row>
    <row r="142" spans="12:58" x14ac:dyDescent="0.3">
      <c r="R142" s="29"/>
    </row>
    <row r="144" spans="12:58" x14ac:dyDescent="0.3">
      <c r="R144" s="73"/>
    </row>
  </sheetData>
  <mergeCells count="3">
    <mergeCell ref="O44:P44"/>
    <mergeCell ref="U92:W92"/>
    <mergeCell ref="K72:N7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B7F61-EEDF-441A-80D3-595F83FDBA5E}">
  <dimension ref="A1:AO79"/>
  <sheetViews>
    <sheetView showGridLines="0" topLeftCell="A21" workbookViewId="0">
      <selection activeCell="D22" sqref="D22"/>
    </sheetView>
  </sheetViews>
  <sheetFormatPr defaultRowHeight="15.6" x14ac:dyDescent="0.3"/>
  <cols>
    <col min="1" max="3" width="8.88671875" style="25"/>
    <col min="4" max="4" width="7.33203125" style="25" customWidth="1"/>
    <col min="5" max="5" width="0.6640625" style="25" customWidth="1"/>
    <col min="6" max="6" width="12.44140625" style="25" customWidth="1"/>
    <col min="7" max="7" width="0.88671875" style="25" customWidth="1"/>
    <col min="8" max="8" width="12.77734375" style="25" bestFit="1" customWidth="1"/>
    <col min="9" max="9" width="0.88671875" style="25" customWidth="1"/>
    <col min="10" max="10" width="11.21875" style="25" customWidth="1"/>
    <col min="11" max="11" width="0.88671875" style="25" customWidth="1"/>
    <col min="12" max="12" width="12.6640625" style="25" customWidth="1"/>
    <col min="13" max="13" width="0.88671875" style="25" customWidth="1"/>
    <col min="14" max="14" width="9.6640625" style="25" customWidth="1"/>
    <col min="15" max="15" width="0.88671875" style="25" customWidth="1"/>
    <col min="16" max="16" width="13.44140625" style="25" customWidth="1"/>
    <col min="17" max="17" width="8.88671875" style="25"/>
    <col min="18" max="18" width="11.21875" style="25" bestFit="1" customWidth="1"/>
    <col min="19" max="19" width="5.77734375" style="25" customWidth="1"/>
    <col min="20" max="20" width="0.88671875" style="25" customWidth="1"/>
    <col min="21" max="21" width="8.88671875" style="25"/>
    <col min="22" max="22" width="15.88671875" style="25" customWidth="1"/>
    <col min="23" max="23" width="0.88671875" style="25" customWidth="1"/>
    <col min="24" max="24" width="12.44140625" style="25" bestFit="1" customWidth="1"/>
    <col min="25" max="25" width="0.88671875" style="25" customWidth="1"/>
    <col min="26" max="26" width="12.33203125" style="25" bestFit="1" customWidth="1"/>
    <col min="27" max="27" width="0.88671875" style="25" customWidth="1"/>
    <col min="28" max="28" width="13.44140625" style="25" bestFit="1" customWidth="1"/>
    <col min="29" max="29" width="0.88671875" style="25" customWidth="1"/>
    <col min="30" max="30" width="9.21875" style="25" bestFit="1" customWidth="1"/>
    <col min="31" max="31" width="0.88671875" style="25" customWidth="1"/>
    <col min="32" max="32" width="11.21875" style="25" bestFit="1" customWidth="1"/>
    <col min="33" max="35" width="8.88671875" style="25"/>
    <col min="36" max="36" width="12.33203125" style="25" bestFit="1" customWidth="1"/>
    <col min="37" max="37" width="12.33203125" style="25" customWidth="1"/>
    <col min="38" max="38" width="11.21875" style="25" bestFit="1" customWidth="1"/>
    <col min="39" max="16384" width="8.88671875" style="25"/>
  </cols>
  <sheetData>
    <row r="1" spans="1:32" x14ac:dyDescent="0.3">
      <c r="A1" s="354" t="s">
        <v>380</v>
      </c>
    </row>
    <row r="2" spans="1:32" x14ac:dyDescent="0.3">
      <c r="A2" s="106"/>
    </row>
    <row r="3" spans="1:32" x14ac:dyDescent="0.3">
      <c r="A3" s="106"/>
    </row>
    <row r="4" spans="1:32" x14ac:dyDescent="0.3">
      <c r="A4" s="106"/>
      <c r="F4" s="78"/>
      <c r="G4" s="78"/>
      <c r="H4" s="112" t="s">
        <v>76</v>
      </c>
      <c r="I4" s="78"/>
      <c r="J4" s="112" t="s">
        <v>81</v>
      </c>
      <c r="K4" s="78"/>
      <c r="L4" s="78"/>
      <c r="N4" s="385" t="s">
        <v>346</v>
      </c>
      <c r="O4" s="78"/>
      <c r="P4" s="112" t="s">
        <v>84</v>
      </c>
      <c r="X4" s="112"/>
      <c r="Y4" s="78"/>
      <c r="Z4" s="112"/>
      <c r="AA4" s="78"/>
      <c r="AB4" s="112"/>
      <c r="AC4" s="78"/>
      <c r="AD4" s="112"/>
      <c r="AE4" s="78"/>
      <c r="AF4" s="78"/>
    </row>
    <row r="5" spans="1:32" x14ac:dyDescent="0.3">
      <c r="A5" s="106"/>
      <c r="B5" s="106"/>
      <c r="C5" s="106"/>
      <c r="D5" s="106"/>
      <c r="E5" s="106"/>
      <c r="F5" s="385" t="s">
        <v>77</v>
      </c>
      <c r="G5" s="78"/>
      <c r="H5" s="112" t="s">
        <v>77</v>
      </c>
      <c r="I5" s="78"/>
      <c r="J5" s="112" t="s">
        <v>80</v>
      </c>
      <c r="K5" s="78"/>
      <c r="L5" s="112" t="s">
        <v>82</v>
      </c>
      <c r="N5" s="384" t="s">
        <v>345</v>
      </c>
      <c r="O5" s="78"/>
      <c r="P5" s="112" t="s">
        <v>60</v>
      </c>
      <c r="S5" s="412"/>
      <c r="T5" s="412"/>
      <c r="U5" s="412"/>
      <c r="V5" s="412"/>
      <c r="X5" s="112"/>
      <c r="Y5" s="78"/>
      <c r="Z5" s="112"/>
      <c r="AA5" s="78"/>
      <c r="AB5" s="112"/>
      <c r="AC5" s="78"/>
      <c r="AD5" s="112"/>
      <c r="AE5" s="78"/>
      <c r="AF5" s="112"/>
    </row>
    <row r="6" spans="1:32" x14ac:dyDescent="0.3">
      <c r="A6" s="414" t="s">
        <v>86</v>
      </c>
      <c r="B6" s="414"/>
      <c r="C6" s="414"/>
      <c r="D6" s="414"/>
      <c r="F6" s="120" t="s">
        <v>74</v>
      </c>
      <c r="G6" s="78"/>
      <c r="H6" s="120" t="s">
        <v>78</v>
      </c>
      <c r="I6" s="78"/>
      <c r="J6" s="120" t="s">
        <v>78</v>
      </c>
      <c r="K6" s="78"/>
      <c r="L6" s="120" t="s">
        <v>74</v>
      </c>
      <c r="N6" s="120" t="s">
        <v>83</v>
      </c>
      <c r="O6" s="78"/>
      <c r="P6" s="120" t="s">
        <v>85</v>
      </c>
    </row>
    <row r="7" spans="1:32" x14ac:dyDescent="0.3">
      <c r="S7" s="358"/>
      <c r="U7" s="106"/>
      <c r="X7" s="27"/>
      <c r="AB7" s="27"/>
      <c r="AD7" s="26"/>
      <c r="AF7" s="113"/>
    </row>
    <row r="8" spans="1:32" x14ac:dyDescent="0.3">
      <c r="A8" s="106" t="s">
        <v>70</v>
      </c>
      <c r="F8" s="381">
        <f>AL24</f>
        <v>2898670</v>
      </c>
      <c r="H8" s="382">
        <f>F8/$F$13</f>
        <v>0.95228192593760674</v>
      </c>
      <c r="J8" s="381">
        <f>H8*$F$14</f>
        <v>309015.4849667534</v>
      </c>
      <c r="K8" s="26"/>
      <c r="L8" s="381">
        <f t="shared" ref="L8:L11" si="0">F8+J8</f>
        <v>3207685.4849667535</v>
      </c>
      <c r="M8" s="26"/>
      <c r="N8" s="108">
        <v>62.5</v>
      </c>
      <c r="P8" s="381">
        <f t="shared" ref="P8:P11" si="1">L8/N8</f>
        <v>51322.967759468054</v>
      </c>
      <c r="S8" s="106"/>
      <c r="AB8" s="26"/>
    </row>
    <row r="9" spans="1:32" x14ac:dyDescent="0.3">
      <c r="A9" s="377" t="s">
        <v>406</v>
      </c>
      <c r="F9" s="110">
        <f>AL25</f>
        <v>72750</v>
      </c>
      <c r="H9" s="382">
        <f>F9/$F$13</f>
        <v>2.3900102499408656E-2</v>
      </c>
      <c r="J9" s="113">
        <f>H9*$F$14</f>
        <v>7755.5832610581092</v>
      </c>
      <c r="K9" s="26"/>
      <c r="L9" s="110">
        <f t="shared" si="0"/>
        <v>80505.583261058113</v>
      </c>
      <c r="M9" s="26"/>
      <c r="N9" s="26">
        <v>45</v>
      </c>
      <c r="P9" s="110">
        <f t="shared" si="1"/>
        <v>1789.012961356847</v>
      </c>
    </row>
    <row r="10" spans="1:32" x14ac:dyDescent="0.3">
      <c r="A10" s="106" t="s">
        <v>71</v>
      </c>
      <c r="F10" s="110">
        <f>AL26</f>
        <v>42500</v>
      </c>
      <c r="H10" s="382">
        <f>F10/$F$13</f>
        <v>1.3962259192094404E-2</v>
      </c>
      <c r="J10" s="113">
        <f>H10*$F$14</f>
        <v>4530.7531078346337</v>
      </c>
      <c r="K10" s="26"/>
      <c r="L10" s="110">
        <f t="shared" si="0"/>
        <v>47030.753107834636</v>
      </c>
      <c r="M10" s="26"/>
      <c r="N10" s="26">
        <v>50</v>
      </c>
      <c r="P10" s="110">
        <f t="shared" si="1"/>
        <v>940.61506215669272</v>
      </c>
    </row>
    <row r="11" spans="1:32" x14ac:dyDescent="0.3">
      <c r="A11" s="106" t="s">
        <v>72</v>
      </c>
      <c r="F11" s="116">
        <f>AL27</f>
        <v>30000</v>
      </c>
      <c r="H11" s="383">
        <f>F11/$F$13</f>
        <v>9.8557123708901684E-3</v>
      </c>
      <c r="J11" s="380">
        <f>H11*$F$14</f>
        <v>3198.1786643538599</v>
      </c>
      <c r="K11" s="26"/>
      <c r="L11" s="116">
        <f t="shared" si="0"/>
        <v>33198.178664353858</v>
      </c>
      <c r="M11" s="26"/>
      <c r="N11" s="26">
        <v>10</v>
      </c>
      <c r="P11" s="116">
        <f t="shared" si="1"/>
        <v>3319.8178664353859</v>
      </c>
    </row>
    <row r="12" spans="1:32" x14ac:dyDescent="0.3">
      <c r="A12" s="106"/>
      <c r="F12" s="110"/>
      <c r="J12" s="26"/>
      <c r="K12" s="26"/>
      <c r="L12" s="26"/>
      <c r="M12" s="26"/>
      <c r="N12" s="26"/>
    </row>
    <row r="13" spans="1:32" ht="16.2" thickBot="1" x14ac:dyDescent="0.35">
      <c r="A13" s="106" t="s">
        <v>75</v>
      </c>
      <c r="F13" s="110">
        <f>SUM(F8:F12)</f>
        <v>3043920</v>
      </c>
      <c r="H13" s="115">
        <f>SUM(H8:H12)</f>
        <v>1</v>
      </c>
      <c r="J13" s="117">
        <f>SUM(J8:J12)</f>
        <v>324499.99999999994</v>
      </c>
      <c r="K13" s="26"/>
      <c r="L13" s="117">
        <f>SUM(L8:L12)</f>
        <v>3368420</v>
      </c>
      <c r="M13" s="26"/>
      <c r="N13" s="26"/>
      <c r="P13" s="118">
        <f>SUM(P8:P12)</f>
        <v>57372.41364941698</v>
      </c>
    </row>
    <row r="14" spans="1:32" ht="16.2" thickTop="1" x14ac:dyDescent="0.3">
      <c r="A14" s="106" t="s">
        <v>79</v>
      </c>
      <c r="F14" s="116">
        <f>AL28</f>
        <v>324500</v>
      </c>
      <c r="J14" s="26"/>
      <c r="K14" s="26"/>
      <c r="L14" s="26"/>
      <c r="M14" s="26"/>
      <c r="N14" s="26"/>
    </row>
    <row r="15" spans="1:32" x14ac:dyDescent="0.3">
      <c r="A15" s="106"/>
      <c r="F15" s="110"/>
      <c r="J15" s="26"/>
      <c r="K15" s="26"/>
      <c r="L15" s="26"/>
      <c r="M15" s="26"/>
      <c r="N15" s="26"/>
    </row>
    <row r="16" spans="1:32" ht="16.2" thickBot="1" x14ac:dyDescent="0.35">
      <c r="A16" s="106" t="s">
        <v>73</v>
      </c>
      <c r="F16" s="119">
        <f>SUM(F13:F14)</f>
        <v>3368420</v>
      </c>
      <c r="J16" s="26"/>
      <c r="K16" s="26"/>
      <c r="L16" s="26"/>
      <c r="M16" s="26"/>
      <c r="N16" s="26"/>
    </row>
    <row r="17" spans="1:41" ht="16.2" thickTop="1" x14ac:dyDescent="0.3">
      <c r="J17" s="26"/>
      <c r="K17" s="26"/>
      <c r="L17" s="26"/>
      <c r="M17" s="26"/>
      <c r="N17" s="26"/>
    </row>
    <row r="18" spans="1:41" x14ac:dyDescent="0.3">
      <c r="A18" s="106"/>
      <c r="J18" s="26"/>
      <c r="K18" s="26"/>
      <c r="L18" s="26"/>
      <c r="M18" s="26"/>
      <c r="N18" s="26"/>
    </row>
    <row r="19" spans="1:41" x14ac:dyDescent="0.3">
      <c r="A19" s="106"/>
      <c r="J19" s="415" t="s">
        <v>387</v>
      </c>
      <c r="K19" s="415"/>
      <c r="L19" s="415"/>
      <c r="M19" s="415"/>
      <c r="N19" s="415"/>
      <c r="O19" s="415"/>
      <c r="P19" s="415"/>
      <c r="Q19" s="415"/>
      <c r="R19" s="415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5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</row>
    <row r="20" spans="1:41" x14ac:dyDescent="0.3">
      <c r="A20" s="106"/>
      <c r="F20" s="106"/>
      <c r="J20" s="26"/>
      <c r="K20" s="26"/>
      <c r="L20" s="26"/>
      <c r="M20" s="26"/>
      <c r="N20" s="26"/>
    </row>
    <row r="21" spans="1:41" x14ac:dyDescent="0.3">
      <c r="A21" s="354"/>
      <c r="H21" s="112"/>
      <c r="J21" s="354" t="s">
        <v>381</v>
      </c>
      <c r="K21" s="26"/>
      <c r="L21" s="26"/>
      <c r="M21" s="26"/>
      <c r="N21" s="26"/>
      <c r="U21" s="354" t="s">
        <v>388</v>
      </c>
      <c r="AG21" s="354" t="s">
        <v>389</v>
      </c>
      <c r="AL21" s="377" t="s">
        <v>91</v>
      </c>
    </row>
    <row r="22" spans="1:41" x14ac:dyDescent="0.3">
      <c r="A22" s="354"/>
      <c r="F22" s="109"/>
      <c r="G22" s="109"/>
      <c r="H22" s="109"/>
      <c r="J22" s="367" t="s">
        <v>382</v>
      </c>
      <c r="K22" s="368"/>
      <c r="L22" s="368"/>
      <c r="M22" s="368"/>
      <c r="N22" s="368"/>
      <c r="O22" s="368"/>
      <c r="P22" s="369">
        <f>P30-P28-P27-P26-P25-P23-P24</f>
        <v>1975170</v>
      </c>
      <c r="Q22" s="368"/>
      <c r="R22" s="368"/>
      <c r="S22" s="368"/>
      <c r="T22" s="368"/>
      <c r="U22" s="368"/>
      <c r="V22" s="368"/>
      <c r="W22" s="368"/>
      <c r="X22" s="369">
        <f>X30-X28-X27-X26-X25-X23-X24</f>
        <v>550800</v>
      </c>
      <c r="Y22" s="369"/>
      <c r="Z22" s="369"/>
      <c r="AA22" s="369"/>
      <c r="AB22" s="369"/>
      <c r="AC22" s="369"/>
      <c r="AD22" s="369"/>
      <c r="AE22" s="369"/>
      <c r="AF22" s="369"/>
      <c r="AG22" s="369"/>
      <c r="AH22" s="369"/>
      <c r="AI22" s="369"/>
      <c r="AJ22" s="369">
        <f>AJ30-AJ28-AJ27-AJ26-AJ25-AJ23-AJ24</f>
        <v>252700</v>
      </c>
      <c r="AK22" s="369"/>
      <c r="AL22" s="369"/>
      <c r="AM22" s="369"/>
      <c r="AN22" s="368"/>
      <c r="AO22" s="370"/>
    </row>
    <row r="23" spans="1:41" x14ac:dyDescent="0.3">
      <c r="A23" s="106"/>
      <c r="F23" s="109"/>
      <c r="G23" s="109"/>
      <c r="H23" s="109"/>
      <c r="J23" s="371" t="s">
        <v>386</v>
      </c>
      <c r="P23" s="26">
        <v>35000</v>
      </c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O23" s="372"/>
    </row>
    <row r="24" spans="1:41" x14ac:dyDescent="0.3">
      <c r="A24" s="106"/>
      <c r="F24" s="109"/>
      <c r="G24" s="109"/>
      <c r="H24" s="109"/>
      <c r="J24" s="373" t="s">
        <v>401</v>
      </c>
      <c r="K24" s="374"/>
      <c r="L24" s="374"/>
      <c r="M24" s="374"/>
      <c r="N24" s="374"/>
      <c r="O24" s="374"/>
      <c r="P24" s="116">
        <v>40000</v>
      </c>
      <c r="Q24" s="374"/>
      <c r="R24" s="374"/>
      <c r="S24" s="374"/>
      <c r="T24" s="374"/>
      <c r="U24" s="374"/>
      <c r="V24" s="374"/>
      <c r="W24" s="374"/>
      <c r="X24" s="116">
        <v>22500</v>
      </c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>
        <v>22500</v>
      </c>
      <c r="AK24" s="116"/>
      <c r="AL24" s="116">
        <f>SUM(P22:AJ24)</f>
        <v>2898670</v>
      </c>
      <c r="AM24" s="376" t="s">
        <v>404</v>
      </c>
      <c r="AN24" s="374"/>
      <c r="AO24" s="375"/>
    </row>
    <row r="25" spans="1:41" x14ac:dyDescent="0.3">
      <c r="A25" s="106"/>
      <c r="F25" s="109"/>
      <c r="G25" s="109"/>
      <c r="H25" s="109"/>
      <c r="J25" s="366" t="s">
        <v>402</v>
      </c>
      <c r="K25" s="26"/>
      <c r="L25" s="26"/>
      <c r="M25" s="26"/>
      <c r="N25" s="26"/>
      <c r="P25" s="110">
        <f>29000+13750</f>
        <v>42750</v>
      </c>
      <c r="X25" s="110">
        <v>7000</v>
      </c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>
        <v>23000</v>
      </c>
      <c r="AK25" s="110"/>
      <c r="AL25" s="110">
        <f>SUM(P25:AJ25)</f>
        <v>72750</v>
      </c>
      <c r="AM25" s="365" t="s">
        <v>405</v>
      </c>
    </row>
    <row r="26" spans="1:41" x14ac:dyDescent="0.3">
      <c r="A26" s="106"/>
      <c r="F26" s="109"/>
      <c r="G26" s="109"/>
      <c r="H26" s="109"/>
      <c r="J26" s="357" t="s">
        <v>385</v>
      </c>
      <c r="K26" s="26"/>
      <c r="L26" s="26"/>
      <c r="M26" s="26"/>
      <c r="N26" s="26"/>
      <c r="P26" s="110">
        <f>18000+22000</f>
        <v>40000</v>
      </c>
      <c r="X26" s="110">
        <v>2500</v>
      </c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>
        <f>SUM(P26:AJ26)</f>
        <v>42500</v>
      </c>
      <c r="AM26" s="365" t="s">
        <v>71</v>
      </c>
    </row>
    <row r="27" spans="1:41" x14ac:dyDescent="0.3">
      <c r="A27" s="106"/>
      <c r="F27" s="109"/>
      <c r="G27" s="109"/>
      <c r="H27" s="109"/>
      <c r="J27" s="357" t="s">
        <v>384</v>
      </c>
      <c r="K27" s="26"/>
      <c r="M27" s="26"/>
      <c r="N27" s="26"/>
      <c r="P27" s="26">
        <v>30000</v>
      </c>
      <c r="X27" s="110"/>
      <c r="Y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>
        <f>P27</f>
        <v>30000</v>
      </c>
      <c r="AM27" s="365" t="s">
        <v>384</v>
      </c>
    </row>
    <row r="28" spans="1:41" x14ac:dyDescent="0.3">
      <c r="A28" s="106"/>
      <c r="F28" s="109"/>
      <c r="G28" s="109"/>
      <c r="H28" s="109"/>
      <c r="J28" s="366" t="s">
        <v>403</v>
      </c>
      <c r="K28" s="26"/>
      <c r="L28" s="26"/>
      <c r="M28" s="26"/>
      <c r="N28" s="26"/>
      <c r="P28" s="110">
        <v>10000</v>
      </c>
      <c r="R28" s="113">
        <f>SUM(P22:P28)</f>
        <v>2172920</v>
      </c>
      <c r="X28" s="110">
        <v>2500</v>
      </c>
      <c r="Y28" s="110"/>
      <c r="Z28" s="110">
        <f>SUM(X22:X28)</f>
        <v>585300</v>
      </c>
      <c r="AA28" s="110"/>
      <c r="AB28" s="110"/>
      <c r="AC28" s="110"/>
      <c r="AD28" s="110"/>
      <c r="AE28" s="110"/>
      <c r="AF28" s="110"/>
      <c r="AG28" s="110"/>
      <c r="AH28" s="110"/>
      <c r="AI28" s="110"/>
      <c r="AJ28" s="110">
        <v>2000</v>
      </c>
      <c r="AK28" s="110">
        <f>SUM(AJ22:AJ28)</f>
        <v>300200</v>
      </c>
      <c r="AL28" s="113">
        <f>AJ28+X28+P28+P36</f>
        <v>324500</v>
      </c>
      <c r="AM28" s="365" t="s">
        <v>80</v>
      </c>
    </row>
    <row r="29" spans="1:41" x14ac:dyDescent="0.3">
      <c r="A29" s="106"/>
      <c r="F29" s="109"/>
      <c r="G29" s="109"/>
      <c r="H29" s="109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</row>
    <row r="30" spans="1:41" x14ac:dyDescent="0.3">
      <c r="A30" s="106"/>
      <c r="F30" s="109"/>
      <c r="G30" s="109"/>
      <c r="H30" s="109"/>
      <c r="J30" s="357" t="s">
        <v>383</v>
      </c>
      <c r="K30" s="26"/>
      <c r="M30" s="26"/>
      <c r="N30" s="26"/>
      <c r="P30" s="26">
        <v>2172920</v>
      </c>
      <c r="X30" s="110">
        <v>585300</v>
      </c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>
        <v>300200</v>
      </c>
      <c r="AK30" s="110"/>
      <c r="AL30" s="110">
        <f>SUM(AL24:AL29)</f>
        <v>3368420</v>
      </c>
      <c r="AM30" s="110"/>
    </row>
    <row r="31" spans="1:41" x14ac:dyDescent="0.3">
      <c r="A31" s="106"/>
      <c r="F31" s="109"/>
      <c r="G31" s="109"/>
      <c r="H31" s="109"/>
      <c r="J31" s="366" t="s">
        <v>395</v>
      </c>
      <c r="K31" s="26"/>
      <c r="L31" s="26"/>
      <c r="M31" s="26"/>
      <c r="N31" s="26"/>
      <c r="P31" s="113">
        <f>P30+X30+AJ30</f>
        <v>3058420</v>
      </c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</row>
    <row r="32" spans="1:41" x14ac:dyDescent="0.3">
      <c r="A32" s="106"/>
      <c r="F32" s="109"/>
      <c r="G32" s="109"/>
      <c r="H32" s="109"/>
      <c r="J32" s="366" t="s">
        <v>396</v>
      </c>
      <c r="K32" s="26"/>
      <c r="L32" s="26"/>
      <c r="M32" s="26"/>
      <c r="N32" s="26"/>
      <c r="P32" s="113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</row>
    <row r="33" spans="1:39" x14ac:dyDescent="0.3">
      <c r="A33" s="106"/>
      <c r="F33" s="109"/>
      <c r="G33" s="109"/>
      <c r="H33" s="109"/>
      <c r="J33" s="366" t="s">
        <v>397</v>
      </c>
      <c r="K33" s="26"/>
      <c r="L33" s="26"/>
      <c r="M33" s="26"/>
      <c r="N33" s="26">
        <v>15000</v>
      </c>
      <c r="P33" s="113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</row>
    <row r="34" spans="1:39" x14ac:dyDescent="0.3">
      <c r="A34" s="106"/>
      <c r="F34" s="109"/>
      <c r="G34" s="109"/>
      <c r="H34" s="109"/>
      <c r="J34" s="366" t="s">
        <v>398</v>
      </c>
      <c r="K34" s="26"/>
      <c r="L34" s="26"/>
      <c r="M34" s="26"/>
      <c r="N34" s="26">
        <v>10000</v>
      </c>
      <c r="P34" s="113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</row>
    <row r="35" spans="1:39" x14ac:dyDescent="0.3">
      <c r="A35" s="106"/>
      <c r="F35" s="109"/>
      <c r="G35" s="109"/>
      <c r="H35" s="109"/>
      <c r="J35" s="366" t="s">
        <v>399</v>
      </c>
      <c r="K35" s="26"/>
      <c r="L35" s="26"/>
      <c r="M35" s="26"/>
      <c r="N35" s="26">
        <v>180000</v>
      </c>
      <c r="P35" s="113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</row>
    <row r="36" spans="1:39" x14ac:dyDescent="0.3">
      <c r="A36" s="106"/>
      <c r="F36" s="109"/>
      <c r="G36" s="109"/>
      <c r="H36" s="109"/>
      <c r="J36" s="366" t="s">
        <v>400</v>
      </c>
      <c r="K36" s="26"/>
      <c r="L36" s="26"/>
      <c r="M36" s="26"/>
      <c r="N36" s="26">
        <v>105000</v>
      </c>
      <c r="P36" s="113">
        <f>SUM(N33:N36)</f>
        <v>310000</v>
      </c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</row>
    <row r="37" spans="1:39" x14ac:dyDescent="0.3">
      <c r="A37" s="106"/>
      <c r="F37" s="109"/>
      <c r="G37" s="109"/>
      <c r="H37" s="109"/>
      <c r="J37" s="366"/>
      <c r="K37" s="26"/>
      <c r="L37" s="26"/>
      <c r="M37" s="26"/>
      <c r="N37" s="26"/>
      <c r="P37" s="113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</row>
    <row r="38" spans="1:39" x14ac:dyDescent="0.3">
      <c r="A38" s="106"/>
      <c r="F38" s="109"/>
      <c r="G38" s="109"/>
      <c r="H38" s="109"/>
      <c r="J38" s="366" t="s">
        <v>73</v>
      </c>
      <c r="K38" s="26"/>
      <c r="L38" s="26"/>
      <c r="M38" s="26"/>
      <c r="N38" s="26"/>
      <c r="P38" s="113">
        <f>P31+P36</f>
        <v>3368420</v>
      </c>
    </row>
    <row r="39" spans="1:39" x14ac:dyDescent="0.3">
      <c r="F39" s="109"/>
      <c r="G39" s="109"/>
      <c r="H39" s="109"/>
      <c r="J39" s="107"/>
      <c r="K39" s="26"/>
      <c r="L39" s="26"/>
      <c r="N39" s="26"/>
    </row>
    <row r="40" spans="1:39" x14ac:dyDescent="0.3">
      <c r="A40" s="106"/>
      <c r="F40" s="114"/>
      <c r="G40" s="114"/>
      <c r="H40" s="109"/>
      <c r="J40" s="107"/>
      <c r="K40" s="26"/>
      <c r="L40" s="79"/>
      <c r="N40" s="26"/>
    </row>
    <row r="41" spans="1:39" x14ac:dyDescent="0.3">
      <c r="F41" s="413"/>
      <c r="G41" s="413"/>
      <c r="H41" s="109"/>
      <c r="I41" s="413"/>
      <c r="J41" s="413"/>
      <c r="K41" s="78"/>
      <c r="L41" s="78"/>
      <c r="N41" s="26"/>
    </row>
    <row r="42" spans="1:39" x14ac:dyDescent="0.3">
      <c r="F42" s="111"/>
      <c r="G42" s="111"/>
      <c r="H42" s="109"/>
      <c r="I42" s="111"/>
      <c r="J42" s="111"/>
      <c r="K42" s="80"/>
      <c r="L42" s="80"/>
    </row>
    <row r="44" spans="1:39" x14ac:dyDescent="0.3">
      <c r="F44" s="78"/>
      <c r="G44" s="27"/>
      <c r="I44" s="78"/>
      <c r="J44" s="27"/>
      <c r="K44" s="27"/>
      <c r="L44" s="81"/>
    </row>
    <row r="45" spans="1:39" x14ac:dyDescent="0.3">
      <c r="F45" s="78"/>
      <c r="G45" s="26"/>
      <c r="I45" s="78"/>
      <c r="J45" s="26"/>
      <c r="K45" s="26"/>
      <c r="L45" s="26"/>
    </row>
    <row r="46" spans="1:39" x14ac:dyDescent="0.3">
      <c r="F46" s="78"/>
      <c r="G46" s="26"/>
      <c r="I46" s="78"/>
      <c r="J46" s="26"/>
      <c r="K46" s="26"/>
      <c r="L46" s="26"/>
    </row>
    <row r="47" spans="1:39" x14ac:dyDescent="0.3">
      <c r="F47" s="78"/>
      <c r="G47" s="26"/>
      <c r="I47" s="78"/>
      <c r="J47" s="26"/>
      <c r="K47" s="26"/>
      <c r="L47" s="26"/>
    </row>
    <row r="48" spans="1:39" x14ac:dyDescent="0.3">
      <c r="F48" s="78"/>
      <c r="G48" s="26"/>
      <c r="I48" s="78"/>
      <c r="J48" s="26"/>
      <c r="K48" s="26"/>
      <c r="L48" s="26"/>
    </row>
    <row r="49" spans="6:20" x14ac:dyDescent="0.3">
      <c r="F49" s="78"/>
      <c r="G49" s="26"/>
      <c r="I49" s="78"/>
      <c r="J49" s="26"/>
      <c r="K49" s="26"/>
      <c r="L49" s="26"/>
    </row>
    <row r="50" spans="6:20" x14ac:dyDescent="0.3">
      <c r="F50" s="78"/>
      <c r="G50" s="26"/>
      <c r="I50" s="78"/>
      <c r="J50" s="26"/>
      <c r="K50" s="26"/>
      <c r="L50" s="26"/>
    </row>
    <row r="51" spans="6:20" x14ac:dyDescent="0.3">
      <c r="F51" s="78"/>
      <c r="G51" s="26"/>
      <c r="I51" s="78"/>
      <c r="J51" s="26"/>
      <c r="K51" s="26"/>
      <c r="L51" s="26"/>
    </row>
    <row r="52" spans="6:20" x14ac:dyDescent="0.3">
      <c r="F52" s="78"/>
      <c r="G52" s="26"/>
      <c r="I52" s="78"/>
      <c r="J52" s="26"/>
      <c r="K52" s="26"/>
      <c r="L52" s="26"/>
    </row>
    <row r="53" spans="6:20" x14ac:dyDescent="0.3">
      <c r="F53" s="78"/>
      <c r="G53" s="26"/>
      <c r="I53" s="78"/>
      <c r="J53" s="26"/>
      <c r="K53" s="26"/>
      <c r="L53" s="26"/>
    </row>
    <row r="54" spans="6:20" x14ac:dyDescent="0.3">
      <c r="F54" s="78"/>
      <c r="G54" s="26"/>
      <c r="I54" s="78"/>
      <c r="J54" s="26"/>
      <c r="K54" s="26"/>
      <c r="L54" s="26"/>
    </row>
    <row r="55" spans="6:20" x14ac:dyDescent="0.3">
      <c r="G55" s="26"/>
    </row>
    <row r="56" spans="6:20" x14ac:dyDescent="0.3">
      <c r="G56" s="27"/>
      <c r="J56" s="27"/>
      <c r="K56" s="27"/>
      <c r="L56" s="27"/>
    </row>
    <row r="61" spans="6:20" x14ac:dyDescent="0.3">
      <c r="S61" s="79"/>
      <c r="T61" s="79"/>
    </row>
    <row r="62" spans="6:20" x14ac:dyDescent="0.3">
      <c r="S62" s="79"/>
      <c r="T62" s="79"/>
    </row>
    <row r="63" spans="6:20" x14ac:dyDescent="0.3">
      <c r="S63" s="78"/>
      <c r="T63" s="78"/>
    </row>
    <row r="64" spans="6:20" x14ac:dyDescent="0.3">
      <c r="S64" s="78"/>
      <c r="T64" s="78"/>
    </row>
    <row r="65" spans="19:20" x14ac:dyDescent="0.3">
      <c r="S65" s="26"/>
      <c r="T65" s="26"/>
    </row>
    <row r="67" spans="19:20" x14ac:dyDescent="0.3">
      <c r="S67" s="27"/>
      <c r="T67" s="27"/>
    </row>
    <row r="68" spans="19:20" x14ac:dyDescent="0.3">
      <c r="S68" s="26"/>
      <c r="T68" s="26"/>
    </row>
    <row r="69" spans="19:20" x14ac:dyDescent="0.3">
      <c r="S69" s="26"/>
      <c r="T69" s="26"/>
    </row>
    <row r="70" spans="19:20" x14ac:dyDescent="0.3">
      <c r="S70" s="26"/>
      <c r="T70" s="26"/>
    </row>
    <row r="71" spans="19:20" x14ac:dyDescent="0.3">
      <c r="S71" s="26"/>
      <c r="T71" s="26"/>
    </row>
    <row r="72" spans="19:20" x14ac:dyDescent="0.3">
      <c r="S72" s="26"/>
      <c r="T72" s="26"/>
    </row>
    <row r="73" spans="19:20" x14ac:dyDescent="0.3">
      <c r="S73" s="26"/>
      <c r="T73" s="26"/>
    </row>
    <row r="74" spans="19:20" x14ac:dyDescent="0.3">
      <c r="S74" s="26"/>
      <c r="T74" s="26"/>
    </row>
    <row r="75" spans="19:20" x14ac:dyDescent="0.3">
      <c r="S75" s="26"/>
      <c r="T75" s="26"/>
    </row>
    <row r="76" spans="19:20" x14ac:dyDescent="0.3">
      <c r="S76" s="26"/>
      <c r="T76" s="26"/>
    </row>
    <row r="77" spans="19:20" x14ac:dyDescent="0.3">
      <c r="S77" s="26"/>
      <c r="T77" s="26"/>
    </row>
    <row r="78" spans="19:20" x14ac:dyDescent="0.3">
      <c r="S78" s="27"/>
      <c r="T78" s="27"/>
    </row>
    <row r="79" spans="19:20" x14ac:dyDescent="0.3">
      <c r="S79" s="26"/>
      <c r="T79" s="26"/>
    </row>
  </sheetData>
  <mergeCells count="5">
    <mergeCell ref="S5:V5"/>
    <mergeCell ref="F41:G41"/>
    <mergeCell ref="I41:J41"/>
    <mergeCell ref="A6:D6"/>
    <mergeCell ref="J19:AO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Rates</vt:lpstr>
      <vt:lpstr>Rev. Req. Debt Service</vt:lpstr>
      <vt:lpstr>Pro Forma Statement</vt:lpstr>
      <vt:lpstr>Rev</vt:lpstr>
      <vt:lpstr>Billing Analysis</vt:lpstr>
      <vt:lpstr>Employee Wages Benefits</vt:lpstr>
      <vt:lpstr>Mat Supp and Misc Exp</vt:lpstr>
      <vt:lpstr>Purchased Water</vt:lpstr>
      <vt:lpstr>Depreciation</vt:lpstr>
      <vt:lpstr>Reconcile GL to 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lawless</dc:creator>
  <cp:lastModifiedBy>jack lawless</cp:lastModifiedBy>
  <cp:lastPrinted>2025-03-26T01:56:22Z</cp:lastPrinted>
  <dcterms:created xsi:type="dcterms:W3CDTF">2024-09-20T01:24:43Z</dcterms:created>
  <dcterms:modified xsi:type="dcterms:W3CDTF">2026-01-26T16:06:02Z</dcterms:modified>
</cp:coreProperties>
</file>