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N2026\CN-00003_00004 - ECR\3-Data Requests and Testimony\KU\PSC-2\efile 04132026\"/>
    </mc:Choice>
  </mc:AlternateContent>
  <xr:revisionPtr revIDLastSave="0" documentId="8_{B65B16CC-782A-4E52-97E1-FFCD8D83283B}" xr6:coauthVersionLast="47" xr6:coauthVersionMax="47" xr10:uidLastSave="{00000000-0000-0000-0000-000000000000}"/>
  <bookViews>
    <workbookView xWindow="2130" yWindow="330" windowWidth="28770" windowHeight="15480" tabRatio="858" xr2:uid="{7827705B-1A47-44AC-A926-EC51755412A1}"/>
  </bookViews>
  <sheets>
    <sheet name="Form 1.10 - Filed (June)" sheetId="1" r:id="rId1"/>
    <sheet name="Form 3.00 - Filed (June)" sheetId="2" r:id="rId2"/>
    <sheet name="Form 3.10 - Filed (June)" sheetId="10" r:id="rId3"/>
    <sheet name="Form 1.10 - Revised (June)" sheetId="4" r:id="rId4"/>
    <sheet name="Form 3.00 - Revised (June)" sheetId="3" r:id="rId5"/>
    <sheet name="Form 1.10 - Filed (July)" sheetId="5" r:id="rId6"/>
    <sheet name="Form 3.00 - Filed (July)" sheetId="6" r:id="rId7"/>
    <sheet name="Form 3.10 - Filed (July)" sheetId="9" r:id="rId8"/>
    <sheet name="Form 1.10 - Revised (July)" sheetId="7" r:id="rId9"/>
    <sheet name="Form 3.00 - Revised (July)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8" l="1"/>
  <c r="B30" i="3"/>
  <c r="K30" i="3"/>
  <c r="K29" i="3"/>
  <c r="C34" i="10"/>
  <c r="C27" i="10"/>
  <c r="C26" i="10"/>
  <c r="C25" i="10"/>
  <c r="C24" i="10"/>
  <c r="C16" i="10"/>
  <c r="C15" i="10"/>
  <c r="D39" i="10"/>
  <c r="C21" i="10"/>
  <c r="K31" i="3" l="1"/>
  <c r="C29" i="10"/>
  <c r="C31" i="10" s="1"/>
  <c r="K29" i="8"/>
  <c r="K30" i="8"/>
  <c r="C34" i="9"/>
  <c r="C26" i="9"/>
  <c r="C25" i="9"/>
  <c r="C24" i="9"/>
  <c r="C27" i="9" s="1"/>
  <c r="C16" i="9"/>
  <c r="C15" i="9"/>
  <c r="D39" i="9"/>
  <c r="C21" i="9"/>
  <c r="B29" i="8"/>
  <c r="G29" i="8" s="1"/>
  <c r="H29" i="8" s="1"/>
  <c r="H27" i="7"/>
  <c r="H33" i="7" s="1"/>
  <c r="H39" i="7" s="1"/>
  <c r="H47" i="7" s="1"/>
  <c r="B27" i="7"/>
  <c r="I56" i="8"/>
  <c r="I58" i="8" s="1"/>
  <c r="G56" i="8"/>
  <c r="H56" i="8" s="1"/>
  <c r="A56" i="8"/>
  <c r="I55" i="8"/>
  <c r="H55" i="8"/>
  <c r="G55" i="8"/>
  <c r="I54" i="8"/>
  <c r="G54" i="8"/>
  <c r="H54" i="8" s="1"/>
  <c r="I53" i="8"/>
  <c r="G53" i="8"/>
  <c r="H53" i="8" s="1"/>
  <c r="I52" i="8"/>
  <c r="H52" i="8"/>
  <c r="G52" i="8"/>
  <c r="I51" i="8"/>
  <c r="H51" i="8"/>
  <c r="G51" i="8"/>
  <c r="I50" i="8"/>
  <c r="G50" i="8"/>
  <c r="H50" i="8" s="1"/>
  <c r="I49" i="8"/>
  <c r="G49" i="8"/>
  <c r="H49" i="8" s="1"/>
  <c r="I48" i="8"/>
  <c r="H48" i="8"/>
  <c r="G48" i="8"/>
  <c r="I47" i="8"/>
  <c r="H47" i="8"/>
  <c r="G47" i="8"/>
  <c r="I46" i="8"/>
  <c r="G46" i="8"/>
  <c r="H46" i="8" s="1"/>
  <c r="I45" i="8"/>
  <c r="G45" i="8"/>
  <c r="H45" i="8" s="1"/>
  <c r="B39" i="8"/>
  <c r="C39" i="8" s="1"/>
  <c r="D39" i="8" s="1"/>
  <c r="E39" i="8" s="1"/>
  <c r="F39" i="8" s="1"/>
  <c r="G39" i="8" s="1"/>
  <c r="H39" i="8" s="1"/>
  <c r="I39" i="8" s="1"/>
  <c r="G30" i="8"/>
  <c r="H30" i="8" s="1"/>
  <c r="H28" i="8"/>
  <c r="G28" i="8"/>
  <c r="G27" i="8"/>
  <c r="H27" i="8" s="1"/>
  <c r="H26" i="8"/>
  <c r="G26" i="8"/>
  <c r="G25" i="8"/>
  <c r="H25" i="8" s="1"/>
  <c r="H24" i="8"/>
  <c r="G24" i="8"/>
  <c r="H23" i="8"/>
  <c r="G23" i="8"/>
  <c r="H22" i="8"/>
  <c r="G22" i="8"/>
  <c r="G21" i="8"/>
  <c r="H21" i="8" s="1"/>
  <c r="G20" i="8"/>
  <c r="H20" i="8" s="1"/>
  <c r="G19" i="8"/>
  <c r="H19" i="8" s="1"/>
  <c r="D13" i="8"/>
  <c r="E13" i="8" s="1"/>
  <c r="F13" i="8" s="1"/>
  <c r="G13" i="8" s="1"/>
  <c r="H13" i="8" s="1"/>
  <c r="C13" i="8"/>
  <c r="B13" i="8"/>
  <c r="G56" i="6"/>
  <c r="H56" i="6" s="1"/>
  <c r="I56" i="6"/>
  <c r="A56" i="6"/>
  <c r="I55" i="6"/>
  <c r="H55" i="6"/>
  <c r="G55" i="6"/>
  <c r="I54" i="6"/>
  <c r="G54" i="6"/>
  <c r="H54" i="6" s="1"/>
  <c r="I53" i="6"/>
  <c r="H53" i="6"/>
  <c r="G53" i="6"/>
  <c r="I52" i="6"/>
  <c r="H52" i="6"/>
  <c r="G52" i="6"/>
  <c r="I51" i="6"/>
  <c r="G51" i="6"/>
  <c r="H51" i="6" s="1"/>
  <c r="I50" i="6"/>
  <c r="H50" i="6"/>
  <c r="G50" i="6"/>
  <c r="I49" i="6"/>
  <c r="H49" i="6"/>
  <c r="G49" i="6"/>
  <c r="I48" i="6"/>
  <c r="G48" i="6"/>
  <c r="H48" i="6" s="1"/>
  <c r="I47" i="6"/>
  <c r="H47" i="6"/>
  <c r="G47" i="6"/>
  <c r="I46" i="6"/>
  <c r="H46" i="6"/>
  <c r="G46" i="6"/>
  <c r="I45" i="6"/>
  <c r="G45" i="6"/>
  <c r="H45" i="6" s="1"/>
  <c r="D39" i="6"/>
  <c r="E39" i="6" s="1"/>
  <c r="F39" i="6" s="1"/>
  <c r="G39" i="6" s="1"/>
  <c r="H39" i="6" s="1"/>
  <c r="I39" i="6" s="1"/>
  <c r="C39" i="6"/>
  <c r="B39" i="6"/>
  <c r="G30" i="6"/>
  <c r="H30" i="6" s="1"/>
  <c r="G29" i="6"/>
  <c r="H29" i="6" s="1"/>
  <c r="G28" i="6"/>
  <c r="H28" i="6" s="1"/>
  <c r="G27" i="6"/>
  <c r="H27" i="6" s="1"/>
  <c r="H26" i="6"/>
  <c r="G26" i="6"/>
  <c r="G25" i="6"/>
  <c r="H25" i="6" s="1"/>
  <c r="G24" i="6"/>
  <c r="H24" i="6" s="1"/>
  <c r="G23" i="6"/>
  <c r="H23" i="6" s="1"/>
  <c r="H22" i="6"/>
  <c r="G22" i="6"/>
  <c r="G21" i="6"/>
  <c r="H21" i="6" s="1"/>
  <c r="G20" i="6"/>
  <c r="H20" i="6" s="1"/>
  <c r="G19" i="6"/>
  <c r="H19" i="6" s="1"/>
  <c r="B13" i="6"/>
  <c r="C13" i="6" s="1"/>
  <c r="D13" i="6" s="1"/>
  <c r="E13" i="6" s="1"/>
  <c r="F13" i="6" s="1"/>
  <c r="G13" i="6" s="1"/>
  <c r="H13" i="6" s="1"/>
  <c r="B27" i="5"/>
  <c r="B28" i="5" s="1"/>
  <c r="H27" i="5"/>
  <c r="H33" i="5" s="1"/>
  <c r="H39" i="5" s="1"/>
  <c r="H47" i="5" s="1"/>
  <c r="K31" i="8" l="1"/>
  <c r="C29" i="9"/>
  <c r="C31" i="9" s="1"/>
  <c r="J56" i="7"/>
  <c r="J61" i="7" s="1"/>
  <c r="B28" i="7"/>
  <c r="B29" i="7" s="1"/>
  <c r="B30" i="7" s="1"/>
  <c r="B31" i="7" s="1"/>
  <c r="B33" i="7" s="1"/>
  <c r="H32" i="8"/>
  <c r="H59" i="8"/>
  <c r="H33" i="8"/>
  <c r="H58" i="8"/>
  <c r="H58" i="6"/>
  <c r="H60" i="6" s="1"/>
  <c r="H59" i="6"/>
  <c r="H32" i="6"/>
  <c r="H33" i="6"/>
  <c r="I58" i="6"/>
  <c r="J56" i="5"/>
  <c r="J61" i="5" s="1"/>
  <c r="H56" i="5"/>
  <c r="H61" i="5" s="1"/>
  <c r="B29" i="5"/>
  <c r="B30" i="5" s="1"/>
  <c r="B31" i="5" s="1"/>
  <c r="B33" i="5" s="1"/>
  <c r="H60" i="8" l="1"/>
  <c r="H34" i="8"/>
  <c r="H54" i="7" s="1"/>
  <c r="H56" i="7" s="1"/>
  <c r="H59" i="7"/>
  <c r="F33" i="7"/>
  <c r="B37" i="7"/>
  <c r="B39" i="7" s="1"/>
  <c r="B41" i="7" s="1"/>
  <c r="B43" i="7" s="1"/>
  <c r="B45" i="7" s="1"/>
  <c r="B47" i="7" s="1"/>
  <c r="C39" i="7"/>
  <c r="H34" i="6"/>
  <c r="B37" i="5"/>
  <c r="B39" i="5" s="1"/>
  <c r="B41" i="5" s="1"/>
  <c r="B43" i="5" s="1"/>
  <c r="B45" i="5" s="1"/>
  <c r="B47" i="5" s="1"/>
  <c r="C39" i="5"/>
  <c r="F33" i="5"/>
  <c r="H61" i="7" l="1"/>
  <c r="B53" i="7"/>
  <c r="B56" i="7" s="1"/>
  <c r="B53" i="5"/>
  <c r="B56" i="5" s="1"/>
  <c r="C56" i="5"/>
  <c r="B58" i="7" l="1"/>
  <c r="B61" i="7" s="1"/>
  <c r="C56" i="7"/>
  <c r="B58" i="5"/>
  <c r="B61" i="5" s="1"/>
  <c r="C61" i="5"/>
  <c r="C61" i="7" l="1"/>
  <c r="I56" i="3" l="1"/>
  <c r="G56" i="3"/>
  <c r="H56" i="3" s="1"/>
  <c r="A56" i="3"/>
  <c r="I55" i="3"/>
  <c r="G55" i="3"/>
  <c r="H55" i="3" s="1"/>
  <c r="I54" i="3"/>
  <c r="G54" i="3"/>
  <c r="H54" i="3" s="1"/>
  <c r="I53" i="3"/>
  <c r="G53" i="3"/>
  <c r="H53" i="3" s="1"/>
  <c r="I52" i="3"/>
  <c r="G52" i="3"/>
  <c r="H52" i="3" s="1"/>
  <c r="I51" i="3"/>
  <c r="G51" i="3"/>
  <c r="H51" i="3" s="1"/>
  <c r="I50" i="3"/>
  <c r="G50" i="3"/>
  <c r="H50" i="3" s="1"/>
  <c r="I49" i="3"/>
  <c r="G49" i="3"/>
  <c r="H49" i="3" s="1"/>
  <c r="I48" i="3"/>
  <c r="G48" i="3"/>
  <c r="H48" i="3" s="1"/>
  <c r="I47" i="3"/>
  <c r="I58" i="3" s="1"/>
  <c r="G47" i="3"/>
  <c r="H47" i="3" s="1"/>
  <c r="I46" i="3"/>
  <c r="G46" i="3"/>
  <c r="H46" i="3" s="1"/>
  <c r="I45" i="3"/>
  <c r="G45" i="3"/>
  <c r="H45" i="3" s="1"/>
  <c r="B39" i="3"/>
  <c r="C39" i="3" s="1"/>
  <c r="D39" i="3" s="1"/>
  <c r="E39" i="3" s="1"/>
  <c r="F39" i="3" s="1"/>
  <c r="G39" i="3" s="1"/>
  <c r="H39" i="3" s="1"/>
  <c r="I39" i="3" s="1"/>
  <c r="G30" i="3"/>
  <c r="H30" i="3" s="1"/>
  <c r="G29" i="3"/>
  <c r="H29" i="3" s="1"/>
  <c r="H28" i="3"/>
  <c r="G28" i="3"/>
  <c r="G27" i="3"/>
  <c r="H27" i="3" s="1"/>
  <c r="G26" i="3"/>
  <c r="H26" i="3" s="1"/>
  <c r="G25" i="3"/>
  <c r="H25" i="3" s="1"/>
  <c r="G24" i="3"/>
  <c r="H24" i="3" s="1"/>
  <c r="G23" i="3"/>
  <c r="H23" i="3" s="1"/>
  <c r="H22" i="3"/>
  <c r="G22" i="3"/>
  <c r="G21" i="3"/>
  <c r="H21" i="3" s="1"/>
  <c r="G20" i="3"/>
  <c r="H20" i="3" s="1"/>
  <c r="G19" i="3"/>
  <c r="H19" i="3" s="1"/>
  <c r="B13" i="3"/>
  <c r="C13" i="3" s="1"/>
  <c r="D13" i="3" s="1"/>
  <c r="E13" i="3" s="1"/>
  <c r="F13" i="3" s="1"/>
  <c r="G13" i="3" s="1"/>
  <c r="H13" i="3" s="1"/>
  <c r="J59" i="4"/>
  <c r="J54" i="4"/>
  <c r="H33" i="4"/>
  <c r="H39" i="4" s="1"/>
  <c r="H47" i="4" s="1"/>
  <c r="H27" i="4"/>
  <c r="B27" i="4"/>
  <c r="B28" i="4" s="1"/>
  <c r="J59" i="1"/>
  <c r="J54" i="1"/>
  <c r="H59" i="1"/>
  <c r="H54" i="1"/>
  <c r="I56" i="2"/>
  <c r="G56" i="2"/>
  <c r="H56" i="2" s="1"/>
  <c r="I55" i="2"/>
  <c r="G55" i="2"/>
  <c r="H55" i="2" s="1"/>
  <c r="I54" i="2"/>
  <c r="G54" i="2"/>
  <c r="H54" i="2" s="1"/>
  <c r="I53" i="2"/>
  <c r="G53" i="2"/>
  <c r="H53" i="2" s="1"/>
  <c r="I52" i="2"/>
  <c r="G52" i="2"/>
  <c r="H52" i="2" s="1"/>
  <c r="I51" i="2"/>
  <c r="G51" i="2"/>
  <c r="H51" i="2" s="1"/>
  <c r="I50" i="2"/>
  <c r="G50" i="2"/>
  <c r="H50" i="2" s="1"/>
  <c r="I49" i="2"/>
  <c r="G49" i="2"/>
  <c r="H49" i="2" s="1"/>
  <c r="I48" i="2"/>
  <c r="G48" i="2"/>
  <c r="H48" i="2" s="1"/>
  <c r="I47" i="2"/>
  <c r="G47" i="2"/>
  <c r="H47" i="2" s="1"/>
  <c r="I46" i="2"/>
  <c r="G46" i="2"/>
  <c r="H46" i="2" s="1"/>
  <c r="I45" i="2"/>
  <c r="G45" i="2"/>
  <c r="H45" i="2" s="1"/>
  <c r="C39" i="2"/>
  <c r="D39" i="2" s="1"/>
  <c r="E39" i="2" s="1"/>
  <c r="F39" i="2" s="1"/>
  <c r="G39" i="2" s="1"/>
  <c r="H39" i="2" s="1"/>
  <c r="I39" i="2" s="1"/>
  <c r="B39" i="2"/>
  <c r="G30" i="2"/>
  <c r="H30" i="2" s="1"/>
  <c r="A56" i="2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B13" i="2"/>
  <c r="C13" i="2" s="1"/>
  <c r="D13" i="2" s="1"/>
  <c r="E13" i="2" s="1"/>
  <c r="F13" i="2" s="1"/>
  <c r="G13" i="2" s="1"/>
  <c r="H13" i="2" s="1"/>
  <c r="B27" i="1"/>
  <c r="B28" i="1" s="1"/>
  <c r="B29" i="1" s="1"/>
  <c r="B30" i="1" s="1"/>
  <c r="B31" i="1" s="1"/>
  <c r="B33" i="1" s="1"/>
  <c r="H27" i="1"/>
  <c r="H33" i="1" s="1"/>
  <c r="H39" i="1" s="1"/>
  <c r="H47" i="1" s="1"/>
  <c r="H58" i="3" l="1"/>
  <c r="H59" i="3"/>
  <c r="H32" i="3"/>
  <c r="H59" i="4" s="1"/>
  <c r="H33" i="3"/>
  <c r="B29" i="4"/>
  <c r="B30" i="4" s="1"/>
  <c r="B31" i="4" s="1"/>
  <c r="B33" i="4" s="1"/>
  <c r="J56" i="4"/>
  <c r="J61" i="4" s="1"/>
  <c r="H58" i="2"/>
  <c r="H59" i="2"/>
  <c r="H32" i="2"/>
  <c r="H33" i="2"/>
  <c r="I58" i="2"/>
  <c r="J56" i="1"/>
  <c r="J61" i="1" s="1"/>
  <c r="H56" i="1"/>
  <c r="H61" i="1" s="1"/>
  <c r="B37" i="1"/>
  <c r="B39" i="1" s="1"/>
  <c r="B41" i="1" s="1"/>
  <c r="B43" i="1" s="1"/>
  <c r="B45" i="1" s="1"/>
  <c r="B47" i="1" s="1"/>
  <c r="F33" i="1"/>
  <c r="H34" i="3" l="1"/>
  <c r="H54" i="4" s="1"/>
  <c r="H56" i="4" s="1"/>
  <c r="H61" i="4" s="1"/>
  <c r="H60" i="3"/>
  <c r="B37" i="4"/>
  <c r="B39" i="4" s="1"/>
  <c r="B41" i="4" s="1"/>
  <c r="B43" i="4" s="1"/>
  <c r="B45" i="4" s="1"/>
  <c r="B47" i="4" s="1"/>
  <c r="F33" i="4"/>
  <c r="H34" i="2"/>
  <c r="H60" i="2"/>
  <c r="B53" i="1"/>
  <c r="B56" i="1" s="1"/>
  <c r="C39" i="1"/>
  <c r="C39" i="4" l="1"/>
  <c r="B53" i="4"/>
  <c r="B56" i="4" s="1"/>
  <c r="B58" i="1"/>
  <c r="B61" i="1" s="1"/>
  <c r="C56" i="1"/>
  <c r="C56" i="4" l="1"/>
  <c r="B58" i="4"/>
  <c r="B61" i="4" s="1"/>
  <c r="C61" i="4"/>
  <c r="C61" i="1"/>
</calcChain>
</file>

<file path=xl/sharedStrings.xml><?xml version="1.0" encoding="utf-8"?>
<sst xmlns="http://schemas.openxmlformats.org/spreadsheetml/2006/main" count="596" uniqueCount="101">
  <si>
    <t>ES FORM 1.10</t>
  </si>
  <si>
    <t>KENTUCKY UTILITIES COMPANY</t>
  </si>
  <si>
    <t>ENVIRONMENTAL SURCHARGE REPORT</t>
  </si>
  <si>
    <t>Calculation of Total E(m) and</t>
  </si>
  <si>
    <t>Jurisdictional Surcharge Billing Factor</t>
  </si>
  <si>
    <t>For the Expense Month of June 2025</t>
  </si>
  <si>
    <t>Calculation of Total E(m)</t>
  </si>
  <si>
    <t>E(m) = [(RB / 12) (ROR+(ROR -DR)(TR/(1-TR)))] + OE - AS + BR, where</t>
  </si>
  <si>
    <t>RB</t>
  </si>
  <si>
    <t>=</t>
  </si>
  <si>
    <t xml:space="preserve"> Environmental Compliance Rate Base </t>
  </si>
  <si>
    <t>ROR</t>
  </si>
  <si>
    <t xml:space="preserve"> Rate of Return on the Environmental Compliance Rate Base</t>
  </si>
  <si>
    <t>DR</t>
  </si>
  <si>
    <t xml:space="preserve"> Debt Rate (both short-term and long-term debt)</t>
  </si>
  <si>
    <t>TR</t>
  </si>
  <si>
    <t xml:space="preserve"> Composite Federal &amp; State Income Tax Rate</t>
  </si>
  <si>
    <t>OE</t>
  </si>
  <si>
    <t xml:space="preserve"> Pollution Control Operating Expenses </t>
  </si>
  <si>
    <t>BAS</t>
  </si>
  <si>
    <t xml:space="preserve"> Total Proceeds from By-Product and Allowance Sales</t>
  </si>
  <si>
    <t>BR</t>
  </si>
  <si>
    <t xml:space="preserve"> Net Monthly Beneficial Reuse Operations Expenses/(Revenues)</t>
  </si>
  <si>
    <t>All Environmental</t>
  </si>
  <si>
    <t>Compliance Plans</t>
  </si>
  <si>
    <t>RB / 12</t>
  </si>
  <si>
    <t xml:space="preserve">(ROR + (ROR - DR) (TR / (1 - TR)))   </t>
  </si>
  <si>
    <t xml:space="preserve">E(m) </t>
  </si>
  <si>
    <t>Calculation of Adjusted Net Jurisdictional E(m)</t>
  </si>
  <si>
    <t>Jurisdictional Allocation Ratio for Expense Month -- ES Form 3.10</t>
  </si>
  <si>
    <t>Adjustment for (Over)/Under-collection pursuant to Case No. 2023-00376</t>
  </si>
  <si>
    <t>Prior Period Adjustment (if necessary)</t>
  </si>
  <si>
    <t>Revenue Collected through Base Rates</t>
  </si>
  <si>
    <t>Adjusted Net Jurisdictional E(m)     [(9) + (10) + (11) - (12)]</t>
  </si>
  <si>
    <t>Calculation of Group Environmental Surcharge Billing Factors</t>
  </si>
  <si>
    <t>GROUP 1
(Total Revenue)</t>
  </si>
  <si>
    <t>GROUP 2
(Net Revenue)</t>
  </si>
  <si>
    <t xml:space="preserve">Revenue as a Percentage of 12-month Total Revenue </t>
  </si>
  <si>
    <t xml:space="preserve"> ending with the Current Month -- ES Form 3.00</t>
  </si>
  <si>
    <t>Group R(m) = Average Monthly Group Revenue for the 12</t>
  </si>
  <si>
    <t>Months Ending with the Current Expense Month -- ES Form 3.00</t>
  </si>
  <si>
    <t>ES FORM 3.00</t>
  </si>
  <si>
    <t>Monthly Average Revenue Computation of R (m) for GROUP 1 AND GROUP 2</t>
  </si>
  <si>
    <t>GROUP 1 (Total Revenues) - Kentucky Jurisdictional Revenues</t>
  </si>
  <si>
    <t>(1)</t>
  </si>
  <si>
    <t>Fuel Clause</t>
  </si>
  <si>
    <t>Total</t>
  </si>
  <si>
    <t>Non-fuel</t>
  </si>
  <si>
    <t>Revenues Including</t>
  </si>
  <si>
    <t>Environmental</t>
  </si>
  <si>
    <t>Excluding</t>
  </si>
  <si>
    <t>Base Rate</t>
  </si>
  <si>
    <t>Off-System</t>
  </si>
  <si>
    <t>DSM</t>
  </si>
  <si>
    <t>Surcharge</t>
  </si>
  <si>
    <t>Month</t>
  </si>
  <si>
    <t>Revenues</t>
  </si>
  <si>
    <t>Fuel Component</t>
  </si>
  <si>
    <t>Sales Tracker</t>
  </si>
  <si>
    <t>(2)+(3)+(4)+(5)+(6)</t>
  </si>
  <si>
    <t>(7)-(6)</t>
  </si>
  <si>
    <t xml:space="preserve">     Average Monthly Jurisdictional Revenues, Excluding Environmental Surcharge,</t>
  </si>
  <si>
    <t xml:space="preserve">     for 12 Months Ending Current Expense Month.</t>
  </si>
  <si>
    <t xml:space="preserve">     Average Kentucky Jurisdictional Revenues excluding Environmental Surcharge for 12-months ending with Current Month = </t>
  </si>
  <si>
    <t xml:space="preserve">     GROUP 1 Revenues as a Percentage of Total Revenues for 12-months ending with the Current Month</t>
  </si>
  <si>
    <t>GROUP 2 (Net Revenues) - Kentucky Jurisdictional Revenues</t>
  </si>
  <si>
    <t>Total Non-Fuel</t>
  </si>
  <si>
    <t>plus DSM</t>
  </si>
  <si>
    <t>(2)+(5)</t>
  </si>
  <si>
    <t xml:space="preserve">     Average Monthly Jurisdictional Revenues, Excluding Environmental Surcharge and Fuel,</t>
  </si>
  <si>
    <t xml:space="preserve">     GROUP 2 Revenues as a Percentage of Total Revenues for 12-months ending with the Current Month</t>
  </si>
  <si>
    <t>For the Month Ended:   June 30, 2025</t>
  </si>
  <si>
    <t>For the Expense Month of July 2025</t>
  </si>
  <si>
    <t>For the Month Ended:   July 31, 2025</t>
  </si>
  <si>
    <t>ES FORM 3.10</t>
  </si>
  <si>
    <t>Revenues per</t>
  </si>
  <si>
    <t>Form 3.00</t>
  </si>
  <si>
    <t>Income Statement</t>
  </si>
  <si>
    <t>Base Rates (Customer Charge, Energy Charge, Demand Charge)</t>
  </si>
  <si>
    <t>Fuel Adjustment Clause including Off System Sales Tracker</t>
  </si>
  <si>
    <t>Environmental Surcharge</t>
  </si>
  <si>
    <t>CSR Credits</t>
  </si>
  <si>
    <t>EDR Credits</t>
  </si>
  <si>
    <t>Business and Community Solar</t>
  </si>
  <si>
    <t xml:space="preserve">Total Kentucky Jurisdictional Revenues for Environmental Surcharge Purposes = </t>
  </si>
  <si>
    <t>Virginia Retail</t>
  </si>
  <si>
    <t>Wholesale</t>
  </si>
  <si>
    <t>InterSystem (Total Less Transmission Portion Booked in Account 447)</t>
  </si>
  <si>
    <t xml:space="preserve">Total Non-Jurisdictional Revenues for Environmental Surcharge Purposes = </t>
  </si>
  <si>
    <t xml:space="preserve">Total Company Revenues for Environmental Surcharge Purposes = </t>
  </si>
  <si>
    <t xml:space="preserve">Jurisdictional Allocation Ratio for Current Month    [(8) / (13)]    = </t>
  </si>
  <si>
    <t>Brokered</t>
  </si>
  <si>
    <t>InterSystem (Transmission Portion Booked in Account 447)</t>
  </si>
  <si>
    <t>Unbilled</t>
  </si>
  <si>
    <t>Provision for Refund</t>
  </si>
  <si>
    <t>Miscellaneous</t>
  </si>
  <si>
    <t xml:space="preserve">Total Company Revenues per Income Statement =  </t>
  </si>
  <si>
    <t>Form 3.10 - Filed (July)</t>
  </si>
  <si>
    <t>Difference</t>
  </si>
  <si>
    <t>July Group 1 and Group2 Base Rate Revenues and Fuel Component</t>
  </si>
  <si>
    <t>Reconciliation of Reported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</si>
</sst>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&quot;$&quot;* #,##0_);_(&quot;$&quot;* \(#,##0\);_(&quot;$&quot;* &quot;-&quot;??_);_(@_)"/>
    <numFmt numFmtId="166" formatCode="[$-409]mmm\-yy;@"/>
    <numFmt numFmtId="167" formatCode="_(* #,##0_);_(* \(#,##0\);_(* &quot;-&quot;??_);_(@_)"/>
    <numFmt numFmtId="168" formatCode="_(&quot;$&quot;* #,##0.000_);_(&quot;$&quot;* \(#,##0.0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color rgb="FF0000CC"/>
      <name val="Times New Roman"/>
      <family val="1"/>
    </font>
    <font>
      <b/>
      <u val="singleAccounting"/>
      <sz val="10"/>
      <name val="Times New Roman"/>
      <family val="1"/>
    </font>
    <font>
      <sz val="11"/>
      <name val="Aptos Narrow"/>
      <family val="2"/>
      <scheme val="minor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3" fillId="0" borderId="0" xfId="0" applyFont="1"/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165" fontId="2" fillId="0" borderId="0" xfId="2" applyNumberFormat="1" applyFont="1" applyFill="1" applyBorder="1" applyProtection="1"/>
    <xf numFmtId="165" fontId="2" fillId="0" borderId="0" xfId="1" applyNumberFormat="1" applyFont="1" applyFill="1" applyBorder="1" applyProtection="1"/>
    <xf numFmtId="10" fontId="7" fillId="0" borderId="0" xfId="3" applyNumberFormat="1" applyFont="1" applyFill="1" applyBorder="1" applyProtection="1">
      <protection locked="0"/>
    </xf>
    <xf numFmtId="165" fontId="2" fillId="0" borderId="0" xfId="0" applyNumberFormat="1" applyFont="1"/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quotePrefix="1" applyFont="1" applyBorder="1" applyAlignment="1">
      <alignment horizontal="center"/>
    </xf>
    <xf numFmtId="165" fontId="2" fillId="0" borderId="6" xfId="2" applyNumberFormat="1" applyFont="1" applyFill="1" applyBorder="1" applyProtection="1"/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 indent="1"/>
    </xf>
    <xf numFmtId="10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165" fontId="2" fillId="0" borderId="8" xfId="2" applyNumberFormat="1" applyFont="1" applyFill="1" applyBorder="1" applyProtection="1"/>
    <xf numFmtId="166" fontId="2" fillId="0" borderId="0" xfId="0" quotePrefix="1" applyNumberFormat="1" applyFont="1"/>
    <xf numFmtId="167" fontId="2" fillId="0" borderId="0" xfId="1" applyNumberFormat="1" applyFont="1" applyFill="1" applyBorder="1" applyProtection="1">
      <protection locked="0"/>
    </xf>
    <xf numFmtId="167" fontId="2" fillId="0" borderId="0" xfId="0" applyNumberFormat="1" applyFont="1"/>
    <xf numFmtId="0" fontId="2" fillId="0" borderId="5" xfId="0" quotePrefix="1" applyFont="1" applyBorder="1" applyAlignment="1">
      <alignment horizontal="left"/>
    </xf>
    <xf numFmtId="167" fontId="2" fillId="0" borderId="6" xfId="1" applyNumberFormat="1" applyFont="1" applyFill="1" applyBorder="1" applyProtection="1">
      <protection locked="0"/>
    </xf>
    <xf numFmtId="0" fontId="2" fillId="0" borderId="10" xfId="0" applyFont="1" applyBorder="1"/>
    <xf numFmtId="0" fontId="2" fillId="0" borderId="2" xfId="0" applyFont="1" applyBorder="1" applyAlignment="1">
      <alignment horizontal="left" indent="1"/>
    </xf>
    <xf numFmtId="167" fontId="8" fillId="0" borderId="2" xfId="1" applyNumberFormat="1" applyFont="1" applyFill="1" applyBorder="1" applyAlignment="1" applyProtection="1">
      <alignment horizontal="center" wrapText="1"/>
      <protection locked="0"/>
    </xf>
    <xf numFmtId="167" fontId="8" fillId="0" borderId="2" xfId="1" quotePrefix="1" applyNumberFormat="1" applyFont="1" applyFill="1" applyBorder="1" applyAlignment="1" applyProtection="1">
      <alignment horizontal="center" wrapText="1"/>
      <protection locked="0"/>
    </xf>
    <xf numFmtId="166" fontId="2" fillId="0" borderId="7" xfId="0" quotePrefix="1" applyNumberFormat="1" applyFont="1" applyBorder="1"/>
    <xf numFmtId="166" fontId="2" fillId="0" borderId="8" xfId="0" quotePrefix="1" applyNumberFormat="1" applyFont="1" applyBorder="1"/>
    <xf numFmtId="0" fontId="2" fillId="0" borderId="8" xfId="0" applyFont="1" applyBorder="1"/>
    <xf numFmtId="10" fontId="2" fillId="0" borderId="0" xfId="3" applyNumberFormat="1" applyFont="1" applyFill="1" applyBorder="1" applyProtection="1">
      <protection locked="0"/>
    </xf>
    <xf numFmtId="5" fontId="2" fillId="0" borderId="0" xfId="0" applyNumberFormat="1" applyFont="1"/>
    <xf numFmtId="10" fontId="3" fillId="0" borderId="0" xfId="0" applyNumberFormat="1" applyFont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10" fontId="2" fillId="0" borderId="8" xfId="0" applyNumberFormat="1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quotePrefix="1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quotePrefix="1" applyFont="1" applyBorder="1" applyAlignment="1">
      <alignment horizontal="center"/>
    </xf>
    <xf numFmtId="164" fontId="2" fillId="0" borderId="16" xfId="0" quotePrefix="1" applyNumberFormat="1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17" fontId="2" fillId="0" borderId="18" xfId="0" applyNumberFormat="1" applyFont="1" applyBorder="1"/>
    <xf numFmtId="165" fontId="2" fillId="0" borderId="18" xfId="2" applyNumberFormat="1" applyFont="1" applyFill="1" applyBorder="1" applyProtection="1"/>
    <xf numFmtId="17" fontId="2" fillId="0" borderId="0" xfId="0" applyNumberFormat="1" applyFont="1"/>
    <xf numFmtId="167" fontId="2" fillId="0" borderId="18" xfId="2" applyNumberFormat="1" applyFont="1" applyFill="1" applyBorder="1" applyProtection="1"/>
    <xf numFmtId="167" fontId="2" fillId="0" borderId="18" xfId="1" applyNumberFormat="1" applyFont="1" applyBorder="1" applyProtection="1"/>
    <xf numFmtId="167" fontId="2" fillId="0" borderId="0" xfId="1" applyNumberFormat="1" applyFont="1" applyBorder="1" applyProtection="1"/>
    <xf numFmtId="167" fontId="2" fillId="0" borderId="18" xfId="1" applyNumberFormat="1" applyFont="1" applyFill="1" applyBorder="1" applyProtection="1"/>
    <xf numFmtId="167" fontId="2" fillId="0" borderId="0" xfId="1" applyNumberFormat="1" applyFont="1" applyFill="1" applyBorder="1" applyProtection="1"/>
    <xf numFmtId="0" fontId="2" fillId="0" borderId="19" xfId="0" applyFont="1" applyBorder="1"/>
    <xf numFmtId="0" fontId="2" fillId="0" borderId="5" xfId="0" applyFont="1" applyBorder="1" applyAlignment="1">
      <alignment horizontal="centerContinuous"/>
    </xf>
    <xf numFmtId="165" fontId="3" fillId="0" borderId="20" xfId="2" applyNumberFormat="1" applyFont="1" applyFill="1" applyBorder="1" applyProtection="1"/>
    <xf numFmtId="0" fontId="2" fillId="0" borderId="9" xfId="0" quotePrefix="1" applyFont="1" applyBorder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4" xfId="0" quotePrefix="1" applyFont="1" applyBorder="1" applyAlignment="1">
      <alignment horizontal="left"/>
    </xf>
    <xf numFmtId="10" fontId="3" fillId="0" borderId="20" xfId="3" quotePrefix="1" applyNumberFormat="1" applyFont="1" applyFill="1" applyBorder="1" applyAlignment="1" applyProtection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quotePrefix="1" applyFont="1" applyBorder="1" applyAlignment="1">
      <alignment horizontal="center"/>
    </xf>
    <xf numFmtId="17" fontId="2" fillId="0" borderId="0" xfId="0" applyNumberFormat="1" applyFont="1" applyAlignment="1">
      <alignment horizontal="centerContinuous"/>
    </xf>
    <xf numFmtId="10" fontId="2" fillId="0" borderId="0" xfId="3" applyNumberFormat="1" applyFont="1" applyProtection="1"/>
    <xf numFmtId="0" fontId="2" fillId="0" borderId="3" xfId="0" quotePrefix="1" applyFont="1" applyBorder="1" applyAlignment="1">
      <alignment horizontal="left"/>
    </xf>
    <xf numFmtId="0" fontId="2" fillId="2" borderId="8" xfId="0" applyFont="1" applyFill="1" applyBorder="1"/>
    <xf numFmtId="43" fontId="2" fillId="0" borderId="0" xfId="0" applyNumberFormat="1" applyFont="1"/>
    <xf numFmtId="168" fontId="2" fillId="0" borderId="0" xfId="0" applyNumberFormat="1" applyFont="1"/>
    <xf numFmtId="167" fontId="2" fillId="3" borderId="18" xfId="1" applyNumberFormat="1" applyFont="1" applyFill="1" applyBorder="1" applyProtection="1"/>
    <xf numFmtId="10" fontId="2" fillId="3" borderId="0" xfId="3" applyNumberFormat="1" applyFont="1" applyFill="1" applyBorder="1" applyProtection="1">
      <protection locked="0"/>
    </xf>
    <xf numFmtId="165" fontId="2" fillId="3" borderId="0" xfId="2" applyNumberFormat="1" applyFont="1" applyFill="1" applyBorder="1" applyProtection="1"/>
    <xf numFmtId="0" fontId="9" fillId="0" borderId="0" xfId="0" applyFont="1"/>
    <xf numFmtId="167" fontId="2" fillId="4" borderId="18" xfId="1" applyNumberFormat="1" applyFont="1" applyFill="1" applyBorder="1" applyProtection="1"/>
    <xf numFmtId="165" fontId="2" fillId="4" borderId="0" xfId="2" applyNumberFormat="1" applyFont="1" applyFill="1" applyBorder="1" applyProtection="1"/>
    <xf numFmtId="10" fontId="2" fillId="4" borderId="0" xfId="3" applyNumberFormat="1" applyFont="1" applyFill="1" applyBorder="1" applyProtection="1">
      <protection locked="0"/>
    </xf>
    <xf numFmtId="0" fontId="5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6" fillId="0" borderId="0" xfId="0" applyFont="1"/>
    <xf numFmtId="0" fontId="3" fillId="0" borderId="12" xfId="0" applyFont="1" applyBorder="1" applyAlignment="1">
      <alignment horizontal="center"/>
    </xf>
    <xf numFmtId="7" fontId="2" fillId="0" borderId="23" xfId="0" applyNumberFormat="1" applyFont="1" applyBorder="1" applyAlignment="1">
      <alignment horizontal="center"/>
    </xf>
    <xf numFmtId="7" fontId="2" fillId="0" borderId="20" xfId="0" quotePrefix="1" applyNumberFormat="1" applyFont="1" applyBorder="1" applyAlignment="1">
      <alignment horizontal="center"/>
    </xf>
    <xf numFmtId="7" fontId="2" fillId="0" borderId="20" xfId="0" applyNumberFormat="1" applyFont="1" applyBorder="1"/>
    <xf numFmtId="0" fontId="2" fillId="0" borderId="10" xfId="0" quotePrefix="1" applyFont="1" applyBorder="1" applyAlignment="1">
      <alignment horizontal="left"/>
    </xf>
    <xf numFmtId="165" fontId="2" fillId="0" borderId="18" xfId="1" applyNumberFormat="1" applyFont="1" applyFill="1" applyBorder="1" applyProtection="1"/>
    <xf numFmtId="165" fontId="2" fillId="0" borderId="20" xfId="1" applyNumberFormat="1" applyFont="1" applyFill="1" applyBorder="1" applyProtection="1"/>
    <xf numFmtId="0" fontId="2" fillId="0" borderId="10" xfId="0" applyFont="1" applyBorder="1" applyAlignment="1">
      <alignment horizontal="right"/>
    </xf>
    <xf numFmtId="165" fontId="2" fillId="0" borderId="20" xfId="2" applyNumberFormat="1" applyFont="1" applyFill="1" applyBorder="1" applyProtection="1"/>
    <xf numFmtId="165" fontId="2" fillId="0" borderId="17" xfId="0" applyNumberFormat="1" applyFont="1" applyBorder="1"/>
    <xf numFmtId="165" fontId="2" fillId="0" borderId="20" xfId="0" applyNumberFormat="1" applyFont="1" applyBorder="1"/>
    <xf numFmtId="0" fontId="2" fillId="0" borderId="5" xfId="0" applyFont="1" applyBorder="1" applyAlignment="1">
      <alignment horizontal="right"/>
    </xf>
    <xf numFmtId="165" fontId="2" fillId="0" borderId="17" xfId="2" applyNumberFormat="1" applyFont="1" applyFill="1" applyBorder="1" applyProtection="1"/>
    <xf numFmtId="0" fontId="2" fillId="0" borderId="0" xfId="0" quotePrefix="1" applyFont="1" applyAlignment="1">
      <alignment horizontal="right"/>
    </xf>
    <xf numFmtId="10" fontId="2" fillId="0" borderId="16" xfId="3" quotePrefix="1" applyNumberFormat="1" applyFont="1" applyFill="1" applyBorder="1" applyAlignment="1" applyProtection="1">
      <alignment horizontal="center"/>
    </xf>
    <xf numFmtId="0" fontId="2" fillId="0" borderId="12" xfId="0" applyFont="1" applyBorder="1" applyAlignment="1">
      <alignment horizontal="right"/>
    </xf>
    <xf numFmtId="165" fontId="2" fillId="0" borderId="24" xfId="2" applyNumberFormat="1" applyFont="1" applyFill="1" applyBorder="1" applyProtection="1"/>
    <xf numFmtId="7" fontId="2" fillId="0" borderId="20" xfId="0" applyNumberFormat="1" applyFont="1" applyBorder="1" applyAlignment="1">
      <alignment horizontal="center"/>
    </xf>
    <xf numFmtId="7" fontId="2" fillId="0" borderId="19" xfId="0" applyNumberFormat="1" applyFont="1" applyBorder="1"/>
    <xf numFmtId="44" fontId="2" fillId="0" borderId="0" xfId="0" applyNumberFormat="1" applyFont="1"/>
    <xf numFmtId="44" fontId="0" fillId="0" borderId="0" xfId="2" applyFont="1"/>
    <xf numFmtId="44" fontId="0" fillId="0" borderId="0" xfId="0" applyNumberFormat="1"/>
    <xf numFmtId="43" fontId="2" fillId="0" borderId="0" xfId="1" applyFont="1" applyFill="1" applyProtection="1"/>
    <xf numFmtId="43" fontId="2" fillId="0" borderId="0" xfId="1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quotePrefix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C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4BF8-CBA0-44D1-A440-2A793459B35A}">
  <sheetPr>
    <tabColor theme="7" tint="0.79998168889431442"/>
  </sheetPr>
  <dimension ref="A3:X74"/>
  <sheetViews>
    <sheetView tabSelected="1" workbookViewId="0"/>
  </sheetViews>
  <sheetFormatPr defaultColWidth="9.140625" defaultRowHeight="15" x14ac:dyDescent="0.25"/>
  <cols>
    <col min="1" max="1" width="6.140625" style="1" customWidth="1"/>
    <col min="2" max="2" width="4.85546875" style="1" customWidth="1"/>
    <col min="3" max="3" width="5.140625" style="1" customWidth="1"/>
    <col min="4" max="4" width="12.7109375" style="1" customWidth="1"/>
    <col min="5" max="5" width="3.7109375" style="1" customWidth="1"/>
    <col min="6" max="6" width="44.5703125" style="1" customWidth="1"/>
    <col min="7" max="7" width="3.42578125" style="1" customWidth="1"/>
    <col min="8" max="8" width="22.85546875" style="1" customWidth="1"/>
    <col min="9" max="9" width="2.7109375" style="1" customWidth="1"/>
    <col min="10" max="10" width="22.85546875" style="1" customWidth="1"/>
    <col min="11" max="11" width="2.7109375" style="1" customWidth="1"/>
    <col min="12" max="12" width="8.5703125" style="1" customWidth="1"/>
    <col min="13" max="13" width="9.5703125" bestFit="1" customWidth="1"/>
    <col min="14" max="14" width="14.5703125" bestFit="1" customWidth="1"/>
    <col min="15" max="16" width="4.140625" customWidth="1"/>
    <col min="19" max="19" width="16.42578125" customWidth="1"/>
    <col min="20" max="20" width="11.7109375" customWidth="1"/>
    <col min="24" max="16384" width="9.140625" style="1"/>
  </cols>
  <sheetData>
    <row r="3" spans="1:12" x14ac:dyDescent="0.25">
      <c r="J3" s="2" t="s">
        <v>0</v>
      </c>
      <c r="L3" s="2"/>
    </row>
    <row r="4" spans="1:12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75" x14ac:dyDescent="0.3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4"/>
    </row>
    <row r="6" spans="1:12" ht="18.75" x14ac:dyDescent="0.3">
      <c r="A6" s="131" t="s">
        <v>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4"/>
    </row>
    <row r="7" spans="1:12" x14ac:dyDescent="0.25">
      <c r="A7" s="132" t="s">
        <v>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5"/>
    </row>
    <row r="8" spans="1:12" x14ac:dyDescent="0.25">
      <c r="A8" s="132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132" t="s">
        <v>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5"/>
    </row>
    <row r="12" spans="1:12" x14ac:dyDescent="0.25">
      <c r="A12" s="6" t="s">
        <v>6</v>
      </c>
      <c r="B12" s="7"/>
    </row>
    <row r="13" spans="1:12" x14ac:dyDescent="0.25">
      <c r="A13" s="7"/>
      <c r="B13" s="7"/>
    </row>
    <row r="14" spans="1:12" x14ac:dyDescent="0.25">
      <c r="C14" s="8" t="s">
        <v>7</v>
      </c>
      <c r="D14" s="9"/>
      <c r="E14" s="10"/>
    </row>
    <row r="15" spans="1:12" x14ac:dyDescent="0.25">
      <c r="D15" s="7" t="s">
        <v>8</v>
      </c>
      <c r="E15" s="10" t="s">
        <v>9</v>
      </c>
      <c r="F15" s="1" t="s">
        <v>10</v>
      </c>
    </row>
    <row r="16" spans="1:12" x14ac:dyDescent="0.25">
      <c r="D16" s="7" t="s">
        <v>11</v>
      </c>
      <c r="E16" s="10" t="s">
        <v>9</v>
      </c>
      <c r="F16" s="1" t="s">
        <v>12</v>
      </c>
    </row>
    <row r="17" spans="2:24" x14ac:dyDescent="0.25">
      <c r="D17" s="7" t="s">
        <v>13</v>
      </c>
      <c r="E17" s="10" t="s">
        <v>9</v>
      </c>
      <c r="F17" s="1" t="s">
        <v>14</v>
      </c>
    </row>
    <row r="18" spans="2:24" x14ac:dyDescent="0.25">
      <c r="D18" s="7" t="s">
        <v>15</v>
      </c>
      <c r="E18" s="10" t="s">
        <v>9</v>
      </c>
      <c r="F18" s="1" t="s">
        <v>16</v>
      </c>
    </row>
    <row r="19" spans="2:24" x14ac:dyDescent="0.25">
      <c r="D19" s="7" t="s">
        <v>17</v>
      </c>
      <c r="E19" s="10" t="s">
        <v>9</v>
      </c>
      <c r="F19" s="1" t="s">
        <v>18</v>
      </c>
    </row>
    <row r="20" spans="2:24" x14ac:dyDescent="0.25">
      <c r="D20" s="7" t="s">
        <v>19</v>
      </c>
      <c r="E20" s="9" t="s">
        <v>9</v>
      </c>
      <c r="F20" s="11" t="s">
        <v>20</v>
      </c>
      <c r="J20"/>
      <c r="K20"/>
    </row>
    <row r="21" spans="2:24" x14ac:dyDescent="0.25">
      <c r="D21" s="7" t="s">
        <v>21</v>
      </c>
      <c r="E21" s="9" t="s">
        <v>9</v>
      </c>
      <c r="F21" s="1" t="s">
        <v>22</v>
      </c>
      <c r="J21"/>
      <c r="K21"/>
    </row>
    <row r="22" spans="2:24" x14ac:dyDescent="0.25">
      <c r="D22" s="7"/>
      <c r="E22" s="10"/>
      <c r="I22"/>
      <c r="J22"/>
      <c r="K22"/>
    </row>
    <row r="23" spans="2:24" x14ac:dyDescent="0.25">
      <c r="B23" s="12"/>
      <c r="C23" s="13"/>
      <c r="D23" s="14"/>
      <c r="E23" s="15"/>
      <c r="F23" s="13"/>
      <c r="G23" s="16"/>
      <c r="H23" s="16" t="s">
        <v>23</v>
      </c>
      <c r="I23" s="17"/>
      <c r="J23" s="9"/>
      <c r="K23"/>
    </row>
    <row r="24" spans="2:24" x14ac:dyDescent="0.25">
      <c r="B24" s="19"/>
      <c r="D24" s="7"/>
      <c r="E24" s="10"/>
      <c r="H24" s="9" t="s">
        <v>24</v>
      </c>
      <c r="I24" s="17"/>
      <c r="J24" s="9"/>
      <c r="K24"/>
    </row>
    <row r="25" spans="2:24" x14ac:dyDescent="0.25">
      <c r="B25" s="19"/>
      <c r="D25" s="7"/>
      <c r="E25" s="10"/>
      <c r="I25" s="17"/>
      <c r="K25"/>
    </row>
    <row r="26" spans="2:24" x14ac:dyDescent="0.25">
      <c r="B26" s="20">
        <v>-1</v>
      </c>
      <c r="C26" s="1" t="s">
        <v>8</v>
      </c>
      <c r="G26" s="10" t="s">
        <v>9</v>
      </c>
      <c r="H26" s="21">
        <v>654536021</v>
      </c>
      <c r="I26" s="17"/>
      <c r="J26" s="21"/>
      <c r="K26"/>
    </row>
    <row r="27" spans="2:24" x14ac:dyDescent="0.25">
      <c r="B27" s="20">
        <f>B26-1</f>
        <v>-2</v>
      </c>
      <c r="C27" s="1" t="s">
        <v>25</v>
      </c>
      <c r="G27" s="10" t="s">
        <v>9</v>
      </c>
      <c r="H27" s="22">
        <f>ROUND(H26/12,0)</f>
        <v>54544668</v>
      </c>
      <c r="I27" s="17"/>
      <c r="J27" s="22"/>
      <c r="K27"/>
    </row>
    <row r="28" spans="2:24" x14ac:dyDescent="0.25">
      <c r="B28" s="20">
        <f>B27-1</f>
        <v>-3</v>
      </c>
      <c r="C28" s="1" t="s">
        <v>26</v>
      </c>
      <c r="G28" s="10" t="s">
        <v>9</v>
      </c>
      <c r="H28" s="49">
        <v>8.7300000000000003E-2</v>
      </c>
      <c r="I28" s="17"/>
      <c r="J28" s="23"/>
      <c r="K28"/>
      <c r="X28"/>
    </row>
    <row r="29" spans="2:24" x14ac:dyDescent="0.25">
      <c r="B29" s="20">
        <f>B28-1</f>
        <v>-4</v>
      </c>
      <c r="C29" s="1" t="s">
        <v>17</v>
      </c>
      <c r="G29" s="10" t="s">
        <v>9</v>
      </c>
      <c r="H29" s="22">
        <v>3638939.7103133686</v>
      </c>
      <c r="I29" s="17"/>
      <c r="J29" s="22"/>
      <c r="K29"/>
      <c r="X29"/>
    </row>
    <row r="30" spans="2:24" x14ac:dyDescent="0.25">
      <c r="B30" s="20">
        <f>B29-1</f>
        <v>-5</v>
      </c>
      <c r="C30" s="1" t="s">
        <v>19</v>
      </c>
      <c r="G30" s="10" t="s">
        <v>9</v>
      </c>
      <c r="H30" s="22">
        <v>0</v>
      </c>
      <c r="I30" s="17"/>
      <c r="J30" s="22"/>
      <c r="K30"/>
      <c r="X30"/>
    </row>
    <row r="31" spans="2:24" x14ac:dyDescent="0.25">
      <c r="B31" s="20">
        <f>B30-1</f>
        <v>-6</v>
      </c>
      <c r="C31" s="1" t="s">
        <v>21</v>
      </c>
      <c r="G31" s="10" t="s">
        <v>9</v>
      </c>
      <c r="H31" s="22">
        <v>-2149242.2408333332</v>
      </c>
      <c r="I31" s="17"/>
      <c r="J31" s="22"/>
      <c r="K31"/>
      <c r="X31"/>
    </row>
    <row r="32" spans="2:24" x14ac:dyDescent="0.25">
      <c r="B32" s="20"/>
      <c r="H32" s="24"/>
      <c r="I32" s="17"/>
      <c r="J32" s="24"/>
      <c r="K32"/>
      <c r="X32"/>
    </row>
    <row r="33" spans="1:24" x14ac:dyDescent="0.25">
      <c r="B33" s="25">
        <f>B31-1</f>
        <v>-7</v>
      </c>
      <c r="C33" s="26" t="s">
        <v>27</v>
      </c>
      <c r="D33" s="26"/>
      <c r="E33" s="26"/>
      <c r="F33" s="27" t="str">
        <f>TEXT(B27*-1,"(0)")&amp;" x "&amp;TEXT(B28*-1,"(0)")&amp;" + "&amp;TEXT(B29*-1,"(0)")&amp;" - "&amp;TEXT(B30*-1,"(0)")&amp;" + "&amp;TEXT(B31*-1,"(0)")</f>
        <v>(2) x (3) + (4) - (5) + (6)</v>
      </c>
      <c r="G33" s="28" t="s">
        <v>9</v>
      </c>
      <c r="H33" s="29">
        <f>ROUND((H27*H28)+H29-H30+H31,0)</f>
        <v>6251447</v>
      </c>
      <c r="I33" s="17"/>
      <c r="J33" s="21"/>
      <c r="K33"/>
      <c r="X33"/>
    </row>
    <row r="34" spans="1:24" x14ac:dyDescent="0.25">
      <c r="B34" s="30"/>
      <c r="I34"/>
      <c r="J34"/>
      <c r="K34"/>
      <c r="X34"/>
    </row>
    <row r="35" spans="1:24" x14ac:dyDescent="0.25">
      <c r="A35" s="6" t="s">
        <v>28</v>
      </c>
      <c r="B35" s="30"/>
      <c r="I35"/>
      <c r="J35"/>
      <c r="K35"/>
      <c r="X35"/>
    </row>
    <row r="36" spans="1:24" ht="12.75" customHeight="1" x14ac:dyDescent="0.25">
      <c r="A36" s="6"/>
      <c r="B36" s="31"/>
      <c r="C36" s="13"/>
      <c r="D36" s="13"/>
      <c r="E36" s="13"/>
      <c r="F36" s="13"/>
      <c r="G36" s="13"/>
      <c r="H36" s="54"/>
      <c r="X36"/>
    </row>
    <row r="37" spans="1:24" ht="12.75" customHeight="1" x14ac:dyDescent="0.25">
      <c r="B37" s="20">
        <f>B33-1</f>
        <v>-8</v>
      </c>
      <c r="C37" s="32" t="s">
        <v>29</v>
      </c>
      <c r="G37" s="10" t="s">
        <v>9</v>
      </c>
      <c r="H37" s="55">
        <v>0.90890000000000004</v>
      </c>
      <c r="J37" s="33"/>
      <c r="K37" s="34"/>
      <c r="X37"/>
    </row>
    <row r="38" spans="1:24" ht="12.75" customHeight="1" x14ac:dyDescent="0.25">
      <c r="B38" s="20"/>
      <c r="C38" s="35"/>
      <c r="G38" s="10"/>
      <c r="H38" s="36"/>
      <c r="J38" s="21"/>
      <c r="X38"/>
    </row>
    <row r="39" spans="1:24" ht="12.75" customHeight="1" x14ac:dyDescent="0.25">
      <c r="B39" s="20">
        <f>B37-1</f>
        <v>-9</v>
      </c>
      <c r="C39" s="35" t="str">
        <f>"Jurisdictional E(m) = Total E(m) x Jurisdictional Allocation Ratio   ["&amp;TEXT(B33*-1,"(0)")&amp;" x "&amp;TEXT(B37*-1,"(0)")&amp;"]"</f>
        <v>Jurisdictional E(m) = Total E(m) x Jurisdictional Allocation Ratio   [(7) x (8)]</v>
      </c>
      <c r="G39" s="10" t="s">
        <v>9</v>
      </c>
      <c r="H39" s="36">
        <f>ROUND(+H33*H37,0)</f>
        <v>5681940</v>
      </c>
      <c r="J39" s="21"/>
      <c r="K39" s="34"/>
      <c r="X39"/>
    </row>
    <row r="40" spans="1:24" ht="12.75" customHeight="1" x14ac:dyDescent="0.25">
      <c r="B40" s="20"/>
      <c r="C40" s="35"/>
      <c r="G40" s="10"/>
      <c r="H40" s="36"/>
      <c r="J40" s="21"/>
      <c r="X40"/>
    </row>
    <row r="41" spans="1:24" ht="12.75" customHeight="1" x14ac:dyDescent="0.25">
      <c r="B41" s="20">
        <f>B39-1</f>
        <v>-10</v>
      </c>
      <c r="C41" s="32" t="s">
        <v>30</v>
      </c>
      <c r="G41" s="10" t="s">
        <v>9</v>
      </c>
      <c r="H41" s="36">
        <v>0</v>
      </c>
      <c r="J41" s="21"/>
      <c r="K41" s="37"/>
      <c r="X41"/>
    </row>
    <row r="42" spans="1:24" ht="12.75" customHeight="1" x14ac:dyDescent="0.25">
      <c r="B42" s="20"/>
      <c r="C42" s="35"/>
      <c r="G42" s="10"/>
      <c r="H42" s="36"/>
      <c r="J42" s="21"/>
      <c r="X42"/>
    </row>
    <row r="43" spans="1:24" ht="12.75" customHeight="1" x14ac:dyDescent="0.25">
      <c r="B43" s="20">
        <f>B41-1</f>
        <v>-11</v>
      </c>
      <c r="C43" s="32" t="s">
        <v>31</v>
      </c>
      <c r="G43" s="10" t="s">
        <v>9</v>
      </c>
      <c r="H43" s="36">
        <v>0</v>
      </c>
      <c r="J43"/>
      <c r="X43"/>
    </row>
    <row r="44" spans="1:24" ht="12.75" customHeight="1" x14ac:dyDescent="0.25">
      <c r="B44" s="20"/>
      <c r="C44" s="35"/>
      <c r="G44" s="10"/>
      <c r="H44" s="36"/>
      <c r="J44" s="21"/>
      <c r="X44"/>
    </row>
    <row r="45" spans="1:24" ht="12.75" customHeight="1" x14ac:dyDescent="0.25">
      <c r="B45" s="20">
        <f>B43-1</f>
        <v>-12</v>
      </c>
      <c r="C45" s="35" t="s">
        <v>32</v>
      </c>
      <c r="G45" s="10" t="s">
        <v>9</v>
      </c>
      <c r="H45" s="36">
        <v>5932201</v>
      </c>
      <c r="J45" s="21"/>
      <c r="X45"/>
    </row>
    <row r="46" spans="1:24" ht="12.75" customHeight="1" x14ac:dyDescent="0.25">
      <c r="B46" s="20"/>
      <c r="C46" s="35"/>
      <c r="G46" s="10"/>
      <c r="H46" s="36"/>
      <c r="J46" s="21"/>
      <c r="X46"/>
    </row>
    <row r="47" spans="1:24" ht="12.75" customHeight="1" x14ac:dyDescent="0.25">
      <c r="B47" s="20">
        <f>+B45-1</f>
        <v>-13</v>
      </c>
      <c r="C47" s="32" t="s">
        <v>33</v>
      </c>
      <c r="D47" s="32"/>
      <c r="E47" s="32"/>
      <c r="F47" s="32"/>
      <c r="G47" s="10" t="s">
        <v>9</v>
      </c>
      <c r="H47" s="36">
        <f>+H39+H41+H43-H45</f>
        <v>-250261</v>
      </c>
      <c r="J47" s="38"/>
      <c r="K47" s="37"/>
      <c r="X47"/>
    </row>
    <row r="48" spans="1:24" ht="12.75" customHeight="1" x14ac:dyDescent="0.25">
      <c r="B48" s="25"/>
      <c r="C48" s="40"/>
      <c r="D48" s="27"/>
      <c r="E48" s="27"/>
      <c r="F48" s="27"/>
      <c r="G48" s="28"/>
      <c r="H48" s="41"/>
      <c r="J48" s="38"/>
      <c r="K48" s="37"/>
      <c r="X48"/>
    </row>
    <row r="49" spans="1:24" x14ac:dyDescent="0.25">
      <c r="B49" s="30"/>
      <c r="C49" s="8"/>
      <c r="D49" s="7"/>
      <c r="E49" s="7"/>
      <c r="F49" s="7"/>
      <c r="G49" s="10"/>
      <c r="H49" s="38"/>
      <c r="J49" s="38"/>
      <c r="K49" s="37"/>
      <c r="L49" s="38"/>
      <c r="X49"/>
    </row>
    <row r="50" spans="1:24" x14ac:dyDescent="0.25">
      <c r="A50" s="6" t="s">
        <v>34</v>
      </c>
      <c r="B50" s="30"/>
      <c r="C50" s="35"/>
      <c r="G50" s="10"/>
      <c r="H50" s="38"/>
      <c r="J50" s="38"/>
      <c r="K50" s="37"/>
    </row>
    <row r="51" spans="1:24" ht="34.5" customHeight="1" x14ac:dyDescent="0.35">
      <c r="A51" s="6"/>
      <c r="B51" s="31"/>
      <c r="C51" s="43"/>
      <c r="D51" s="13"/>
      <c r="E51" s="13"/>
      <c r="F51" s="13"/>
      <c r="G51" s="15"/>
      <c r="H51" s="44" t="s">
        <v>35</v>
      </c>
      <c r="I51" s="13"/>
      <c r="J51" s="45" t="s">
        <v>36</v>
      </c>
      <c r="K51" s="46"/>
    </row>
    <row r="52" spans="1:24" x14ac:dyDescent="0.25">
      <c r="B52" s="20"/>
      <c r="C52" s="35"/>
      <c r="G52" s="10"/>
      <c r="H52" s="38"/>
      <c r="J52" s="38"/>
      <c r="K52" s="47"/>
    </row>
    <row r="53" spans="1:24" x14ac:dyDescent="0.25">
      <c r="B53" s="20">
        <f>B47-1</f>
        <v>-14</v>
      </c>
      <c r="C53" s="32" t="s">
        <v>37</v>
      </c>
      <c r="K53" s="47"/>
    </row>
    <row r="54" spans="1:24" x14ac:dyDescent="0.25">
      <c r="B54" s="20"/>
      <c r="C54" s="32" t="s">
        <v>38</v>
      </c>
      <c r="G54" s="10" t="s">
        <v>9</v>
      </c>
      <c r="H54" s="49">
        <f>'Form 3.00 - Filed (June)'!H34</f>
        <v>0.41980000000000001</v>
      </c>
      <c r="I54" s="33"/>
      <c r="J54" s="49">
        <f>'Form 3.00 - Filed (June)'!H60</f>
        <v>0.58020000000000005</v>
      </c>
      <c r="K54" s="47"/>
      <c r="L54" s="38"/>
    </row>
    <row r="55" spans="1:24" x14ac:dyDescent="0.25">
      <c r="B55" s="20"/>
      <c r="C55" s="32"/>
      <c r="G55" s="10"/>
      <c r="H55" s="38"/>
      <c r="J55" s="38"/>
      <c r="K55" s="47"/>
      <c r="L55" s="38"/>
    </row>
    <row r="56" spans="1:24" x14ac:dyDescent="0.25">
      <c r="B56" s="20">
        <f>B53-1</f>
        <v>-15</v>
      </c>
      <c r="C56" s="35" t="str">
        <f>"Group E(m)     ["&amp;TEXT(B47*-1,"(0)")&amp;" x "&amp;TEXT(B53*-1,"(0)")&amp;"]"</f>
        <v>Group E(m)     [(13) x (14)]</v>
      </c>
      <c r="G56" s="10" t="s">
        <v>9</v>
      </c>
      <c r="H56" s="21">
        <f>ROUND(+$H$47*H54,0)</f>
        <v>-105060</v>
      </c>
      <c r="J56" s="21">
        <f>ROUND(+$H$47*J54,0)</f>
        <v>-145201</v>
      </c>
      <c r="K56" s="47"/>
    </row>
    <row r="57" spans="1:24" x14ac:dyDescent="0.25">
      <c r="B57" s="20"/>
      <c r="C57" s="35"/>
      <c r="G57" s="10"/>
      <c r="H57" s="38"/>
      <c r="J57" s="38"/>
      <c r="K57" s="47"/>
    </row>
    <row r="58" spans="1:24" x14ac:dyDescent="0.25">
      <c r="B58" s="20">
        <f>+B56-1</f>
        <v>-16</v>
      </c>
      <c r="C58" s="32" t="s">
        <v>39</v>
      </c>
      <c r="K58" s="48"/>
    </row>
    <row r="59" spans="1:24" x14ac:dyDescent="0.25">
      <c r="B59" s="20"/>
      <c r="D59" s="32" t="s">
        <v>40</v>
      </c>
      <c r="G59" s="10" t="s">
        <v>9</v>
      </c>
      <c r="H59" s="21">
        <f>'Form 3.00 - Filed (June)'!H32</f>
        <v>63981299</v>
      </c>
      <c r="J59" s="21">
        <f>'Form 3.00 - Filed (June)'!I58</f>
        <v>62944693</v>
      </c>
      <c r="K59" s="48"/>
    </row>
    <row r="60" spans="1:24" x14ac:dyDescent="0.25">
      <c r="B60" s="20"/>
      <c r="C60" s="35"/>
      <c r="G60" s="10"/>
      <c r="H60" s="50"/>
      <c r="J60" s="50"/>
      <c r="K60" s="48"/>
    </row>
    <row r="61" spans="1:24" x14ac:dyDescent="0.25">
      <c r="B61" s="20">
        <f>B58-1</f>
        <v>-17</v>
      </c>
      <c r="C61" s="35" t="str">
        <f>"Group Environmental Surcharge Billing Factors     ["&amp;TEXT(B56*-1,"(0)")&amp;" ÷ "&amp;TEXT(B58*-1,"(0)")&amp;"]"</f>
        <v>Group Environmental Surcharge Billing Factors     [(15) ÷ (16)]</v>
      </c>
      <c r="G61" s="10" t="s">
        <v>9</v>
      </c>
      <c r="H61" s="51">
        <f>ROUND(+H56/H59,4)</f>
        <v>-1.6000000000000001E-3</v>
      </c>
      <c r="J61" s="51">
        <f>ROUND(+J56/J59,4)</f>
        <v>-2.3E-3</v>
      </c>
      <c r="K61" s="48"/>
    </row>
    <row r="62" spans="1:24" x14ac:dyDescent="0.25">
      <c r="B62" s="52"/>
      <c r="C62" s="26"/>
      <c r="D62" s="26"/>
      <c r="E62" s="26"/>
      <c r="F62" s="26"/>
      <c r="G62" s="26"/>
      <c r="H62" s="26"/>
      <c r="I62" s="26"/>
      <c r="J62" s="26"/>
      <c r="K62" s="53"/>
    </row>
    <row r="64" spans="1:24" x14ac:dyDescent="0.25">
      <c r="B64" s="30"/>
      <c r="H64"/>
      <c r="I64"/>
      <c r="J64"/>
    </row>
    <row r="65" spans="2:10" x14ac:dyDescent="0.25">
      <c r="B65" s="30"/>
      <c r="H65"/>
      <c r="I65"/>
      <c r="J65"/>
    </row>
    <row r="66" spans="2:10" x14ac:dyDescent="0.25">
      <c r="H66"/>
      <c r="I66"/>
      <c r="J66"/>
    </row>
    <row r="67" spans="2:10" x14ac:dyDescent="0.25">
      <c r="H67"/>
      <c r="I67"/>
      <c r="J67"/>
    </row>
    <row r="68" spans="2:10" x14ac:dyDescent="0.25">
      <c r="H68"/>
      <c r="I68"/>
      <c r="J68"/>
    </row>
    <row r="69" spans="2:10" x14ac:dyDescent="0.25">
      <c r="H69"/>
      <c r="I69"/>
      <c r="J69"/>
    </row>
    <row r="70" spans="2:10" x14ac:dyDescent="0.25">
      <c r="H70" s="39"/>
      <c r="J70" s="39"/>
    </row>
    <row r="72" spans="2:10" x14ac:dyDescent="0.25">
      <c r="H72" s="24"/>
      <c r="J72" s="24"/>
    </row>
    <row r="73" spans="2:10" x14ac:dyDescent="0.25">
      <c r="H73" s="50"/>
      <c r="J73" s="50"/>
    </row>
    <row r="74" spans="2:10" x14ac:dyDescent="0.25">
      <c r="H74" s="33"/>
      <c r="J74" s="33"/>
    </row>
  </sheetData>
  <mergeCells count="5">
    <mergeCell ref="A5:K5"/>
    <mergeCell ref="A6:K6"/>
    <mergeCell ref="A7:K7"/>
    <mergeCell ref="A8:K8"/>
    <mergeCell ref="A10:K10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74FA-6BD2-4270-87C7-2BB52BC2DE41}">
  <sheetPr>
    <tabColor rgb="FFFCD0D0"/>
  </sheetPr>
  <dimension ref="A3:Q100"/>
  <sheetViews>
    <sheetView workbookViewId="0"/>
  </sheetViews>
  <sheetFormatPr defaultColWidth="9.140625" defaultRowHeight="15" x14ac:dyDescent="0.25"/>
  <cols>
    <col min="1" max="1" width="16.85546875" style="1" customWidth="1"/>
    <col min="2" max="6" width="17.7109375" style="1" customWidth="1"/>
    <col min="7" max="7" width="21.7109375" style="1" customWidth="1"/>
    <col min="8" max="8" width="18.7109375" style="1" bestFit="1" customWidth="1"/>
    <col min="9" max="9" width="17.7109375" style="1" customWidth="1"/>
    <col min="10" max="10" width="43" style="1" customWidth="1"/>
    <col min="11" max="11" width="16.85546875" customWidth="1"/>
    <col min="12" max="12" width="9.85546875" customWidth="1"/>
    <col min="13" max="13" width="13.42578125" style="1" bestFit="1" customWidth="1"/>
    <col min="14" max="14" width="16.5703125" style="1" customWidth="1"/>
    <col min="15" max="15" width="13.42578125" style="1" bestFit="1" customWidth="1"/>
    <col min="16" max="16" width="14.42578125" style="1" customWidth="1"/>
    <col min="17" max="17" width="13.42578125" style="1" bestFit="1" customWidth="1"/>
    <col min="18" max="16384" width="9.140625" style="1"/>
  </cols>
  <sheetData>
    <row r="3" spans="1:10" x14ac:dyDescent="0.25">
      <c r="I3" s="56" t="s">
        <v>41</v>
      </c>
      <c r="J3" s="56"/>
    </row>
    <row r="4" spans="1:10" ht="18.75" x14ac:dyDescent="0.3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57"/>
    </row>
    <row r="5" spans="1:10" ht="18.75" x14ac:dyDescent="0.3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57"/>
    </row>
    <row r="6" spans="1:10" x14ac:dyDescent="0.25">
      <c r="A6" s="136" t="s">
        <v>42</v>
      </c>
      <c r="B6" s="136"/>
      <c r="C6" s="136"/>
      <c r="D6" s="136"/>
      <c r="E6" s="136"/>
      <c r="F6" s="136"/>
      <c r="G6" s="136"/>
      <c r="H6" s="136"/>
      <c r="I6" s="136"/>
      <c r="J6" s="58"/>
    </row>
    <row r="7" spans="1:10" x14ac:dyDescent="0.25">
      <c r="A7" s="60"/>
      <c r="B7" s="59"/>
      <c r="C7" s="59"/>
      <c r="D7" s="59"/>
      <c r="E7" s="59"/>
      <c r="H7" s="59"/>
      <c r="I7" s="59"/>
      <c r="J7" s="59"/>
    </row>
    <row r="8" spans="1:10" x14ac:dyDescent="0.25">
      <c r="A8" s="132" t="s">
        <v>73</v>
      </c>
      <c r="B8" s="132"/>
      <c r="C8" s="132"/>
      <c r="D8" s="132"/>
      <c r="E8" s="132"/>
      <c r="F8" s="132"/>
      <c r="G8" s="132"/>
      <c r="H8" s="132"/>
      <c r="I8" s="132"/>
      <c r="J8" s="18"/>
    </row>
    <row r="9" spans="1:10" ht="15.75" thickBot="1" x14ac:dyDescent="0.3">
      <c r="A9" s="61"/>
      <c r="B9" s="61"/>
      <c r="C9" s="61"/>
      <c r="D9" s="61"/>
      <c r="E9" s="61"/>
      <c r="F9" s="61"/>
      <c r="G9" s="61"/>
      <c r="H9" s="61"/>
      <c r="I9" s="9"/>
      <c r="J9" s="9"/>
    </row>
    <row r="10" spans="1:10" ht="15.75" thickTop="1" x14ac:dyDescent="0.25">
      <c r="A10" s="19"/>
      <c r="B10" s="19"/>
      <c r="H10" s="62"/>
      <c r="I10" s="9"/>
      <c r="J10" s="9"/>
    </row>
    <row r="11" spans="1:10" x14ac:dyDescent="0.25">
      <c r="A11" s="19"/>
      <c r="B11" s="133" t="s">
        <v>43</v>
      </c>
      <c r="C11" s="134"/>
      <c r="D11" s="134"/>
      <c r="E11" s="134"/>
      <c r="F11" s="134"/>
      <c r="G11" s="134"/>
      <c r="H11" s="135"/>
      <c r="I11" s="9"/>
      <c r="J11" s="9"/>
    </row>
    <row r="12" spans="1:10" ht="15.75" thickBot="1" x14ac:dyDescent="0.3">
      <c r="A12" s="63"/>
      <c r="B12" s="63"/>
      <c r="C12" s="61"/>
      <c r="D12" s="61"/>
      <c r="E12" s="61"/>
      <c r="F12" s="61"/>
      <c r="G12" s="61"/>
      <c r="H12" s="64"/>
      <c r="I12" s="9"/>
      <c r="J12" s="9"/>
    </row>
    <row r="13" spans="1:10" ht="16.5" thickTop="1" thickBot="1" x14ac:dyDescent="0.3">
      <c r="A13" s="65" t="s">
        <v>44</v>
      </c>
      <c r="B13" s="66">
        <f t="shared" ref="B13:H13" si="0">A13-1</f>
        <v>-2</v>
      </c>
      <c r="C13" s="66">
        <f t="shared" si="0"/>
        <v>-3</v>
      </c>
      <c r="D13" s="66">
        <f t="shared" si="0"/>
        <v>-4</v>
      </c>
      <c r="E13" s="66">
        <f t="shared" si="0"/>
        <v>-5</v>
      </c>
      <c r="F13" s="66">
        <f t="shared" si="0"/>
        <v>-6</v>
      </c>
      <c r="G13" s="66">
        <f t="shared" si="0"/>
        <v>-7</v>
      </c>
      <c r="H13" s="66">
        <f t="shared" si="0"/>
        <v>-8</v>
      </c>
      <c r="I13" s="9"/>
      <c r="J13" s="9"/>
    </row>
    <row r="14" spans="1:10" ht="15.75" thickTop="1" x14ac:dyDescent="0.25">
      <c r="A14" s="67"/>
      <c r="B14" s="68"/>
      <c r="C14" s="68"/>
      <c r="D14" s="9" t="s">
        <v>45</v>
      </c>
      <c r="E14" s="67"/>
      <c r="F14" s="67"/>
      <c r="G14" s="67"/>
      <c r="H14" s="68" t="s">
        <v>46</v>
      </c>
      <c r="I14" s="59"/>
      <c r="J14" s="59"/>
    </row>
    <row r="15" spans="1:10" x14ac:dyDescent="0.25">
      <c r="A15" s="67"/>
      <c r="B15" s="68" t="s">
        <v>47</v>
      </c>
      <c r="C15" s="68"/>
      <c r="D15" s="9" t="s">
        <v>48</v>
      </c>
      <c r="E15" s="67"/>
      <c r="F15" s="68" t="s">
        <v>49</v>
      </c>
      <c r="G15" s="67"/>
      <c r="H15" s="68" t="s">
        <v>50</v>
      </c>
      <c r="I15" s="59"/>
      <c r="J15" s="59"/>
    </row>
    <row r="16" spans="1:10" x14ac:dyDescent="0.25">
      <c r="A16" s="67"/>
      <c r="B16" s="68" t="s">
        <v>51</v>
      </c>
      <c r="C16" s="68" t="s">
        <v>51</v>
      </c>
      <c r="D16" s="68" t="s">
        <v>52</v>
      </c>
      <c r="E16" s="68" t="s">
        <v>53</v>
      </c>
      <c r="F16" s="68" t="s">
        <v>54</v>
      </c>
      <c r="G16" s="68" t="s">
        <v>46</v>
      </c>
      <c r="H16" s="68" t="s">
        <v>49</v>
      </c>
      <c r="I16" s="59"/>
      <c r="J16" s="59"/>
    </row>
    <row r="17" spans="1:17" x14ac:dyDescent="0.25">
      <c r="A17" s="68" t="s">
        <v>55</v>
      </c>
      <c r="B17" s="68" t="s">
        <v>56</v>
      </c>
      <c r="C17" s="68" t="s">
        <v>57</v>
      </c>
      <c r="D17" s="68" t="s">
        <v>58</v>
      </c>
      <c r="E17" s="68" t="s">
        <v>56</v>
      </c>
      <c r="F17" s="68" t="s">
        <v>56</v>
      </c>
      <c r="G17" s="67"/>
      <c r="H17" s="68" t="s">
        <v>54</v>
      </c>
      <c r="I17" s="59"/>
      <c r="J17" s="59"/>
      <c r="N17" s="9"/>
      <c r="O17" s="9"/>
    </row>
    <row r="18" spans="1:17" ht="15.75" thickBot="1" x14ac:dyDescent="0.3">
      <c r="A18" s="69"/>
      <c r="B18" s="69"/>
      <c r="C18" s="69"/>
      <c r="D18" s="69"/>
      <c r="E18" s="69"/>
      <c r="F18" s="69"/>
      <c r="G18" s="65" t="s">
        <v>59</v>
      </c>
      <c r="H18" s="65" t="s">
        <v>60</v>
      </c>
      <c r="I18" s="59"/>
      <c r="J18" s="59"/>
      <c r="N18" s="9"/>
      <c r="O18" s="9"/>
    </row>
    <row r="19" spans="1:17" ht="15.75" thickTop="1" x14ac:dyDescent="0.25">
      <c r="A19" s="70">
        <v>45535</v>
      </c>
      <c r="B19" s="71">
        <v>49951689.80999998</v>
      </c>
      <c r="C19" s="71">
        <v>16068199.349999998</v>
      </c>
      <c r="D19" s="71">
        <v>-2184199.8499999978</v>
      </c>
      <c r="E19" s="71">
        <v>959865.96000000008</v>
      </c>
      <c r="F19" s="71">
        <v>1826403.5700000012</v>
      </c>
      <c r="G19" s="71">
        <f t="shared" ref="G19:G29" si="1">SUM(B19:F19)</f>
        <v>66621958.839999989</v>
      </c>
      <c r="H19" s="71">
        <f t="shared" ref="H19:H29" si="2">G19-F19</f>
        <v>64795555.269999988</v>
      </c>
      <c r="I19" s="59"/>
      <c r="J19" s="59"/>
      <c r="M19" s="72"/>
      <c r="N19" s="21"/>
      <c r="O19" s="21"/>
      <c r="P19" s="24"/>
      <c r="Q19" s="39"/>
    </row>
    <row r="20" spans="1:17" x14ac:dyDescent="0.25">
      <c r="A20" s="70">
        <v>45565</v>
      </c>
      <c r="B20" s="73">
        <v>47391382.970000006</v>
      </c>
      <c r="C20" s="73">
        <v>14976561.810000001</v>
      </c>
      <c r="D20" s="73">
        <v>-2524449.7500000009</v>
      </c>
      <c r="E20" s="73">
        <v>907424.00999999989</v>
      </c>
      <c r="F20" s="73">
        <v>1514404.1499999997</v>
      </c>
      <c r="G20" s="71">
        <f t="shared" si="1"/>
        <v>62265323.190000005</v>
      </c>
      <c r="H20" s="71">
        <f t="shared" si="2"/>
        <v>60750919.040000007</v>
      </c>
      <c r="I20" s="59"/>
      <c r="J20" s="59"/>
      <c r="M20" s="72"/>
      <c r="N20" s="21"/>
      <c r="O20" s="21"/>
      <c r="P20" s="24"/>
      <c r="Q20" s="39"/>
    </row>
    <row r="21" spans="1:17" x14ac:dyDescent="0.25">
      <c r="A21" s="70">
        <v>45596</v>
      </c>
      <c r="B21" s="74">
        <v>37756534.239999987</v>
      </c>
      <c r="C21" s="74">
        <v>10874516.910000002</v>
      </c>
      <c r="D21" s="74">
        <v>-1580357.2800000005</v>
      </c>
      <c r="E21" s="74">
        <v>668104.17000000004</v>
      </c>
      <c r="F21" s="74">
        <v>667215.80000000016</v>
      </c>
      <c r="G21" s="71">
        <f t="shared" si="1"/>
        <v>48386013.839999989</v>
      </c>
      <c r="H21" s="71">
        <f t="shared" si="2"/>
        <v>47718798.039999992</v>
      </c>
      <c r="I21" s="59"/>
      <c r="J21" s="59"/>
      <c r="M21" s="72"/>
      <c r="N21" s="75"/>
      <c r="O21" s="75"/>
      <c r="P21" s="24"/>
      <c r="Q21" s="39"/>
    </row>
    <row r="22" spans="1:17" x14ac:dyDescent="0.25">
      <c r="A22" s="70">
        <v>45626</v>
      </c>
      <c r="B22" s="74">
        <v>35594973.230000027</v>
      </c>
      <c r="C22" s="74">
        <v>9999374.3500000034</v>
      </c>
      <c r="D22" s="74">
        <v>-1363597.2099999997</v>
      </c>
      <c r="E22" s="74">
        <v>605457.46999999986</v>
      </c>
      <c r="F22" s="74">
        <v>709845.93999999983</v>
      </c>
      <c r="G22" s="71">
        <f t="shared" si="1"/>
        <v>45546053.780000024</v>
      </c>
      <c r="H22" s="71">
        <f t="shared" si="2"/>
        <v>44836207.840000026</v>
      </c>
      <c r="I22" s="59"/>
      <c r="J22" s="59"/>
      <c r="M22" s="72"/>
      <c r="N22" s="75"/>
      <c r="O22" s="75"/>
      <c r="P22" s="24"/>
      <c r="Q22" s="39"/>
    </row>
    <row r="23" spans="1:17" x14ac:dyDescent="0.25">
      <c r="A23" s="70">
        <v>45657</v>
      </c>
      <c r="B23" s="74">
        <v>54554417.670000002</v>
      </c>
      <c r="C23" s="74">
        <v>16998582.559999999</v>
      </c>
      <c r="D23" s="74">
        <v>-2539623.1099999989</v>
      </c>
      <c r="E23" s="74">
        <v>1018253.64</v>
      </c>
      <c r="F23" s="74">
        <v>-129495.12999999995</v>
      </c>
      <c r="G23" s="71">
        <f t="shared" si="1"/>
        <v>69902135.63000001</v>
      </c>
      <c r="H23" s="71">
        <f t="shared" si="2"/>
        <v>70031630.760000005</v>
      </c>
      <c r="I23" s="59"/>
      <c r="J23" s="59"/>
      <c r="M23" s="72"/>
      <c r="N23" s="75"/>
      <c r="O23" s="75"/>
      <c r="P23" s="24"/>
      <c r="Q23" s="39"/>
    </row>
    <row r="24" spans="1:17" x14ac:dyDescent="0.25">
      <c r="A24" s="70">
        <v>45688</v>
      </c>
      <c r="B24" s="74">
        <v>69222114.909999996</v>
      </c>
      <c r="C24" s="74">
        <v>22538263.099999998</v>
      </c>
      <c r="D24" s="74">
        <v>-2216646.8699999978</v>
      </c>
      <c r="E24" s="74">
        <v>1677711.6600000001</v>
      </c>
      <c r="F24" s="74">
        <v>358638.39999999991</v>
      </c>
      <c r="G24" s="71">
        <f t="shared" si="1"/>
        <v>91580081.199999988</v>
      </c>
      <c r="H24" s="71">
        <f t="shared" si="2"/>
        <v>91221442.799999982</v>
      </c>
      <c r="I24" s="59"/>
      <c r="J24" s="59"/>
      <c r="M24" s="72"/>
      <c r="N24" s="75"/>
      <c r="O24" s="75"/>
      <c r="P24" s="24"/>
      <c r="Q24" s="39"/>
    </row>
    <row r="25" spans="1:17" x14ac:dyDescent="0.25">
      <c r="A25" s="70">
        <v>45716</v>
      </c>
      <c r="B25" s="74">
        <v>65788594.360000022</v>
      </c>
      <c r="C25" s="74">
        <v>21521914.799999997</v>
      </c>
      <c r="D25" s="74">
        <v>-332741.69999999995</v>
      </c>
      <c r="E25" s="74">
        <v>1868451.39</v>
      </c>
      <c r="F25" s="74">
        <v>-856898.96999999986</v>
      </c>
      <c r="G25" s="71">
        <f t="shared" si="1"/>
        <v>87989319.880000025</v>
      </c>
      <c r="H25" s="71">
        <f t="shared" si="2"/>
        <v>88846218.850000024</v>
      </c>
      <c r="I25" s="59"/>
      <c r="J25" s="59"/>
      <c r="M25" s="72"/>
      <c r="N25" s="75"/>
      <c r="O25" s="75"/>
      <c r="P25" s="24"/>
      <c r="Q25" s="39"/>
    </row>
    <row r="26" spans="1:17" x14ac:dyDescent="0.25">
      <c r="A26" s="70">
        <v>45747</v>
      </c>
      <c r="B26" s="74">
        <v>56156189.199999988</v>
      </c>
      <c r="C26" s="74">
        <v>17750331.129999995</v>
      </c>
      <c r="D26" s="74">
        <v>329210.3000000001</v>
      </c>
      <c r="E26" s="74">
        <v>1550154.5100000002</v>
      </c>
      <c r="F26" s="74">
        <v>-1773842.1900000004</v>
      </c>
      <c r="G26" s="71">
        <f t="shared" si="1"/>
        <v>74012042.949999988</v>
      </c>
      <c r="H26" s="71">
        <f t="shared" si="2"/>
        <v>75785885.139999986</v>
      </c>
      <c r="I26" s="59"/>
      <c r="J26" s="59"/>
      <c r="M26" s="72"/>
      <c r="N26" s="75"/>
      <c r="O26" s="75"/>
      <c r="P26" s="24"/>
      <c r="Q26" s="39"/>
    </row>
    <row r="27" spans="1:17" x14ac:dyDescent="0.25">
      <c r="A27" s="70">
        <v>45777</v>
      </c>
      <c r="B27" s="74">
        <v>39699432.830000013</v>
      </c>
      <c r="C27" s="74">
        <v>11523886.709999999</v>
      </c>
      <c r="D27" s="74">
        <v>-308143.00000000012</v>
      </c>
      <c r="E27" s="74">
        <v>914441.1</v>
      </c>
      <c r="F27" s="74">
        <v>-1275959.5800000005</v>
      </c>
      <c r="G27" s="71">
        <f t="shared" si="1"/>
        <v>50553658.060000017</v>
      </c>
      <c r="H27" s="71">
        <f t="shared" si="2"/>
        <v>51829617.640000015</v>
      </c>
      <c r="I27" s="59"/>
      <c r="J27" s="59"/>
      <c r="M27" s="72"/>
      <c r="N27" s="75"/>
      <c r="O27" s="75"/>
      <c r="P27" s="24"/>
      <c r="Q27" s="39"/>
    </row>
    <row r="28" spans="1:17" x14ac:dyDescent="0.25">
      <c r="A28" s="70">
        <v>45808</v>
      </c>
      <c r="B28" s="74">
        <v>36823333.129999995</v>
      </c>
      <c r="C28" s="74">
        <v>10413597.690000001</v>
      </c>
      <c r="D28" s="74">
        <v>-1085129.7999999998</v>
      </c>
      <c r="E28" s="74">
        <v>718845.33</v>
      </c>
      <c r="F28" s="74">
        <v>-404512.45000000007</v>
      </c>
      <c r="G28" s="71">
        <f t="shared" si="1"/>
        <v>46466133.899999991</v>
      </c>
      <c r="H28" s="71">
        <f t="shared" si="2"/>
        <v>46870646.349999994</v>
      </c>
      <c r="I28" s="59"/>
      <c r="J28" s="59"/>
      <c r="M28" s="72"/>
      <c r="N28" s="75"/>
      <c r="O28" s="75"/>
      <c r="P28" s="24"/>
      <c r="Q28" s="39"/>
    </row>
    <row r="29" spans="1:17" x14ac:dyDescent="0.25">
      <c r="A29" s="70">
        <v>45838</v>
      </c>
      <c r="B29" s="101">
        <f>'Form 3.00 - Revised (June)'!B30</f>
        <v>42028840.150000006</v>
      </c>
      <c r="C29" s="76">
        <v>12261176.27</v>
      </c>
      <c r="D29" s="76">
        <v>-1639631.6099999996</v>
      </c>
      <c r="E29" s="76">
        <v>837369.85</v>
      </c>
      <c r="F29" s="76">
        <v>-375405.06000000023</v>
      </c>
      <c r="G29" s="71">
        <f t="shared" si="1"/>
        <v>53112349.600000001</v>
      </c>
      <c r="H29" s="71">
        <f t="shared" si="2"/>
        <v>53487754.660000004</v>
      </c>
      <c r="I29" s="59"/>
      <c r="J29" s="34" t="s">
        <v>97</v>
      </c>
      <c r="K29" s="127">
        <f>'Form 3.10 - Filed (July)'!C14</f>
        <v>173900569.09999999</v>
      </c>
      <c r="M29" s="72"/>
      <c r="N29" s="77"/>
      <c r="O29" s="77"/>
      <c r="P29" s="24"/>
      <c r="Q29" s="39"/>
    </row>
    <row r="30" spans="1:17" x14ac:dyDescent="0.25">
      <c r="A30" s="70">
        <v>45869</v>
      </c>
      <c r="B30" s="101">
        <f>56573942.58-414.71</f>
        <v>56573527.869999997</v>
      </c>
      <c r="C30" s="76">
        <v>17811597.290000003</v>
      </c>
      <c r="D30" s="76">
        <v>-1844105.2800000005</v>
      </c>
      <c r="E30" s="76">
        <v>1201687.1199999999</v>
      </c>
      <c r="F30" s="76">
        <v>291685.35000000033</v>
      </c>
      <c r="G30" s="71">
        <f>SUM(B30:F30)</f>
        <v>74034392.349999994</v>
      </c>
      <c r="H30" s="71">
        <f>G30-F30</f>
        <v>73742707</v>
      </c>
      <c r="I30" s="59"/>
      <c r="J30" s="34" t="s">
        <v>99</v>
      </c>
      <c r="K30" s="127">
        <f>B30+C30+B56+C56</f>
        <v>173900569.09999999</v>
      </c>
      <c r="M30" s="72"/>
      <c r="N30" s="77"/>
      <c r="O30" s="77"/>
      <c r="P30" s="24"/>
    </row>
    <row r="31" spans="1:17" x14ac:dyDescent="0.25">
      <c r="A31" s="19" t="s">
        <v>61</v>
      </c>
      <c r="B31" s="59"/>
      <c r="C31" s="59"/>
      <c r="D31" s="59"/>
      <c r="E31" s="59"/>
      <c r="F31" s="59"/>
      <c r="G31" s="59"/>
      <c r="H31" s="78"/>
      <c r="I31" s="59"/>
      <c r="J31" s="34" t="s">
        <v>98</v>
      </c>
      <c r="K31" s="128">
        <f>K29-K30</f>
        <v>0</v>
      </c>
    </row>
    <row r="32" spans="1:17" x14ac:dyDescent="0.25">
      <c r="A32" s="52" t="s">
        <v>62</v>
      </c>
      <c r="B32" s="79"/>
      <c r="C32" s="79"/>
      <c r="D32" s="79"/>
      <c r="E32" s="79"/>
      <c r="F32" s="79"/>
      <c r="G32" s="79"/>
      <c r="H32" s="80">
        <f>ROUND(AVERAGE(H19:H30),0)</f>
        <v>64159782</v>
      </c>
      <c r="I32" s="59"/>
      <c r="J32" s="59"/>
    </row>
    <row r="33" spans="1:13" x14ac:dyDescent="0.25">
      <c r="A33" s="81" t="s">
        <v>63</v>
      </c>
      <c r="B33" s="82"/>
      <c r="C33" s="82"/>
      <c r="D33" s="82"/>
      <c r="E33" s="82"/>
      <c r="F33" s="82"/>
      <c r="G33" s="83"/>
      <c r="H33" s="80">
        <f>(SUM($H$19:$H$30)+SUM($H$45:$H$56))/12</f>
        <v>152304076.88</v>
      </c>
      <c r="I33" s="59"/>
      <c r="J33" s="59"/>
    </row>
    <row r="34" spans="1:13" x14ac:dyDescent="0.25">
      <c r="A34" s="84" t="s">
        <v>64</v>
      </c>
      <c r="B34" s="79"/>
      <c r="C34" s="79"/>
      <c r="D34" s="79"/>
      <c r="E34" s="79"/>
      <c r="F34" s="79"/>
      <c r="G34" s="79"/>
      <c r="H34" s="85">
        <f>ROUND(H32/H33,4)</f>
        <v>0.42130000000000001</v>
      </c>
      <c r="I34" s="59"/>
      <c r="J34" s="59"/>
    </row>
    <row r="35" spans="1:13" ht="15.75" thickBot="1" x14ac:dyDescent="0.3">
      <c r="A35" s="61"/>
      <c r="I35" s="59"/>
      <c r="J35" s="59"/>
    </row>
    <row r="36" spans="1:13" ht="15.75" thickTop="1" x14ac:dyDescent="0.25">
      <c r="A36" s="19"/>
      <c r="B36" s="86"/>
      <c r="C36" s="87"/>
      <c r="D36" s="87"/>
      <c r="E36" s="87"/>
      <c r="F36" s="87"/>
      <c r="G36" s="87"/>
      <c r="H36" s="87"/>
      <c r="I36" s="88"/>
      <c r="J36" s="130"/>
    </row>
    <row r="37" spans="1:13" ht="14.25" customHeight="1" x14ac:dyDescent="0.25">
      <c r="A37" s="19"/>
      <c r="B37" s="133" t="s">
        <v>65</v>
      </c>
      <c r="C37" s="134"/>
      <c r="D37" s="134"/>
      <c r="E37" s="134"/>
      <c r="F37" s="134"/>
      <c r="G37" s="134"/>
      <c r="H37" s="134"/>
      <c r="I37" s="135"/>
      <c r="J37" s="59"/>
    </row>
    <row r="38" spans="1:13" ht="15.75" thickBot="1" x14ac:dyDescent="0.3">
      <c r="A38" s="63"/>
      <c r="B38" s="63"/>
      <c r="C38" s="61"/>
      <c r="D38" s="61"/>
      <c r="E38" s="61"/>
      <c r="F38" s="61"/>
      <c r="G38" s="61"/>
      <c r="H38" s="61"/>
      <c r="I38" s="89"/>
      <c r="J38" s="59"/>
    </row>
    <row r="39" spans="1:13" ht="16.5" thickTop="1" thickBot="1" x14ac:dyDescent="0.3">
      <c r="A39" s="65" t="s">
        <v>44</v>
      </c>
      <c r="B39" s="66">
        <f>A39-1</f>
        <v>-2</v>
      </c>
      <c r="C39" s="66">
        <f>B39-1</f>
        <v>-3</v>
      </c>
      <c r="D39" s="66">
        <f t="shared" ref="D39:I39" si="3">C39-1</f>
        <v>-4</v>
      </c>
      <c r="E39" s="66">
        <f t="shared" si="3"/>
        <v>-5</v>
      </c>
      <c r="F39" s="66">
        <f t="shared" si="3"/>
        <v>-6</v>
      </c>
      <c r="G39" s="66">
        <f t="shared" si="3"/>
        <v>-7</v>
      </c>
      <c r="H39" s="66">
        <f t="shared" si="3"/>
        <v>-8</v>
      </c>
      <c r="I39" s="66">
        <f t="shared" si="3"/>
        <v>-9</v>
      </c>
      <c r="J39" s="59"/>
    </row>
    <row r="40" spans="1:13" ht="15.75" thickTop="1" x14ac:dyDescent="0.25">
      <c r="A40" s="67"/>
      <c r="B40" s="68"/>
      <c r="C40" s="68"/>
      <c r="D40" s="9" t="s">
        <v>45</v>
      </c>
      <c r="E40" s="67"/>
      <c r="F40" s="67"/>
      <c r="G40" s="67"/>
      <c r="H40" s="68" t="s">
        <v>46</v>
      </c>
      <c r="I40" s="90"/>
      <c r="J40" s="59"/>
    </row>
    <row r="41" spans="1:13" x14ac:dyDescent="0.25">
      <c r="A41" s="67"/>
      <c r="B41" s="68" t="s">
        <v>47</v>
      </c>
      <c r="C41" s="68"/>
      <c r="D41" s="9" t="s">
        <v>48</v>
      </c>
      <c r="E41" s="67"/>
      <c r="F41" s="68" t="s">
        <v>49</v>
      </c>
      <c r="G41" s="67"/>
      <c r="H41" s="68" t="s">
        <v>50</v>
      </c>
      <c r="I41" s="90" t="s">
        <v>66</v>
      </c>
      <c r="J41" s="59"/>
    </row>
    <row r="42" spans="1:13" x14ac:dyDescent="0.25">
      <c r="A42" s="67"/>
      <c r="B42" s="68" t="s">
        <v>51</v>
      </c>
      <c r="C42" s="68" t="s">
        <v>51</v>
      </c>
      <c r="D42" s="68" t="s">
        <v>52</v>
      </c>
      <c r="E42" s="68" t="s">
        <v>53</v>
      </c>
      <c r="F42" s="68" t="s">
        <v>54</v>
      </c>
      <c r="G42" s="68" t="s">
        <v>46</v>
      </c>
      <c r="H42" s="68" t="s">
        <v>49</v>
      </c>
      <c r="I42" s="68" t="s">
        <v>56</v>
      </c>
      <c r="J42" s="59"/>
    </row>
    <row r="43" spans="1:13" x14ac:dyDescent="0.25">
      <c r="A43" s="68" t="s">
        <v>55</v>
      </c>
      <c r="B43" s="68" t="s">
        <v>56</v>
      </c>
      <c r="C43" s="68" t="s">
        <v>57</v>
      </c>
      <c r="D43" s="68" t="s">
        <v>58</v>
      </c>
      <c r="E43" s="68" t="s">
        <v>56</v>
      </c>
      <c r="F43" s="68" t="s">
        <v>56</v>
      </c>
      <c r="G43" s="67"/>
      <c r="H43" s="68" t="s">
        <v>54</v>
      </c>
      <c r="I43" s="90" t="s">
        <v>67</v>
      </c>
      <c r="J43" s="59"/>
    </row>
    <row r="44" spans="1:13" ht="15.75" thickBot="1" x14ac:dyDescent="0.3">
      <c r="A44" s="69"/>
      <c r="B44" s="69"/>
      <c r="C44" s="69"/>
      <c r="D44" s="69"/>
      <c r="E44" s="69"/>
      <c r="F44" s="69"/>
      <c r="G44" s="65" t="s">
        <v>59</v>
      </c>
      <c r="H44" s="65" t="s">
        <v>60</v>
      </c>
      <c r="I44" s="65" t="s">
        <v>68</v>
      </c>
      <c r="J44" s="59"/>
      <c r="M44" s="34"/>
    </row>
    <row r="45" spans="1:13" ht="15.75" thickTop="1" x14ac:dyDescent="0.25">
      <c r="A45" s="70">
        <v>45535</v>
      </c>
      <c r="B45" s="71">
        <v>63495955.060000002</v>
      </c>
      <c r="C45" s="71">
        <v>29394346.779999997</v>
      </c>
      <c r="D45" s="71">
        <v>-2788629.9299999997</v>
      </c>
      <c r="E45" s="71">
        <v>996666.14999999979</v>
      </c>
      <c r="F45" s="71">
        <v>2603659.4000000004</v>
      </c>
      <c r="G45" s="71">
        <f t="shared" ref="G45:G55" si="4">SUM(B45:F45)</f>
        <v>93701997.460000008</v>
      </c>
      <c r="H45" s="71">
        <f t="shared" ref="H45:H56" si="5">G45-F45</f>
        <v>91098338.060000002</v>
      </c>
      <c r="I45" s="71">
        <f t="shared" ref="I45:I56" si="6">+B45+E45</f>
        <v>64492621.210000001</v>
      </c>
      <c r="J45" s="91"/>
      <c r="M45" s="92"/>
    </row>
    <row r="46" spans="1:13" x14ac:dyDescent="0.25">
      <c r="A46" s="70">
        <v>45565</v>
      </c>
      <c r="B46" s="73">
        <v>63989291.359999999</v>
      </c>
      <c r="C46" s="73">
        <v>29735630.220000003</v>
      </c>
      <c r="D46" s="73">
        <v>-4164855.6900000009</v>
      </c>
      <c r="E46" s="73">
        <v>974024.31</v>
      </c>
      <c r="F46" s="73">
        <v>2364831</v>
      </c>
      <c r="G46" s="71">
        <f t="shared" si="4"/>
        <v>92898921.200000003</v>
      </c>
      <c r="H46" s="71">
        <f t="shared" si="5"/>
        <v>90534090.200000003</v>
      </c>
      <c r="I46" s="71">
        <f t="shared" si="6"/>
        <v>64963315.670000002</v>
      </c>
      <c r="J46" s="91"/>
      <c r="M46" s="92"/>
    </row>
    <row r="47" spans="1:13" x14ac:dyDescent="0.25">
      <c r="A47" s="70">
        <v>45596</v>
      </c>
      <c r="B47" s="76">
        <v>64557386.389999993</v>
      </c>
      <c r="C47" s="76">
        <v>29471099.490000002</v>
      </c>
      <c r="D47" s="76">
        <v>-4186623.9700000007</v>
      </c>
      <c r="E47" s="76">
        <v>904482.49</v>
      </c>
      <c r="F47" s="76">
        <v>1465846.47</v>
      </c>
      <c r="G47" s="71">
        <f t="shared" si="4"/>
        <v>92212190.86999999</v>
      </c>
      <c r="H47" s="71">
        <f t="shared" si="5"/>
        <v>90746344.399999991</v>
      </c>
      <c r="I47" s="71">
        <f t="shared" si="6"/>
        <v>65461868.879999995</v>
      </c>
      <c r="J47" s="91"/>
      <c r="M47" s="92"/>
    </row>
    <row r="48" spans="1:13" x14ac:dyDescent="0.25">
      <c r="A48" s="70">
        <v>45626</v>
      </c>
      <c r="B48" s="76">
        <v>53864319.379999988</v>
      </c>
      <c r="C48" s="76">
        <v>22946018.309999999</v>
      </c>
      <c r="D48" s="76">
        <v>-2964370.4799999995</v>
      </c>
      <c r="E48" s="76">
        <v>720596.66999999993</v>
      </c>
      <c r="F48" s="76">
        <v>1225948.43</v>
      </c>
      <c r="G48" s="71">
        <f t="shared" si="4"/>
        <v>75792512.309999987</v>
      </c>
      <c r="H48" s="71">
        <f t="shared" si="5"/>
        <v>74566563.87999998</v>
      </c>
      <c r="I48" s="71">
        <f t="shared" si="6"/>
        <v>54584916.04999999</v>
      </c>
      <c r="J48" s="91"/>
      <c r="M48" s="92"/>
    </row>
    <row r="49" spans="1:13" x14ac:dyDescent="0.25">
      <c r="A49" s="70">
        <v>45657</v>
      </c>
      <c r="B49" s="76">
        <v>60274265.789999999</v>
      </c>
      <c r="C49" s="76">
        <v>26666445.430000003</v>
      </c>
      <c r="D49" s="76">
        <v>-3740444.7100000004</v>
      </c>
      <c r="E49" s="76">
        <v>869530.69</v>
      </c>
      <c r="F49" s="76">
        <v>51130.909999999996</v>
      </c>
      <c r="G49" s="71">
        <f t="shared" si="4"/>
        <v>84120928.109999999</v>
      </c>
      <c r="H49" s="71">
        <f t="shared" si="5"/>
        <v>84069797.200000003</v>
      </c>
      <c r="I49" s="71">
        <f t="shared" si="6"/>
        <v>61143796.479999997</v>
      </c>
      <c r="J49" s="91"/>
      <c r="M49" s="92"/>
    </row>
    <row r="50" spans="1:13" x14ac:dyDescent="0.25">
      <c r="A50" s="70">
        <v>45688</v>
      </c>
      <c r="B50" s="76">
        <v>68338745.270000011</v>
      </c>
      <c r="C50" s="76">
        <v>30672750.950000007</v>
      </c>
      <c r="D50" s="76">
        <v>-3189696.94</v>
      </c>
      <c r="E50" s="76">
        <v>1221970.33</v>
      </c>
      <c r="F50" s="76">
        <v>307509.83</v>
      </c>
      <c r="G50" s="71">
        <f t="shared" si="4"/>
        <v>97351279.440000013</v>
      </c>
      <c r="H50" s="71">
        <f t="shared" si="5"/>
        <v>97043769.610000014</v>
      </c>
      <c r="I50" s="71">
        <f t="shared" si="6"/>
        <v>69560715.600000009</v>
      </c>
      <c r="J50" s="91"/>
      <c r="M50" s="92"/>
    </row>
    <row r="51" spans="1:13" x14ac:dyDescent="0.25">
      <c r="A51" s="70">
        <v>45716</v>
      </c>
      <c r="B51" s="76">
        <v>60052154.18</v>
      </c>
      <c r="C51" s="76">
        <v>25928031.29999999</v>
      </c>
      <c r="D51" s="76">
        <v>-923415.45</v>
      </c>
      <c r="E51" s="76">
        <v>1247189.43</v>
      </c>
      <c r="F51" s="76">
        <v>-739361.73999999976</v>
      </c>
      <c r="G51" s="71">
        <f t="shared" si="4"/>
        <v>85564597.719999999</v>
      </c>
      <c r="H51" s="71">
        <f t="shared" si="5"/>
        <v>86303959.459999993</v>
      </c>
      <c r="I51" s="71">
        <f t="shared" si="6"/>
        <v>61299343.609999999</v>
      </c>
      <c r="J51" s="91"/>
      <c r="M51" s="92"/>
    </row>
    <row r="52" spans="1:13" x14ac:dyDescent="0.25">
      <c r="A52" s="70">
        <v>45747</v>
      </c>
      <c r="B52" s="76">
        <v>61858677.259999998</v>
      </c>
      <c r="C52" s="76">
        <v>27348795.480000008</v>
      </c>
      <c r="D52" s="76">
        <v>-118941.83999999994</v>
      </c>
      <c r="E52" s="76">
        <v>1299857.28</v>
      </c>
      <c r="F52" s="76">
        <v>-1932199.11</v>
      </c>
      <c r="G52" s="71">
        <f t="shared" si="4"/>
        <v>88456189.070000008</v>
      </c>
      <c r="H52" s="71">
        <f t="shared" si="5"/>
        <v>90388388.180000007</v>
      </c>
      <c r="I52" s="71">
        <f t="shared" si="6"/>
        <v>63158534.539999999</v>
      </c>
      <c r="J52" s="91"/>
      <c r="M52" s="92"/>
    </row>
    <row r="53" spans="1:13" x14ac:dyDescent="0.25">
      <c r="A53" s="70">
        <v>45777</v>
      </c>
      <c r="B53" s="76">
        <v>58374875.109999992</v>
      </c>
      <c r="C53" s="76">
        <v>26077096.990000002</v>
      </c>
      <c r="D53" s="76">
        <v>-946893.32000000007</v>
      </c>
      <c r="E53" s="76">
        <v>1004740.51</v>
      </c>
      <c r="F53" s="76">
        <v>-2070144.6399999997</v>
      </c>
      <c r="G53" s="71">
        <f t="shared" si="4"/>
        <v>82439674.650000006</v>
      </c>
      <c r="H53" s="71">
        <f t="shared" si="5"/>
        <v>84509819.290000007</v>
      </c>
      <c r="I53" s="71">
        <f t="shared" si="6"/>
        <v>59379615.61999999</v>
      </c>
      <c r="J53" s="91"/>
      <c r="M53" s="92"/>
    </row>
    <row r="54" spans="1:13" x14ac:dyDescent="0.25">
      <c r="A54" s="70">
        <v>45808</v>
      </c>
      <c r="B54" s="76">
        <v>58223474.859999992</v>
      </c>
      <c r="C54" s="76">
        <v>25650041.949999999</v>
      </c>
      <c r="D54" s="76">
        <v>-2554766.87</v>
      </c>
      <c r="E54" s="76">
        <v>789790.40999999992</v>
      </c>
      <c r="F54" s="76">
        <v>-923737.66999999981</v>
      </c>
      <c r="G54" s="71">
        <f t="shared" si="4"/>
        <v>81184802.679999977</v>
      </c>
      <c r="H54" s="71">
        <f t="shared" si="5"/>
        <v>82108540.349999979</v>
      </c>
      <c r="I54" s="71">
        <f t="shared" si="6"/>
        <v>59013265.269999988</v>
      </c>
      <c r="J54" s="91"/>
      <c r="M54" s="92"/>
    </row>
    <row r="55" spans="1:13" x14ac:dyDescent="0.25">
      <c r="A55" s="70">
        <v>45838</v>
      </c>
      <c r="B55" s="76">
        <v>63514328.499999993</v>
      </c>
      <c r="C55" s="76">
        <v>28620249.740000002</v>
      </c>
      <c r="D55" s="76">
        <v>-3748968.9799999995</v>
      </c>
      <c r="E55" s="76">
        <v>910428.33000000019</v>
      </c>
      <c r="F55" s="76">
        <v>-661583.27999999991</v>
      </c>
      <c r="G55" s="71">
        <f t="shared" si="4"/>
        <v>88634454.309999987</v>
      </c>
      <c r="H55" s="71">
        <f t="shared" si="5"/>
        <v>89296037.589999989</v>
      </c>
      <c r="I55" s="71">
        <f t="shared" si="6"/>
        <v>64424756.829999991</v>
      </c>
      <c r="J55" s="91"/>
      <c r="M55" s="92"/>
    </row>
    <row r="56" spans="1:13" x14ac:dyDescent="0.25">
      <c r="A56" s="70">
        <f>+A30</f>
        <v>45869</v>
      </c>
      <c r="B56" s="76">
        <v>68551151.670000002</v>
      </c>
      <c r="C56" s="76">
        <v>30964292.270000011</v>
      </c>
      <c r="D56" s="76">
        <v>-3455714.2500000009</v>
      </c>
      <c r="E56" s="76">
        <v>1006161.26</v>
      </c>
      <c r="F56" s="76">
        <v>248044.60000000006</v>
      </c>
      <c r="G56" s="71">
        <f t="shared" ref="G56" si="7">SUM(B56:F56)</f>
        <v>97313935.550000012</v>
      </c>
      <c r="H56" s="71">
        <f t="shared" si="5"/>
        <v>97065890.950000018</v>
      </c>
      <c r="I56" s="71">
        <f t="shared" si="6"/>
        <v>69557312.930000007</v>
      </c>
      <c r="J56" s="91"/>
      <c r="M56" s="92"/>
    </row>
    <row r="57" spans="1:13" x14ac:dyDescent="0.25">
      <c r="A57" s="93" t="s">
        <v>69</v>
      </c>
      <c r="B57" s="59"/>
      <c r="C57" s="59"/>
      <c r="D57" s="59"/>
      <c r="E57" s="59"/>
      <c r="F57" s="59"/>
      <c r="G57" s="59"/>
      <c r="H57" s="19"/>
      <c r="I57" s="67"/>
      <c r="J57" s="59"/>
      <c r="M57" s="33"/>
    </row>
    <row r="58" spans="1:13" x14ac:dyDescent="0.25">
      <c r="A58" s="52" t="s">
        <v>62</v>
      </c>
      <c r="B58" s="79"/>
      <c r="C58" s="79"/>
      <c r="D58" s="79"/>
      <c r="E58" s="79"/>
      <c r="F58" s="79"/>
      <c r="G58" s="79"/>
      <c r="H58" s="80">
        <f>ROUND(AVERAGE(H45:H56),0)</f>
        <v>88144295</v>
      </c>
      <c r="I58" s="80">
        <f>ROUND(AVERAGE(I45:I56),0)</f>
        <v>63086672</v>
      </c>
      <c r="J58" s="59"/>
    </row>
    <row r="59" spans="1:13" x14ac:dyDescent="0.25">
      <c r="A59" s="81" t="s">
        <v>63</v>
      </c>
      <c r="B59" s="82"/>
      <c r="C59" s="82"/>
      <c r="D59" s="82"/>
      <c r="E59" s="82"/>
      <c r="F59" s="82"/>
      <c r="G59" s="82"/>
      <c r="H59" s="80">
        <f>(SUM($H$19:$H$30)+SUM($H$45:$H$56))/12</f>
        <v>152304076.88</v>
      </c>
      <c r="I59" s="94"/>
      <c r="J59" s="59"/>
    </row>
    <row r="60" spans="1:13" x14ac:dyDescent="0.25">
      <c r="A60" s="84" t="s">
        <v>70</v>
      </c>
      <c r="B60" s="79"/>
      <c r="C60" s="79"/>
      <c r="D60" s="79"/>
      <c r="E60" s="79"/>
      <c r="F60" s="79"/>
      <c r="G60" s="79"/>
      <c r="H60" s="85">
        <f>ROUND(H58/H59,4)</f>
        <v>0.57869999999999999</v>
      </c>
      <c r="I60" s="94"/>
      <c r="J60" s="59"/>
    </row>
    <row r="64" spans="1:13" x14ac:dyDescent="0.25">
      <c r="H64" s="95"/>
    </row>
    <row r="65" spans="2:8" x14ac:dyDescent="0.25">
      <c r="H65" s="95"/>
    </row>
    <row r="66" spans="2:8" x14ac:dyDescent="0.25">
      <c r="B66" s="24"/>
      <c r="C66" s="24"/>
      <c r="D66" s="24"/>
      <c r="E66" s="24"/>
      <c r="F66" s="24"/>
      <c r="H66" s="34"/>
    </row>
    <row r="67" spans="2:8" x14ac:dyDescent="0.25">
      <c r="B67" s="24"/>
      <c r="C67" s="24"/>
      <c r="D67" s="24"/>
      <c r="E67" s="24"/>
      <c r="F67" s="24"/>
      <c r="H67" s="96"/>
    </row>
    <row r="68" spans="2:8" x14ac:dyDescent="0.25">
      <c r="B68" s="24"/>
      <c r="C68" s="24"/>
      <c r="D68" s="24"/>
      <c r="E68" s="24"/>
      <c r="F68" s="24"/>
    </row>
    <row r="69" spans="2:8" x14ac:dyDescent="0.25">
      <c r="B69" s="24"/>
      <c r="C69" s="24"/>
      <c r="D69" s="24"/>
      <c r="E69" s="24"/>
      <c r="F69" s="24"/>
      <c r="H69" s="95"/>
    </row>
    <row r="70" spans="2:8" x14ac:dyDescent="0.25">
      <c r="B70" s="24"/>
      <c r="C70" s="24"/>
      <c r="D70" s="24"/>
      <c r="E70" s="24"/>
      <c r="F70" s="24"/>
    </row>
    <row r="71" spans="2:8" x14ac:dyDescent="0.25">
      <c r="B71" s="24"/>
      <c r="C71" s="24"/>
      <c r="D71" s="24"/>
      <c r="E71" s="24"/>
      <c r="F71" s="24"/>
    </row>
    <row r="72" spans="2:8" x14ac:dyDescent="0.25">
      <c r="B72" s="24"/>
      <c r="C72" s="24"/>
      <c r="D72" s="24"/>
      <c r="E72" s="24"/>
      <c r="F72" s="24"/>
    </row>
    <row r="73" spans="2:8" x14ac:dyDescent="0.25">
      <c r="B73" s="24"/>
      <c r="C73" s="24"/>
      <c r="D73" s="24"/>
      <c r="E73" s="24"/>
      <c r="F73" s="24"/>
    </row>
    <row r="74" spans="2:8" x14ac:dyDescent="0.25">
      <c r="B74" s="24"/>
      <c r="C74" s="24"/>
      <c r="D74" s="24"/>
      <c r="E74" s="24"/>
      <c r="F74" s="24"/>
    </row>
    <row r="75" spans="2:8" x14ac:dyDescent="0.25">
      <c r="B75" s="24"/>
      <c r="C75" s="24"/>
      <c r="D75" s="24"/>
      <c r="E75" s="24"/>
      <c r="F75" s="24"/>
    </row>
    <row r="76" spans="2:8" x14ac:dyDescent="0.25">
      <c r="B76" s="24"/>
      <c r="C76" s="24"/>
      <c r="D76" s="24"/>
      <c r="E76" s="24"/>
      <c r="F76" s="24"/>
    </row>
    <row r="77" spans="2:8" x14ac:dyDescent="0.25">
      <c r="B77" s="24"/>
      <c r="C77" s="24"/>
      <c r="D77" s="24"/>
      <c r="E77" s="24"/>
      <c r="F77" s="24"/>
    </row>
    <row r="78" spans="2:8" x14ac:dyDescent="0.25">
      <c r="B78" s="24"/>
      <c r="C78" s="24"/>
      <c r="D78" s="24"/>
      <c r="E78" s="24"/>
      <c r="F78" s="24"/>
    </row>
    <row r="90" spans="2:6" x14ac:dyDescent="0.25">
      <c r="B90" s="24"/>
      <c r="C90" s="24"/>
      <c r="D90" s="24"/>
      <c r="E90" s="24"/>
      <c r="F90" s="24"/>
    </row>
    <row r="91" spans="2:6" x14ac:dyDescent="0.25">
      <c r="B91" s="24"/>
      <c r="C91" s="24"/>
      <c r="D91" s="24"/>
      <c r="E91" s="24"/>
      <c r="F91" s="24"/>
    </row>
    <row r="92" spans="2:6" x14ac:dyDescent="0.25">
      <c r="B92" s="24"/>
      <c r="C92" s="24"/>
      <c r="D92" s="24"/>
      <c r="E92" s="24"/>
      <c r="F92" s="24"/>
    </row>
    <row r="93" spans="2:6" x14ac:dyDescent="0.25">
      <c r="B93" s="24"/>
      <c r="C93" s="24"/>
      <c r="D93" s="24"/>
      <c r="E93" s="24"/>
      <c r="F93" s="24"/>
    </row>
    <row r="94" spans="2:6" x14ac:dyDescent="0.25">
      <c r="B94" s="24"/>
      <c r="C94" s="24"/>
      <c r="D94" s="24"/>
      <c r="E94" s="24"/>
      <c r="F94" s="24"/>
    </row>
    <row r="95" spans="2:6" x14ac:dyDescent="0.25">
      <c r="B95" s="24"/>
      <c r="C95" s="24"/>
      <c r="D95" s="24"/>
      <c r="E95" s="24"/>
      <c r="F95" s="24"/>
    </row>
    <row r="96" spans="2:6" x14ac:dyDescent="0.25">
      <c r="B96" s="24"/>
      <c r="C96" s="24"/>
      <c r="D96" s="24"/>
      <c r="E96" s="24"/>
      <c r="F96" s="24"/>
    </row>
    <row r="97" spans="2:6" x14ac:dyDescent="0.25">
      <c r="B97" s="24"/>
      <c r="C97" s="24"/>
      <c r="D97" s="24"/>
      <c r="E97" s="24"/>
      <c r="F97" s="24"/>
    </row>
    <row r="98" spans="2:6" x14ac:dyDescent="0.25">
      <c r="B98" s="24"/>
      <c r="C98" s="24"/>
      <c r="D98" s="24"/>
      <c r="E98" s="24"/>
      <c r="F98" s="24"/>
    </row>
    <row r="99" spans="2:6" x14ac:dyDescent="0.25">
      <c r="B99" s="24"/>
      <c r="C99" s="24"/>
      <c r="D99" s="24"/>
      <c r="E99" s="24"/>
      <c r="F99" s="24"/>
    </row>
    <row r="100" spans="2:6" x14ac:dyDescent="0.25">
      <c r="B100" s="24"/>
      <c r="C100" s="24"/>
      <c r="D100" s="24"/>
      <c r="E100" s="24"/>
      <c r="F100" s="24"/>
    </row>
  </sheetData>
  <protectedRanges>
    <protectedRange sqref="K18:K29 K45:K55" name="Range1"/>
  </protectedRanges>
  <mergeCells count="6">
    <mergeCell ref="B37:I37"/>
    <mergeCell ref="A4:I4"/>
    <mergeCell ref="A5:I5"/>
    <mergeCell ref="A6:I6"/>
    <mergeCell ref="A8:I8"/>
    <mergeCell ref="B11:H11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35BA-6112-42CE-AC62-DDB5EFF1913A}">
  <sheetPr>
    <tabColor theme="7" tint="0.79998168889431442"/>
  </sheetPr>
  <dimension ref="A3:Q100"/>
  <sheetViews>
    <sheetView workbookViewId="0"/>
  </sheetViews>
  <sheetFormatPr defaultColWidth="9.140625" defaultRowHeight="15" x14ac:dyDescent="0.25"/>
  <cols>
    <col min="1" max="1" width="16.85546875" style="1" customWidth="1"/>
    <col min="2" max="6" width="17.7109375" style="1" customWidth="1"/>
    <col min="7" max="7" width="21.7109375" style="1" customWidth="1"/>
    <col min="8" max="8" width="18.7109375" style="1" bestFit="1" customWidth="1"/>
    <col min="9" max="10" width="17.7109375" style="1" customWidth="1"/>
    <col min="11" max="11" width="15" customWidth="1"/>
    <col min="12" max="12" width="9.85546875" customWidth="1"/>
    <col min="13" max="13" width="13.42578125" bestFit="1" customWidth="1"/>
    <col min="14" max="14" width="16.5703125" style="1" customWidth="1"/>
    <col min="15" max="15" width="13.42578125" style="1" bestFit="1" customWidth="1"/>
    <col min="16" max="16" width="14.42578125" style="1" customWidth="1"/>
    <col min="17" max="17" width="13.42578125" style="1" bestFit="1" customWidth="1"/>
    <col min="18" max="16384" width="9.140625" style="1"/>
  </cols>
  <sheetData>
    <row r="3" spans="1:10" x14ac:dyDescent="0.25">
      <c r="I3" s="56" t="s">
        <v>41</v>
      </c>
      <c r="J3" s="56"/>
    </row>
    <row r="4" spans="1:10" ht="18.75" x14ac:dyDescent="0.3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57"/>
    </row>
    <row r="5" spans="1:10" ht="18.75" x14ac:dyDescent="0.3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57"/>
    </row>
    <row r="6" spans="1:10" x14ac:dyDescent="0.25">
      <c r="A6" s="136" t="s">
        <v>42</v>
      </c>
      <c r="B6" s="136"/>
      <c r="C6" s="136"/>
      <c r="D6" s="136"/>
      <c r="E6" s="136"/>
      <c r="F6" s="136"/>
      <c r="G6" s="136"/>
      <c r="H6" s="136"/>
      <c r="I6" s="136"/>
      <c r="J6" s="58"/>
    </row>
    <row r="7" spans="1:10" x14ac:dyDescent="0.25">
      <c r="A7" s="60"/>
      <c r="B7" s="59"/>
      <c r="C7" s="59"/>
      <c r="D7" s="59"/>
      <c r="E7" s="59"/>
      <c r="H7" s="59"/>
      <c r="I7" s="59"/>
      <c r="J7" s="59"/>
    </row>
    <row r="8" spans="1:10" x14ac:dyDescent="0.25">
      <c r="A8" s="132" t="s">
        <v>71</v>
      </c>
      <c r="B8" s="132"/>
      <c r="C8" s="132"/>
      <c r="D8" s="132"/>
      <c r="E8" s="132"/>
      <c r="F8" s="132"/>
      <c r="G8" s="132"/>
      <c r="H8" s="132"/>
      <c r="I8" s="132"/>
      <c r="J8" s="18"/>
    </row>
    <row r="9" spans="1:10" ht="15.75" thickBot="1" x14ac:dyDescent="0.3">
      <c r="A9" s="61"/>
      <c r="B9" s="61"/>
      <c r="C9" s="61"/>
      <c r="D9" s="61"/>
      <c r="E9" s="61"/>
      <c r="F9" s="61"/>
      <c r="G9" s="61"/>
      <c r="H9" s="61"/>
      <c r="I9" s="9"/>
      <c r="J9" s="9"/>
    </row>
    <row r="10" spans="1:10" ht="15.75" thickTop="1" x14ac:dyDescent="0.25">
      <c r="A10" s="19"/>
      <c r="B10" s="19"/>
      <c r="H10" s="62"/>
      <c r="I10" s="9"/>
      <c r="J10" s="9"/>
    </row>
    <row r="11" spans="1:10" x14ac:dyDescent="0.25">
      <c r="A11" s="19"/>
      <c r="B11" s="133" t="s">
        <v>43</v>
      </c>
      <c r="C11" s="134"/>
      <c r="D11" s="134"/>
      <c r="E11" s="134"/>
      <c r="F11" s="134"/>
      <c r="G11" s="134"/>
      <c r="H11" s="135"/>
      <c r="I11" s="9"/>
      <c r="J11" s="9"/>
    </row>
    <row r="12" spans="1:10" ht="15.75" thickBot="1" x14ac:dyDescent="0.3">
      <c r="A12" s="63"/>
      <c r="B12" s="63"/>
      <c r="C12" s="61"/>
      <c r="D12" s="61"/>
      <c r="E12" s="61"/>
      <c r="F12" s="61"/>
      <c r="G12" s="61"/>
      <c r="H12" s="64"/>
      <c r="I12" s="9"/>
      <c r="J12" s="9"/>
    </row>
    <row r="13" spans="1:10" ht="16.5" thickTop="1" thickBot="1" x14ac:dyDescent="0.3">
      <c r="A13" s="65" t="s">
        <v>44</v>
      </c>
      <c r="B13" s="66">
        <f t="shared" ref="B13:H13" si="0">A13-1</f>
        <v>-2</v>
      </c>
      <c r="C13" s="66">
        <f t="shared" si="0"/>
        <v>-3</v>
      </c>
      <c r="D13" s="66">
        <f t="shared" si="0"/>
        <v>-4</v>
      </c>
      <c r="E13" s="66">
        <f t="shared" si="0"/>
        <v>-5</v>
      </c>
      <c r="F13" s="66">
        <f t="shared" si="0"/>
        <v>-6</v>
      </c>
      <c r="G13" s="66">
        <f t="shared" si="0"/>
        <v>-7</v>
      </c>
      <c r="H13" s="66">
        <f t="shared" si="0"/>
        <v>-8</v>
      </c>
      <c r="I13" s="9"/>
      <c r="J13" s="9"/>
    </row>
    <row r="14" spans="1:10" ht="15.75" thickTop="1" x14ac:dyDescent="0.25">
      <c r="A14" s="67"/>
      <c r="B14" s="68"/>
      <c r="C14" s="68"/>
      <c r="D14" s="9" t="s">
        <v>45</v>
      </c>
      <c r="E14" s="67"/>
      <c r="F14" s="67"/>
      <c r="G14" s="67"/>
      <c r="H14" s="68" t="s">
        <v>46</v>
      </c>
      <c r="I14" s="59"/>
      <c r="J14" s="59"/>
    </row>
    <row r="15" spans="1:10" x14ac:dyDescent="0.25">
      <c r="A15" s="67"/>
      <c r="B15" s="68" t="s">
        <v>47</v>
      </c>
      <c r="C15" s="68"/>
      <c r="D15" s="9" t="s">
        <v>48</v>
      </c>
      <c r="E15" s="67"/>
      <c r="F15" s="68" t="s">
        <v>49</v>
      </c>
      <c r="G15" s="67"/>
      <c r="H15" s="68" t="s">
        <v>50</v>
      </c>
      <c r="I15" s="59"/>
      <c r="J15" s="59"/>
    </row>
    <row r="16" spans="1:10" x14ac:dyDescent="0.25">
      <c r="A16" s="67"/>
      <c r="B16" s="68" t="s">
        <v>51</v>
      </c>
      <c r="C16" s="68" t="s">
        <v>51</v>
      </c>
      <c r="D16" s="68" t="s">
        <v>52</v>
      </c>
      <c r="E16" s="68" t="s">
        <v>53</v>
      </c>
      <c r="F16" s="68" t="s">
        <v>54</v>
      </c>
      <c r="G16" s="68" t="s">
        <v>46</v>
      </c>
      <c r="H16" s="68" t="s">
        <v>49</v>
      </c>
      <c r="I16" s="59"/>
      <c r="J16" s="59"/>
    </row>
    <row r="17" spans="1:17" x14ac:dyDescent="0.25">
      <c r="A17" s="68" t="s">
        <v>55</v>
      </c>
      <c r="B17" s="68" t="s">
        <v>56</v>
      </c>
      <c r="C17" s="68" t="s">
        <v>57</v>
      </c>
      <c r="D17" s="68" t="s">
        <v>58</v>
      </c>
      <c r="E17" s="68" t="s">
        <v>56</v>
      </c>
      <c r="F17" s="68" t="s">
        <v>56</v>
      </c>
      <c r="G17" s="67"/>
      <c r="H17" s="68" t="s">
        <v>54</v>
      </c>
      <c r="I17" s="59"/>
      <c r="J17" s="59"/>
      <c r="N17" s="9"/>
      <c r="O17" s="9"/>
    </row>
    <row r="18" spans="1:17" ht="15.75" thickBot="1" x14ac:dyDescent="0.3">
      <c r="A18" s="69"/>
      <c r="B18" s="69"/>
      <c r="C18" s="69"/>
      <c r="D18" s="69"/>
      <c r="E18" s="69"/>
      <c r="F18" s="69"/>
      <c r="G18" s="65" t="s">
        <v>59</v>
      </c>
      <c r="H18" s="65" t="s">
        <v>60</v>
      </c>
      <c r="I18" s="59"/>
      <c r="J18" s="59"/>
      <c r="N18" s="9"/>
      <c r="O18" s="9"/>
    </row>
    <row r="19" spans="1:17" ht="15.75" thickTop="1" x14ac:dyDescent="0.25">
      <c r="A19" s="70">
        <v>45504</v>
      </c>
      <c r="B19" s="71">
        <v>52676481.48999998</v>
      </c>
      <c r="C19" s="71">
        <v>17107857.150000002</v>
      </c>
      <c r="D19" s="71">
        <v>800459.99000000022</v>
      </c>
      <c r="E19" s="71">
        <v>1016537.9000000001</v>
      </c>
      <c r="F19" s="71">
        <v>2051806.0200000009</v>
      </c>
      <c r="G19" s="71">
        <f t="shared" ref="G19:G29" si="1">SUM(B19:F19)</f>
        <v>73653142.549999982</v>
      </c>
      <c r="H19" s="71">
        <f t="shared" ref="H19:H29" si="2">G19-F19</f>
        <v>71601336.529999986</v>
      </c>
      <c r="I19" s="59"/>
      <c r="J19" s="59"/>
      <c r="N19" s="21"/>
      <c r="O19" s="21"/>
      <c r="P19" s="24"/>
      <c r="Q19" s="39"/>
    </row>
    <row r="20" spans="1:17" x14ac:dyDescent="0.25">
      <c r="A20" s="70">
        <v>45535</v>
      </c>
      <c r="B20" s="73">
        <v>49951689.80999998</v>
      </c>
      <c r="C20" s="73">
        <v>16068199.349999998</v>
      </c>
      <c r="D20" s="73">
        <v>-2184199.8499999978</v>
      </c>
      <c r="E20" s="73">
        <v>959865.96000000008</v>
      </c>
      <c r="F20" s="73">
        <v>1826403.5700000012</v>
      </c>
      <c r="G20" s="71">
        <f t="shared" si="1"/>
        <v>66621958.839999989</v>
      </c>
      <c r="H20" s="71">
        <f t="shared" si="2"/>
        <v>64795555.269999988</v>
      </c>
      <c r="I20" s="59"/>
      <c r="J20" s="59"/>
      <c r="N20" s="21"/>
      <c r="O20" s="21"/>
      <c r="P20" s="24"/>
      <c r="Q20" s="39"/>
    </row>
    <row r="21" spans="1:17" x14ac:dyDescent="0.25">
      <c r="A21" s="70">
        <v>45565</v>
      </c>
      <c r="B21" s="74">
        <v>47391382.970000006</v>
      </c>
      <c r="C21" s="74">
        <v>14976561.810000001</v>
      </c>
      <c r="D21" s="74">
        <v>-2524449.7500000009</v>
      </c>
      <c r="E21" s="74">
        <v>907424.00999999989</v>
      </c>
      <c r="F21" s="74">
        <v>1514404.1499999997</v>
      </c>
      <c r="G21" s="71">
        <f t="shared" si="1"/>
        <v>62265323.190000005</v>
      </c>
      <c r="H21" s="71">
        <f t="shared" si="2"/>
        <v>60750919.040000007</v>
      </c>
      <c r="I21" s="59"/>
      <c r="J21" s="59"/>
      <c r="N21" s="75"/>
      <c r="O21" s="75"/>
      <c r="P21" s="24"/>
      <c r="Q21" s="39"/>
    </row>
    <row r="22" spans="1:17" x14ac:dyDescent="0.25">
      <c r="A22" s="70">
        <v>45596</v>
      </c>
      <c r="B22" s="74">
        <v>37756534.239999987</v>
      </c>
      <c r="C22" s="74">
        <v>10874516.910000002</v>
      </c>
      <c r="D22" s="74">
        <v>-1580357.2800000005</v>
      </c>
      <c r="E22" s="74">
        <v>668104.17000000004</v>
      </c>
      <c r="F22" s="74">
        <v>667215.80000000016</v>
      </c>
      <c r="G22" s="71">
        <f t="shared" si="1"/>
        <v>48386013.839999989</v>
      </c>
      <c r="H22" s="71">
        <f t="shared" si="2"/>
        <v>47718798.039999992</v>
      </c>
      <c r="I22" s="59"/>
      <c r="J22" s="59"/>
      <c r="N22" s="75"/>
      <c r="O22" s="75"/>
      <c r="P22" s="24"/>
      <c r="Q22" s="39"/>
    </row>
    <row r="23" spans="1:17" x14ac:dyDescent="0.25">
      <c r="A23" s="70">
        <v>45626</v>
      </c>
      <c r="B23" s="74">
        <v>35594973.230000027</v>
      </c>
      <c r="C23" s="74">
        <v>9999374.3500000034</v>
      </c>
      <c r="D23" s="74">
        <v>-1363597.2099999997</v>
      </c>
      <c r="E23" s="74">
        <v>605457.46999999986</v>
      </c>
      <c r="F23" s="74">
        <v>709845.93999999983</v>
      </c>
      <c r="G23" s="71">
        <f t="shared" si="1"/>
        <v>45546053.780000024</v>
      </c>
      <c r="H23" s="71">
        <f t="shared" si="2"/>
        <v>44836207.840000026</v>
      </c>
      <c r="I23" s="59"/>
      <c r="J23" s="59"/>
      <c r="N23" s="75"/>
      <c r="O23" s="75"/>
      <c r="P23" s="24"/>
      <c r="Q23" s="39"/>
    </row>
    <row r="24" spans="1:17" x14ac:dyDescent="0.25">
      <c r="A24" s="70">
        <v>45657</v>
      </c>
      <c r="B24" s="74">
        <v>54554417.670000002</v>
      </c>
      <c r="C24" s="74">
        <v>16998582.559999999</v>
      </c>
      <c r="D24" s="74">
        <v>-2539623.1099999989</v>
      </c>
      <c r="E24" s="74">
        <v>1018253.64</v>
      </c>
      <c r="F24" s="74">
        <v>-129495.12999999995</v>
      </c>
      <c r="G24" s="71">
        <f t="shared" si="1"/>
        <v>69902135.63000001</v>
      </c>
      <c r="H24" s="71">
        <f t="shared" si="2"/>
        <v>70031630.760000005</v>
      </c>
      <c r="I24" s="59"/>
      <c r="J24" s="59"/>
      <c r="N24" s="75"/>
      <c r="O24" s="75"/>
      <c r="P24" s="24"/>
      <c r="Q24" s="39"/>
    </row>
    <row r="25" spans="1:17" x14ac:dyDescent="0.25">
      <c r="A25" s="70">
        <v>45688</v>
      </c>
      <c r="B25" s="74">
        <v>69222114.909999996</v>
      </c>
      <c r="C25" s="74">
        <v>22538263.099999998</v>
      </c>
      <c r="D25" s="74">
        <v>-2216646.8699999978</v>
      </c>
      <c r="E25" s="74">
        <v>1677711.6600000001</v>
      </c>
      <c r="F25" s="74">
        <v>358638.39999999991</v>
      </c>
      <c r="G25" s="71">
        <f t="shared" si="1"/>
        <v>91580081.199999988</v>
      </c>
      <c r="H25" s="71">
        <f t="shared" si="2"/>
        <v>91221442.799999982</v>
      </c>
      <c r="I25" s="59"/>
      <c r="J25" s="59"/>
      <c r="N25" s="75"/>
      <c r="O25" s="75"/>
      <c r="P25" s="24"/>
      <c r="Q25" s="39"/>
    </row>
    <row r="26" spans="1:17" x14ac:dyDescent="0.25">
      <c r="A26" s="70">
        <v>45716</v>
      </c>
      <c r="B26" s="74">
        <v>65788594.360000022</v>
      </c>
      <c r="C26" s="74">
        <v>21521914.799999997</v>
      </c>
      <c r="D26" s="74">
        <v>-332741.69999999995</v>
      </c>
      <c r="E26" s="74">
        <v>1868451.39</v>
      </c>
      <c r="F26" s="74">
        <v>-856898.96999999986</v>
      </c>
      <c r="G26" s="71">
        <f t="shared" si="1"/>
        <v>87989319.880000025</v>
      </c>
      <c r="H26" s="71">
        <f t="shared" si="2"/>
        <v>88846218.850000024</v>
      </c>
      <c r="I26" s="59"/>
      <c r="J26" s="59"/>
      <c r="N26" s="75"/>
      <c r="O26" s="75"/>
      <c r="P26" s="24"/>
      <c r="Q26" s="39"/>
    </row>
    <row r="27" spans="1:17" x14ac:dyDescent="0.25">
      <c r="A27" s="70">
        <v>45747</v>
      </c>
      <c r="B27" s="74">
        <v>56156189.199999988</v>
      </c>
      <c r="C27" s="74">
        <v>17750331.129999995</v>
      </c>
      <c r="D27" s="74">
        <v>329210.3000000001</v>
      </c>
      <c r="E27" s="74">
        <v>1550154.5100000002</v>
      </c>
      <c r="F27" s="74">
        <v>-1773842.1900000004</v>
      </c>
      <c r="G27" s="71">
        <f t="shared" si="1"/>
        <v>74012042.949999988</v>
      </c>
      <c r="H27" s="71">
        <f t="shared" si="2"/>
        <v>75785885.139999986</v>
      </c>
      <c r="I27" s="59"/>
      <c r="J27" s="59"/>
      <c r="N27" s="75"/>
      <c r="O27" s="75"/>
      <c r="P27" s="24"/>
      <c r="Q27" s="39"/>
    </row>
    <row r="28" spans="1:17" x14ac:dyDescent="0.25">
      <c r="A28" s="70">
        <v>45777</v>
      </c>
      <c r="B28" s="74">
        <v>39699432.830000013</v>
      </c>
      <c r="C28" s="74">
        <v>11523886.709999999</v>
      </c>
      <c r="D28" s="74">
        <v>-308143.00000000012</v>
      </c>
      <c r="E28" s="74">
        <v>914441.1</v>
      </c>
      <c r="F28" s="74">
        <v>-1275959.5800000005</v>
      </c>
      <c r="G28" s="71">
        <f t="shared" si="1"/>
        <v>50553658.060000017</v>
      </c>
      <c r="H28" s="71">
        <f t="shared" si="2"/>
        <v>51829617.640000015</v>
      </c>
      <c r="I28" s="59"/>
      <c r="J28" s="59"/>
      <c r="N28" s="75"/>
      <c r="O28" s="75"/>
      <c r="P28" s="24"/>
      <c r="Q28" s="39"/>
    </row>
    <row r="29" spans="1:17" x14ac:dyDescent="0.25">
      <c r="A29" s="70">
        <v>45808</v>
      </c>
      <c r="B29" s="76">
        <v>36823333.129999995</v>
      </c>
      <c r="C29" s="76">
        <v>10413597.690000001</v>
      </c>
      <c r="D29" s="76">
        <v>-1085129.7999999998</v>
      </c>
      <c r="E29" s="76">
        <v>718845.33</v>
      </c>
      <c r="F29" s="76">
        <v>-404512.45000000007</v>
      </c>
      <c r="G29" s="71">
        <f t="shared" si="1"/>
        <v>46466133.899999991</v>
      </c>
      <c r="H29" s="71">
        <f t="shared" si="2"/>
        <v>46870646.349999994</v>
      </c>
      <c r="I29" s="59"/>
      <c r="J29" s="59"/>
      <c r="N29" s="77"/>
      <c r="O29" s="77"/>
      <c r="P29" s="24"/>
      <c r="Q29" s="39"/>
    </row>
    <row r="30" spans="1:17" x14ac:dyDescent="0.25">
      <c r="A30" s="70">
        <v>45838</v>
      </c>
      <c r="B30" s="76">
        <v>42028410.879999995</v>
      </c>
      <c r="C30" s="76">
        <v>12261176.27</v>
      </c>
      <c r="D30" s="76">
        <v>-1639631.6099999996</v>
      </c>
      <c r="E30" s="76">
        <v>837369.85</v>
      </c>
      <c r="F30" s="76">
        <v>-375405.06000000023</v>
      </c>
      <c r="G30" s="71">
        <f>SUM(B30:F30)</f>
        <v>53111920.329999991</v>
      </c>
      <c r="H30" s="71">
        <f>G30-F30</f>
        <v>53487325.389999993</v>
      </c>
      <c r="I30" s="59"/>
      <c r="J30" s="59"/>
      <c r="N30" s="77"/>
      <c r="O30" s="77"/>
      <c r="P30" s="24"/>
    </row>
    <row r="31" spans="1:17" x14ac:dyDescent="0.25">
      <c r="A31" s="19" t="s">
        <v>61</v>
      </c>
      <c r="B31" s="59"/>
      <c r="C31" s="59"/>
      <c r="D31" s="59"/>
      <c r="E31" s="59"/>
      <c r="F31" s="59"/>
      <c r="G31" s="59"/>
      <c r="H31" s="78"/>
      <c r="I31" s="59"/>
      <c r="J31" s="59"/>
    </row>
    <row r="32" spans="1:17" x14ac:dyDescent="0.25">
      <c r="A32" s="52" t="s">
        <v>62</v>
      </c>
      <c r="B32" s="79"/>
      <c r="C32" s="79"/>
      <c r="D32" s="79"/>
      <c r="E32" s="79"/>
      <c r="F32" s="79"/>
      <c r="G32" s="79"/>
      <c r="H32" s="80">
        <f>ROUND(AVERAGE(H19:H30),0)</f>
        <v>63981299</v>
      </c>
      <c r="I32" s="59"/>
      <c r="J32" s="59"/>
    </row>
    <row r="33" spans="1:10" x14ac:dyDescent="0.25">
      <c r="A33" s="81" t="s">
        <v>63</v>
      </c>
      <c r="B33" s="82"/>
      <c r="C33" s="82"/>
      <c r="D33" s="82"/>
      <c r="E33" s="82"/>
      <c r="F33" s="82"/>
      <c r="G33" s="83"/>
      <c r="H33" s="80">
        <f>(SUM($H$19:$H$30)+SUM($H$45:$H$56))/12</f>
        <v>152399709.80250001</v>
      </c>
      <c r="I33" s="59"/>
      <c r="J33" s="59"/>
    </row>
    <row r="34" spans="1:10" x14ac:dyDescent="0.25">
      <c r="A34" s="84" t="s">
        <v>64</v>
      </c>
      <c r="B34" s="79"/>
      <c r="C34" s="79"/>
      <c r="D34" s="79"/>
      <c r="E34" s="79"/>
      <c r="F34" s="79"/>
      <c r="G34" s="79"/>
      <c r="H34" s="85">
        <f>ROUND(H32/H33,4)</f>
        <v>0.41980000000000001</v>
      </c>
      <c r="I34" s="59"/>
      <c r="J34" s="59"/>
    </row>
    <row r="35" spans="1:10" ht="15.75" thickBot="1" x14ac:dyDescent="0.3">
      <c r="A35" s="61"/>
      <c r="I35" s="59"/>
      <c r="J35" s="59"/>
    </row>
    <row r="36" spans="1:10" ht="15.75" thickTop="1" x14ac:dyDescent="0.25">
      <c r="A36" s="19"/>
      <c r="B36" s="86"/>
      <c r="C36" s="87"/>
      <c r="D36" s="87"/>
      <c r="E36" s="87"/>
      <c r="F36" s="87"/>
      <c r="G36" s="87"/>
      <c r="H36" s="87"/>
      <c r="I36" s="88"/>
      <c r="J36" s="59"/>
    </row>
    <row r="37" spans="1:10" ht="14.25" customHeight="1" x14ac:dyDescent="0.25">
      <c r="A37" s="19"/>
      <c r="B37" s="133" t="s">
        <v>65</v>
      </c>
      <c r="C37" s="134"/>
      <c r="D37" s="134"/>
      <c r="E37" s="134"/>
      <c r="F37" s="134"/>
      <c r="G37" s="134"/>
      <c r="H37" s="134"/>
      <c r="I37" s="135"/>
      <c r="J37" s="59"/>
    </row>
    <row r="38" spans="1:10" ht="15.75" thickBot="1" x14ac:dyDescent="0.3">
      <c r="A38" s="63"/>
      <c r="B38" s="63"/>
      <c r="C38" s="61"/>
      <c r="D38" s="61"/>
      <c r="E38" s="61"/>
      <c r="F38" s="61"/>
      <c r="G38" s="61"/>
      <c r="H38" s="61"/>
      <c r="I38" s="89"/>
      <c r="J38" s="59"/>
    </row>
    <row r="39" spans="1:10" ht="16.5" thickTop="1" thickBot="1" x14ac:dyDescent="0.3">
      <c r="A39" s="65" t="s">
        <v>44</v>
      </c>
      <c r="B39" s="66">
        <f>A39-1</f>
        <v>-2</v>
      </c>
      <c r="C39" s="66">
        <f>B39-1</f>
        <v>-3</v>
      </c>
      <c r="D39" s="66">
        <f t="shared" ref="D39:I39" si="3">C39-1</f>
        <v>-4</v>
      </c>
      <c r="E39" s="66">
        <f t="shared" si="3"/>
        <v>-5</v>
      </c>
      <c r="F39" s="66">
        <f t="shared" si="3"/>
        <v>-6</v>
      </c>
      <c r="G39" s="66">
        <f t="shared" si="3"/>
        <v>-7</v>
      </c>
      <c r="H39" s="66">
        <f t="shared" si="3"/>
        <v>-8</v>
      </c>
      <c r="I39" s="66">
        <f t="shared" si="3"/>
        <v>-9</v>
      </c>
      <c r="J39" s="59"/>
    </row>
    <row r="40" spans="1:10" ht="15.75" thickTop="1" x14ac:dyDescent="0.25">
      <c r="A40" s="67"/>
      <c r="B40" s="68"/>
      <c r="C40" s="68"/>
      <c r="D40" s="9" t="s">
        <v>45</v>
      </c>
      <c r="E40" s="67"/>
      <c r="F40" s="67"/>
      <c r="G40" s="67"/>
      <c r="H40" s="68" t="s">
        <v>46</v>
      </c>
      <c r="I40" s="90"/>
      <c r="J40" s="59"/>
    </row>
    <row r="41" spans="1:10" x14ac:dyDescent="0.25">
      <c r="A41" s="67"/>
      <c r="B41" s="68" t="s">
        <v>47</v>
      </c>
      <c r="C41" s="68"/>
      <c r="D41" s="9" t="s">
        <v>48</v>
      </c>
      <c r="E41" s="67"/>
      <c r="F41" s="68" t="s">
        <v>49</v>
      </c>
      <c r="G41" s="67"/>
      <c r="H41" s="68" t="s">
        <v>50</v>
      </c>
      <c r="I41" s="90" t="s">
        <v>66</v>
      </c>
      <c r="J41" s="59"/>
    </row>
    <row r="42" spans="1:10" x14ac:dyDescent="0.25">
      <c r="A42" s="67"/>
      <c r="B42" s="68" t="s">
        <v>51</v>
      </c>
      <c r="C42" s="68" t="s">
        <v>51</v>
      </c>
      <c r="D42" s="68" t="s">
        <v>52</v>
      </c>
      <c r="E42" s="68" t="s">
        <v>53</v>
      </c>
      <c r="F42" s="68" t="s">
        <v>54</v>
      </c>
      <c r="G42" s="68" t="s">
        <v>46</v>
      </c>
      <c r="H42" s="68" t="s">
        <v>49</v>
      </c>
      <c r="I42" s="68" t="s">
        <v>56</v>
      </c>
      <c r="J42" s="59"/>
    </row>
    <row r="43" spans="1:10" x14ac:dyDescent="0.25">
      <c r="A43" s="68" t="s">
        <v>55</v>
      </c>
      <c r="B43" s="68" t="s">
        <v>56</v>
      </c>
      <c r="C43" s="68" t="s">
        <v>57</v>
      </c>
      <c r="D43" s="68" t="s">
        <v>58</v>
      </c>
      <c r="E43" s="68" t="s">
        <v>56</v>
      </c>
      <c r="F43" s="68" t="s">
        <v>56</v>
      </c>
      <c r="G43" s="67"/>
      <c r="H43" s="68" t="s">
        <v>54</v>
      </c>
      <c r="I43" s="90" t="s">
        <v>67</v>
      </c>
      <c r="J43" s="59"/>
    </row>
    <row r="44" spans="1:10" ht="15.75" thickBot="1" x14ac:dyDescent="0.3">
      <c r="A44" s="69"/>
      <c r="B44" s="69"/>
      <c r="C44" s="69"/>
      <c r="D44" s="69"/>
      <c r="E44" s="69"/>
      <c r="F44" s="69"/>
      <c r="G44" s="65" t="s">
        <v>59</v>
      </c>
      <c r="H44" s="65" t="s">
        <v>60</v>
      </c>
      <c r="I44" s="65" t="s">
        <v>68</v>
      </c>
      <c r="J44" s="59"/>
    </row>
    <row r="45" spans="1:10" ht="15.75" thickTop="1" x14ac:dyDescent="0.25">
      <c r="A45" s="70">
        <v>45504</v>
      </c>
      <c r="B45" s="71">
        <v>66826794.589999996</v>
      </c>
      <c r="C45" s="71">
        <v>31011408.079999991</v>
      </c>
      <c r="D45" s="71">
        <v>1490306.2000000002</v>
      </c>
      <c r="E45" s="71">
        <v>1026776.89</v>
      </c>
      <c r="F45" s="71">
        <v>2768634.7499999995</v>
      </c>
      <c r="G45" s="71">
        <f t="shared" ref="G45:G55" si="4">SUM(B45:F45)</f>
        <v>103123920.50999999</v>
      </c>
      <c r="H45" s="71">
        <f t="shared" ref="H45:H56" si="5">G45-F45</f>
        <v>100355285.75999999</v>
      </c>
      <c r="I45" s="71">
        <f t="shared" ref="I45:I56" si="6">+B45+E45</f>
        <v>67853571.479999989</v>
      </c>
      <c r="J45" s="91"/>
    </row>
    <row r="46" spans="1:10" x14ac:dyDescent="0.25">
      <c r="A46" s="70">
        <v>45535</v>
      </c>
      <c r="B46" s="73">
        <v>63495955.060000002</v>
      </c>
      <c r="C46" s="73">
        <v>29394346.779999997</v>
      </c>
      <c r="D46" s="73">
        <v>-2788629.9299999997</v>
      </c>
      <c r="E46" s="73">
        <v>996666.14999999979</v>
      </c>
      <c r="F46" s="73">
        <v>2603659.4000000004</v>
      </c>
      <c r="G46" s="71">
        <f t="shared" si="4"/>
        <v>93701997.460000008</v>
      </c>
      <c r="H46" s="71">
        <f t="shared" si="5"/>
        <v>91098338.060000002</v>
      </c>
      <c r="I46" s="71">
        <f t="shared" si="6"/>
        <v>64492621.210000001</v>
      </c>
      <c r="J46" s="91"/>
    </row>
    <row r="47" spans="1:10" x14ac:dyDescent="0.25">
      <c r="A47" s="70">
        <v>45565</v>
      </c>
      <c r="B47" s="76">
        <v>63989291.359999999</v>
      </c>
      <c r="C47" s="76">
        <v>29735630.220000003</v>
      </c>
      <c r="D47" s="76">
        <v>-4164855.6900000009</v>
      </c>
      <c r="E47" s="76">
        <v>974024.31</v>
      </c>
      <c r="F47" s="76">
        <v>2364831</v>
      </c>
      <c r="G47" s="71">
        <f t="shared" si="4"/>
        <v>92898921.200000003</v>
      </c>
      <c r="H47" s="71">
        <f t="shared" si="5"/>
        <v>90534090.200000003</v>
      </c>
      <c r="I47" s="71">
        <f t="shared" si="6"/>
        <v>64963315.670000002</v>
      </c>
      <c r="J47" s="91"/>
    </row>
    <row r="48" spans="1:10" x14ac:dyDescent="0.25">
      <c r="A48" s="70">
        <v>45596</v>
      </c>
      <c r="B48" s="76">
        <v>64557386.389999993</v>
      </c>
      <c r="C48" s="76">
        <v>29471099.490000002</v>
      </c>
      <c r="D48" s="76">
        <v>-4186623.9700000007</v>
      </c>
      <c r="E48" s="76">
        <v>904482.49</v>
      </c>
      <c r="F48" s="76">
        <v>1465846.47</v>
      </c>
      <c r="G48" s="71">
        <f t="shared" si="4"/>
        <v>92212190.86999999</v>
      </c>
      <c r="H48" s="71">
        <f t="shared" si="5"/>
        <v>90746344.399999991</v>
      </c>
      <c r="I48" s="71">
        <f t="shared" si="6"/>
        <v>65461868.879999995</v>
      </c>
      <c r="J48" s="91"/>
    </row>
    <row r="49" spans="1:10" x14ac:dyDescent="0.25">
      <c r="A49" s="70">
        <v>45626</v>
      </c>
      <c r="B49" s="76">
        <v>53864319.379999988</v>
      </c>
      <c r="C49" s="76">
        <v>22946018.309999999</v>
      </c>
      <c r="D49" s="76">
        <v>-2964370.4799999995</v>
      </c>
      <c r="E49" s="76">
        <v>720596.66999999993</v>
      </c>
      <c r="F49" s="76">
        <v>1225948.43</v>
      </c>
      <c r="G49" s="71">
        <f t="shared" si="4"/>
        <v>75792512.309999987</v>
      </c>
      <c r="H49" s="71">
        <f t="shared" si="5"/>
        <v>74566563.87999998</v>
      </c>
      <c r="I49" s="71">
        <f t="shared" si="6"/>
        <v>54584916.04999999</v>
      </c>
      <c r="J49" s="91"/>
    </row>
    <row r="50" spans="1:10" x14ac:dyDescent="0.25">
      <c r="A50" s="70">
        <v>45657</v>
      </c>
      <c r="B50" s="76">
        <v>60274265.789999999</v>
      </c>
      <c r="C50" s="76">
        <v>26666445.430000003</v>
      </c>
      <c r="D50" s="76">
        <v>-3740444.7100000004</v>
      </c>
      <c r="E50" s="76">
        <v>869530.69</v>
      </c>
      <c r="F50" s="76">
        <v>51130.909999999996</v>
      </c>
      <c r="G50" s="71">
        <f t="shared" si="4"/>
        <v>84120928.109999999</v>
      </c>
      <c r="H50" s="71">
        <f t="shared" si="5"/>
        <v>84069797.200000003</v>
      </c>
      <c r="I50" s="71">
        <f t="shared" si="6"/>
        <v>61143796.479999997</v>
      </c>
      <c r="J50" s="91"/>
    </row>
    <row r="51" spans="1:10" x14ac:dyDescent="0.25">
      <c r="A51" s="70">
        <v>45688</v>
      </c>
      <c r="B51" s="76">
        <v>68338745.270000011</v>
      </c>
      <c r="C51" s="76">
        <v>30672750.950000007</v>
      </c>
      <c r="D51" s="76">
        <v>-3189696.94</v>
      </c>
      <c r="E51" s="76">
        <v>1221970.33</v>
      </c>
      <c r="F51" s="76">
        <v>307509.83</v>
      </c>
      <c r="G51" s="71">
        <f t="shared" si="4"/>
        <v>97351279.440000013</v>
      </c>
      <c r="H51" s="71">
        <f t="shared" si="5"/>
        <v>97043769.610000014</v>
      </c>
      <c r="I51" s="71">
        <f t="shared" si="6"/>
        <v>69560715.600000009</v>
      </c>
      <c r="J51" s="91"/>
    </row>
    <row r="52" spans="1:10" x14ac:dyDescent="0.25">
      <c r="A52" s="70">
        <v>45716</v>
      </c>
      <c r="B52" s="76">
        <v>60052154.18</v>
      </c>
      <c r="C52" s="76">
        <v>25928031.29999999</v>
      </c>
      <c r="D52" s="76">
        <v>-923415.45</v>
      </c>
      <c r="E52" s="76">
        <v>1247189.43</v>
      </c>
      <c r="F52" s="76">
        <v>-739361.73999999976</v>
      </c>
      <c r="G52" s="71">
        <f t="shared" si="4"/>
        <v>85564597.719999999</v>
      </c>
      <c r="H52" s="71">
        <f t="shared" si="5"/>
        <v>86303959.459999993</v>
      </c>
      <c r="I52" s="71">
        <f t="shared" si="6"/>
        <v>61299343.609999999</v>
      </c>
      <c r="J52" s="91"/>
    </row>
    <row r="53" spans="1:10" x14ac:dyDescent="0.25">
      <c r="A53" s="70">
        <v>45747</v>
      </c>
      <c r="B53" s="76">
        <v>61858677.259999998</v>
      </c>
      <c r="C53" s="76">
        <v>27348795.480000008</v>
      </c>
      <c r="D53" s="76">
        <v>-118941.83999999994</v>
      </c>
      <c r="E53" s="76">
        <v>1299857.28</v>
      </c>
      <c r="F53" s="76">
        <v>-1932199.11</v>
      </c>
      <c r="G53" s="71">
        <f t="shared" si="4"/>
        <v>88456189.070000008</v>
      </c>
      <c r="H53" s="71">
        <f t="shared" si="5"/>
        <v>90388388.180000007</v>
      </c>
      <c r="I53" s="71">
        <f t="shared" si="6"/>
        <v>63158534.539999999</v>
      </c>
      <c r="J53" s="91"/>
    </row>
    <row r="54" spans="1:10" x14ac:dyDescent="0.25">
      <c r="A54" s="70">
        <v>45777</v>
      </c>
      <c r="B54" s="76">
        <v>58374875.109999992</v>
      </c>
      <c r="C54" s="76">
        <v>26077096.990000002</v>
      </c>
      <c r="D54" s="76">
        <v>-946893.32000000007</v>
      </c>
      <c r="E54" s="76">
        <v>1004740.51</v>
      </c>
      <c r="F54" s="76">
        <v>-2070144.6399999997</v>
      </c>
      <c r="G54" s="71">
        <f t="shared" si="4"/>
        <v>82439674.650000006</v>
      </c>
      <c r="H54" s="71">
        <f t="shared" si="5"/>
        <v>84509819.290000007</v>
      </c>
      <c r="I54" s="71">
        <f t="shared" si="6"/>
        <v>59379615.61999999</v>
      </c>
      <c r="J54" s="91"/>
    </row>
    <row r="55" spans="1:10" x14ac:dyDescent="0.25">
      <c r="A55" s="70">
        <v>45808</v>
      </c>
      <c r="B55" s="76">
        <v>58223474.859999992</v>
      </c>
      <c r="C55" s="76">
        <v>25650041.949999999</v>
      </c>
      <c r="D55" s="76">
        <v>-2554766.87</v>
      </c>
      <c r="E55" s="76">
        <v>789790.40999999992</v>
      </c>
      <c r="F55" s="76">
        <v>-923737.66999999981</v>
      </c>
      <c r="G55" s="71">
        <f t="shared" si="4"/>
        <v>81184802.679999977</v>
      </c>
      <c r="H55" s="71">
        <f t="shared" si="5"/>
        <v>82108540.349999979</v>
      </c>
      <c r="I55" s="71">
        <f t="shared" si="6"/>
        <v>59013265.269999988</v>
      </c>
      <c r="J55" s="91"/>
    </row>
    <row r="56" spans="1:10" x14ac:dyDescent="0.25">
      <c r="A56" s="70">
        <f>+A30</f>
        <v>45838</v>
      </c>
      <c r="B56" s="76">
        <v>63514328.499999993</v>
      </c>
      <c r="C56" s="76">
        <v>28620249.740000002</v>
      </c>
      <c r="D56" s="76">
        <v>-3748968.9799999995</v>
      </c>
      <c r="E56" s="76">
        <v>910428.33000000019</v>
      </c>
      <c r="F56" s="76">
        <v>-661583.27999999991</v>
      </c>
      <c r="G56" s="71">
        <f t="shared" ref="G56" si="7">SUM(B56:F56)</f>
        <v>88634454.309999987</v>
      </c>
      <c r="H56" s="71">
        <f t="shared" si="5"/>
        <v>89296037.589999989</v>
      </c>
      <c r="I56" s="71">
        <f t="shared" si="6"/>
        <v>64424756.829999991</v>
      </c>
      <c r="J56" s="91"/>
    </row>
    <row r="57" spans="1:10" x14ac:dyDescent="0.25">
      <c r="A57" s="93" t="s">
        <v>69</v>
      </c>
      <c r="B57" s="59"/>
      <c r="C57" s="59"/>
      <c r="D57" s="59"/>
      <c r="E57" s="59"/>
      <c r="F57" s="59"/>
      <c r="G57" s="59"/>
      <c r="H57" s="19"/>
      <c r="I57" s="67"/>
      <c r="J57" s="59"/>
    </row>
    <row r="58" spans="1:10" x14ac:dyDescent="0.25">
      <c r="A58" s="52" t="s">
        <v>62</v>
      </c>
      <c r="B58" s="79"/>
      <c r="C58" s="79"/>
      <c r="D58" s="79"/>
      <c r="E58" s="79"/>
      <c r="F58" s="79"/>
      <c r="G58" s="79"/>
      <c r="H58" s="80">
        <f>ROUND(AVERAGE(H45:H56),0)</f>
        <v>88418411</v>
      </c>
      <c r="I58" s="80">
        <f>ROUND(AVERAGE(I45:I56),0)</f>
        <v>62944693</v>
      </c>
      <c r="J58" s="59"/>
    </row>
    <row r="59" spans="1:10" x14ac:dyDescent="0.25">
      <c r="A59" s="81" t="s">
        <v>63</v>
      </c>
      <c r="B59" s="82"/>
      <c r="C59" s="82"/>
      <c r="D59" s="82"/>
      <c r="E59" s="82"/>
      <c r="F59" s="82"/>
      <c r="G59" s="82"/>
      <c r="H59" s="80">
        <f>(SUM($H$19:$H$30)+SUM($H$45:$H$56))/12</f>
        <v>152399709.80250001</v>
      </c>
      <c r="I59" s="94"/>
      <c r="J59" s="59"/>
    </row>
    <row r="60" spans="1:10" x14ac:dyDescent="0.25">
      <c r="A60" s="84" t="s">
        <v>70</v>
      </c>
      <c r="B60" s="79"/>
      <c r="C60" s="79"/>
      <c r="D60" s="79"/>
      <c r="E60" s="79"/>
      <c r="F60" s="79"/>
      <c r="G60" s="79"/>
      <c r="H60" s="85">
        <f>ROUND(H58/H59,4)</f>
        <v>0.58020000000000005</v>
      </c>
      <c r="I60" s="94"/>
      <c r="J60" s="59"/>
    </row>
    <row r="64" spans="1:10" x14ac:dyDescent="0.25">
      <c r="H64"/>
      <c r="I64"/>
      <c r="J64"/>
    </row>
    <row r="65" spans="2:10" x14ac:dyDescent="0.25">
      <c r="H65"/>
      <c r="I65"/>
      <c r="J65"/>
    </row>
    <row r="66" spans="2:10" x14ac:dyDescent="0.25">
      <c r="B66" s="24"/>
      <c r="C66" s="24"/>
      <c r="D66" s="24"/>
      <c r="E66" s="24"/>
      <c r="F66" s="24"/>
      <c r="H66"/>
      <c r="I66"/>
      <c r="J66"/>
    </row>
    <row r="67" spans="2:10" x14ac:dyDescent="0.25">
      <c r="B67" s="24"/>
      <c r="C67" s="24"/>
      <c r="D67" s="24"/>
      <c r="E67" s="24"/>
      <c r="F67" s="24"/>
      <c r="H67"/>
      <c r="I67"/>
      <c r="J67"/>
    </row>
    <row r="68" spans="2:10" x14ac:dyDescent="0.25">
      <c r="B68" s="24"/>
      <c r="C68" s="24"/>
      <c r="D68" s="24"/>
      <c r="E68" s="24"/>
      <c r="F68" s="24"/>
      <c r="H68"/>
      <c r="I68"/>
      <c r="J68"/>
    </row>
    <row r="69" spans="2:10" x14ac:dyDescent="0.25">
      <c r="B69" s="24"/>
      <c r="C69" s="24"/>
      <c r="D69" s="24"/>
      <c r="E69" s="24"/>
      <c r="F69" s="24"/>
      <c r="H69" s="95"/>
    </row>
    <row r="70" spans="2:10" x14ac:dyDescent="0.25">
      <c r="B70" s="24"/>
      <c r="C70" s="24"/>
      <c r="D70" s="24"/>
      <c r="E70" s="24"/>
      <c r="F70" s="24"/>
    </row>
    <row r="71" spans="2:10" x14ac:dyDescent="0.25">
      <c r="B71" s="24"/>
      <c r="C71" s="24"/>
      <c r="D71" s="24"/>
      <c r="E71" s="24"/>
      <c r="F71" s="24"/>
    </row>
    <row r="72" spans="2:10" x14ac:dyDescent="0.25">
      <c r="B72" s="24"/>
      <c r="C72" s="24"/>
      <c r="D72" s="24"/>
      <c r="E72" s="24"/>
      <c r="F72" s="24"/>
    </row>
    <row r="73" spans="2:10" x14ac:dyDescent="0.25">
      <c r="B73" s="24"/>
      <c r="C73" s="24"/>
      <c r="D73" s="24"/>
      <c r="E73" s="24"/>
      <c r="F73" s="24"/>
    </row>
    <row r="74" spans="2:10" x14ac:dyDescent="0.25">
      <c r="B74" s="24"/>
      <c r="C74" s="24"/>
      <c r="D74" s="24"/>
      <c r="E74" s="24"/>
      <c r="F74" s="24"/>
    </row>
    <row r="75" spans="2:10" x14ac:dyDescent="0.25">
      <c r="B75" s="24"/>
      <c r="C75" s="24"/>
      <c r="D75" s="24"/>
      <c r="E75" s="24"/>
      <c r="F75" s="24"/>
    </row>
    <row r="76" spans="2:10" x14ac:dyDescent="0.25">
      <c r="B76" s="24"/>
      <c r="C76" s="24"/>
      <c r="D76" s="24"/>
      <c r="E76" s="24"/>
      <c r="F76" s="24"/>
    </row>
    <row r="77" spans="2:10" x14ac:dyDescent="0.25">
      <c r="B77" s="24"/>
      <c r="C77" s="24"/>
      <c r="D77" s="24"/>
      <c r="E77" s="24"/>
      <c r="F77" s="24"/>
    </row>
    <row r="78" spans="2:10" x14ac:dyDescent="0.25">
      <c r="B78" s="24"/>
      <c r="C78" s="24"/>
      <c r="D78" s="24"/>
      <c r="E78" s="24"/>
      <c r="F78" s="24"/>
    </row>
    <row r="90" spans="2:6" x14ac:dyDescent="0.25">
      <c r="B90" s="24"/>
      <c r="C90" s="24"/>
      <c r="D90" s="24"/>
      <c r="E90" s="24"/>
      <c r="F90" s="24"/>
    </row>
    <row r="91" spans="2:6" x14ac:dyDescent="0.25">
      <c r="B91" s="24"/>
      <c r="C91" s="24"/>
      <c r="D91" s="24"/>
      <c r="E91" s="24"/>
      <c r="F91" s="24"/>
    </row>
    <row r="92" spans="2:6" x14ac:dyDescent="0.25">
      <c r="B92" s="24"/>
      <c r="C92" s="24"/>
      <c r="D92" s="24"/>
      <c r="E92" s="24"/>
      <c r="F92" s="24"/>
    </row>
    <row r="93" spans="2:6" x14ac:dyDescent="0.25">
      <c r="B93" s="24"/>
      <c r="C93" s="24"/>
      <c r="D93" s="24"/>
      <c r="E93" s="24"/>
      <c r="F93" s="24"/>
    </row>
    <row r="94" spans="2:6" x14ac:dyDescent="0.25">
      <c r="B94" s="24"/>
      <c r="C94" s="24"/>
      <c r="D94" s="24"/>
      <c r="E94" s="24"/>
      <c r="F94" s="24"/>
    </row>
    <row r="95" spans="2:6" x14ac:dyDescent="0.25">
      <c r="B95" s="24"/>
      <c r="C95" s="24"/>
      <c r="D95" s="24"/>
      <c r="E95" s="24"/>
      <c r="F95" s="24"/>
    </row>
    <row r="96" spans="2:6" x14ac:dyDescent="0.25">
      <c r="B96" s="24"/>
      <c r="C96" s="24"/>
      <c r="D96" s="24"/>
      <c r="E96" s="24"/>
      <c r="F96" s="24"/>
    </row>
    <row r="97" spans="2:6" x14ac:dyDescent="0.25">
      <c r="B97" s="24"/>
      <c r="C97" s="24"/>
      <c r="D97" s="24"/>
      <c r="E97" s="24"/>
      <c r="F97" s="24"/>
    </row>
    <row r="98" spans="2:6" x14ac:dyDescent="0.25">
      <c r="B98" s="24"/>
      <c r="C98" s="24"/>
      <c r="D98" s="24"/>
      <c r="E98" s="24"/>
      <c r="F98" s="24"/>
    </row>
    <row r="99" spans="2:6" x14ac:dyDescent="0.25">
      <c r="B99" s="24"/>
      <c r="C99" s="24"/>
      <c r="D99" s="24"/>
      <c r="E99" s="24"/>
      <c r="F99" s="24"/>
    </row>
    <row r="100" spans="2:6" x14ac:dyDescent="0.25">
      <c r="B100" s="24"/>
      <c r="C100" s="24"/>
      <c r="D100" s="24"/>
      <c r="E100" s="24"/>
      <c r="F100" s="24"/>
    </row>
  </sheetData>
  <protectedRanges>
    <protectedRange sqref="K18:K29 K45:K55" name="Range1"/>
  </protectedRanges>
  <mergeCells count="6">
    <mergeCell ref="B37:I37"/>
    <mergeCell ref="A4:I4"/>
    <mergeCell ref="A5:I5"/>
    <mergeCell ref="A6:I6"/>
    <mergeCell ref="A8:I8"/>
    <mergeCell ref="B11:H11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C094E-6A59-4BA2-8FAC-211D3F96927D}">
  <sheetPr>
    <tabColor theme="7" tint="0.79998168889431442"/>
  </sheetPr>
  <dimension ref="A3:H45"/>
  <sheetViews>
    <sheetView workbookViewId="0"/>
  </sheetViews>
  <sheetFormatPr defaultRowHeight="15" x14ac:dyDescent="0.25"/>
  <cols>
    <col min="1" max="1" width="51.28515625" style="1" customWidth="1"/>
    <col min="2" max="2" width="20.85546875" style="1" customWidth="1"/>
    <col min="3" max="3" width="16.140625" style="1" customWidth="1"/>
    <col min="4" max="4" width="17.28515625" style="1" bestFit="1" customWidth="1"/>
  </cols>
  <sheetData>
    <row r="3" spans="1:8" x14ac:dyDescent="0.25">
      <c r="D3" s="56" t="s">
        <v>74</v>
      </c>
    </row>
    <row r="5" spans="1:8" s="1" customFormat="1" ht="18.75" x14ac:dyDescent="0.3">
      <c r="A5" s="104" t="s">
        <v>1</v>
      </c>
      <c r="B5" s="104"/>
      <c r="C5" s="104"/>
      <c r="D5" s="104"/>
      <c r="E5" s="104"/>
    </row>
    <row r="6" spans="1:8" s="1" customFormat="1" ht="18.75" x14ac:dyDescent="0.3">
      <c r="A6" s="104" t="s">
        <v>2</v>
      </c>
      <c r="B6" s="104"/>
      <c r="C6" s="104"/>
      <c r="D6" s="104"/>
      <c r="E6" s="104"/>
    </row>
    <row r="7" spans="1:8" s="1" customFormat="1" ht="12.75" x14ac:dyDescent="0.2">
      <c r="A7" s="60" t="s">
        <v>100</v>
      </c>
      <c r="B7" s="60"/>
      <c r="C7" s="60"/>
      <c r="D7" s="60"/>
      <c r="E7" s="60"/>
      <c r="H7" s="129"/>
    </row>
    <row r="8" spans="1:8" s="1" customFormat="1" ht="12.75" customHeight="1" x14ac:dyDescent="0.25">
      <c r="A8" s="105"/>
      <c r="B8" s="105"/>
      <c r="C8" s="105"/>
      <c r="D8" s="106"/>
      <c r="E8" s="105"/>
      <c r="H8" s="129"/>
    </row>
    <row r="9" spans="1:8" s="1" customFormat="1" ht="12.75" x14ac:dyDescent="0.2">
      <c r="A9" s="132" t="s">
        <v>71</v>
      </c>
      <c r="B9" s="132"/>
      <c r="C9" s="132"/>
      <c r="D9" s="132"/>
      <c r="E9" s="132"/>
    </row>
    <row r="10" spans="1:8" ht="15.75" thickBot="1" x14ac:dyDescent="0.3">
      <c r="A10" s="107"/>
      <c r="B10" s="107"/>
      <c r="C10" s="107"/>
      <c r="D10" s="107"/>
    </row>
    <row r="11" spans="1:8" ht="15.75" thickTop="1" x14ac:dyDescent="0.25">
      <c r="A11" s="9"/>
      <c r="B11" s="9"/>
      <c r="C11" s="108" t="s">
        <v>75</v>
      </c>
      <c r="D11" s="108" t="s">
        <v>75</v>
      </c>
    </row>
    <row r="12" spans="1:8" x14ac:dyDescent="0.25">
      <c r="A12" s="26"/>
      <c r="B12" s="26"/>
      <c r="C12" s="109" t="s">
        <v>76</v>
      </c>
      <c r="D12" s="124" t="s">
        <v>77</v>
      </c>
    </row>
    <row r="13" spans="1:8" x14ac:dyDescent="0.25">
      <c r="A13" s="26"/>
      <c r="B13" s="26"/>
      <c r="C13" s="110"/>
      <c r="D13" s="125"/>
    </row>
    <row r="14" spans="1:8" x14ac:dyDescent="0.25">
      <c r="A14" s="111" t="s">
        <v>78</v>
      </c>
      <c r="B14" s="42"/>
      <c r="C14" s="71">
        <v>146424594.66</v>
      </c>
      <c r="D14" s="71">
        <v>146412079.13000003</v>
      </c>
    </row>
    <row r="15" spans="1:8" x14ac:dyDescent="0.25">
      <c r="A15" s="42" t="s">
        <v>79</v>
      </c>
      <c r="B15" s="42"/>
      <c r="C15" s="112">
        <f>ROUND(D15,2)</f>
        <v>-5388600.5899999999</v>
      </c>
      <c r="D15" s="112">
        <v>-5388600.5899999999</v>
      </c>
    </row>
    <row r="16" spans="1:8" x14ac:dyDescent="0.25">
      <c r="A16" s="42" t="s">
        <v>53</v>
      </c>
      <c r="B16" s="42"/>
      <c r="C16" s="112">
        <f>ROUND(D16,2)</f>
        <v>1747798.18</v>
      </c>
      <c r="D16" s="112">
        <v>1747798.18</v>
      </c>
    </row>
    <row r="17" spans="1:4" x14ac:dyDescent="0.25">
      <c r="A17" s="42" t="s">
        <v>80</v>
      </c>
      <c r="B17" s="42"/>
      <c r="C17" s="112"/>
      <c r="D17" s="112">
        <v>-1036988.34</v>
      </c>
    </row>
    <row r="18" spans="1:4" x14ac:dyDescent="0.25">
      <c r="A18" s="42" t="s">
        <v>81</v>
      </c>
      <c r="B18" s="42"/>
      <c r="C18" s="112"/>
      <c r="D18" s="112">
        <v>-1088061.81</v>
      </c>
    </row>
    <row r="19" spans="1:4" x14ac:dyDescent="0.25">
      <c r="A19" s="42" t="s">
        <v>82</v>
      </c>
      <c r="B19" s="42"/>
      <c r="C19" s="112"/>
      <c r="D19" s="113">
        <v>-267402.68</v>
      </c>
    </row>
    <row r="20" spans="1:4" x14ac:dyDescent="0.25">
      <c r="A20" s="42" t="s">
        <v>83</v>
      </c>
      <c r="B20" s="42"/>
      <c r="C20" s="112"/>
      <c r="D20" s="113">
        <v>25722.34</v>
      </c>
    </row>
    <row r="21" spans="1:4" x14ac:dyDescent="0.25">
      <c r="A21" s="114"/>
      <c r="B21" s="114" t="s">
        <v>84</v>
      </c>
      <c r="C21" s="71">
        <f>ROUND(SUM(C14:C19),2)</f>
        <v>142783792.25</v>
      </c>
      <c r="D21" s="115"/>
    </row>
    <row r="22" spans="1:4" x14ac:dyDescent="0.25">
      <c r="C22" s="116"/>
      <c r="D22" s="116"/>
    </row>
    <row r="23" spans="1:4" x14ac:dyDescent="0.25">
      <c r="A23" s="26"/>
      <c r="B23" s="26"/>
      <c r="C23" s="117"/>
      <c r="D23" s="116"/>
    </row>
    <row r="24" spans="1:4" x14ac:dyDescent="0.25">
      <c r="A24" s="42" t="s">
        <v>85</v>
      </c>
      <c r="B24" s="42"/>
      <c r="C24" s="112">
        <f>D24</f>
        <v>6245400.71</v>
      </c>
      <c r="D24" s="112">
        <v>6245400.71</v>
      </c>
    </row>
    <row r="25" spans="1:4" x14ac:dyDescent="0.25">
      <c r="A25" s="42" t="s">
        <v>86</v>
      </c>
      <c r="B25" s="42"/>
      <c r="C25" s="112">
        <f>D25</f>
        <v>1806001.89</v>
      </c>
      <c r="D25" s="112">
        <v>1806001.89</v>
      </c>
    </row>
    <row r="26" spans="1:4" x14ac:dyDescent="0.25">
      <c r="A26" s="42" t="s">
        <v>87</v>
      </c>
      <c r="B26" s="42"/>
      <c r="C26" s="112">
        <f>D26</f>
        <v>6257039.29</v>
      </c>
      <c r="D26" s="112">
        <v>6257039.29</v>
      </c>
    </row>
    <row r="27" spans="1:4" x14ac:dyDescent="0.25">
      <c r="A27" s="114"/>
      <c r="B27" s="114" t="s">
        <v>88</v>
      </c>
      <c r="C27" s="71">
        <f>SUM(C24:C26)</f>
        <v>14308441.890000001</v>
      </c>
      <c r="D27" s="71"/>
    </row>
    <row r="28" spans="1:4" x14ac:dyDescent="0.25">
      <c r="C28" s="116"/>
      <c r="D28" s="116"/>
    </row>
    <row r="29" spans="1:4" x14ac:dyDescent="0.25">
      <c r="A29" s="118"/>
      <c r="B29" s="118" t="s">
        <v>89</v>
      </c>
      <c r="C29" s="115">
        <f>C21+C27</f>
        <v>157092234.13999999</v>
      </c>
      <c r="D29" s="115"/>
    </row>
    <row r="30" spans="1:4" x14ac:dyDescent="0.25">
      <c r="A30" s="34"/>
      <c r="B30" s="34"/>
      <c r="C30" s="119"/>
      <c r="D30" s="119"/>
    </row>
    <row r="31" spans="1:4" ht="15.75" thickBot="1" x14ac:dyDescent="0.3">
      <c r="A31" s="34"/>
      <c r="B31" s="120" t="s">
        <v>90</v>
      </c>
      <c r="C31" s="121">
        <f>ROUND(+C21/C29,4)</f>
        <v>0.90890000000000004</v>
      </c>
      <c r="D31" s="119"/>
    </row>
    <row r="32" spans="1:4" ht="15.75" thickTop="1" x14ac:dyDescent="0.25">
      <c r="A32" s="34"/>
      <c r="B32" s="34"/>
      <c r="C32" s="119"/>
      <c r="D32" s="116"/>
    </row>
    <row r="33" spans="1:4" x14ac:dyDescent="0.25">
      <c r="A33" s="26"/>
      <c r="B33" s="26"/>
      <c r="C33" s="117"/>
      <c r="D33" s="116"/>
    </row>
    <row r="34" spans="1:4" x14ac:dyDescent="0.25">
      <c r="A34" s="42" t="s">
        <v>91</v>
      </c>
      <c r="B34" s="42"/>
      <c r="C34" s="112">
        <f>D34</f>
        <v>0</v>
      </c>
      <c r="D34" s="112">
        <v>0</v>
      </c>
    </row>
    <row r="35" spans="1:4" x14ac:dyDescent="0.25">
      <c r="A35" s="42" t="s">
        <v>92</v>
      </c>
      <c r="B35" s="42"/>
      <c r="C35" s="112"/>
      <c r="D35" s="112">
        <v>0</v>
      </c>
    </row>
    <row r="36" spans="1:4" x14ac:dyDescent="0.25">
      <c r="A36" s="42" t="s">
        <v>93</v>
      </c>
      <c r="B36" s="42"/>
      <c r="C36" s="112"/>
      <c r="D36" s="112">
        <v>17053541.870000001</v>
      </c>
    </row>
    <row r="37" spans="1:4" x14ac:dyDescent="0.25">
      <c r="A37" s="42" t="s">
        <v>94</v>
      </c>
      <c r="B37" s="42"/>
      <c r="C37" s="112"/>
      <c r="D37" s="112">
        <v>0</v>
      </c>
    </row>
    <row r="38" spans="1:4" x14ac:dyDescent="0.25">
      <c r="A38" s="42" t="s">
        <v>95</v>
      </c>
      <c r="B38" s="42"/>
      <c r="C38" s="112"/>
      <c r="D38" s="112">
        <v>3908674.2100000004</v>
      </c>
    </row>
    <row r="39" spans="1:4" ht="15.75" thickBot="1" x14ac:dyDescent="0.3">
      <c r="A39" s="122" t="s">
        <v>96</v>
      </c>
      <c r="B39" s="122"/>
      <c r="C39" s="123"/>
      <c r="D39" s="123">
        <f>SUM(D14:D38)</f>
        <v>175675204.20000002</v>
      </c>
    </row>
    <row r="40" spans="1:4" ht="15.75" thickTop="1" x14ac:dyDescent="0.25"/>
    <row r="42" spans="1:4" x14ac:dyDescent="0.25">
      <c r="D42" s="126"/>
    </row>
    <row r="43" spans="1:4" x14ac:dyDescent="0.25">
      <c r="A43" s="10"/>
      <c r="B43" s="10"/>
      <c r="D43" s="126"/>
    </row>
    <row r="45" spans="1:4" x14ac:dyDescent="0.25">
      <c r="D45" s="126"/>
    </row>
  </sheetData>
  <protectedRanges>
    <protectedRange sqref="D15:D17 D24:D26 D34:D38" name="Range1"/>
  </protectedRanges>
  <mergeCells count="1">
    <mergeCell ref="A9:E9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105A-0C26-4998-8EA2-0DD227C27ED2}">
  <sheetPr>
    <tabColor rgb="FFFCD0D0"/>
  </sheetPr>
  <dimension ref="A3:X74"/>
  <sheetViews>
    <sheetView workbookViewId="0"/>
  </sheetViews>
  <sheetFormatPr defaultColWidth="9.140625" defaultRowHeight="15" x14ac:dyDescent="0.25"/>
  <cols>
    <col min="1" max="1" width="6.140625" style="1" customWidth="1"/>
    <col min="2" max="2" width="4.85546875" style="1" customWidth="1"/>
    <col min="3" max="3" width="5.140625" style="1" customWidth="1"/>
    <col min="4" max="4" width="12.7109375" style="1" customWidth="1"/>
    <col min="5" max="5" width="3.7109375" style="1" customWidth="1"/>
    <col min="6" max="6" width="44.5703125" style="1" customWidth="1"/>
    <col min="7" max="7" width="3.42578125" style="1" customWidth="1"/>
    <col min="8" max="8" width="22.85546875" style="1" customWidth="1"/>
    <col min="9" max="9" width="2.7109375" style="1" customWidth="1"/>
    <col min="10" max="10" width="22.85546875" style="1" customWidth="1"/>
    <col min="11" max="11" width="2.7109375" style="1" customWidth="1"/>
    <col min="12" max="12" width="8.5703125" style="1" customWidth="1"/>
    <col min="13" max="13" width="9.5703125" bestFit="1" customWidth="1"/>
    <col min="14" max="14" width="14.5703125" bestFit="1" customWidth="1"/>
    <col min="15" max="16" width="4.140625" customWidth="1"/>
    <col min="19" max="19" width="16.42578125" customWidth="1"/>
    <col min="20" max="20" width="11.7109375" customWidth="1"/>
    <col min="24" max="16384" width="9.140625" style="1"/>
  </cols>
  <sheetData>
    <row r="3" spans="1:12" x14ac:dyDescent="0.25">
      <c r="J3" s="2" t="s">
        <v>0</v>
      </c>
      <c r="L3" s="2"/>
    </row>
    <row r="4" spans="1:12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75" x14ac:dyDescent="0.3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4"/>
    </row>
    <row r="6" spans="1:12" ht="18.75" x14ac:dyDescent="0.3">
      <c r="A6" s="131" t="s">
        <v>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4"/>
    </row>
    <row r="7" spans="1:12" x14ac:dyDescent="0.25">
      <c r="A7" s="132" t="s">
        <v>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5"/>
    </row>
    <row r="8" spans="1:12" x14ac:dyDescent="0.25">
      <c r="A8" s="132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132" t="s">
        <v>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5"/>
    </row>
    <row r="12" spans="1:12" x14ac:dyDescent="0.25">
      <c r="A12" s="6" t="s">
        <v>6</v>
      </c>
      <c r="B12" s="7"/>
    </row>
    <row r="13" spans="1:12" x14ac:dyDescent="0.25">
      <c r="A13" s="7"/>
      <c r="B13" s="7"/>
    </row>
    <row r="14" spans="1:12" x14ac:dyDescent="0.25">
      <c r="C14" s="8" t="s">
        <v>7</v>
      </c>
      <c r="D14" s="9"/>
      <c r="E14" s="10"/>
    </row>
    <row r="15" spans="1:12" x14ac:dyDescent="0.25">
      <c r="D15" s="7" t="s">
        <v>8</v>
      </c>
      <c r="E15" s="10" t="s">
        <v>9</v>
      </c>
      <c r="F15" s="1" t="s">
        <v>10</v>
      </c>
    </row>
    <row r="16" spans="1:12" x14ac:dyDescent="0.25">
      <c r="D16" s="7" t="s">
        <v>11</v>
      </c>
      <c r="E16" s="10" t="s">
        <v>9</v>
      </c>
      <c r="F16" s="1" t="s">
        <v>12</v>
      </c>
    </row>
    <row r="17" spans="2:24" x14ac:dyDescent="0.25">
      <c r="D17" s="7" t="s">
        <v>13</v>
      </c>
      <c r="E17" s="10" t="s">
        <v>9</v>
      </c>
      <c r="F17" s="1" t="s">
        <v>14</v>
      </c>
    </row>
    <row r="18" spans="2:24" x14ac:dyDescent="0.25">
      <c r="D18" s="7" t="s">
        <v>15</v>
      </c>
      <c r="E18" s="10" t="s">
        <v>9</v>
      </c>
      <c r="F18" s="1" t="s">
        <v>16</v>
      </c>
    </row>
    <row r="19" spans="2:24" x14ac:dyDescent="0.25">
      <c r="D19" s="7" t="s">
        <v>17</v>
      </c>
      <c r="E19" s="10" t="s">
        <v>9</v>
      </c>
      <c r="F19" s="1" t="s">
        <v>18</v>
      </c>
    </row>
    <row r="20" spans="2:24" x14ac:dyDescent="0.25">
      <c r="D20" s="7" t="s">
        <v>19</v>
      </c>
      <c r="E20" s="9" t="s">
        <v>9</v>
      </c>
      <c r="F20" s="11" t="s">
        <v>20</v>
      </c>
      <c r="J20"/>
      <c r="K20"/>
    </row>
    <row r="21" spans="2:24" x14ac:dyDescent="0.25">
      <c r="D21" s="7" t="s">
        <v>21</v>
      </c>
      <c r="E21" s="9" t="s">
        <v>9</v>
      </c>
      <c r="F21" s="1" t="s">
        <v>22</v>
      </c>
      <c r="J21"/>
      <c r="K21"/>
    </row>
    <row r="22" spans="2:24" x14ac:dyDescent="0.25">
      <c r="D22" s="7"/>
      <c r="E22" s="10"/>
      <c r="I22"/>
      <c r="J22"/>
      <c r="K22"/>
    </row>
    <row r="23" spans="2:24" x14ac:dyDescent="0.25">
      <c r="B23" s="12"/>
      <c r="C23" s="13"/>
      <c r="D23" s="14"/>
      <c r="E23" s="15"/>
      <c r="F23" s="13"/>
      <c r="G23" s="16"/>
      <c r="H23" s="16" t="s">
        <v>23</v>
      </c>
      <c r="I23" s="17"/>
      <c r="J23" s="9"/>
      <c r="K23"/>
    </row>
    <row r="24" spans="2:24" x14ac:dyDescent="0.25">
      <c r="B24" s="19"/>
      <c r="D24" s="7"/>
      <c r="E24" s="10"/>
      <c r="H24" s="9" t="s">
        <v>24</v>
      </c>
      <c r="I24" s="17"/>
      <c r="J24" s="9"/>
      <c r="K24"/>
    </row>
    <row r="25" spans="2:24" x14ac:dyDescent="0.25">
      <c r="B25" s="19"/>
      <c r="D25" s="7"/>
      <c r="E25" s="10"/>
      <c r="I25" s="17"/>
      <c r="K25"/>
    </row>
    <row r="26" spans="2:24" x14ac:dyDescent="0.25">
      <c r="B26" s="20">
        <v>-1</v>
      </c>
      <c r="C26" s="1" t="s">
        <v>8</v>
      </c>
      <c r="G26" s="10" t="s">
        <v>9</v>
      </c>
      <c r="H26" s="21">
        <v>654536021</v>
      </c>
      <c r="I26" s="17"/>
      <c r="J26" s="21"/>
      <c r="K26"/>
    </row>
    <row r="27" spans="2:24" x14ac:dyDescent="0.25">
      <c r="B27" s="20">
        <f>B26-1</f>
        <v>-2</v>
      </c>
      <c r="C27" s="1" t="s">
        <v>25</v>
      </c>
      <c r="G27" s="10" t="s">
        <v>9</v>
      </c>
      <c r="H27" s="22">
        <f>ROUND(H26/12,0)</f>
        <v>54544668</v>
      </c>
      <c r="I27" s="17"/>
      <c r="J27" s="22"/>
      <c r="K27"/>
    </row>
    <row r="28" spans="2:24" x14ac:dyDescent="0.25">
      <c r="B28" s="20">
        <f>B27-1</f>
        <v>-3</v>
      </c>
      <c r="C28" s="1" t="s">
        <v>26</v>
      </c>
      <c r="G28" s="10" t="s">
        <v>9</v>
      </c>
      <c r="H28" s="49">
        <v>8.7300000000000003E-2</v>
      </c>
      <c r="I28" s="17"/>
      <c r="J28" s="23"/>
      <c r="K28"/>
      <c r="X28"/>
    </row>
    <row r="29" spans="2:24" x14ac:dyDescent="0.25">
      <c r="B29" s="20">
        <f>B28-1</f>
        <v>-4</v>
      </c>
      <c r="C29" s="1" t="s">
        <v>17</v>
      </c>
      <c r="G29" s="10" t="s">
        <v>9</v>
      </c>
      <c r="H29" s="22">
        <v>3638939.7103133686</v>
      </c>
      <c r="I29" s="17"/>
      <c r="J29" s="22"/>
      <c r="K29"/>
      <c r="X29"/>
    </row>
    <row r="30" spans="2:24" x14ac:dyDescent="0.25">
      <c r="B30" s="20">
        <f>B29-1</f>
        <v>-5</v>
      </c>
      <c r="C30" s="1" t="s">
        <v>19</v>
      </c>
      <c r="G30" s="10" t="s">
        <v>9</v>
      </c>
      <c r="H30" s="22">
        <v>0</v>
      </c>
      <c r="I30" s="17"/>
      <c r="J30" s="22"/>
      <c r="K30"/>
      <c r="X30"/>
    </row>
    <row r="31" spans="2:24" x14ac:dyDescent="0.25">
      <c r="B31" s="20">
        <f>B30-1</f>
        <v>-6</v>
      </c>
      <c r="C31" s="1" t="s">
        <v>21</v>
      </c>
      <c r="G31" s="10" t="s">
        <v>9</v>
      </c>
      <c r="H31" s="22">
        <v>-2149242.2408333332</v>
      </c>
      <c r="I31" s="17"/>
      <c r="J31" s="22"/>
      <c r="K31"/>
      <c r="X31"/>
    </row>
    <row r="32" spans="2:24" x14ac:dyDescent="0.25">
      <c r="B32" s="20"/>
      <c r="H32" s="24"/>
      <c r="I32" s="17"/>
      <c r="J32" s="24"/>
      <c r="K32"/>
      <c r="X32"/>
    </row>
    <row r="33" spans="1:24" x14ac:dyDescent="0.25">
      <c r="B33" s="25">
        <f>B31-1</f>
        <v>-7</v>
      </c>
      <c r="C33" s="26" t="s">
        <v>27</v>
      </c>
      <c r="D33" s="26"/>
      <c r="E33" s="26"/>
      <c r="F33" s="27" t="str">
        <f>TEXT(B27*-1,"(0)")&amp;" x "&amp;TEXT(B28*-1,"(0)")&amp;" + "&amp;TEXT(B29*-1,"(0)")&amp;" - "&amp;TEXT(B30*-1,"(0)")&amp;" + "&amp;TEXT(B31*-1,"(0)")</f>
        <v>(2) x (3) + (4) - (5) + (6)</v>
      </c>
      <c r="G33" s="28" t="s">
        <v>9</v>
      </c>
      <c r="H33" s="29">
        <f>ROUND((H27*H28)+H29-H30+H31,0)</f>
        <v>6251447</v>
      </c>
      <c r="I33" s="17"/>
      <c r="J33" s="21"/>
      <c r="K33"/>
      <c r="X33"/>
    </row>
    <row r="34" spans="1:24" x14ac:dyDescent="0.25">
      <c r="B34" s="30"/>
      <c r="I34"/>
      <c r="J34"/>
      <c r="K34"/>
      <c r="X34"/>
    </row>
    <row r="35" spans="1:24" x14ac:dyDescent="0.25">
      <c r="A35" s="6" t="s">
        <v>28</v>
      </c>
      <c r="B35" s="30"/>
      <c r="I35"/>
      <c r="J35"/>
      <c r="K35"/>
      <c r="X35"/>
    </row>
    <row r="36" spans="1:24" ht="12.75" customHeight="1" x14ac:dyDescent="0.25">
      <c r="A36" s="6"/>
      <c r="B36" s="31"/>
      <c r="C36" s="13"/>
      <c r="D36" s="13"/>
      <c r="E36" s="13"/>
      <c r="F36" s="13"/>
      <c r="G36" s="13"/>
      <c r="H36" s="54"/>
      <c r="X36"/>
    </row>
    <row r="37" spans="1:24" ht="12.75" customHeight="1" x14ac:dyDescent="0.25">
      <c r="B37" s="20">
        <f>B33-1</f>
        <v>-8</v>
      </c>
      <c r="C37" s="32" t="s">
        <v>29</v>
      </c>
      <c r="G37" s="10" t="s">
        <v>9</v>
      </c>
      <c r="H37" s="55">
        <v>0.90890000000000004</v>
      </c>
      <c r="J37" s="33"/>
      <c r="K37" s="34"/>
      <c r="X37"/>
    </row>
    <row r="38" spans="1:24" ht="12.75" customHeight="1" x14ac:dyDescent="0.25">
      <c r="B38" s="20"/>
      <c r="C38" s="35"/>
      <c r="G38" s="10"/>
      <c r="H38" s="36"/>
      <c r="J38" s="21"/>
      <c r="X38"/>
    </row>
    <row r="39" spans="1:24" ht="12.75" customHeight="1" x14ac:dyDescent="0.25">
      <c r="B39" s="20">
        <f>B37-1</f>
        <v>-9</v>
      </c>
      <c r="C39" s="35" t="str">
        <f>"Jurisdictional E(m) = Total E(m) x Jurisdictional Allocation Ratio   ["&amp;TEXT(B33*-1,"(0)")&amp;" x "&amp;TEXT(B37*-1,"(0)")&amp;"]"</f>
        <v>Jurisdictional E(m) = Total E(m) x Jurisdictional Allocation Ratio   [(7) x (8)]</v>
      </c>
      <c r="G39" s="10" t="s">
        <v>9</v>
      </c>
      <c r="H39" s="36">
        <f>ROUND(+H33*H37,0)</f>
        <v>5681940</v>
      </c>
      <c r="J39" s="21"/>
      <c r="K39" s="34"/>
      <c r="X39"/>
    </row>
    <row r="40" spans="1:24" ht="12.75" customHeight="1" x14ac:dyDescent="0.25">
      <c r="B40" s="20"/>
      <c r="C40" s="35"/>
      <c r="G40" s="10"/>
      <c r="H40" s="36"/>
      <c r="J40" s="21"/>
      <c r="X40"/>
    </row>
    <row r="41" spans="1:24" ht="12.75" customHeight="1" x14ac:dyDescent="0.25">
      <c r="B41" s="20">
        <f>B39-1</f>
        <v>-10</v>
      </c>
      <c r="C41" s="32" t="s">
        <v>30</v>
      </c>
      <c r="G41" s="10" t="s">
        <v>9</v>
      </c>
      <c r="H41" s="36">
        <v>0</v>
      </c>
      <c r="J41" s="21"/>
      <c r="K41" s="37"/>
      <c r="X41"/>
    </row>
    <row r="42" spans="1:24" ht="12.75" customHeight="1" x14ac:dyDescent="0.25">
      <c r="B42" s="20"/>
      <c r="C42" s="35"/>
      <c r="G42" s="10"/>
      <c r="H42" s="36"/>
      <c r="J42" s="21"/>
      <c r="X42"/>
    </row>
    <row r="43" spans="1:24" ht="12.75" customHeight="1" x14ac:dyDescent="0.25">
      <c r="B43" s="20">
        <f>B41-1</f>
        <v>-11</v>
      </c>
      <c r="C43" s="32" t="s">
        <v>31</v>
      </c>
      <c r="G43" s="10" t="s">
        <v>9</v>
      </c>
      <c r="H43" s="36">
        <v>0</v>
      </c>
      <c r="J43"/>
      <c r="X43"/>
    </row>
    <row r="44" spans="1:24" ht="12.75" customHeight="1" x14ac:dyDescent="0.25">
      <c r="B44" s="20"/>
      <c r="C44" s="35"/>
      <c r="G44" s="10"/>
      <c r="H44" s="36"/>
      <c r="J44" s="21"/>
      <c r="X44"/>
    </row>
    <row r="45" spans="1:24" ht="12.75" customHeight="1" x14ac:dyDescent="0.25">
      <c r="B45" s="20">
        <f>B43-1</f>
        <v>-12</v>
      </c>
      <c r="C45" s="35" t="s">
        <v>32</v>
      </c>
      <c r="G45" s="10" t="s">
        <v>9</v>
      </c>
      <c r="H45" s="36">
        <v>5932201</v>
      </c>
      <c r="J45" s="21"/>
      <c r="X45"/>
    </row>
    <row r="46" spans="1:24" ht="12.75" customHeight="1" x14ac:dyDescent="0.25">
      <c r="B46" s="20"/>
      <c r="C46" s="35"/>
      <c r="G46" s="10"/>
      <c r="H46" s="36"/>
      <c r="J46" s="21"/>
      <c r="X46"/>
    </row>
    <row r="47" spans="1:24" ht="12.75" customHeight="1" x14ac:dyDescent="0.25">
      <c r="B47" s="20">
        <f>+B45-1</f>
        <v>-13</v>
      </c>
      <c r="C47" s="32" t="s">
        <v>33</v>
      </c>
      <c r="D47" s="32"/>
      <c r="E47" s="32"/>
      <c r="F47" s="32"/>
      <c r="G47" s="10" t="s">
        <v>9</v>
      </c>
      <c r="H47" s="36">
        <f>+H39+H41+H43-H45</f>
        <v>-250261</v>
      </c>
      <c r="J47" s="38"/>
      <c r="K47" s="37"/>
      <c r="X47"/>
    </row>
    <row r="48" spans="1:24" ht="12.75" customHeight="1" x14ac:dyDescent="0.25">
      <c r="B48" s="25"/>
      <c r="C48" s="40"/>
      <c r="D48" s="27"/>
      <c r="E48" s="27"/>
      <c r="F48" s="27"/>
      <c r="G48" s="28"/>
      <c r="H48" s="41"/>
      <c r="J48" s="38"/>
      <c r="K48" s="37"/>
      <c r="X48"/>
    </row>
    <row r="49" spans="1:24" x14ac:dyDescent="0.25">
      <c r="B49" s="30"/>
      <c r="C49" s="8"/>
      <c r="D49" s="7"/>
      <c r="E49" s="7"/>
      <c r="F49" s="7"/>
      <c r="G49" s="10"/>
      <c r="H49" s="38"/>
      <c r="J49" s="38"/>
      <c r="K49" s="37"/>
      <c r="L49" s="38"/>
      <c r="X49"/>
    </row>
    <row r="50" spans="1:24" x14ac:dyDescent="0.25">
      <c r="A50" s="6" t="s">
        <v>34</v>
      </c>
      <c r="B50" s="30"/>
      <c r="C50" s="35"/>
      <c r="G50" s="10"/>
      <c r="H50" s="38"/>
      <c r="J50" s="38"/>
      <c r="K50" s="37"/>
    </row>
    <row r="51" spans="1:24" ht="34.5" customHeight="1" x14ac:dyDescent="0.35">
      <c r="A51" s="6"/>
      <c r="B51" s="31"/>
      <c r="C51" s="43"/>
      <c r="D51" s="13"/>
      <c r="E51" s="13"/>
      <c r="F51" s="13"/>
      <c r="G51" s="15"/>
      <c r="H51" s="44" t="s">
        <v>35</v>
      </c>
      <c r="I51" s="13"/>
      <c r="J51" s="45" t="s">
        <v>36</v>
      </c>
      <c r="K51" s="46"/>
    </row>
    <row r="52" spans="1:24" x14ac:dyDescent="0.25">
      <c r="B52" s="20"/>
      <c r="C52" s="35"/>
      <c r="G52" s="10"/>
      <c r="H52" s="38"/>
      <c r="J52" s="38"/>
      <c r="K52" s="47"/>
    </row>
    <row r="53" spans="1:24" x14ac:dyDescent="0.25">
      <c r="B53" s="20">
        <f>B47-1</f>
        <v>-14</v>
      </c>
      <c r="C53" s="32" t="s">
        <v>37</v>
      </c>
      <c r="K53" s="47"/>
    </row>
    <row r="54" spans="1:24" x14ac:dyDescent="0.25">
      <c r="B54" s="20"/>
      <c r="C54" s="32" t="s">
        <v>38</v>
      </c>
      <c r="G54" s="10" t="s">
        <v>9</v>
      </c>
      <c r="H54" s="98">
        <f>'Form 3.00 - Revised (June)'!H34</f>
        <v>0.41980000000000001</v>
      </c>
      <c r="I54" s="33"/>
      <c r="J54" s="49">
        <f>'Form 3.00 - Filed (June)'!H60</f>
        <v>0.58020000000000005</v>
      </c>
      <c r="K54" s="47"/>
      <c r="L54" s="38"/>
    </row>
    <row r="55" spans="1:24" x14ac:dyDescent="0.25">
      <c r="B55" s="20"/>
      <c r="C55" s="32"/>
      <c r="G55" s="10"/>
      <c r="H55" s="38"/>
      <c r="J55" s="38"/>
      <c r="K55" s="47"/>
      <c r="L55" s="38"/>
    </row>
    <row r="56" spans="1:24" x14ac:dyDescent="0.25">
      <c r="B56" s="20">
        <f>B53-1</f>
        <v>-15</v>
      </c>
      <c r="C56" s="35" t="str">
        <f>"Group E(m)     ["&amp;TEXT(B47*-1,"(0)")&amp;" x "&amp;TEXT(B53*-1,"(0)")&amp;"]"</f>
        <v>Group E(m)     [(13) x (14)]</v>
      </c>
      <c r="G56" s="10" t="s">
        <v>9</v>
      </c>
      <c r="H56" s="21">
        <f>ROUND(+$H$47*H54,0)</f>
        <v>-105060</v>
      </c>
      <c r="J56" s="21">
        <f>ROUND(+$H$47*J54,0)</f>
        <v>-145201</v>
      </c>
      <c r="K56" s="47"/>
    </row>
    <row r="57" spans="1:24" x14ac:dyDescent="0.25">
      <c r="B57" s="20"/>
      <c r="C57" s="35"/>
      <c r="G57" s="10"/>
      <c r="H57" s="38"/>
      <c r="J57" s="38"/>
      <c r="K57" s="47"/>
    </row>
    <row r="58" spans="1:24" x14ac:dyDescent="0.25">
      <c r="B58" s="20">
        <f>+B56-1</f>
        <v>-16</v>
      </c>
      <c r="C58" s="32" t="s">
        <v>39</v>
      </c>
      <c r="K58" s="48"/>
    </row>
    <row r="59" spans="1:24" x14ac:dyDescent="0.25">
      <c r="B59" s="20"/>
      <c r="D59" s="32" t="s">
        <v>40</v>
      </c>
      <c r="G59" s="10" t="s">
        <v>9</v>
      </c>
      <c r="H59" s="99">
        <f>'Form 3.00 - Revised (June)'!H32</f>
        <v>63981334</v>
      </c>
      <c r="J59" s="21">
        <f>'Form 3.00 - Filed (June)'!I58</f>
        <v>62944693</v>
      </c>
      <c r="K59" s="48"/>
    </row>
    <row r="60" spans="1:24" x14ac:dyDescent="0.25">
      <c r="B60" s="20"/>
      <c r="C60" s="35"/>
      <c r="G60" s="10"/>
      <c r="H60" s="50"/>
      <c r="J60" s="50"/>
      <c r="K60" s="48"/>
    </row>
    <row r="61" spans="1:24" x14ac:dyDescent="0.25">
      <c r="B61" s="20">
        <f>B58-1</f>
        <v>-17</v>
      </c>
      <c r="C61" s="35" t="str">
        <f>"Group Environmental Surcharge Billing Factors     ["&amp;TEXT(B56*-1,"(0)")&amp;" ÷ "&amp;TEXT(B58*-1,"(0)")&amp;"]"</f>
        <v>Group Environmental Surcharge Billing Factors     [(15) ÷ (16)]</v>
      </c>
      <c r="G61" s="10" t="s">
        <v>9</v>
      </c>
      <c r="H61" s="51">
        <f>ROUND(+H56/H59,4)</f>
        <v>-1.6000000000000001E-3</v>
      </c>
      <c r="J61" s="51">
        <f>ROUND(+J56/J59,4)</f>
        <v>-2.3E-3</v>
      </c>
      <c r="K61" s="48"/>
    </row>
    <row r="62" spans="1:24" x14ac:dyDescent="0.25">
      <c r="B62" s="52"/>
      <c r="C62" s="26"/>
      <c r="D62" s="26"/>
      <c r="E62" s="26"/>
      <c r="F62" s="26"/>
      <c r="G62" s="26"/>
      <c r="H62" s="26"/>
      <c r="I62" s="26"/>
      <c r="J62" s="26"/>
      <c r="K62" s="53"/>
    </row>
    <row r="64" spans="1:24" x14ac:dyDescent="0.25">
      <c r="B64" s="30"/>
      <c r="H64"/>
      <c r="I64"/>
      <c r="J64"/>
    </row>
    <row r="65" spans="2:10" x14ac:dyDescent="0.25">
      <c r="B65" s="30"/>
      <c r="H65"/>
      <c r="I65"/>
      <c r="J65"/>
    </row>
    <row r="66" spans="2:10" x14ac:dyDescent="0.25">
      <c r="H66"/>
      <c r="I66"/>
      <c r="J66"/>
    </row>
    <row r="67" spans="2:10" x14ac:dyDescent="0.25">
      <c r="H67"/>
      <c r="I67"/>
      <c r="J67"/>
    </row>
    <row r="68" spans="2:10" x14ac:dyDescent="0.25">
      <c r="H68"/>
      <c r="I68"/>
      <c r="J68"/>
    </row>
    <row r="69" spans="2:10" x14ac:dyDescent="0.25">
      <c r="H69"/>
      <c r="I69"/>
      <c r="J69"/>
    </row>
    <row r="70" spans="2:10" x14ac:dyDescent="0.25">
      <c r="H70" s="39"/>
      <c r="J70" s="39"/>
    </row>
    <row r="72" spans="2:10" x14ac:dyDescent="0.25">
      <c r="H72" s="24"/>
      <c r="J72" s="24"/>
    </row>
    <row r="73" spans="2:10" x14ac:dyDescent="0.25">
      <c r="H73" s="50"/>
      <c r="J73" s="50"/>
    </row>
    <row r="74" spans="2:10" x14ac:dyDescent="0.25">
      <c r="H74" s="33"/>
      <c r="J74" s="33"/>
    </row>
  </sheetData>
  <mergeCells count="5">
    <mergeCell ref="A5:K5"/>
    <mergeCell ref="A6:K6"/>
    <mergeCell ref="A7:K7"/>
    <mergeCell ref="A8:K8"/>
    <mergeCell ref="A10:K10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5330-FE85-4E5F-B63D-A3F4BC984CED}">
  <sheetPr>
    <tabColor rgb="FFFCD0D0"/>
  </sheetPr>
  <dimension ref="A3:Q100"/>
  <sheetViews>
    <sheetView workbookViewId="0"/>
  </sheetViews>
  <sheetFormatPr defaultColWidth="9.140625" defaultRowHeight="15" x14ac:dyDescent="0.25"/>
  <cols>
    <col min="1" max="1" width="16.85546875" style="1" customWidth="1"/>
    <col min="2" max="6" width="17.7109375" style="1" customWidth="1"/>
    <col min="7" max="7" width="21.7109375" style="1" customWidth="1"/>
    <col min="8" max="8" width="18.7109375" style="1" bestFit="1" customWidth="1"/>
    <col min="9" max="9" width="17.7109375" style="1" customWidth="1"/>
    <col min="10" max="10" width="40" style="1" customWidth="1"/>
    <col min="11" max="11" width="19.140625" customWidth="1"/>
    <col min="12" max="12" width="9.85546875" customWidth="1"/>
    <col min="13" max="13" width="13.42578125" bestFit="1" customWidth="1"/>
    <col min="14" max="14" width="16.5703125" style="1" customWidth="1"/>
    <col min="15" max="15" width="13.42578125" style="1" bestFit="1" customWidth="1"/>
    <col min="16" max="16" width="14.42578125" style="1" customWidth="1"/>
    <col min="17" max="17" width="13.42578125" style="1" bestFit="1" customWidth="1"/>
    <col min="18" max="16384" width="9.140625" style="1"/>
  </cols>
  <sheetData>
    <row r="3" spans="1:10" x14ac:dyDescent="0.25">
      <c r="I3" s="56" t="s">
        <v>41</v>
      </c>
      <c r="J3" s="56"/>
    </row>
    <row r="4" spans="1:10" ht="18.75" x14ac:dyDescent="0.3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57"/>
    </row>
    <row r="5" spans="1:10" ht="18.75" x14ac:dyDescent="0.3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57"/>
    </row>
    <row r="6" spans="1:10" x14ac:dyDescent="0.25">
      <c r="A6" s="136" t="s">
        <v>42</v>
      </c>
      <c r="B6" s="136"/>
      <c r="C6" s="136"/>
      <c r="D6" s="136"/>
      <c r="E6" s="136"/>
      <c r="F6" s="136"/>
      <c r="G6" s="136"/>
      <c r="H6" s="136"/>
      <c r="I6" s="136"/>
      <c r="J6" s="58"/>
    </row>
    <row r="7" spans="1:10" x14ac:dyDescent="0.25">
      <c r="A7" s="60"/>
      <c r="B7" s="59"/>
      <c r="C7" s="59"/>
      <c r="D7" s="59"/>
      <c r="E7" s="59"/>
      <c r="H7" s="59"/>
      <c r="I7" s="59"/>
      <c r="J7" s="59"/>
    </row>
    <row r="8" spans="1:10" x14ac:dyDescent="0.25">
      <c r="A8" s="132" t="s">
        <v>71</v>
      </c>
      <c r="B8" s="132"/>
      <c r="C8" s="132"/>
      <c r="D8" s="132"/>
      <c r="E8" s="132"/>
      <c r="F8" s="132"/>
      <c r="G8" s="132"/>
      <c r="H8" s="132"/>
      <c r="I8" s="132"/>
      <c r="J8" s="18"/>
    </row>
    <row r="9" spans="1:10" ht="15.75" thickBot="1" x14ac:dyDescent="0.3">
      <c r="A9" s="61"/>
      <c r="B9" s="61"/>
      <c r="C9" s="61"/>
      <c r="D9" s="61"/>
      <c r="E9" s="61"/>
      <c r="F9" s="61"/>
      <c r="G9" s="61"/>
      <c r="H9" s="61"/>
      <c r="I9" s="9"/>
      <c r="J9" s="9"/>
    </row>
    <row r="10" spans="1:10" ht="15.75" thickTop="1" x14ac:dyDescent="0.25">
      <c r="A10" s="19"/>
      <c r="B10" s="19"/>
      <c r="H10" s="62"/>
      <c r="I10" s="9"/>
      <c r="J10" s="9"/>
    </row>
    <row r="11" spans="1:10" x14ac:dyDescent="0.25">
      <c r="A11" s="19"/>
      <c r="B11" s="133" t="s">
        <v>43</v>
      </c>
      <c r="C11" s="134"/>
      <c r="D11" s="134"/>
      <c r="E11" s="134"/>
      <c r="F11" s="134"/>
      <c r="G11" s="134"/>
      <c r="H11" s="135"/>
      <c r="I11" s="9"/>
      <c r="J11" s="9"/>
    </row>
    <row r="12" spans="1:10" ht="15.75" thickBot="1" x14ac:dyDescent="0.3">
      <c r="A12" s="63"/>
      <c r="B12" s="63"/>
      <c r="C12" s="61"/>
      <c r="D12" s="61"/>
      <c r="E12" s="61"/>
      <c r="F12" s="61"/>
      <c r="G12" s="61"/>
      <c r="H12" s="64"/>
      <c r="I12" s="9"/>
      <c r="J12" s="9"/>
    </row>
    <row r="13" spans="1:10" ht="16.5" thickTop="1" thickBot="1" x14ac:dyDescent="0.3">
      <c r="A13" s="65" t="s">
        <v>44</v>
      </c>
      <c r="B13" s="66">
        <f t="shared" ref="B13:H13" si="0">A13-1</f>
        <v>-2</v>
      </c>
      <c r="C13" s="66">
        <f t="shared" si="0"/>
        <v>-3</v>
      </c>
      <c r="D13" s="66">
        <f t="shared" si="0"/>
        <v>-4</v>
      </c>
      <c r="E13" s="66">
        <f t="shared" si="0"/>
        <v>-5</v>
      </c>
      <c r="F13" s="66">
        <f t="shared" si="0"/>
        <v>-6</v>
      </c>
      <c r="G13" s="66">
        <f t="shared" si="0"/>
        <v>-7</v>
      </c>
      <c r="H13" s="66">
        <f t="shared" si="0"/>
        <v>-8</v>
      </c>
      <c r="I13" s="9"/>
      <c r="J13" s="9"/>
    </row>
    <row r="14" spans="1:10" ht="15.75" thickTop="1" x14ac:dyDescent="0.25">
      <c r="A14" s="67"/>
      <c r="B14" s="68"/>
      <c r="C14" s="68"/>
      <c r="D14" s="9" t="s">
        <v>45</v>
      </c>
      <c r="E14" s="67"/>
      <c r="F14" s="67"/>
      <c r="G14" s="67"/>
      <c r="H14" s="68" t="s">
        <v>46</v>
      </c>
      <c r="I14" s="59"/>
      <c r="J14" s="59"/>
    </row>
    <row r="15" spans="1:10" x14ac:dyDescent="0.25">
      <c r="A15" s="67"/>
      <c r="B15" s="68" t="s">
        <v>47</v>
      </c>
      <c r="C15" s="68"/>
      <c r="D15" s="9" t="s">
        <v>48</v>
      </c>
      <c r="E15" s="67"/>
      <c r="F15" s="68" t="s">
        <v>49</v>
      </c>
      <c r="G15" s="67"/>
      <c r="H15" s="68" t="s">
        <v>50</v>
      </c>
      <c r="I15" s="59"/>
      <c r="J15" s="59"/>
    </row>
    <row r="16" spans="1:10" x14ac:dyDescent="0.25">
      <c r="A16" s="67"/>
      <c r="B16" s="68" t="s">
        <v>51</v>
      </c>
      <c r="C16" s="68" t="s">
        <v>51</v>
      </c>
      <c r="D16" s="68" t="s">
        <v>52</v>
      </c>
      <c r="E16" s="68" t="s">
        <v>53</v>
      </c>
      <c r="F16" s="68" t="s">
        <v>54</v>
      </c>
      <c r="G16" s="68" t="s">
        <v>46</v>
      </c>
      <c r="H16" s="68" t="s">
        <v>49</v>
      </c>
      <c r="I16" s="59"/>
      <c r="J16" s="59"/>
    </row>
    <row r="17" spans="1:17" x14ac:dyDescent="0.25">
      <c r="A17" s="68" t="s">
        <v>55</v>
      </c>
      <c r="B17" s="68" t="s">
        <v>56</v>
      </c>
      <c r="C17" s="68" t="s">
        <v>57</v>
      </c>
      <c r="D17" s="68" t="s">
        <v>58</v>
      </c>
      <c r="E17" s="68" t="s">
        <v>56</v>
      </c>
      <c r="F17" s="68" t="s">
        <v>56</v>
      </c>
      <c r="G17" s="67"/>
      <c r="H17" s="68" t="s">
        <v>54</v>
      </c>
      <c r="I17" s="59"/>
      <c r="J17" s="59"/>
      <c r="N17" s="9"/>
      <c r="O17" s="9"/>
    </row>
    <row r="18" spans="1:17" ht="15.75" thickBot="1" x14ac:dyDescent="0.3">
      <c r="A18" s="69"/>
      <c r="B18" s="69"/>
      <c r="C18" s="69"/>
      <c r="D18" s="69"/>
      <c r="E18" s="69"/>
      <c r="F18" s="69"/>
      <c r="G18" s="65" t="s">
        <v>59</v>
      </c>
      <c r="H18" s="65" t="s">
        <v>60</v>
      </c>
      <c r="I18" s="59"/>
      <c r="J18" s="59"/>
      <c r="N18" s="9"/>
      <c r="O18" s="9"/>
    </row>
    <row r="19" spans="1:17" ht="15.75" thickTop="1" x14ac:dyDescent="0.25">
      <c r="A19" s="70">
        <v>45504</v>
      </c>
      <c r="B19" s="71">
        <v>52676481.48999998</v>
      </c>
      <c r="C19" s="71">
        <v>17107857.150000002</v>
      </c>
      <c r="D19" s="71">
        <v>800459.99000000022</v>
      </c>
      <c r="E19" s="71">
        <v>1016537.9000000001</v>
      </c>
      <c r="F19" s="71">
        <v>2051806.0200000009</v>
      </c>
      <c r="G19" s="71">
        <f t="shared" ref="G19:G29" si="1">SUM(B19:F19)</f>
        <v>73653142.549999982</v>
      </c>
      <c r="H19" s="71">
        <f t="shared" ref="H19:H29" si="2">G19-F19</f>
        <v>71601336.529999986</v>
      </c>
      <c r="I19" s="59"/>
      <c r="J19" s="59"/>
      <c r="N19" s="21"/>
      <c r="O19" s="21"/>
      <c r="P19" s="24"/>
      <c r="Q19" s="39"/>
    </row>
    <row r="20" spans="1:17" x14ac:dyDescent="0.25">
      <c r="A20" s="70">
        <v>45535</v>
      </c>
      <c r="B20" s="73">
        <v>49951689.80999998</v>
      </c>
      <c r="C20" s="73">
        <v>16068199.349999998</v>
      </c>
      <c r="D20" s="73">
        <v>-2184199.8499999978</v>
      </c>
      <c r="E20" s="73">
        <v>959865.96000000008</v>
      </c>
      <c r="F20" s="73">
        <v>1826403.5700000012</v>
      </c>
      <c r="G20" s="71">
        <f t="shared" si="1"/>
        <v>66621958.839999989</v>
      </c>
      <c r="H20" s="71">
        <f t="shared" si="2"/>
        <v>64795555.269999988</v>
      </c>
      <c r="I20" s="59"/>
      <c r="J20" s="59"/>
      <c r="N20" s="21"/>
      <c r="O20" s="21"/>
      <c r="P20" s="24"/>
      <c r="Q20" s="39"/>
    </row>
    <row r="21" spans="1:17" x14ac:dyDescent="0.25">
      <c r="A21" s="70">
        <v>45565</v>
      </c>
      <c r="B21" s="74">
        <v>47391382.970000006</v>
      </c>
      <c r="C21" s="74">
        <v>14976561.810000001</v>
      </c>
      <c r="D21" s="74">
        <v>-2524449.7500000009</v>
      </c>
      <c r="E21" s="74">
        <v>907424.00999999989</v>
      </c>
      <c r="F21" s="74">
        <v>1514404.1499999997</v>
      </c>
      <c r="G21" s="71">
        <f t="shared" si="1"/>
        <v>62265323.190000005</v>
      </c>
      <c r="H21" s="71">
        <f t="shared" si="2"/>
        <v>60750919.040000007</v>
      </c>
      <c r="I21" s="59"/>
      <c r="J21" s="59"/>
      <c r="N21" s="75"/>
      <c r="O21" s="75"/>
      <c r="P21" s="24"/>
      <c r="Q21" s="39"/>
    </row>
    <row r="22" spans="1:17" x14ac:dyDescent="0.25">
      <c r="A22" s="70">
        <v>45596</v>
      </c>
      <c r="B22" s="74">
        <v>37756534.239999987</v>
      </c>
      <c r="C22" s="74">
        <v>10874516.910000002</v>
      </c>
      <c r="D22" s="74">
        <v>-1580357.2800000005</v>
      </c>
      <c r="E22" s="74">
        <v>668104.17000000004</v>
      </c>
      <c r="F22" s="74">
        <v>667215.80000000016</v>
      </c>
      <c r="G22" s="71">
        <f t="shared" si="1"/>
        <v>48386013.839999989</v>
      </c>
      <c r="H22" s="71">
        <f t="shared" si="2"/>
        <v>47718798.039999992</v>
      </c>
      <c r="I22" s="59"/>
      <c r="J22" s="59"/>
      <c r="N22" s="75"/>
      <c r="O22" s="75"/>
      <c r="P22" s="24"/>
      <c r="Q22" s="39"/>
    </row>
    <row r="23" spans="1:17" x14ac:dyDescent="0.25">
      <c r="A23" s="70">
        <v>45626</v>
      </c>
      <c r="B23" s="74">
        <v>35594973.230000027</v>
      </c>
      <c r="C23" s="74">
        <v>9999374.3500000034</v>
      </c>
      <c r="D23" s="74">
        <v>-1363597.2099999997</v>
      </c>
      <c r="E23" s="74">
        <v>605457.46999999986</v>
      </c>
      <c r="F23" s="74">
        <v>709845.93999999983</v>
      </c>
      <c r="G23" s="71">
        <f t="shared" si="1"/>
        <v>45546053.780000024</v>
      </c>
      <c r="H23" s="71">
        <f t="shared" si="2"/>
        <v>44836207.840000026</v>
      </c>
      <c r="I23" s="59"/>
      <c r="J23" s="130"/>
      <c r="N23" s="75"/>
      <c r="O23" s="75"/>
      <c r="P23" s="24"/>
      <c r="Q23" s="39"/>
    </row>
    <row r="24" spans="1:17" x14ac:dyDescent="0.25">
      <c r="A24" s="70">
        <v>45657</v>
      </c>
      <c r="B24" s="74">
        <v>54554417.670000002</v>
      </c>
      <c r="C24" s="74">
        <v>16998582.559999999</v>
      </c>
      <c r="D24" s="74">
        <v>-2539623.1099999989</v>
      </c>
      <c r="E24" s="74">
        <v>1018253.64</v>
      </c>
      <c r="F24" s="74">
        <v>-129495.12999999995</v>
      </c>
      <c r="G24" s="71">
        <f t="shared" si="1"/>
        <v>69902135.63000001</v>
      </c>
      <c r="H24" s="71">
        <f t="shared" si="2"/>
        <v>70031630.760000005</v>
      </c>
      <c r="I24" s="59"/>
      <c r="J24" s="130"/>
      <c r="N24" s="75"/>
      <c r="O24" s="75"/>
      <c r="P24" s="24"/>
      <c r="Q24" s="39"/>
    </row>
    <row r="25" spans="1:17" x14ac:dyDescent="0.25">
      <c r="A25" s="70">
        <v>45688</v>
      </c>
      <c r="B25" s="74">
        <v>69222114.909999996</v>
      </c>
      <c r="C25" s="74">
        <v>22538263.099999998</v>
      </c>
      <c r="D25" s="74">
        <v>-2216646.8699999978</v>
      </c>
      <c r="E25" s="74">
        <v>1677711.6600000001</v>
      </c>
      <c r="F25" s="74">
        <v>358638.39999999991</v>
      </c>
      <c r="G25" s="71">
        <f t="shared" si="1"/>
        <v>91580081.199999988</v>
      </c>
      <c r="H25" s="71">
        <f t="shared" si="2"/>
        <v>91221442.799999982</v>
      </c>
      <c r="I25" s="59"/>
      <c r="J25" s="130"/>
      <c r="N25" s="75"/>
      <c r="O25" s="75"/>
      <c r="P25" s="24"/>
      <c r="Q25" s="39"/>
    </row>
    <row r="26" spans="1:17" x14ac:dyDescent="0.25">
      <c r="A26" s="70">
        <v>45716</v>
      </c>
      <c r="B26" s="74">
        <v>65788594.360000022</v>
      </c>
      <c r="C26" s="74">
        <v>21521914.799999997</v>
      </c>
      <c r="D26" s="74">
        <v>-332741.69999999995</v>
      </c>
      <c r="E26" s="74">
        <v>1868451.39</v>
      </c>
      <c r="F26" s="74">
        <v>-856898.96999999986</v>
      </c>
      <c r="G26" s="71">
        <f t="shared" si="1"/>
        <v>87989319.880000025</v>
      </c>
      <c r="H26" s="71">
        <f t="shared" si="2"/>
        <v>88846218.850000024</v>
      </c>
      <c r="I26" s="59"/>
      <c r="J26" s="130"/>
      <c r="N26" s="75"/>
      <c r="O26" s="75"/>
      <c r="P26" s="24"/>
      <c r="Q26" s="39"/>
    </row>
    <row r="27" spans="1:17" x14ac:dyDescent="0.25">
      <c r="A27" s="70">
        <v>45747</v>
      </c>
      <c r="B27" s="74">
        <v>56156189.199999988</v>
      </c>
      <c r="C27" s="74">
        <v>17750331.129999995</v>
      </c>
      <c r="D27" s="74">
        <v>329210.3000000001</v>
      </c>
      <c r="E27" s="74">
        <v>1550154.5100000002</v>
      </c>
      <c r="F27" s="74">
        <v>-1773842.1900000004</v>
      </c>
      <c r="G27" s="71">
        <f t="shared" si="1"/>
        <v>74012042.949999988</v>
      </c>
      <c r="H27" s="71">
        <f t="shared" si="2"/>
        <v>75785885.139999986</v>
      </c>
      <c r="I27" s="59"/>
      <c r="J27" s="59"/>
      <c r="N27" s="75"/>
      <c r="O27" s="75"/>
      <c r="P27" s="24"/>
      <c r="Q27" s="39"/>
    </row>
    <row r="28" spans="1:17" x14ac:dyDescent="0.25">
      <c r="A28" s="70">
        <v>45777</v>
      </c>
      <c r="B28" s="74">
        <v>39699432.830000013</v>
      </c>
      <c r="C28" s="74">
        <v>11523886.709999999</v>
      </c>
      <c r="D28" s="74">
        <v>-308143.00000000012</v>
      </c>
      <c r="E28" s="74">
        <v>914441.1</v>
      </c>
      <c r="F28" s="74">
        <v>-1275959.5800000005</v>
      </c>
      <c r="G28" s="71">
        <f t="shared" si="1"/>
        <v>50553658.060000017</v>
      </c>
      <c r="H28" s="71">
        <f t="shared" si="2"/>
        <v>51829617.640000015</v>
      </c>
      <c r="I28" s="59"/>
      <c r="J28" s="59"/>
      <c r="N28" s="75"/>
      <c r="O28" s="75"/>
      <c r="P28" s="24"/>
      <c r="Q28" s="39"/>
    </row>
    <row r="29" spans="1:17" x14ac:dyDescent="0.25">
      <c r="A29" s="70">
        <v>45808</v>
      </c>
      <c r="B29" s="76">
        <v>36823333.129999995</v>
      </c>
      <c r="C29" s="76">
        <v>10413597.690000001</v>
      </c>
      <c r="D29" s="76">
        <v>-1085129.7999999998</v>
      </c>
      <c r="E29" s="76">
        <v>718845.33</v>
      </c>
      <c r="F29" s="76">
        <v>-404512.45000000007</v>
      </c>
      <c r="G29" s="71">
        <f t="shared" si="1"/>
        <v>46466133.899999991</v>
      </c>
      <c r="H29" s="71">
        <f t="shared" si="2"/>
        <v>46870646.349999994</v>
      </c>
      <c r="I29" s="59"/>
      <c r="J29" s="34" t="s">
        <v>97</v>
      </c>
      <c r="K29" s="127">
        <f>'Form 3.10 - Filed (June)'!C14</f>
        <v>146424594.66</v>
      </c>
      <c r="N29" s="77"/>
      <c r="O29" s="77"/>
      <c r="P29" s="24"/>
      <c r="Q29" s="39"/>
    </row>
    <row r="30" spans="1:17" x14ac:dyDescent="0.25">
      <c r="A30" s="70">
        <v>45838</v>
      </c>
      <c r="B30" s="97">
        <f>42028410.88+429.27</f>
        <v>42028840.150000006</v>
      </c>
      <c r="C30" s="76">
        <v>12261176.27</v>
      </c>
      <c r="D30" s="76">
        <v>-1639631.6099999996</v>
      </c>
      <c r="E30" s="76">
        <v>837369.85</v>
      </c>
      <c r="F30" s="76">
        <v>-375405.06000000023</v>
      </c>
      <c r="G30" s="71">
        <f>SUM(B30:F30)</f>
        <v>53112349.600000001</v>
      </c>
      <c r="H30" s="71">
        <f>G30-F30</f>
        <v>53487754.660000004</v>
      </c>
      <c r="I30" s="59"/>
      <c r="J30" s="34" t="s">
        <v>99</v>
      </c>
      <c r="K30" s="127">
        <f>B30+C30+B56+C56</f>
        <v>146424594.66</v>
      </c>
      <c r="N30" s="77"/>
      <c r="O30" s="77"/>
      <c r="P30" s="24"/>
    </row>
    <row r="31" spans="1:17" x14ac:dyDescent="0.25">
      <c r="A31" s="19" t="s">
        <v>61</v>
      </c>
      <c r="B31" s="59"/>
      <c r="C31" s="59"/>
      <c r="D31" s="59"/>
      <c r="E31" s="59"/>
      <c r="F31" s="59"/>
      <c r="G31" s="59"/>
      <c r="H31" s="78"/>
      <c r="I31" s="59"/>
      <c r="J31" s="34" t="s">
        <v>98</v>
      </c>
      <c r="K31" s="128">
        <f>K29-K30</f>
        <v>0</v>
      </c>
    </row>
    <row r="32" spans="1:17" x14ac:dyDescent="0.25">
      <c r="A32" s="52" t="s">
        <v>62</v>
      </c>
      <c r="B32" s="79"/>
      <c r="C32" s="79"/>
      <c r="D32" s="79"/>
      <c r="E32" s="79"/>
      <c r="F32" s="79"/>
      <c r="G32" s="79"/>
      <c r="H32" s="80">
        <f>ROUND(AVERAGE(H19:H30),0)</f>
        <v>63981334</v>
      </c>
      <c r="I32" s="59"/>
      <c r="J32" s="59"/>
    </row>
    <row r="33" spans="1:10" x14ac:dyDescent="0.25">
      <c r="A33" s="81" t="s">
        <v>63</v>
      </c>
      <c r="B33" s="82"/>
      <c r="C33" s="82"/>
      <c r="D33" s="82"/>
      <c r="E33" s="82"/>
      <c r="F33" s="82"/>
      <c r="G33" s="83"/>
      <c r="H33" s="80">
        <f>(SUM($H$19:$H$30)+SUM($H$45:$H$56))/12</f>
        <v>152399745.57500002</v>
      </c>
      <c r="I33" s="59"/>
      <c r="J33" s="59"/>
    </row>
    <row r="34" spans="1:10" x14ac:dyDescent="0.25">
      <c r="A34" s="84" t="s">
        <v>64</v>
      </c>
      <c r="B34" s="79"/>
      <c r="C34" s="79"/>
      <c r="D34" s="79"/>
      <c r="E34" s="79"/>
      <c r="F34" s="79"/>
      <c r="G34" s="79"/>
      <c r="H34" s="85">
        <f>ROUND(H32/H33,4)</f>
        <v>0.41980000000000001</v>
      </c>
      <c r="I34" s="59"/>
      <c r="J34" s="59"/>
    </row>
    <row r="35" spans="1:10" ht="15.75" thickBot="1" x14ac:dyDescent="0.3">
      <c r="A35" s="61"/>
      <c r="I35" s="59"/>
      <c r="J35" s="59"/>
    </row>
    <row r="36" spans="1:10" ht="15.75" thickTop="1" x14ac:dyDescent="0.25">
      <c r="A36" s="19"/>
      <c r="B36" s="86"/>
      <c r="C36" s="87"/>
      <c r="D36" s="87"/>
      <c r="E36" s="87"/>
      <c r="F36" s="87"/>
      <c r="G36" s="87"/>
      <c r="H36" s="87"/>
      <c r="I36" s="88"/>
      <c r="J36" s="59"/>
    </row>
    <row r="37" spans="1:10" ht="14.25" customHeight="1" x14ac:dyDescent="0.25">
      <c r="A37" s="19"/>
      <c r="B37" s="133" t="s">
        <v>65</v>
      </c>
      <c r="C37" s="134"/>
      <c r="D37" s="134"/>
      <c r="E37" s="134"/>
      <c r="F37" s="134"/>
      <c r="G37" s="134"/>
      <c r="H37" s="134"/>
      <c r="I37" s="135"/>
      <c r="J37" s="59"/>
    </row>
    <row r="38" spans="1:10" ht="15.75" thickBot="1" x14ac:dyDescent="0.3">
      <c r="A38" s="63"/>
      <c r="B38" s="63"/>
      <c r="C38" s="61"/>
      <c r="D38" s="61"/>
      <c r="E38" s="61"/>
      <c r="F38" s="61"/>
      <c r="G38" s="61"/>
      <c r="H38" s="61"/>
      <c r="I38" s="89"/>
      <c r="J38" s="59"/>
    </row>
    <row r="39" spans="1:10" ht="16.5" thickTop="1" thickBot="1" x14ac:dyDescent="0.3">
      <c r="A39" s="65" t="s">
        <v>44</v>
      </c>
      <c r="B39" s="66">
        <f>A39-1</f>
        <v>-2</v>
      </c>
      <c r="C39" s="66">
        <f>B39-1</f>
        <v>-3</v>
      </c>
      <c r="D39" s="66">
        <f t="shared" ref="D39:I39" si="3">C39-1</f>
        <v>-4</v>
      </c>
      <c r="E39" s="66">
        <f t="shared" si="3"/>
        <v>-5</v>
      </c>
      <c r="F39" s="66">
        <f t="shared" si="3"/>
        <v>-6</v>
      </c>
      <c r="G39" s="66">
        <f t="shared" si="3"/>
        <v>-7</v>
      </c>
      <c r="H39" s="66">
        <f t="shared" si="3"/>
        <v>-8</v>
      </c>
      <c r="I39" s="66">
        <f t="shared" si="3"/>
        <v>-9</v>
      </c>
      <c r="J39" s="59"/>
    </row>
    <row r="40" spans="1:10" ht="15.75" thickTop="1" x14ac:dyDescent="0.25">
      <c r="A40" s="67"/>
      <c r="B40" s="68"/>
      <c r="C40" s="68"/>
      <c r="D40" s="9" t="s">
        <v>45</v>
      </c>
      <c r="E40" s="67"/>
      <c r="F40" s="67"/>
      <c r="G40" s="67"/>
      <c r="H40" s="68" t="s">
        <v>46</v>
      </c>
      <c r="I40" s="90"/>
      <c r="J40" s="59"/>
    </row>
    <row r="41" spans="1:10" x14ac:dyDescent="0.25">
      <c r="A41" s="67"/>
      <c r="B41" s="68" t="s">
        <v>47</v>
      </c>
      <c r="C41" s="68"/>
      <c r="D41" s="9" t="s">
        <v>48</v>
      </c>
      <c r="E41" s="67"/>
      <c r="F41" s="68" t="s">
        <v>49</v>
      </c>
      <c r="G41" s="67"/>
      <c r="H41" s="68" t="s">
        <v>50</v>
      </c>
      <c r="I41" s="90" t="s">
        <v>66</v>
      </c>
      <c r="J41" s="59"/>
    </row>
    <row r="42" spans="1:10" x14ac:dyDescent="0.25">
      <c r="A42" s="67"/>
      <c r="B42" s="68" t="s">
        <v>51</v>
      </c>
      <c r="C42" s="68" t="s">
        <v>51</v>
      </c>
      <c r="D42" s="68" t="s">
        <v>52</v>
      </c>
      <c r="E42" s="68" t="s">
        <v>53</v>
      </c>
      <c r="F42" s="68" t="s">
        <v>54</v>
      </c>
      <c r="G42" s="68" t="s">
        <v>46</v>
      </c>
      <c r="H42" s="68" t="s">
        <v>49</v>
      </c>
      <c r="I42" s="68" t="s">
        <v>56</v>
      </c>
      <c r="J42" s="59"/>
    </row>
    <row r="43" spans="1:10" x14ac:dyDescent="0.25">
      <c r="A43" s="68" t="s">
        <v>55</v>
      </c>
      <c r="B43" s="68" t="s">
        <v>56</v>
      </c>
      <c r="C43" s="68" t="s">
        <v>57</v>
      </c>
      <c r="D43" s="68" t="s">
        <v>58</v>
      </c>
      <c r="E43" s="68" t="s">
        <v>56</v>
      </c>
      <c r="F43" s="68" t="s">
        <v>56</v>
      </c>
      <c r="G43" s="67"/>
      <c r="H43" s="68" t="s">
        <v>54</v>
      </c>
      <c r="I43" s="90" t="s">
        <v>67</v>
      </c>
      <c r="J43" s="59"/>
    </row>
    <row r="44" spans="1:10" ht="15.75" thickBot="1" x14ac:dyDescent="0.3">
      <c r="A44" s="69"/>
      <c r="B44" s="69"/>
      <c r="C44" s="69"/>
      <c r="D44" s="69"/>
      <c r="E44" s="69"/>
      <c r="F44" s="69"/>
      <c r="G44" s="65" t="s">
        <v>59</v>
      </c>
      <c r="H44" s="65" t="s">
        <v>60</v>
      </c>
      <c r="I44" s="65" t="s">
        <v>68</v>
      </c>
      <c r="J44" s="59"/>
    </row>
    <row r="45" spans="1:10" ht="15.75" thickTop="1" x14ac:dyDescent="0.25">
      <c r="A45" s="70">
        <v>45504</v>
      </c>
      <c r="B45" s="71">
        <v>66826794.589999996</v>
      </c>
      <c r="C45" s="71">
        <v>31011408.079999991</v>
      </c>
      <c r="D45" s="71">
        <v>1490306.2000000002</v>
      </c>
      <c r="E45" s="71">
        <v>1026776.89</v>
      </c>
      <c r="F45" s="71">
        <v>2768634.7499999995</v>
      </c>
      <c r="G45" s="71">
        <f t="shared" ref="G45:G55" si="4">SUM(B45:F45)</f>
        <v>103123920.50999999</v>
      </c>
      <c r="H45" s="71">
        <f t="shared" ref="H45:H56" si="5">G45-F45</f>
        <v>100355285.75999999</v>
      </c>
      <c r="I45" s="71">
        <f t="shared" ref="I45:I56" si="6">+B45+E45</f>
        <v>67853571.479999989</v>
      </c>
      <c r="J45" s="91"/>
    </row>
    <row r="46" spans="1:10" x14ac:dyDescent="0.25">
      <c r="A46" s="70">
        <v>45535</v>
      </c>
      <c r="B46" s="73">
        <v>63495955.060000002</v>
      </c>
      <c r="C46" s="73">
        <v>29394346.779999997</v>
      </c>
      <c r="D46" s="73">
        <v>-2788629.9299999997</v>
      </c>
      <c r="E46" s="73">
        <v>996666.14999999979</v>
      </c>
      <c r="F46" s="73">
        <v>2603659.4000000004</v>
      </c>
      <c r="G46" s="71">
        <f t="shared" si="4"/>
        <v>93701997.460000008</v>
      </c>
      <c r="H46" s="71">
        <f t="shared" si="5"/>
        <v>91098338.060000002</v>
      </c>
      <c r="I46" s="71">
        <f t="shared" si="6"/>
        <v>64492621.210000001</v>
      </c>
      <c r="J46" s="91"/>
    </row>
    <row r="47" spans="1:10" x14ac:dyDescent="0.25">
      <c r="A47" s="70">
        <v>45565</v>
      </c>
      <c r="B47" s="76">
        <v>63989291.359999999</v>
      </c>
      <c r="C47" s="76">
        <v>29735630.220000003</v>
      </c>
      <c r="D47" s="76">
        <v>-4164855.6900000009</v>
      </c>
      <c r="E47" s="76">
        <v>974024.31</v>
      </c>
      <c r="F47" s="76">
        <v>2364831</v>
      </c>
      <c r="G47" s="71">
        <f t="shared" si="4"/>
        <v>92898921.200000003</v>
      </c>
      <c r="H47" s="71">
        <f t="shared" si="5"/>
        <v>90534090.200000003</v>
      </c>
      <c r="I47" s="71">
        <f t="shared" si="6"/>
        <v>64963315.670000002</v>
      </c>
      <c r="J47" s="91"/>
    </row>
    <row r="48" spans="1:10" x14ac:dyDescent="0.25">
      <c r="A48" s="70">
        <v>45596</v>
      </c>
      <c r="B48" s="76">
        <v>64557386.389999993</v>
      </c>
      <c r="C48" s="76">
        <v>29471099.490000002</v>
      </c>
      <c r="D48" s="76">
        <v>-4186623.9700000007</v>
      </c>
      <c r="E48" s="76">
        <v>904482.49</v>
      </c>
      <c r="F48" s="76">
        <v>1465846.47</v>
      </c>
      <c r="G48" s="71">
        <f t="shared" si="4"/>
        <v>92212190.86999999</v>
      </c>
      <c r="H48" s="71">
        <f t="shared" si="5"/>
        <v>90746344.399999991</v>
      </c>
      <c r="I48" s="71">
        <f t="shared" si="6"/>
        <v>65461868.879999995</v>
      </c>
      <c r="J48" s="91"/>
    </row>
    <row r="49" spans="1:10" x14ac:dyDescent="0.25">
      <c r="A49" s="70">
        <v>45626</v>
      </c>
      <c r="B49" s="76">
        <v>53864319.379999988</v>
      </c>
      <c r="C49" s="76">
        <v>22946018.309999999</v>
      </c>
      <c r="D49" s="76">
        <v>-2964370.4799999995</v>
      </c>
      <c r="E49" s="76">
        <v>720596.66999999993</v>
      </c>
      <c r="F49" s="76">
        <v>1225948.43</v>
      </c>
      <c r="G49" s="71">
        <f t="shared" si="4"/>
        <v>75792512.309999987</v>
      </c>
      <c r="H49" s="71">
        <f t="shared" si="5"/>
        <v>74566563.87999998</v>
      </c>
      <c r="I49" s="71">
        <f t="shared" si="6"/>
        <v>54584916.04999999</v>
      </c>
      <c r="J49" s="91"/>
    </row>
    <row r="50" spans="1:10" x14ac:dyDescent="0.25">
      <c r="A50" s="70">
        <v>45657</v>
      </c>
      <c r="B50" s="76">
        <v>60274265.789999999</v>
      </c>
      <c r="C50" s="76">
        <v>26666445.430000003</v>
      </c>
      <c r="D50" s="76">
        <v>-3740444.7100000004</v>
      </c>
      <c r="E50" s="76">
        <v>869530.69</v>
      </c>
      <c r="F50" s="76">
        <v>51130.909999999996</v>
      </c>
      <c r="G50" s="71">
        <f t="shared" si="4"/>
        <v>84120928.109999999</v>
      </c>
      <c r="H50" s="71">
        <f t="shared" si="5"/>
        <v>84069797.200000003</v>
      </c>
      <c r="I50" s="71">
        <f t="shared" si="6"/>
        <v>61143796.479999997</v>
      </c>
      <c r="J50" s="91"/>
    </row>
    <row r="51" spans="1:10" x14ac:dyDescent="0.25">
      <c r="A51" s="70">
        <v>45688</v>
      </c>
      <c r="B51" s="76">
        <v>68338745.270000011</v>
      </c>
      <c r="C51" s="76">
        <v>30672750.950000007</v>
      </c>
      <c r="D51" s="76">
        <v>-3189696.94</v>
      </c>
      <c r="E51" s="76">
        <v>1221970.33</v>
      </c>
      <c r="F51" s="76">
        <v>307509.83</v>
      </c>
      <c r="G51" s="71">
        <f t="shared" si="4"/>
        <v>97351279.440000013</v>
      </c>
      <c r="H51" s="71">
        <f t="shared" si="5"/>
        <v>97043769.610000014</v>
      </c>
      <c r="I51" s="71">
        <f t="shared" si="6"/>
        <v>69560715.600000009</v>
      </c>
      <c r="J51" s="91"/>
    </row>
    <row r="52" spans="1:10" x14ac:dyDescent="0.25">
      <c r="A52" s="70">
        <v>45716</v>
      </c>
      <c r="B52" s="76">
        <v>60052154.18</v>
      </c>
      <c r="C52" s="76">
        <v>25928031.29999999</v>
      </c>
      <c r="D52" s="76">
        <v>-923415.45</v>
      </c>
      <c r="E52" s="76">
        <v>1247189.43</v>
      </c>
      <c r="F52" s="76">
        <v>-739361.73999999976</v>
      </c>
      <c r="G52" s="71">
        <f t="shared" si="4"/>
        <v>85564597.719999999</v>
      </c>
      <c r="H52" s="71">
        <f t="shared" si="5"/>
        <v>86303959.459999993</v>
      </c>
      <c r="I52" s="71">
        <f t="shared" si="6"/>
        <v>61299343.609999999</v>
      </c>
      <c r="J52" s="91"/>
    </row>
    <row r="53" spans="1:10" x14ac:dyDescent="0.25">
      <c r="A53" s="70">
        <v>45747</v>
      </c>
      <c r="B53" s="76">
        <v>61858677.259999998</v>
      </c>
      <c r="C53" s="76">
        <v>27348795.480000008</v>
      </c>
      <c r="D53" s="76">
        <v>-118941.83999999994</v>
      </c>
      <c r="E53" s="76">
        <v>1299857.28</v>
      </c>
      <c r="F53" s="76">
        <v>-1932199.11</v>
      </c>
      <c r="G53" s="71">
        <f t="shared" si="4"/>
        <v>88456189.070000008</v>
      </c>
      <c r="H53" s="71">
        <f t="shared" si="5"/>
        <v>90388388.180000007</v>
      </c>
      <c r="I53" s="71">
        <f t="shared" si="6"/>
        <v>63158534.539999999</v>
      </c>
      <c r="J53" s="91"/>
    </row>
    <row r="54" spans="1:10" x14ac:dyDescent="0.25">
      <c r="A54" s="70">
        <v>45777</v>
      </c>
      <c r="B54" s="76">
        <v>58374875.109999992</v>
      </c>
      <c r="C54" s="76">
        <v>26077096.990000002</v>
      </c>
      <c r="D54" s="76">
        <v>-946893.32000000007</v>
      </c>
      <c r="E54" s="76">
        <v>1004740.51</v>
      </c>
      <c r="F54" s="76">
        <v>-2070144.6399999997</v>
      </c>
      <c r="G54" s="71">
        <f t="shared" si="4"/>
        <v>82439674.650000006</v>
      </c>
      <c r="H54" s="71">
        <f t="shared" si="5"/>
        <v>84509819.290000007</v>
      </c>
      <c r="I54" s="71">
        <f t="shared" si="6"/>
        <v>59379615.61999999</v>
      </c>
      <c r="J54" s="91"/>
    </row>
    <row r="55" spans="1:10" x14ac:dyDescent="0.25">
      <c r="A55" s="70">
        <v>45808</v>
      </c>
      <c r="B55" s="76">
        <v>58223474.859999992</v>
      </c>
      <c r="C55" s="76">
        <v>25650041.949999999</v>
      </c>
      <c r="D55" s="76">
        <v>-2554766.87</v>
      </c>
      <c r="E55" s="76">
        <v>789790.40999999992</v>
      </c>
      <c r="F55" s="76">
        <v>-923737.66999999981</v>
      </c>
      <c r="G55" s="71">
        <f t="shared" si="4"/>
        <v>81184802.679999977</v>
      </c>
      <c r="H55" s="71">
        <f t="shared" si="5"/>
        <v>82108540.349999979</v>
      </c>
      <c r="I55" s="71">
        <f t="shared" si="6"/>
        <v>59013265.269999988</v>
      </c>
      <c r="J55" s="91"/>
    </row>
    <row r="56" spans="1:10" x14ac:dyDescent="0.25">
      <c r="A56" s="70">
        <f>+A30</f>
        <v>45838</v>
      </c>
      <c r="B56" s="76">
        <v>63514328.499999993</v>
      </c>
      <c r="C56" s="76">
        <v>28620249.740000002</v>
      </c>
      <c r="D56" s="76">
        <v>-3748968.9799999995</v>
      </c>
      <c r="E56" s="76">
        <v>910428.33000000019</v>
      </c>
      <c r="F56" s="76">
        <v>-661583.27999999991</v>
      </c>
      <c r="G56" s="71">
        <f t="shared" ref="G56" si="7">SUM(B56:F56)</f>
        <v>88634454.309999987</v>
      </c>
      <c r="H56" s="71">
        <f t="shared" si="5"/>
        <v>89296037.589999989</v>
      </c>
      <c r="I56" s="71">
        <f t="shared" si="6"/>
        <v>64424756.829999991</v>
      </c>
      <c r="J56" s="91"/>
    </row>
    <row r="57" spans="1:10" x14ac:dyDescent="0.25">
      <c r="A57" s="93" t="s">
        <v>69</v>
      </c>
      <c r="B57" s="59"/>
      <c r="C57" s="59"/>
      <c r="D57" s="59"/>
      <c r="E57" s="59"/>
      <c r="F57" s="59"/>
      <c r="G57" s="59"/>
      <c r="H57" s="19"/>
      <c r="I57" s="67"/>
      <c r="J57" s="59"/>
    </row>
    <row r="58" spans="1:10" x14ac:dyDescent="0.25">
      <c r="A58" s="52" t="s">
        <v>62</v>
      </c>
      <c r="B58" s="79"/>
      <c r="C58" s="79"/>
      <c r="D58" s="79"/>
      <c r="E58" s="79"/>
      <c r="F58" s="79"/>
      <c r="G58" s="79"/>
      <c r="H58" s="80">
        <f>ROUND(AVERAGE(H45:H56),0)</f>
        <v>88418411</v>
      </c>
      <c r="I58" s="80">
        <f>ROUND(AVERAGE(I45:I56),0)</f>
        <v>62944693</v>
      </c>
      <c r="J58" s="59"/>
    </row>
    <row r="59" spans="1:10" x14ac:dyDescent="0.25">
      <c r="A59" s="81" t="s">
        <v>63</v>
      </c>
      <c r="B59" s="82"/>
      <c r="C59" s="82"/>
      <c r="D59" s="82"/>
      <c r="E59" s="82"/>
      <c r="F59" s="82"/>
      <c r="G59" s="82"/>
      <c r="H59" s="80">
        <f>(SUM($H$19:$H$30)+SUM($H$45:$H$56))/12</f>
        <v>152399745.57500002</v>
      </c>
      <c r="I59" s="94"/>
      <c r="J59" s="59"/>
    </row>
    <row r="60" spans="1:10" x14ac:dyDescent="0.25">
      <c r="A60" s="84" t="s">
        <v>70</v>
      </c>
      <c r="B60" s="79"/>
      <c r="C60" s="79"/>
      <c r="D60" s="79"/>
      <c r="E60" s="79"/>
      <c r="F60" s="79"/>
      <c r="G60" s="79"/>
      <c r="H60" s="85">
        <f>ROUND(H58/H59,4)</f>
        <v>0.58020000000000005</v>
      </c>
      <c r="I60" s="94"/>
      <c r="J60" s="59"/>
    </row>
    <row r="64" spans="1:10" x14ac:dyDescent="0.25">
      <c r="H64"/>
      <c r="I64"/>
      <c r="J64"/>
    </row>
    <row r="65" spans="2:10" x14ac:dyDescent="0.25">
      <c r="H65"/>
      <c r="I65"/>
      <c r="J65"/>
    </row>
    <row r="66" spans="2:10" x14ac:dyDescent="0.25">
      <c r="B66" s="24"/>
      <c r="C66" s="24"/>
      <c r="D66" s="24"/>
      <c r="E66" s="24"/>
      <c r="F66" s="24"/>
      <c r="H66"/>
      <c r="I66"/>
      <c r="J66"/>
    </row>
    <row r="67" spans="2:10" x14ac:dyDescent="0.25">
      <c r="B67" s="24"/>
      <c r="C67" s="24"/>
      <c r="D67" s="24"/>
      <c r="E67" s="24"/>
      <c r="F67" s="24"/>
      <c r="H67"/>
      <c r="I67"/>
      <c r="J67"/>
    </row>
    <row r="68" spans="2:10" x14ac:dyDescent="0.25">
      <c r="B68" s="24"/>
      <c r="C68" s="24"/>
      <c r="D68" s="24"/>
      <c r="E68" s="24"/>
      <c r="F68" s="24"/>
      <c r="H68"/>
      <c r="I68"/>
      <c r="J68"/>
    </row>
    <row r="69" spans="2:10" x14ac:dyDescent="0.25">
      <c r="B69" s="24"/>
      <c r="C69" s="24"/>
      <c r="D69" s="24"/>
      <c r="E69" s="24"/>
      <c r="F69" s="24"/>
      <c r="H69" s="95"/>
    </row>
    <row r="70" spans="2:10" x14ac:dyDescent="0.25">
      <c r="B70" s="24"/>
      <c r="C70" s="24"/>
      <c r="D70" s="24"/>
      <c r="E70" s="24"/>
      <c r="F70" s="24"/>
    </row>
    <row r="71" spans="2:10" x14ac:dyDescent="0.25">
      <c r="B71" s="24"/>
      <c r="C71" s="24"/>
      <c r="D71" s="24"/>
      <c r="E71" s="24"/>
      <c r="F71" s="24"/>
    </row>
    <row r="72" spans="2:10" x14ac:dyDescent="0.25">
      <c r="B72" s="24"/>
      <c r="C72" s="24"/>
      <c r="D72" s="24"/>
      <c r="E72" s="24"/>
      <c r="F72" s="24"/>
    </row>
    <row r="73" spans="2:10" x14ac:dyDescent="0.25">
      <c r="B73" s="24"/>
      <c r="C73" s="24"/>
      <c r="D73" s="24"/>
      <c r="E73" s="24"/>
      <c r="F73" s="24"/>
    </row>
    <row r="74" spans="2:10" x14ac:dyDescent="0.25">
      <c r="B74" s="24"/>
      <c r="C74" s="24"/>
      <c r="D74" s="24"/>
      <c r="E74" s="24"/>
      <c r="F74" s="24"/>
    </row>
    <row r="75" spans="2:10" x14ac:dyDescent="0.25">
      <c r="B75" s="24"/>
      <c r="C75" s="24"/>
      <c r="D75" s="24"/>
      <c r="E75" s="24"/>
      <c r="F75" s="24"/>
    </row>
    <row r="76" spans="2:10" x14ac:dyDescent="0.25">
      <c r="B76" s="24"/>
      <c r="C76" s="24"/>
      <c r="D76" s="24"/>
      <c r="E76" s="24"/>
      <c r="F76" s="24"/>
    </row>
    <row r="77" spans="2:10" x14ac:dyDescent="0.25">
      <c r="B77" s="24"/>
      <c r="C77" s="24"/>
      <c r="D77" s="24"/>
      <c r="E77" s="24"/>
      <c r="F77" s="24"/>
    </row>
    <row r="78" spans="2:10" x14ac:dyDescent="0.25">
      <c r="B78" s="24"/>
      <c r="C78" s="24"/>
      <c r="D78" s="24"/>
      <c r="E78" s="24"/>
      <c r="F78" s="24"/>
    </row>
    <row r="90" spans="2:6" x14ac:dyDescent="0.25">
      <c r="B90" s="24"/>
      <c r="C90" s="24"/>
      <c r="D90" s="24"/>
      <c r="E90" s="24"/>
      <c r="F90" s="24"/>
    </row>
    <row r="91" spans="2:6" x14ac:dyDescent="0.25">
      <c r="B91" s="24"/>
      <c r="C91" s="24"/>
      <c r="D91" s="24"/>
      <c r="E91" s="24"/>
      <c r="F91" s="24"/>
    </row>
    <row r="92" spans="2:6" x14ac:dyDescent="0.25">
      <c r="B92" s="24"/>
      <c r="C92" s="24"/>
      <c r="D92" s="24"/>
      <c r="E92" s="24"/>
      <c r="F92" s="24"/>
    </row>
    <row r="93" spans="2:6" x14ac:dyDescent="0.25">
      <c r="B93" s="24"/>
      <c r="C93" s="24"/>
      <c r="D93" s="24"/>
      <c r="E93" s="24"/>
      <c r="F93" s="24"/>
    </row>
    <row r="94" spans="2:6" x14ac:dyDescent="0.25">
      <c r="B94" s="24"/>
      <c r="C94" s="24"/>
      <c r="D94" s="24"/>
      <c r="E94" s="24"/>
      <c r="F94" s="24"/>
    </row>
    <row r="95" spans="2:6" x14ac:dyDescent="0.25">
      <c r="B95" s="24"/>
      <c r="C95" s="24"/>
      <c r="D95" s="24"/>
      <c r="E95" s="24"/>
      <c r="F95" s="24"/>
    </row>
    <row r="96" spans="2:6" x14ac:dyDescent="0.25">
      <c r="B96" s="24"/>
      <c r="C96" s="24"/>
      <c r="D96" s="24"/>
      <c r="E96" s="24"/>
      <c r="F96" s="24"/>
    </row>
    <row r="97" spans="2:6" x14ac:dyDescent="0.25">
      <c r="B97" s="24"/>
      <c r="C97" s="24"/>
      <c r="D97" s="24"/>
      <c r="E97" s="24"/>
      <c r="F97" s="24"/>
    </row>
    <row r="98" spans="2:6" x14ac:dyDescent="0.25">
      <c r="B98" s="24"/>
      <c r="C98" s="24"/>
      <c r="D98" s="24"/>
      <c r="E98" s="24"/>
      <c r="F98" s="24"/>
    </row>
    <row r="99" spans="2:6" x14ac:dyDescent="0.25">
      <c r="B99" s="24"/>
      <c r="C99" s="24"/>
      <c r="D99" s="24"/>
      <c r="E99" s="24"/>
      <c r="F99" s="24"/>
    </row>
    <row r="100" spans="2:6" x14ac:dyDescent="0.25">
      <c r="B100" s="24"/>
      <c r="C100" s="24"/>
      <c r="D100" s="24"/>
      <c r="E100" s="24"/>
      <c r="F100" s="24"/>
    </row>
  </sheetData>
  <protectedRanges>
    <protectedRange sqref="K18:K28 K45:K55" name="Range1"/>
    <protectedRange sqref="K29" name="Range1_1"/>
  </protectedRanges>
  <mergeCells count="6">
    <mergeCell ref="B37:I37"/>
    <mergeCell ref="A4:I4"/>
    <mergeCell ref="A5:I5"/>
    <mergeCell ref="A6:I6"/>
    <mergeCell ref="A8:I8"/>
    <mergeCell ref="B11:H11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E7DA-370B-454C-8D0F-92FB82C55288}">
  <sheetPr>
    <tabColor theme="9" tint="0.79998168889431442"/>
  </sheetPr>
  <dimension ref="A3:X74"/>
  <sheetViews>
    <sheetView workbookViewId="0"/>
  </sheetViews>
  <sheetFormatPr defaultColWidth="9.140625" defaultRowHeight="15" x14ac:dyDescent="0.25"/>
  <cols>
    <col min="1" max="1" width="6.140625" style="1" customWidth="1"/>
    <col min="2" max="2" width="4.85546875" style="1" customWidth="1"/>
    <col min="3" max="3" width="5.140625" style="1" customWidth="1"/>
    <col min="4" max="4" width="12.7109375" style="1" customWidth="1"/>
    <col min="5" max="5" width="3.7109375" style="1" customWidth="1"/>
    <col min="6" max="6" width="44.5703125" style="1" customWidth="1"/>
    <col min="7" max="7" width="3.42578125" style="1" customWidth="1"/>
    <col min="8" max="8" width="22.85546875" style="1" customWidth="1"/>
    <col min="9" max="9" width="2.7109375" style="1" customWidth="1"/>
    <col min="10" max="10" width="22.85546875" style="1" customWidth="1"/>
    <col min="11" max="11" width="2.7109375" style="1" customWidth="1"/>
    <col min="12" max="12" width="8.5703125" customWidth="1"/>
    <col min="13" max="13" width="9.5703125" bestFit="1" customWidth="1"/>
    <col min="14" max="14" width="14.5703125" bestFit="1" customWidth="1"/>
    <col min="15" max="16" width="4.140625" customWidth="1"/>
    <col min="19" max="19" width="16.42578125" customWidth="1"/>
    <col min="20" max="20" width="11.7109375" customWidth="1"/>
    <col min="24" max="16384" width="9.140625" style="1"/>
  </cols>
  <sheetData>
    <row r="3" spans="1:11" x14ac:dyDescent="0.25">
      <c r="J3" s="2" t="s">
        <v>0</v>
      </c>
    </row>
    <row r="4" spans="1:11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.75" x14ac:dyDescent="0.3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18.75" x14ac:dyDescent="0.3">
      <c r="A6" s="131" t="s">
        <v>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x14ac:dyDescent="0.25">
      <c r="A7" s="132" t="s">
        <v>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1" x14ac:dyDescent="0.25">
      <c r="A8" s="132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132" t="s">
        <v>72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2" spans="1:11" x14ac:dyDescent="0.25">
      <c r="A12" s="6" t="s">
        <v>6</v>
      </c>
      <c r="B12" s="7"/>
    </row>
    <row r="13" spans="1:11" x14ac:dyDescent="0.25">
      <c r="A13" s="7"/>
      <c r="B13" s="7"/>
    </row>
    <row r="14" spans="1:11" x14ac:dyDescent="0.25">
      <c r="C14" s="8" t="s">
        <v>7</v>
      </c>
      <c r="D14" s="9"/>
      <c r="E14" s="10"/>
    </row>
    <row r="15" spans="1:11" x14ac:dyDescent="0.25">
      <c r="D15" s="7" t="s">
        <v>8</v>
      </c>
      <c r="E15" s="10" t="s">
        <v>9</v>
      </c>
      <c r="F15" s="1" t="s">
        <v>10</v>
      </c>
    </row>
    <row r="16" spans="1:11" x14ac:dyDescent="0.25">
      <c r="D16" s="7" t="s">
        <v>11</v>
      </c>
      <c r="E16" s="10" t="s">
        <v>9</v>
      </c>
      <c r="F16" s="1" t="s">
        <v>12</v>
      </c>
    </row>
    <row r="17" spans="2:24" x14ac:dyDescent="0.25">
      <c r="D17" s="7" t="s">
        <v>13</v>
      </c>
      <c r="E17" s="10" t="s">
        <v>9</v>
      </c>
      <c r="F17" s="1" t="s">
        <v>14</v>
      </c>
    </row>
    <row r="18" spans="2:24" x14ac:dyDescent="0.25">
      <c r="D18" s="7" t="s">
        <v>15</v>
      </c>
      <c r="E18" s="10" t="s">
        <v>9</v>
      </c>
      <c r="F18" s="1" t="s">
        <v>16</v>
      </c>
    </row>
    <row r="19" spans="2:24" x14ac:dyDescent="0.25">
      <c r="D19" s="7" t="s">
        <v>17</v>
      </c>
      <c r="E19" s="10" t="s">
        <v>9</v>
      </c>
      <c r="F19" s="1" t="s">
        <v>18</v>
      </c>
    </row>
    <row r="20" spans="2:24" x14ac:dyDescent="0.25">
      <c r="D20" s="7" t="s">
        <v>19</v>
      </c>
      <c r="E20" s="9" t="s">
        <v>9</v>
      </c>
      <c r="F20" s="11" t="s">
        <v>20</v>
      </c>
      <c r="J20"/>
      <c r="K20"/>
    </row>
    <row r="21" spans="2:24" x14ac:dyDescent="0.25">
      <c r="D21" s="7" t="s">
        <v>21</v>
      </c>
      <c r="E21" s="9" t="s">
        <v>9</v>
      </c>
      <c r="F21" s="1" t="s">
        <v>22</v>
      </c>
      <c r="J21"/>
      <c r="K21"/>
    </row>
    <row r="22" spans="2:24" x14ac:dyDescent="0.25">
      <c r="D22" s="7"/>
      <c r="E22" s="10"/>
      <c r="I22"/>
      <c r="J22"/>
      <c r="K22"/>
    </row>
    <row r="23" spans="2:24" x14ac:dyDescent="0.25">
      <c r="B23" s="12"/>
      <c r="C23" s="13"/>
      <c r="D23" s="14"/>
      <c r="E23" s="15"/>
      <c r="F23" s="13"/>
      <c r="G23" s="16"/>
      <c r="H23" s="16" t="s">
        <v>23</v>
      </c>
      <c r="I23" s="17"/>
      <c r="J23" s="9"/>
      <c r="K23"/>
    </row>
    <row r="24" spans="2:24" x14ac:dyDescent="0.25">
      <c r="B24" s="19"/>
      <c r="D24" s="7"/>
      <c r="E24" s="10"/>
      <c r="H24" s="9" t="s">
        <v>24</v>
      </c>
      <c r="I24" s="17"/>
      <c r="J24" s="9"/>
      <c r="K24"/>
    </row>
    <row r="25" spans="2:24" x14ac:dyDescent="0.25">
      <c r="B25" s="19"/>
      <c r="D25" s="7"/>
      <c r="E25" s="10"/>
      <c r="I25" s="17"/>
      <c r="K25"/>
    </row>
    <row r="26" spans="2:24" x14ac:dyDescent="0.25">
      <c r="B26" s="20">
        <v>-1</v>
      </c>
      <c r="C26" s="1" t="s">
        <v>8</v>
      </c>
      <c r="G26" s="10" t="s">
        <v>9</v>
      </c>
      <c r="H26" s="21">
        <v>652768949</v>
      </c>
      <c r="I26" s="17"/>
      <c r="J26" s="21"/>
      <c r="K26"/>
    </row>
    <row r="27" spans="2:24" x14ac:dyDescent="0.25">
      <c r="B27" s="20">
        <f>B26-1</f>
        <v>-2</v>
      </c>
      <c r="C27" s="1" t="s">
        <v>25</v>
      </c>
      <c r="G27" s="10" t="s">
        <v>9</v>
      </c>
      <c r="H27" s="22">
        <f>ROUND(H26/12,0)</f>
        <v>54397412</v>
      </c>
      <c r="I27" s="17"/>
      <c r="J27" s="22"/>
      <c r="K27"/>
    </row>
    <row r="28" spans="2:24" x14ac:dyDescent="0.25">
      <c r="B28" s="20">
        <f>B27-1</f>
        <v>-3</v>
      </c>
      <c r="C28" s="1" t="s">
        <v>26</v>
      </c>
      <c r="G28" s="10" t="s">
        <v>9</v>
      </c>
      <c r="H28" s="49">
        <v>8.7300000000000003E-2</v>
      </c>
      <c r="I28" s="17"/>
      <c r="J28" s="23"/>
      <c r="K28"/>
      <c r="X28"/>
    </row>
    <row r="29" spans="2:24" x14ac:dyDescent="0.25">
      <c r="B29" s="20">
        <f>B28-1</f>
        <v>-4</v>
      </c>
      <c r="C29" s="1" t="s">
        <v>17</v>
      </c>
      <c r="G29" s="10" t="s">
        <v>9</v>
      </c>
      <c r="H29" s="22">
        <v>3762318.7103133686</v>
      </c>
      <c r="I29" s="17"/>
      <c r="J29" s="22"/>
      <c r="K29"/>
      <c r="X29"/>
    </row>
    <row r="30" spans="2:24" x14ac:dyDescent="0.25">
      <c r="B30" s="20">
        <f>B29-1</f>
        <v>-5</v>
      </c>
      <c r="C30" s="1" t="s">
        <v>19</v>
      </c>
      <c r="G30" s="10" t="s">
        <v>9</v>
      </c>
      <c r="H30" s="22">
        <v>0</v>
      </c>
      <c r="I30" s="17"/>
      <c r="J30" s="22"/>
      <c r="K30"/>
      <c r="X30"/>
    </row>
    <row r="31" spans="2:24" x14ac:dyDescent="0.25">
      <c r="B31" s="20">
        <f>B30-1</f>
        <v>-6</v>
      </c>
      <c r="C31" s="1" t="s">
        <v>21</v>
      </c>
      <c r="G31" s="10" t="s">
        <v>9</v>
      </c>
      <c r="H31" s="22">
        <v>-2298012.06</v>
      </c>
      <c r="I31" s="17"/>
      <c r="J31" s="22"/>
      <c r="K31"/>
      <c r="X31"/>
    </row>
    <row r="32" spans="2:24" x14ac:dyDescent="0.25">
      <c r="B32" s="20"/>
      <c r="H32" s="24"/>
      <c r="I32" s="17"/>
      <c r="J32" s="24"/>
      <c r="K32"/>
      <c r="X32"/>
    </row>
    <row r="33" spans="1:24" x14ac:dyDescent="0.25">
      <c r="B33" s="25">
        <f>B31-1</f>
        <v>-7</v>
      </c>
      <c r="C33" s="26" t="s">
        <v>27</v>
      </c>
      <c r="D33" s="26"/>
      <c r="E33" s="26"/>
      <c r="F33" s="27" t="str">
        <f>TEXT(B27*-1,"(0)")&amp;" x "&amp;TEXT(B28*-1,"(0)")&amp;" + "&amp;TEXT(B29*-1,"(0)")&amp;" - "&amp;TEXT(B30*-1,"(0)")&amp;" + "&amp;TEXT(B31*-1,"(0)")</f>
        <v>(2) x (3) + (4) - (5) + (6)</v>
      </c>
      <c r="G33" s="28" t="s">
        <v>9</v>
      </c>
      <c r="H33" s="29">
        <f>ROUND((H27*H28)+H29-H30+H31,0)</f>
        <v>6213201</v>
      </c>
      <c r="I33" s="17"/>
      <c r="J33" s="21"/>
      <c r="K33"/>
      <c r="X33"/>
    </row>
    <row r="34" spans="1:24" x14ac:dyDescent="0.25">
      <c r="B34" s="30"/>
      <c r="I34"/>
      <c r="J34"/>
      <c r="K34"/>
      <c r="X34"/>
    </row>
    <row r="35" spans="1:24" x14ac:dyDescent="0.25">
      <c r="A35" s="6" t="s">
        <v>28</v>
      </c>
      <c r="B35" s="30"/>
      <c r="I35"/>
      <c r="J35"/>
      <c r="K35"/>
      <c r="X35"/>
    </row>
    <row r="36" spans="1:24" ht="12.75" customHeight="1" x14ac:dyDescent="0.25">
      <c r="A36" s="6"/>
      <c r="B36" s="31"/>
      <c r="C36" s="13"/>
      <c r="D36" s="13"/>
      <c r="E36" s="13"/>
      <c r="F36" s="13"/>
      <c r="G36" s="13"/>
      <c r="H36" s="54"/>
      <c r="X36"/>
    </row>
    <row r="37" spans="1:24" ht="12.75" customHeight="1" x14ac:dyDescent="0.25">
      <c r="B37" s="20">
        <f>B33-1</f>
        <v>-8</v>
      </c>
      <c r="C37" s="32" t="s">
        <v>29</v>
      </c>
      <c r="G37" s="10" t="s">
        <v>9</v>
      </c>
      <c r="H37" s="55">
        <v>0.90939999999999999</v>
      </c>
      <c r="J37" s="33"/>
      <c r="K37" s="34"/>
      <c r="X37"/>
    </row>
    <row r="38" spans="1:24" ht="12.75" customHeight="1" x14ac:dyDescent="0.25">
      <c r="B38" s="20"/>
      <c r="C38" s="35"/>
      <c r="G38" s="10"/>
      <c r="H38" s="36"/>
      <c r="J38" s="21"/>
      <c r="X38"/>
    </row>
    <row r="39" spans="1:24" ht="12.75" customHeight="1" x14ac:dyDescent="0.25">
      <c r="B39" s="20">
        <f>B37-1</f>
        <v>-9</v>
      </c>
      <c r="C39" s="35" t="str">
        <f>"Jurisdictional E(m) = Total E(m) x Jurisdictional Allocation Ratio   ["&amp;TEXT(B33*-1,"(0)")&amp;" x "&amp;TEXT(B37*-1,"(0)")&amp;"]"</f>
        <v>Jurisdictional E(m) = Total E(m) x Jurisdictional Allocation Ratio   [(7) x (8)]</v>
      </c>
      <c r="G39" s="10" t="s">
        <v>9</v>
      </c>
      <c r="H39" s="36">
        <f>ROUND(+H33*H37,0)</f>
        <v>5650285</v>
      </c>
      <c r="J39" s="21"/>
      <c r="K39" s="34"/>
      <c r="X39"/>
    </row>
    <row r="40" spans="1:24" ht="12.75" customHeight="1" x14ac:dyDescent="0.25">
      <c r="B40" s="20"/>
      <c r="C40" s="35"/>
      <c r="G40" s="10"/>
      <c r="H40" s="36"/>
      <c r="J40" s="21"/>
      <c r="X40"/>
    </row>
    <row r="41" spans="1:24" ht="12.75" customHeight="1" x14ac:dyDescent="0.25">
      <c r="B41" s="20">
        <f>B39-1</f>
        <v>-10</v>
      </c>
      <c r="C41" s="32" t="s">
        <v>30</v>
      </c>
      <c r="G41" s="10" t="s">
        <v>9</v>
      </c>
      <c r="H41" s="36">
        <v>0</v>
      </c>
      <c r="J41" s="21"/>
      <c r="K41" s="37"/>
      <c r="X41"/>
    </row>
    <row r="42" spans="1:24" ht="12.75" customHeight="1" x14ac:dyDescent="0.25">
      <c r="B42" s="20"/>
      <c r="C42" s="35"/>
      <c r="G42" s="10"/>
      <c r="H42" s="36"/>
      <c r="J42" s="21"/>
      <c r="X42"/>
    </row>
    <row r="43" spans="1:24" ht="12.75" customHeight="1" x14ac:dyDescent="0.25">
      <c r="B43" s="20">
        <f>B41-1</f>
        <v>-11</v>
      </c>
      <c r="C43" s="32" t="s">
        <v>31</v>
      </c>
      <c r="G43" s="10" t="s">
        <v>9</v>
      </c>
      <c r="H43" s="36">
        <v>0</v>
      </c>
      <c r="J43"/>
      <c r="X43"/>
    </row>
    <row r="44" spans="1:24" ht="12.75" customHeight="1" x14ac:dyDescent="0.25">
      <c r="B44" s="20"/>
      <c r="C44" s="35"/>
      <c r="G44" s="10"/>
      <c r="H44" s="36"/>
      <c r="J44" s="21"/>
      <c r="X44"/>
    </row>
    <row r="45" spans="1:24" ht="12.75" customHeight="1" x14ac:dyDescent="0.25">
      <c r="B45" s="20">
        <f>B43-1</f>
        <v>-12</v>
      </c>
      <c r="C45" s="35" t="s">
        <v>32</v>
      </c>
      <c r="G45" s="10" t="s">
        <v>9</v>
      </c>
      <c r="H45" s="36">
        <v>7248582</v>
      </c>
      <c r="J45" s="21"/>
      <c r="X45"/>
    </row>
    <row r="46" spans="1:24" ht="12.75" customHeight="1" x14ac:dyDescent="0.25">
      <c r="B46" s="20"/>
      <c r="C46" s="35"/>
      <c r="G46" s="10"/>
      <c r="H46" s="36"/>
      <c r="J46" s="21"/>
      <c r="X46"/>
    </row>
    <row r="47" spans="1:24" ht="12.75" customHeight="1" x14ac:dyDescent="0.25">
      <c r="B47" s="20">
        <f>+B45-1</f>
        <v>-13</v>
      </c>
      <c r="C47" s="32" t="s">
        <v>33</v>
      </c>
      <c r="D47" s="32"/>
      <c r="E47" s="32"/>
      <c r="F47" s="32"/>
      <c r="G47" s="10" t="s">
        <v>9</v>
      </c>
      <c r="H47" s="36">
        <f>+H39+H41+H43-H45</f>
        <v>-1598297</v>
      </c>
      <c r="J47" s="38"/>
      <c r="K47" s="37"/>
      <c r="X47"/>
    </row>
    <row r="48" spans="1:24" ht="12.75" customHeight="1" x14ac:dyDescent="0.25">
      <c r="B48" s="25"/>
      <c r="C48" s="40"/>
      <c r="D48" s="27"/>
      <c r="E48" s="27"/>
      <c r="F48" s="27"/>
      <c r="G48" s="28"/>
      <c r="H48" s="41"/>
      <c r="J48" s="38"/>
      <c r="K48" s="37"/>
      <c r="X48"/>
    </row>
    <row r="49" spans="1:24" x14ac:dyDescent="0.25">
      <c r="B49" s="30"/>
      <c r="C49" s="8"/>
      <c r="D49" s="7"/>
      <c r="E49" s="7"/>
      <c r="F49" s="7"/>
      <c r="G49" s="10"/>
      <c r="H49" s="38"/>
      <c r="J49" s="38"/>
      <c r="K49" s="37"/>
      <c r="X49"/>
    </row>
    <row r="50" spans="1:24" x14ac:dyDescent="0.25">
      <c r="A50" s="6" t="s">
        <v>34</v>
      </c>
      <c r="B50" s="30"/>
      <c r="C50" s="35"/>
      <c r="G50" s="10"/>
      <c r="H50" s="38"/>
      <c r="J50" s="38"/>
      <c r="K50" s="37"/>
    </row>
    <row r="51" spans="1:24" ht="34.5" customHeight="1" x14ac:dyDescent="0.35">
      <c r="A51" s="6"/>
      <c r="B51" s="31"/>
      <c r="C51" s="43"/>
      <c r="D51" s="13"/>
      <c r="E51" s="13"/>
      <c r="F51" s="13"/>
      <c r="G51" s="15"/>
      <c r="H51" s="44" t="s">
        <v>35</v>
      </c>
      <c r="I51" s="13"/>
      <c r="J51" s="45" t="s">
        <v>36</v>
      </c>
      <c r="K51" s="46"/>
    </row>
    <row r="52" spans="1:24" x14ac:dyDescent="0.25">
      <c r="B52" s="20"/>
      <c r="C52" s="35"/>
      <c r="G52" s="10"/>
      <c r="H52" s="38"/>
      <c r="J52" s="38"/>
      <c r="K52" s="47"/>
    </row>
    <row r="53" spans="1:24" x14ac:dyDescent="0.25">
      <c r="B53" s="20">
        <f>B47-1</f>
        <v>-14</v>
      </c>
      <c r="C53" s="32" t="s">
        <v>37</v>
      </c>
      <c r="K53" s="47"/>
    </row>
    <row r="54" spans="1:24" x14ac:dyDescent="0.25">
      <c r="B54" s="20"/>
      <c r="C54" s="32" t="s">
        <v>38</v>
      </c>
      <c r="G54" s="10" t="s">
        <v>9</v>
      </c>
      <c r="H54" s="49">
        <v>0.42130000000000001</v>
      </c>
      <c r="I54" s="33"/>
      <c r="J54" s="49">
        <v>0.57869999999999999</v>
      </c>
      <c r="K54" s="47"/>
    </row>
    <row r="55" spans="1:24" x14ac:dyDescent="0.25">
      <c r="B55" s="20"/>
      <c r="C55" s="32"/>
      <c r="G55" s="10"/>
      <c r="H55" s="38"/>
      <c r="J55" s="38"/>
      <c r="K55" s="47"/>
    </row>
    <row r="56" spans="1:24" x14ac:dyDescent="0.25">
      <c r="B56" s="20">
        <f>B53-1</f>
        <v>-15</v>
      </c>
      <c r="C56" s="35" t="str">
        <f>"Group E(m)     ["&amp;TEXT(B47*-1,"(0)")&amp;" x "&amp;TEXT(B53*-1,"(0)")&amp;"]"</f>
        <v>Group E(m)     [(13) x (14)]</v>
      </c>
      <c r="G56" s="10" t="s">
        <v>9</v>
      </c>
      <c r="H56" s="21">
        <f>ROUND(+$H$47*H54,0)</f>
        <v>-673363</v>
      </c>
      <c r="J56" s="21">
        <f>ROUND(+$H$47*J54,0)</f>
        <v>-924934</v>
      </c>
      <c r="K56" s="47"/>
    </row>
    <row r="57" spans="1:24" x14ac:dyDescent="0.25">
      <c r="B57" s="20"/>
      <c r="C57" s="35"/>
      <c r="G57" s="10"/>
      <c r="H57" s="38"/>
      <c r="J57" s="38"/>
      <c r="K57" s="47"/>
    </row>
    <row r="58" spans="1:24" x14ac:dyDescent="0.25">
      <c r="B58" s="20">
        <f>+B56-1</f>
        <v>-16</v>
      </c>
      <c r="C58" s="32" t="s">
        <v>39</v>
      </c>
      <c r="K58" s="48"/>
    </row>
    <row r="59" spans="1:24" x14ac:dyDescent="0.25">
      <c r="B59" s="20"/>
      <c r="D59" s="32" t="s">
        <v>40</v>
      </c>
      <c r="G59" s="10" t="s">
        <v>9</v>
      </c>
      <c r="H59" s="21">
        <v>64159781</v>
      </c>
      <c r="J59" s="21">
        <v>63086672</v>
      </c>
      <c r="K59" s="48"/>
    </row>
    <row r="60" spans="1:24" x14ac:dyDescent="0.25">
      <c r="B60" s="20"/>
      <c r="C60" s="35"/>
      <c r="G60" s="10"/>
      <c r="H60" s="50"/>
      <c r="J60" s="50"/>
      <c r="K60" s="48"/>
    </row>
    <row r="61" spans="1:24" x14ac:dyDescent="0.25">
      <c r="B61" s="20">
        <f>B58-1</f>
        <v>-17</v>
      </c>
      <c r="C61" s="35" t="str">
        <f>"Group Environmental Surcharge Billing Factors     ["&amp;TEXT(B56*-1,"(0)")&amp;" ÷ "&amp;TEXT(B58*-1,"(0)")&amp;"]"</f>
        <v>Group Environmental Surcharge Billing Factors     [(15) ÷ (16)]</v>
      </c>
      <c r="G61" s="10" t="s">
        <v>9</v>
      </c>
      <c r="H61" s="51">
        <f>ROUND(+H56/H59,4)</f>
        <v>-1.0500000000000001E-2</v>
      </c>
      <c r="J61" s="51">
        <f>ROUND(+J56/J59,4)</f>
        <v>-1.47E-2</v>
      </c>
      <c r="K61" s="48"/>
    </row>
    <row r="62" spans="1:24" x14ac:dyDescent="0.25">
      <c r="B62" s="52"/>
      <c r="C62" s="26"/>
      <c r="D62" s="26"/>
      <c r="E62" s="26"/>
      <c r="F62" s="26"/>
      <c r="G62" s="26"/>
      <c r="H62" s="26"/>
      <c r="I62" s="26"/>
      <c r="J62" s="26"/>
      <c r="K62" s="53"/>
    </row>
    <row r="64" spans="1:24" x14ac:dyDescent="0.25">
      <c r="B64" s="30"/>
      <c r="H64" s="100"/>
      <c r="I64"/>
      <c r="J64"/>
    </row>
    <row r="65" spans="2:10" x14ac:dyDescent="0.25">
      <c r="B65" s="30"/>
      <c r="H65" s="100"/>
      <c r="I65"/>
      <c r="J65"/>
    </row>
    <row r="66" spans="2:10" x14ac:dyDescent="0.25">
      <c r="H66" s="100"/>
      <c r="I66"/>
      <c r="J66"/>
    </row>
    <row r="67" spans="2:10" x14ac:dyDescent="0.25">
      <c r="H67" s="100"/>
      <c r="I67"/>
      <c r="J67"/>
    </row>
    <row r="68" spans="2:10" x14ac:dyDescent="0.25">
      <c r="H68" s="100"/>
      <c r="I68"/>
      <c r="J68"/>
    </row>
    <row r="69" spans="2:10" x14ac:dyDescent="0.25">
      <c r="H69" s="100"/>
      <c r="I69"/>
      <c r="J69"/>
    </row>
    <row r="70" spans="2:10" x14ac:dyDescent="0.25">
      <c r="H70" s="39"/>
      <c r="J70" s="39"/>
    </row>
    <row r="72" spans="2:10" x14ac:dyDescent="0.25">
      <c r="H72" s="24"/>
      <c r="J72" s="24"/>
    </row>
    <row r="73" spans="2:10" x14ac:dyDescent="0.25">
      <c r="H73" s="50"/>
      <c r="J73" s="50"/>
    </row>
    <row r="74" spans="2:10" x14ac:dyDescent="0.25">
      <c r="H74" s="33"/>
      <c r="J74" s="33"/>
    </row>
  </sheetData>
  <protectedRanges>
    <protectedRange sqref="H28 J28 H41 H43" name="Range1"/>
  </protectedRanges>
  <mergeCells count="5">
    <mergeCell ref="A5:K5"/>
    <mergeCell ref="A6:K6"/>
    <mergeCell ref="A7:K7"/>
    <mergeCell ref="A8:K8"/>
    <mergeCell ref="A10:K10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8E4A-0208-4414-8642-0C4D942A8E05}">
  <sheetPr>
    <tabColor theme="9" tint="0.79998168889431442"/>
  </sheetPr>
  <dimension ref="A3:Q100"/>
  <sheetViews>
    <sheetView workbookViewId="0"/>
  </sheetViews>
  <sheetFormatPr defaultColWidth="9.140625" defaultRowHeight="15" x14ac:dyDescent="0.25"/>
  <cols>
    <col min="1" max="1" width="16.85546875" style="1" customWidth="1"/>
    <col min="2" max="6" width="17.7109375" style="1" customWidth="1"/>
    <col min="7" max="7" width="21.7109375" style="1" customWidth="1"/>
    <col min="8" max="8" width="18.7109375" style="1" bestFit="1" customWidth="1"/>
    <col min="9" max="10" width="17.7109375" style="1" customWidth="1"/>
    <col min="11" max="11" width="15" customWidth="1"/>
    <col min="12" max="12" width="9.85546875" customWidth="1"/>
    <col min="13" max="13" width="13.42578125" style="1" bestFit="1" customWidth="1"/>
    <col min="14" max="14" width="16.5703125" style="1" customWidth="1"/>
    <col min="15" max="15" width="13.42578125" style="1" bestFit="1" customWidth="1"/>
    <col min="16" max="16" width="14.42578125" style="1" customWidth="1"/>
    <col min="17" max="17" width="13.42578125" style="1" bestFit="1" customWidth="1"/>
    <col min="18" max="16384" width="9.140625" style="1"/>
  </cols>
  <sheetData>
    <row r="3" spans="1:10" x14ac:dyDescent="0.25">
      <c r="I3" s="56" t="s">
        <v>41</v>
      </c>
      <c r="J3" s="56"/>
    </row>
    <row r="4" spans="1:10" ht="18.75" x14ac:dyDescent="0.3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57"/>
    </row>
    <row r="5" spans="1:10" ht="18.75" x14ac:dyDescent="0.3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57"/>
    </row>
    <row r="6" spans="1:10" x14ac:dyDescent="0.25">
      <c r="A6" s="136" t="s">
        <v>42</v>
      </c>
      <c r="B6" s="136"/>
      <c r="C6" s="136"/>
      <c r="D6" s="136"/>
      <c r="E6" s="136"/>
      <c r="F6" s="136"/>
      <c r="G6" s="136"/>
      <c r="H6" s="136"/>
      <c r="I6" s="136"/>
      <c r="J6" s="58"/>
    </row>
    <row r="7" spans="1:10" x14ac:dyDescent="0.25">
      <c r="A7" s="60"/>
      <c r="B7" s="59"/>
      <c r="C7" s="59"/>
      <c r="D7" s="59"/>
      <c r="E7" s="59"/>
      <c r="H7" s="59"/>
      <c r="I7" s="59"/>
      <c r="J7" s="59"/>
    </row>
    <row r="8" spans="1:10" x14ac:dyDescent="0.25">
      <c r="A8" s="132" t="s">
        <v>73</v>
      </c>
      <c r="B8" s="132"/>
      <c r="C8" s="132"/>
      <c r="D8" s="132"/>
      <c r="E8" s="132"/>
      <c r="F8" s="132"/>
      <c r="G8" s="132"/>
      <c r="H8" s="132"/>
      <c r="I8" s="132"/>
      <c r="J8" s="18"/>
    </row>
    <row r="9" spans="1:10" ht="15.75" thickBot="1" x14ac:dyDescent="0.3">
      <c r="A9" s="61"/>
      <c r="B9" s="61"/>
      <c r="C9" s="61"/>
      <c r="D9" s="61"/>
      <c r="E9" s="61"/>
      <c r="F9" s="61"/>
      <c r="G9" s="61"/>
      <c r="H9" s="61"/>
      <c r="I9" s="9"/>
      <c r="J9" s="9"/>
    </row>
    <row r="10" spans="1:10" ht="15.75" thickTop="1" x14ac:dyDescent="0.25">
      <c r="A10" s="19"/>
      <c r="B10" s="19"/>
      <c r="H10" s="62"/>
      <c r="I10" s="9"/>
      <c r="J10" s="9"/>
    </row>
    <row r="11" spans="1:10" x14ac:dyDescent="0.25">
      <c r="A11" s="19"/>
      <c r="B11" s="133" t="s">
        <v>43</v>
      </c>
      <c r="C11" s="134"/>
      <c r="D11" s="134"/>
      <c r="E11" s="134"/>
      <c r="F11" s="134"/>
      <c r="G11" s="134"/>
      <c r="H11" s="135"/>
      <c r="I11" s="9"/>
      <c r="J11" s="9"/>
    </row>
    <row r="12" spans="1:10" ht="15.75" thickBot="1" x14ac:dyDescent="0.3">
      <c r="A12" s="63"/>
      <c r="B12" s="63"/>
      <c r="C12" s="61"/>
      <c r="D12" s="61"/>
      <c r="E12" s="61"/>
      <c r="F12" s="61"/>
      <c r="G12" s="61"/>
      <c r="H12" s="64"/>
      <c r="I12" s="9"/>
      <c r="J12" s="9"/>
    </row>
    <row r="13" spans="1:10" ht="16.5" thickTop="1" thickBot="1" x14ac:dyDescent="0.3">
      <c r="A13" s="65" t="s">
        <v>44</v>
      </c>
      <c r="B13" s="66">
        <f t="shared" ref="B13:H13" si="0">A13-1</f>
        <v>-2</v>
      </c>
      <c r="C13" s="66">
        <f t="shared" si="0"/>
        <v>-3</v>
      </c>
      <c r="D13" s="66">
        <f t="shared" si="0"/>
        <v>-4</v>
      </c>
      <c r="E13" s="66">
        <f t="shared" si="0"/>
        <v>-5</v>
      </c>
      <c r="F13" s="66">
        <f t="shared" si="0"/>
        <v>-6</v>
      </c>
      <c r="G13" s="66">
        <f t="shared" si="0"/>
        <v>-7</v>
      </c>
      <c r="H13" s="66">
        <f t="shared" si="0"/>
        <v>-8</v>
      </c>
      <c r="I13" s="9"/>
      <c r="J13" s="9"/>
    </row>
    <row r="14" spans="1:10" ht="15.75" thickTop="1" x14ac:dyDescent="0.25">
      <c r="A14" s="67"/>
      <c r="B14" s="68"/>
      <c r="C14" s="68"/>
      <c r="D14" s="9" t="s">
        <v>45</v>
      </c>
      <c r="E14" s="67"/>
      <c r="F14" s="67"/>
      <c r="G14" s="67"/>
      <c r="H14" s="68" t="s">
        <v>46</v>
      </c>
      <c r="I14" s="59"/>
      <c r="J14" s="59"/>
    </row>
    <row r="15" spans="1:10" x14ac:dyDescent="0.25">
      <c r="A15" s="67"/>
      <c r="B15" s="68" t="s">
        <v>47</v>
      </c>
      <c r="C15" s="68"/>
      <c r="D15" s="9" t="s">
        <v>48</v>
      </c>
      <c r="E15" s="67"/>
      <c r="F15" s="68" t="s">
        <v>49</v>
      </c>
      <c r="G15" s="67"/>
      <c r="H15" s="68" t="s">
        <v>50</v>
      </c>
      <c r="I15" s="59"/>
      <c r="J15" s="59"/>
    </row>
    <row r="16" spans="1:10" x14ac:dyDescent="0.25">
      <c r="A16" s="67"/>
      <c r="B16" s="68" t="s">
        <v>51</v>
      </c>
      <c r="C16" s="68" t="s">
        <v>51</v>
      </c>
      <c r="D16" s="68" t="s">
        <v>52</v>
      </c>
      <c r="E16" s="68" t="s">
        <v>53</v>
      </c>
      <c r="F16" s="68" t="s">
        <v>54</v>
      </c>
      <c r="G16" s="68" t="s">
        <v>46</v>
      </c>
      <c r="H16" s="68" t="s">
        <v>49</v>
      </c>
      <c r="I16" s="59"/>
      <c r="J16" s="59"/>
    </row>
    <row r="17" spans="1:17" x14ac:dyDescent="0.25">
      <c r="A17" s="68" t="s">
        <v>55</v>
      </c>
      <c r="B17" s="68" t="s">
        <v>56</v>
      </c>
      <c r="C17" s="68" t="s">
        <v>57</v>
      </c>
      <c r="D17" s="68" t="s">
        <v>58</v>
      </c>
      <c r="E17" s="68" t="s">
        <v>56</v>
      </c>
      <c r="F17" s="68" t="s">
        <v>56</v>
      </c>
      <c r="G17" s="67"/>
      <c r="H17" s="68" t="s">
        <v>54</v>
      </c>
      <c r="I17" s="59"/>
      <c r="J17" s="59"/>
      <c r="N17" s="9"/>
      <c r="O17" s="9"/>
    </row>
    <row r="18" spans="1:17" ht="15.75" thickBot="1" x14ac:dyDescent="0.3">
      <c r="A18" s="69"/>
      <c r="B18" s="69"/>
      <c r="C18" s="69"/>
      <c r="D18" s="69"/>
      <c r="E18" s="69"/>
      <c r="F18" s="69"/>
      <c r="G18" s="65" t="s">
        <v>59</v>
      </c>
      <c r="H18" s="65" t="s">
        <v>60</v>
      </c>
      <c r="I18" s="59"/>
      <c r="J18" s="59"/>
      <c r="N18" s="9"/>
      <c r="O18" s="9"/>
    </row>
    <row r="19" spans="1:17" ht="15.75" thickTop="1" x14ac:dyDescent="0.25">
      <c r="A19" s="70">
        <v>45535</v>
      </c>
      <c r="B19" s="71">
        <v>49951689.80999998</v>
      </c>
      <c r="C19" s="71">
        <v>16068199.349999998</v>
      </c>
      <c r="D19" s="71">
        <v>-2184199.8499999978</v>
      </c>
      <c r="E19" s="71">
        <v>959865.96000000008</v>
      </c>
      <c r="F19" s="71">
        <v>1826403.5700000012</v>
      </c>
      <c r="G19" s="71">
        <f t="shared" ref="G19:G29" si="1">SUM(B19:F19)</f>
        <v>66621958.839999989</v>
      </c>
      <c r="H19" s="71">
        <f t="shared" ref="H19:H29" si="2">G19-F19</f>
        <v>64795555.269999988</v>
      </c>
      <c r="I19" s="59"/>
      <c r="J19" s="59"/>
      <c r="M19" s="72"/>
      <c r="N19" s="21"/>
      <c r="O19" s="21"/>
      <c r="P19" s="24"/>
      <c r="Q19" s="39"/>
    </row>
    <row r="20" spans="1:17" x14ac:dyDescent="0.25">
      <c r="A20" s="70">
        <v>45565</v>
      </c>
      <c r="B20" s="73">
        <v>47391382.970000006</v>
      </c>
      <c r="C20" s="73">
        <v>14976561.810000001</v>
      </c>
      <c r="D20" s="73">
        <v>-2524449.7500000009</v>
      </c>
      <c r="E20" s="73">
        <v>907424.00999999989</v>
      </c>
      <c r="F20" s="73">
        <v>1514404.1499999997</v>
      </c>
      <c r="G20" s="71">
        <f t="shared" si="1"/>
        <v>62265323.190000005</v>
      </c>
      <c r="H20" s="71">
        <f t="shared" si="2"/>
        <v>60750919.040000007</v>
      </c>
      <c r="I20" s="59"/>
      <c r="J20" s="59"/>
      <c r="M20" s="72"/>
      <c r="N20" s="21"/>
      <c r="O20" s="21"/>
      <c r="P20" s="24"/>
      <c r="Q20" s="39"/>
    </row>
    <row r="21" spans="1:17" x14ac:dyDescent="0.25">
      <c r="A21" s="70">
        <v>45596</v>
      </c>
      <c r="B21" s="74">
        <v>37756534.239999987</v>
      </c>
      <c r="C21" s="74">
        <v>10874516.910000002</v>
      </c>
      <c r="D21" s="74">
        <v>-1580357.2800000005</v>
      </c>
      <c r="E21" s="74">
        <v>668104.17000000004</v>
      </c>
      <c r="F21" s="74">
        <v>667215.80000000016</v>
      </c>
      <c r="G21" s="71">
        <f t="shared" si="1"/>
        <v>48386013.839999989</v>
      </c>
      <c r="H21" s="71">
        <f t="shared" si="2"/>
        <v>47718798.039999992</v>
      </c>
      <c r="I21" s="59"/>
      <c r="J21" s="59"/>
      <c r="M21" s="72"/>
      <c r="N21" s="75"/>
      <c r="O21" s="75"/>
      <c r="P21" s="24"/>
      <c r="Q21" s="39"/>
    </row>
    <row r="22" spans="1:17" x14ac:dyDescent="0.25">
      <c r="A22" s="70">
        <v>45626</v>
      </c>
      <c r="B22" s="74">
        <v>35594973.230000027</v>
      </c>
      <c r="C22" s="74">
        <v>9999374.3500000034</v>
      </c>
      <c r="D22" s="74">
        <v>-1363597.2099999997</v>
      </c>
      <c r="E22" s="74">
        <v>605457.46999999986</v>
      </c>
      <c r="F22" s="74">
        <v>709845.93999999983</v>
      </c>
      <c r="G22" s="71">
        <f t="shared" si="1"/>
        <v>45546053.780000024</v>
      </c>
      <c r="H22" s="71">
        <f t="shared" si="2"/>
        <v>44836207.840000026</v>
      </c>
      <c r="I22" s="59"/>
      <c r="J22" s="59"/>
      <c r="M22" s="72"/>
      <c r="N22" s="75"/>
      <c r="O22" s="75"/>
      <c r="P22" s="24"/>
      <c r="Q22" s="39"/>
    </row>
    <row r="23" spans="1:17" x14ac:dyDescent="0.25">
      <c r="A23" s="70">
        <v>45657</v>
      </c>
      <c r="B23" s="74">
        <v>54554417.670000002</v>
      </c>
      <c r="C23" s="74">
        <v>16998582.559999999</v>
      </c>
      <c r="D23" s="74">
        <v>-2539623.1099999989</v>
      </c>
      <c r="E23" s="74">
        <v>1018253.64</v>
      </c>
      <c r="F23" s="74">
        <v>-129495.12999999995</v>
      </c>
      <c r="G23" s="71">
        <f t="shared" si="1"/>
        <v>69902135.63000001</v>
      </c>
      <c r="H23" s="71">
        <f t="shared" si="2"/>
        <v>70031630.760000005</v>
      </c>
      <c r="I23" s="59"/>
      <c r="J23" s="59"/>
      <c r="M23" s="72"/>
      <c r="N23" s="75"/>
      <c r="O23" s="75"/>
      <c r="P23" s="24"/>
      <c r="Q23" s="39"/>
    </row>
    <row r="24" spans="1:17" x14ac:dyDescent="0.25">
      <c r="A24" s="70">
        <v>45688</v>
      </c>
      <c r="B24" s="74">
        <v>69222114.909999996</v>
      </c>
      <c r="C24" s="74">
        <v>22538263.099999998</v>
      </c>
      <c r="D24" s="74">
        <v>-2216646.8699999978</v>
      </c>
      <c r="E24" s="74">
        <v>1677711.6600000001</v>
      </c>
      <c r="F24" s="74">
        <v>358638.39999999991</v>
      </c>
      <c r="G24" s="71">
        <f t="shared" si="1"/>
        <v>91580081.199999988</v>
      </c>
      <c r="H24" s="71">
        <f t="shared" si="2"/>
        <v>91221442.799999982</v>
      </c>
      <c r="I24" s="59"/>
      <c r="J24" s="59"/>
      <c r="M24" s="72"/>
      <c r="N24" s="75"/>
      <c r="O24" s="75"/>
      <c r="P24" s="24"/>
      <c r="Q24" s="39"/>
    </row>
    <row r="25" spans="1:17" x14ac:dyDescent="0.25">
      <c r="A25" s="70">
        <v>45716</v>
      </c>
      <c r="B25" s="74">
        <v>65788594.360000022</v>
      </c>
      <c r="C25" s="74">
        <v>21521914.799999997</v>
      </c>
      <c r="D25" s="74">
        <v>-332741.69999999995</v>
      </c>
      <c r="E25" s="74">
        <v>1868451.39</v>
      </c>
      <c r="F25" s="74">
        <v>-856898.96999999986</v>
      </c>
      <c r="G25" s="71">
        <f t="shared" si="1"/>
        <v>87989319.880000025</v>
      </c>
      <c r="H25" s="71">
        <f t="shared" si="2"/>
        <v>88846218.850000024</v>
      </c>
      <c r="I25" s="59"/>
      <c r="J25" s="59"/>
      <c r="M25" s="72"/>
      <c r="N25" s="75"/>
      <c r="O25" s="75"/>
      <c r="P25" s="24"/>
      <c r="Q25" s="39"/>
    </row>
    <row r="26" spans="1:17" x14ac:dyDescent="0.25">
      <c r="A26" s="70">
        <v>45747</v>
      </c>
      <c r="B26" s="74">
        <v>56156189.199999988</v>
      </c>
      <c r="C26" s="74">
        <v>17750331.129999995</v>
      </c>
      <c r="D26" s="74">
        <v>329210.3000000001</v>
      </c>
      <c r="E26" s="74">
        <v>1550154.5100000002</v>
      </c>
      <c r="F26" s="74">
        <v>-1773842.1900000004</v>
      </c>
      <c r="G26" s="71">
        <f t="shared" si="1"/>
        <v>74012042.949999988</v>
      </c>
      <c r="H26" s="71">
        <f t="shared" si="2"/>
        <v>75785885.139999986</v>
      </c>
      <c r="I26" s="59"/>
      <c r="J26" s="59"/>
      <c r="M26" s="72"/>
      <c r="N26" s="75"/>
      <c r="O26" s="75"/>
      <c r="P26" s="24"/>
      <c r="Q26" s="39"/>
    </row>
    <row r="27" spans="1:17" x14ac:dyDescent="0.25">
      <c r="A27" s="70">
        <v>45777</v>
      </c>
      <c r="B27" s="74">
        <v>39699432.830000013</v>
      </c>
      <c r="C27" s="74">
        <v>11523886.709999999</v>
      </c>
      <c r="D27" s="74">
        <v>-308143.00000000012</v>
      </c>
      <c r="E27" s="74">
        <v>914441.1</v>
      </c>
      <c r="F27" s="74">
        <v>-1275959.5800000005</v>
      </c>
      <c r="G27" s="71">
        <f t="shared" si="1"/>
        <v>50553658.060000017</v>
      </c>
      <c r="H27" s="71">
        <f t="shared" si="2"/>
        <v>51829617.640000015</v>
      </c>
      <c r="I27" s="59"/>
      <c r="J27" s="59"/>
      <c r="M27" s="72"/>
      <c r="N27" s="75"/>
      <c r="O27" s="75"/>
      <c r="P27" s="24"/>
      <c r="Q27" s="39"/>
    </row>
    <row r="28" spans="1:17" x14ac:dyDescent="0.25">
      <c r="A28" s="70">
        <v>45808</v>
      </c>
      <c r="B28" s="74">
        <v>36823333.129999995</v>
      </c>
      <c r="C28" s="74">
        <v>10413597.690000001</v>
      </c>
      <c r="D28" s="74">
        <v>-1085129.7999999998</v>
      </c>
      <c r="E28" s="74">
        <v>718845.33</v>
      </c>
      <c r="F28" s="74">
        <v>-404512.45000000007</v>
      </c>
      <c r="G28" s="71">
        <f t="shared" si="1"/>
        <v>46466133.899999991</v>
      </c>
      <c r="H28" s="71">
        <f t="shared" si="2"/>
        <v>46870646.349999994</v>
      </c>
      <c r="I28" s="59"/>
      <c r="J28" s="59"/>
      <c r="M28" s="72"/>
      <c r="N28" s="75"/>
      <c r="O28" s="75"/>
      <c r="P28" s="24"/>
      <c r="Q28" s="39"/>
    </row>
    <row r="29" spans="1:17" x14ac:dyDescent="0.25">
      <c r="A29" s="70">
        <v>45838</v>
      </c>
      <c r="B29" s="76">
        <v>42028410.879999995</v>
      </c>
      <c r="C29" s="76">
        <v>12261176.27</v>
      </c>
      <c r="D29" s="76">
        <v>-1639631.6099999996</v>
      </c>
      <c r="E29" s="76">
        <v>837369.85</v>
      </c>
      <c r="F29" s="76">
        <v>-375405.06000000023</v>
      </c>
      <c r="G29" s="71">
        <f t="shared" si="1"/>
        <v>53111920.329999991</v>
      </c>
      <c r="H29" s="71">
        <f t="shared" si="2"/>
        <v>53487325.389999993</v>
      </c>
      <c r="I29" s="59"/>
      <c r="J29" s="59"/>
      <c r="M29" s="72"/>
      <c r="N29" s="77"/>
      <c r="O29" s="77"/>
      <c r="P29" s="24"/>
      <c r="Q29" s="39"/>
    </row>
    <row r="30" spans="1:17" x14ac:dyDescent="0.25">
      <c r="A30" s="70">
        <v>45869</v>
      </c>
      <c r="B30" s="76">
        <v>56573942.579999983</v>
      </c>
      <c r="C30" s="76">
        <v>17811597.290000003</v>
      </c>
      <c r="D30" s="76">
        <v>-1844105.2800000005</v>
      </c>
      <c r="E30" s="76">
        <v>1201687.1199999999</v>
      </c>
      <c r="F30" s="76">
        <v>291685.35000000033</v>
      </c>
      <c r="G30" s="71">
        <f>SUM(B30:F30)</f>
        <v>74034807.059999987</v>
      </c>
      <c r="H30" s="71">
        <f>G30-F30</f>
        <v>73743121.709999993</v>
      </c>
      <c r="I30" s="59"/>
      <c r="J30" s="59"/>
      <c r="M30" s="72"/>
      <c r="N30" s="77"/>
      <c r="O30" s="77"/>
      <c r="P30" s="24"/>
    </row>
    <row r="31" spans="1:17" x14ac:dyDescent="0.25">
      <c r="A31" s="19" t="s">
        <v>61</v>
      </c>
      <c r="B31" s="59"/>
      <c r="C31" s="59"/>
      <c r="D31" s="59"/>
      <c r="E31" s="59"/>
      <c r="F31" s="59"/>
      <c r="G31" s="59"/>
      <c r="H31" s="78"/>
      <c r="I31" s="59"/>
      <c r="J31" s="59"/>
    </row>
    <row r="32" spans="1:17" x14ac:dyDescent="0.25">
      <c r="A32" s="52" t="s">
        <v>62</v>
      </c>
      <c r="B32" s="79"/>
      <c r="C32" s="79"/>
      <c r="D32" s="79"/>
      <c r="E32" s="79"/>
      <c r="F32" s="79"/>
      <c r="G32" s="79"/>
      <c r="H32" s="80">
        <f>ROUND(AVERAGE(H19:H30),0)</f>
        <v>64159781</v>
      </c>
      <c r="I32" s="59"/>
      <c r="J32" s="59"/>
    </row>
    <row r="33" spans="1:13" x14ac:dyDescent="0.25">
      <c r="A33" s="81" t="s">
        <v>63</v>
      </c>
      <c r="B33" s="82"/>
      <c r="C33" s="82"/>
      <c r="D33" s="82"/>
      <c r="E33" s="82"/>
      <c r="F33" s="82"/>
      <c r="G33" s="83"/>
      <c r="H33" s="80">
        <f>(SUM($H$19:$H$30)+SUM($H$45:$H$56))/12</f>
        <v>152304075.66666666</v>
      </c>
      <c r="I33" s="59"/>
      <c r="J33" s="59"/>
    </row>
    <row r="34" spans="1:13" x14ac:dyDescent="0.25">
      <c r="A34" s="84" t="s">
        <v>64</v>
      </c>
      <c r="B34" s="79"/>
      <c r="C34" s="79"/>
      <c r="D34" s="79"/>
      <c r="E34" s="79"/>
      <c r="F34" s="79"/>
      <c r="G34" s="79"/>
      <c r="H34" s="85">
        <f>ROUND(H32/H33,4)</f>
        <v>0.42130000000000001</v>
      </c>
      <c r="I34" s="59"/>
      <c r="J34" s="59"/>
    </row>
    <row r="35" spans="1:13" ht="15.75" thickBot="1" x14ac:dyDescent="0.3">
      <c r="A35" s="61"/>
      <c r="I35" s="59"/>
      <c r="J35" s="59"/>
    </row>
    <row r="36" spans="1:13" ht="15.75" thickTop="1" x14ac:dyDescent="0.25">
      <c r="A36" s="19"/>
      <c r="B36" s="86"/>
      <c r="C36" s="87"/>
      <c r="D36" s="87"/>
      <c r="E36" s="87"/>
      <c r="F36" s="87"/>
      <c r="G36" s="87"/>
      <c r="H36" s="87"/>
      <c r="I36" s="88"/>
      <c r="J36" s="59"/>
    </row>
    <row r="37" spans="1:13" ht="14.25" customHeight="1" x14ac:dyDescent="0.25">
      <c r="A37" s="19"/>
      <c r="B37" s="133" t="s">
        <v>65</v>
      </c>
      <c r="C37" s="134"/>
      <c r="D37" s="134"/>
      <c r="E37" s="134"/>
      <c r="F37" s="134"/>
      <c r="G37" s="134"/>
      <c r="H37" s="134"/>
      <c r="I37" s="135"/>
      <c r="J37" s="59"/>
    </row>
    <row r="38" spans="1:13" ht="15.75" thickBot="1" x14ac:dyDescent="0.3">
      <c r="A38" s="63"/>
      <c r="B38" s="63"/>
      <c r="C38" s="61"/>
      <c r="D38" s="61"/>
      <c r="E38" s="61"/>
      <c r="F38" s="61"/>
      <c r="G38" s="61"/>
      <c r="H38" s="61"/>
      <c r="I38" s="89"/>
      <c r="J38" s="59"/>
    </row>
    <row r="39" spans="1:13" ht="16.5" thickTop="1" thickBot="1" x14ac:dyDescent="0.3">
      <c r="A39" s="65" t="s">
        <v>44</v>
      </c>
      <c r="B39" s="66">
        <f>A39-1</f>
        <v>-2</v>
      </c>
      <c r="C39" s="66">
        <f>B39-1</f>
        <v>-3</v>
      </c>
      <c r="D39" s="66">
        <f t="shared" ref="D39:I39" si="3">C39-1</f>
        <v>-4</v>
      </c>
      <c r="E39" s="66">
        <f t="shared" si="3"/>
        <v>-5</v>
      </c>
      <c r="F39" s="66">
        <f t="shared" si="3"/>
        <v>-6</v>
      </c>
      <c r="G39" s="66">
        <f t="shared" si="3"/>
        <v>-7</v>
      </c>
      <c r="H39" s="66">
        <f t="shared" si="3"/>
        <v>-8</v>
      </c>
      <c r="I39" s="66">
        <f t="shared" si="3"/>
        <v>-9</v>
      </c>
      <c r="J39" s="59"/>
    </row>
    <row r="40" spans="1:13" ht="15.75" thickTop="1" x14ac:dyDescent="0.25">
      <c r="A40" s="67"/>
      <c r="B40" s="68"/>
      <c r="C40" s="68"/>
      <c r="D40" s="9" t="s">
        <v>45</v>
      </c>
      <c r="E40" s="67"/>
      <c r="F40" s="67"/>
      <c r="G40" s="67"/>
      <c r="H40" s="68" t="s">
        <v>46</v>
      </c>
      <c r="I40" s="90"/>
      <c r="J40" s="59"/>
    </row>
    <row r="41" spans="1:13" x14ac:dyDescent="0.25">
      <c r="A41" s="67"/>
      <c r="B41" s="68" t="s">
        <v>47</v>
      </c>
      <c r="C41" s="68"/>
      <c r="D41" s="9" t="s">
        <v>48</v>
      </c>
      <c r="E41" s="67"/>
      <c r="F41" s="68" t="s">
        <v>49</v>
      </c>
      <c r="G41" s="67"/>
      <c r="H41" s="68" t="s">
        <v>50</v>
      </c>
      <c r="I41" s="90" t="s">
        <v>66</v>
      </c>
      <c r="J41" s="59"/>
    </row>
    <row r="42" spans="1:13" x14ac:dyDescent="0.25">
      <c r="A42" s="67"/>
      <c r="B42" s="68" t="s">
        <v>51</v>
      </c>
      <c r="C42" s="68" t="s">
        <v>51</v>
      </c>
      <c r="D42" s="68" t="s">
        <v>52</v>
      </c>
      <c r="E42" s="68" t="s">
        <v>53</v>
      </c>
      <c r="F42" s="68" t="s">
        <v>54</v>
      </c>
      <c r="G42" s="68" t="s">
        <v>46</v>
      </c>
      <c r="H42" s="68" t="s">
        <v>49</v>
      </c>
      <c r="I42" s="68" t="s">
        <v>56</v>
      </c>
      <c r="J42" s="59"/>
    </row>
    <row r="43" spans="1:13" x14ac:dyDescent="0.25">
      <c r="A43" s="68" t="s">
        <v>55</v>
      </c>
      <c r="B43" s="68" t="s">
        <v>56</v>
      </c>
      <c r="C43" s="68" t="s">
        <v>57</v>
      </c>
      <c r="D43" s="68" t="s">
        <v>58</v>
      </c>
      <c r="E43" s="68" t="s">
        <v>56</v>
      </c>
      <c r="F43" s="68" t="s">
        <v>56</v>
      </c>
      <c r="G43" s="67"/>
      <c r="H43" s="68" t="s">
        <v>54</v>
      </c>
      <c r="I43" s="90" t="s">
        <v>67</v>
      </c>
      <c r="J43" s="59"/>
    </row>
    <row r="44" spans="1:13" ht="15.75" thickBot="1" x14ac:dyDescent="0.3">
      <c r="A44" s="69"/>
      <c r="B44" s="69"/>
      <c r="C44" s="69"/>
      <c r="D44" s="69"/>
      <c r="E44" s="69"/>
      <c r="F44" s="69"/>
      <c r="G44" s="65" t="s">
        <v>59</v>
      </c>
      <c r="H44" s="65" t="s">
        <v>60</v>
      </c>
      <c r="I44" s="65" t="s">
        <v>68</v>
      </c>
      <c r="J44" s="59"/>
      <c r="M44" s="34"/>
    </row>
    <row r="45" spans="1:13" ht="15.75" thickTop="1" x14ac:dyDescent="0.25">
      <c r="A45" s="70">
        <v>45535</v>
      </c>
      <c r="B45" s="71">
        <v>63495955.060000002</v>
      </c>
      <c r="C45" s="71">
        <v>29394346.779999997</v>
      </c>
      <c r="D45" s="71">
        <v>-2788629.9299999997</v>
      </c>
      <c r="E45" s="71">
        <v>996666.14999999979</v>
      </c>
      <c r="F45" s="71">
        <v>2603659.4000000004</v>
      </c>
      <c r="G45" s="71">
        <f t="shared" ref="G45:G55" si="4">SUM(B45:F45)</f>
        <v>93701997.460000008</v>
      </c>
      <c r="H45" s="71">
        <f t="shared" ref="H45:H56" si="5">G45-F45</f>
        <v>91098338.060000002</v>
      </c>
      <c r="I45" s="71">
        <f t="shared" ref="I45:I56" si="6">+B45+E45</f>
        <v>64492621.210000001</v>
      </c>
      <c r="J45" s="91"/>
      <c r="M45" s="92"/>
    </row>
    <row r="46" spans="1:13" x14ac:dyDescent="0.25">
      <c r="A46" s="70">
        <v>45565</v>
      </c>
      <c r="B46" s="73">
        <v>63989291.359999999</v>
      </c>
      <c r="C46" s="73">
        <v>29735630.220000003</v>
      </c>
      <c r="D46" s="73">
        <v>-4164855.6900000009</v>
      </c>
      <c r="E46" s="73">
        <v>974024.31</v>
      </c>
      <c r="F46" s="73">
        <v>2364831</v>
      </c>
      <c r="G46" s="71">
        <f t="shared" si="4"/>
        <v>92898921.200000003</v>
      </c>
      <c r="H46" s="71">
        <f t="shared" si="5"/>
        <v>90534090.200000003</v>
      </c>
      <c r="I46" s="71">
        <f t="shared" si="6"/>
        <v>64963315.670000002</v>
      </c>
      <c r="J46" s="91"/>
      <c r="M46" s="92"/>
    </row>
    <row r="47" spans="1:13" x14ac:dyDescent="0.25">
      <c r="A47" s="70">
        <v>45596</v>
      </c>
      <c r="B47" s="76">
        <v>64557386.389999993</v>
      </c>
      <c r="C47" s="76">
        <v>29471099.490000002</v>
      </c>
      <c r="D47" s="76">
        <v>-4186623.9700000007</v>
      </c>
      <c r="E47" s="76">
        <v>904482.49</v>
      </c>
      <c r="F47" s="76">
        <v>1465846.47</v>
      </c>
      <c r="G47" s="71">
        <f t="shared" si="4"/>
        <v>92212190.86999999</v>
      </c>
      <c r="H47" s="71">
        <f t="shared" si="5"/>
        <v>90746344.399999991</v>
      </c>
      <c r="I47" s="71">
        <f t="shared" si="6"/>
        <v>65461868.879999995</v>
      </c>
      <c r="J47" s="91"/>
      <c r="M47" s="92"/>
    </row>
    <row r="48" spans="1:13" x14ac:dyDescent="0.25">
      <c r="A48" s="70">
        <v>45626</v>
      </c>
      <c r="B48" s="76">
        <v>53864319.379999988</v>
      </c>
      <c r="C48" s="76">
        <v>22946018.309999999</v>
      </c>
      <c r="D48" s="76">
        <v>-2964370.4799999995</v>
      </c>
      <c r="E48" s="76">
        <v>720596.66999999993</v>
      </c>
      <c r="F48" s="76">
        <v>1225948.43</v>
      </c>
      <c r="G48" s="71">
        <f t="shared" si="4"/>
        <v>75792512.309999987</v>
      </c>
      <c r="H48" s="71">
        <f t="shared" si="5"/>
        <v>74566563.87999998</v>
      </c>
      <c r="I48" s="71">
        <f t="shared" si="6"/>
        <v>54584916.04999999</v>
      </c>
      <c r="J48" s="91"/>
      <c r="M48" s="92"/>
    </row>
    <row r="49" spans="1:13" x14ac:dyDescent="0.25">
      <c r="A49" s="70">
        <v>45657</v>
      </c>
      <c r="B49" s="76">
        <v>60274265.789999999</v>
      </c>
      <c r="C49" s="76">
        <v>26666445.430000003</v>
      </c>
      <c r="D49" s="76">
        <v>-3740444.7100000004</v>
      </c>
      <c r="E49" s="76">
        <v>869530.69</v>
      </c>
      <c r="F49" s="76">
        <v>51130.909999999996</v>
      </c>
      <c r="G49" s="71">
        <f t="shared" si="4"/>
        <v>84120928.109999999</v>
      </c>
      <c r="H49" s="71">
        <f t="shared" si="5"/>
        <v>84069797.200000003</v>
      </c>
      <c r="I49" s="71">
        <f t="shared" si="6"/>
        <v>61143796.479999997</v>
      </c>
      <c r="J49" s="91"/>
      <c r="M49" s="92"/>
    </row>
    <row r="50" spans="1:13" x14ac:dyDescent="0.25">
      <c r="A50" s="70">
        <v>45688</v>
      </c>
      <c r="B50" s="76">
        <v>68338745.270000011</v>
      </c>
      <c r="C50" s="76">
        <v>30672750.950000007</v>
      </c>
      <c r="D50" s="76">
        <v>-3189696.94</v>
      </c>
      <c r="E50" s="76">
        <v>1221970.33</v>
      </c>
      <c r="F50" s="76">
        <v>307509.83</v>
      </c>
      <c r="G50" s="71">
        <f t="shared" si="4"/>
        <v>97351279.440000013</v>
      </c>
      <c r="H50" s="71">
        <f t="shared" si="5"/>
        <v>97043769.610000014</v>
      </c>
      <c r="I50" s="71">
        <f t="shared" si="6"/>
        <v>69560715.600000009</v>
      </c>
      <c r="J50" s="91"/>
      <c r="M50" s="92"/>
    </row>
    <row r="51" spans="1:13" x14ac:dyDescent="0.25">
      <c r="A51" s="70">
        <v>45716</v>
      </c>
      <c r="B51" s="76">
        <v>60052154.18</v>
      </c>
      <c r="C51" s="76">
        <v>25928031.29999999</v>
      </c>
      <c r="D51" s="76">
        <v>-923415.45</v>
      </c>
      <c r="E51" s="76">
        <v>1247189.43</v>
      </c>
      <c r="F51" s="76">
        <v>-739361.73999999976</v>
      </c>
      <c r="G51" s="71">
        <f t="shared" si="4"/>
        <v>85564597.719999999</v>
      </c>
      <c r="H51" s="71">
        <f t="shared" si="5"/>
        <v>86303959.459999993</v>
      </c>
      <c r="I51" s="71">
        <f t="shared" si="6"/>
        <v>61299343.609999999</v>
      </c>
      <c r="J51" s="91"/>
      <c r="M51" s="92"/>
    </row>
    <row r="52" spans="1:13" x14ac:dyDescent="0.25">
      <c r="A52" s="70">
        <v>45747</v>
      </c>
      <c r="B52" s="76">
        <v>61858677.259999998</v>
      </c>
      <c r="C52" s="76">
        <v>27348795.480000008</v>
      </c>
      <c r="D52" s="76">
        <v>-118941.83999999994</v>
      </c>
      <c r="E52" s="76">
        <v>1299857.28</v>
      </c>
      <c r="F52" s="76">
        <v>-1932199.11</v>
      </c>
      <c r="G52" s="71">
        <f t="shared" si="4"/>
        <v>88456189.070000008</v>
      </c>
      <c r="H52" s="71">
        <f t="shared" si="5"/>
        <v>90388388.180000007</v>
      </c>
      <c r="I52" s="71">
        <f t="shared" si="6"/>
        <v>63158534.539999999</v>
      </c>
      <c r="J52" s="91"/>
      <c r="M52" s="92"/>
    </row>
    <row r="53" spans="1:13" x14ac:dyDescent="0.25">
      <c r="A53" s="70">
        <v>45777</v>
      </c>
      <c r="B53" s="76">
        <v>58374875.109999992</v>
      </c>
      <c r="C53" s="76">
        <v>26077096.990000002</v>
      </c>
      <c r="D53" s="76">
        <v>-946893.32000000007</v>
      </c>
      <c r="E53" s="76">
        <v>1004740.51</v>
      </c>
      <c r="F53" s="76">
        <v>-2070144.6399999997</v>
      </c>
      <c r="G53" s="71">
        <f t="shared" si="4"/>
        <v>82439674.650000006</v>
      </c>
      <c r="H53" s="71">
        <f t="shared" si="5"/>
        <v>84509819.290000007</v>
      </c>
      <c r="I53" s="71">
        <f t="shared" si="6"/>
        <v>59379615.61999999</v>
      </c>
      <c r="J53" s="91"/>
      <c r="M53" s="92"/>
    </row>
    <row r="54" spans="1:13" x14ac:dyDescent="0.25">
      <c r="A54" s="70">
        <v>45808</v>
      </c>
      <c r="B54" s="76">
        <v>58223474.859999992</v>
      </c>
      <c r="C54" s="76">
        <v>25650041.949999999</v>
      </c>
      <c r="D54" s="76">
        <v>-2554766.87</v>
      </c>
      <c r="E54" s="76">
        <v>789790.40999999992</v>
      </c>
      <c r="F54" s="76">
        <v>-923737.66999999981</v>
      </c>
      <c r="G54" s="71">
        <f t="shared" si="4"/>
        <v>81184802.679999977</v>
      </c>
      <c r="H54" s="71">
        <f t="shared" si="5"/>
        <v>82108540.349999979</v>
      </c>
      <c r="I54" s="71">
        <f t="shared" si="6"/>
        <v>59013265.269999988</v>
      </c>
      <c r="J54" s="91"/>
      <c r="M54" s="92"/>
    </row>
    <row r="55" spans="1:13" x14ac:dyDescent="0.25">
      <c r="A55" s="70">
        <v>45838</v>
      </c>
      <c r="B55" s="76">
        <v>63514328.499999993</v>
      </c>
      <c r="C55" s="76">
        <v>28620249.740000002</v>
      </c>
      <c r="D55" s="76">
        <v>-3748968.9799999995</v>
      </c>
      <c r="E55" s="76">
        <v>910428.33000000019</v>
      </c>
      <c r="F55" s="76">
        <v>-661583.27999999991</v>
      </c>
      <c r="G55" s="71">
        <f t="shared" si="4"/>
        <v>88634454.309999987</v>
      </c>
      <c r="H55" s="71">
        <f t="shared" si="5"/>
        <v>89296037.589999989</v>
      </c>
      <c r="I55" s="71">
        <f t="shared" si="6"/>
        <v>64424756.829999991</v>
      </c>
      <c r="J55" s="91"/>
      <c r="M55" s="92"/>
    </row>
    <row r="56" spans="1:13" x14ac:dyDescent="0.25">
      <c r="A56" s="70">
        <f>+A30</f>
        <v>45869</v>
      </c>
      <c r="B56" s="76">
        <v>68551151.670000002</v>
      </c>
      <c r="C56" s="76">
        <v>30964292.270000011</v>
      </c>
      <c r="D56" s="76">
        <v>-3455714.2500000009</v>
      </c>
      <c r="E56" s="76">
        <v>1006161.26</v>
      </c>
      <c r="F56" s="76">
        <v>248044.60000000006</v>
      </c>
      <c r="G56" s="71">
        <f t="shared" ref="G56" si="7">SUM(B56:F56)</f>
        <v>97313935.550000012</v>
      </c>
      <c r="H56" s="71">
        <f t="shared" si="5"/>
        <v>97065890.950000018</v>
      </c>
      <c r="I56" s="71">
        <f t="shared" si="6"/>
        <v>69557312.930000007</v>
      </c>
      <c r="J56" s="91"/>
      <c r="M56" s="92"/>
    </row>
    <row r="57" spans="1:13" x14ac:dyDescent="0.25">
      <c r="A57" s="93" t="s">
        <v>69</v>
      </c>
      <c r="B57" s="59"/>
      <c r="C57" s="59"/>
      <c r="D57" s="59"/>
      <c r="E57" s="59"/>
      <c r="F57" s="59"/>
      <c r="G57" s="59"/>
      <c r="H57" s="19"/>
      <c r="I57" s="67"/>
      <c r="J57" s="59"/>
      <c r="M57" s="33"/>
    </row>
    <row r="58" spans="1:13" x14ac:dyDescent="0.25">
      <c r="A58" s="52" t="s">
        <v>62</v>
      </c>
      <c r="B58" s="79"/>
      <c r="C58" s="79"/>
      <c r="D58" s="79"/>
      <c r="E58" s="79"/>
      <c r="F58" s="79"/>
      <c r="G58" s="79"/>
      <c r="H58" s="80">
        <f>ROUND(AVERAGE(H45:H56),0)</f>
        <v>88144295</v>
      </c>
      <c r="I58" s="80">
        <f>ROUND(AVERAGE(I45:I56),0)</f>
        <v>63086672</v>
      </c>
      <c r="J58" s="59"/>
    </row>
    <row r="59" spans="1:13" x14ac:dyDescent="0.25">
      <c r="A59" s="81" t="s">
        <v>63</v>
      </c>
      <c r="B59" s="82"/>
      <c r="C59" s="82"/>
      <c r="D59" s="82"/>
      <c r="E59" s="82"/>
      <c r="F59" s="82"/>
      <c r="G59" s="82"/>
      <c r="H59" s="80">
        <f>(SUM($H$19:$H$30)+SUM($H$45:$H$56))/12</f>
        <v>152304075.66666666</v>
      </c>
      <c r="I59" s="94"/>
      <c r="J59" s="59"/>
    </row>
    <row r="60" spans="1:13" x14ac:dyDescent="0.25">
      <c r="A60" s="84" t="s">
        <v>70</v>
      </c>
      <c r="B60" s="79"/>
      <c r="C60" s="79"/>
      <c r="D60" s="79"/>
      <c r="E60" s="79"/>
      <c r="F60" s="79"/>
      <c r="G60" s="79"/>
      <c r="H60" s="85">
        <f>ROUND(H58/H59,4)</f>
        <v>0.57869999999999999</v>
      </c>
      <c r="I60" s="94"/>
      <c r="J60" s="59"/>
    </row>
    <row r="64" spans="1:13" x14ac:dyDescent="0.25">
      <c r="H64" s="95"/>
    </row>
    <row r="65" spans="2:8" x14ac:dyDescent="0.25">
      <c r="H65" s="95"/>
    </row>
    <row r="66" spans="2:8" x14ac:dyDescent="0.25">
      <c r="B66" s="24"/>
      <c r="C66" s="24"/>
      <c r="D66" s="24"/>
      <c r="E66" s="24"/>
      <c r="F66" s="24"/>
      <c r="H66" s="34"/>
    </row>
    <row r="67" spans="2:8" x14ac:dyDescent="0.25">
      <c r="B67" s="24"/>
      <c r="C67" s="24"/>
      <c r="D67" s="24"/>
      <c r="E67" s="24"/>
      <c r="F67" s="24"/>
      <c r="H67" s="96"/>
    </row>
    <row r="68" spans="2:8" x14ac:dyDescent="0.25">
      <c r="B68" s="24"/>
      <c r="C68" s="24"/>
      <c r="D68" s="24"/>
      <c r="E68" s="24"/>
      <c r="F68" s="24"/>
    </row>
    <row r="69" spans="2:8" x14ac:dyDescent="0.25">
      <c r="B69" s="24"/>
      <c r="C69" s="24"/>
      <c r="D69" s="24"/>
      <c r="E69" s="24"/>
      <c r="F69" s="24"/>
      <c r="H69" s="95"/>
    </row>
    <row r="70" spans="2:8" x14ac:dyDescent="0.25">
      <c r="B70" s="24"/>
      <c r="C70" s="24"/>
      <c r="D70" s="24"/>
      <c r="E70" s="24"/>
      <c r="F70" s="24"/>
    </row>
    <row r="71" spans="2:8" x14ac:dyDescent="0.25">
      <c r="B71" s="24"/>
      <c r="C71" s="24"/>
      <c r="D71" s="24"/>
      <c r="E71" s="24"/>
      <c r="F71" s="24"/>
    </row>
    <row r="72" spans="2:8" x14ac:dyDescent="0.25">
      <c r="B72" s="24"/>
      <c r="C72" s="24"/>
      <c r="D72" s="24"/>
      <c r="E72" s="24"/>
      <c r="F72" s="24"/>
    </row>
    <row r="73" spans="2:8" x14ac:dyDescent="0.25">
      <c r="B73" s="24"/>
      <c r="C73" s="24"/>
      <c r="D73" s="24"/>
      <c r="E73" s="24"/>
      <c r="F73" s="24"/>
    </row>
    <row r="74" spans="2:8" x14ac:dyDescent="0.25">
      <c r="B74" s="24"/>
      <c r="C74" s="24"/>
      <c r="D74" s="24"/>
      <c r="E74" s="24"/>
      <c r="F74" s="24"/>
    </row>
    <row r="75" spans="2:8" x14ac:dyDescent="0.25">
      <c r="B75" s="24"/>
      <c r="C75" s="24"/>
      <c r="D75" s="24"/>
      <c r="E75" s="24"/>
      <c r="F75" s="24"/>
    </row>
    <row r="76" spans="2:8" x14ac:dyDescent="0.25">
      <c r="B76" s="24"/>
      <c r="C76" s="24"/>
      <c r="D76" s="24"/>
      <c r="E76" s="24"/>
      <c r="F76" s="24"/>
    </row>
    <row r="77" spans="2:8" x14ac:dyDescent="0.25">
      <c r="B77" s="24"/>
      <c r="C77" s="24"/>
      <c r="D77" s="24"/>
      <c r="E77" s="24"/>
      <c r="F77" s="24"/>
    </row>
    <row r="78" spans="2:8" x14ac:dyDescent="0.25">
      <c r="B78" s="24"/>
      <c r="C78" s="24"/>
      <c r="D78" s="24"/>
      <c r="E78" s="24"/>
      <c r="F78" s="24"/>
    </row>
    <row r="90" spans="2:6" x14ac:dyDescent="0.25">
      <c r="B90" s="24"/>
      <c r="C90" s="24"/>
      <c r="D90" s="24"/>
      <c r="E90" s="24"/>
      <c r="F90" s="24"/>
    </row>
    <row r="91" spans="2:6" x14ac:dyDescent="0.25">
      <c r="B91" s="24"/>
      <c r="C91" s="24"/>
      <c r="D91" s="24"/>
      <c r="E91" s="24"/>
      <c r="F91" s="24"/>
    </row>
    <row r="92" spans="2:6" x14ac:dyDescent="0.25">
      <c r="B92" s="24"/>
      <c r="C92" s="24"/>
      <c r="D92" s="24"/>
      <c r="E92" s="24"/>
      <c r="F92" s="24"/>
    </row>
    <row r="93" spans="2:6" x14ac:dyDescent="0.25">
      <c r="B93" s="24"/>
      <c r="C93" s="24"/>
      <c r="D93" s="24"/>
      <c r="E93" s="24"/>
      <c r="F93" s="24"/>
    </row>
    <row r="94" spans="2:6" x14ac:dyDescent="0.25">
      <c r="B94" s="24"/>
      <c r="C94" s="24"/>
      <c r="D94" s="24"/>
      <c r="E94" s="24"/>
      <c r="F94" s="24"/>
    </row>
    <row r="95" spans="2:6" x14ac:dyDescent="0.25">
      <c r="B95" s="24"/>
      <c r="C95" s="24"/>
      <c r="D95" s="24"/>
      <c r="E95" s="24"/>
      <c r="F95" s="24"/>
    </row>
    <row r="96" spans="2:6" x14ac:dyDescent="0.25">
      <c r="B96" s="24"/>
      <c r="C96" s="24"/>
      <c r="D96" s="24"/>
      <c r="E96" s="24"/>
      <c r="F96" s="24"/>
    </row>
    <row r="97" spans="2:6" x14ac:dyDescent="0.25">
      <c r="B97" s="24"/>
      <c r="C97" s="24"/>
      <c r="D97" s="24"/>
      <c r="E97" s="24"/>
      <c r="F97" s="24"/>
    </row>
    <row r="98" spans="2:6" x14ac:dyDescent="0.25">
      <c r="B98" s="24"/>
      <c r="C98" s="24"/>
      <c r="D98" s="24"/>
      <c r="E98" s="24"/>
      <c r="F98" s="24"/>
    </row>
    <row r="99" spans="2:6" x14ac:dyDescent="0.25">
      <c r="B99" s="24"/>
      <c r="C99" s="24"/>
      <c r="D99" s="24"/>
      <c r="E99" s="24"/>
      <c r="F99" s="24"/>
    </row>
    <row r="100" spans="2:6" x14ac:dyDescent="0.25">
      <c r="B100" s="24"/>
      <c r="C100" s="24"/>
      <c r="D100" s="24"/>
      <c r="E100" s="24"/>
      <c r="F100" s="24"/>
    </row>
  </sheetData>
  <protectedRanges>
    <protectedRange sqref="K18:K29 K45:K55" name="Range1"/>
  </protectedRanges>
  <mergeCells count="6">
    <mergeCell ref="B37:I37"/>
    <mergeCell ref="A4:I4"/>
    <mergeCell ref="A5:I5"/>
    <mergeCell ref="A6:I6"/>
    <mergeCell ref="A8:I8"/>
    <mergeCell ref="B11:H11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A513-BF9F-4750-9459-4106EEED5C1B}">
  <sheetPr>
    <tabColor theme="9" tint="0.79998168889431442"/>
  </sheetPr>
  <dimension ref="A3:H45"/>
  <sheetViews>
    <sheetView workbookViewId="0"/>
  </sheetViews>
  <sheetFormatPr defaultRowHeight="15" x14ac:dyDescent="0.25"/>
  <cols>
    <col min="1" max="1" width="51.28515625" style="1" customWidth="1"/>
    <col min="2" max="2" width="20.85546875" style="1" customWidth="1"/>
    <col min="3" max="3" width="16.140625" style="1" customWidth="1"/>
    <col min="4" max="4" width="17.28515625" style="1" bestFit="1" customWidth="1"/>
  </cols>
  <sheetData>
    <row r="3" spans="1:8" x14ac:dyDescent="0.25">
      <c r="D3" s="56" t="s">
        <v>74</v>
      </c>
    </row>
    <row r="5" spans="1:8" s="1" customFormat="1" ht="18.75" x14ac:dyDescent="0.3">
      <c r="A5" s="104" t="s">
        <v>1</v>
      </c>
      <c r="B5" s="104"/>
      <c r="C5" s="104"/>
      <c r="D5" s="104"/>
      <c r="E5" s="104"/>
    </row>
    <row r="6" spans="1:8" s="1" customFormat="1" ht="18.75" x14ac:dyDescent="0.3">
      <c r="A6" s="104" t="s">
        <v>2</v>
      </c>
      <c r="B6" s="104"/>
      <c r="C6" s="104"/>
      <c r="D6" s="104"/>
      <c r="E6" s="104"/>
    </row>
    <row r="7" spans="1:8" s="1" customFormat="1" ht="12.75" x14ac:dyDescent="0.2">
      <c r="A7" s="60" t="s">
        <v>100</v>
      </c>
      <c r="B7" s="60"/>
      <c r="C7" s="60"/>
      <c r="D7" s="60"/>
      <c r="E7" s="60"/>
      <c r="H7" s="129"/>
    </row>
    <row r="8" spans="1:8" s="1" customFormat="1" ht="12.75" customHeight="1" x14ac:dyDescent="0.25">
      <c r="A8" s="105"/>
      <c r="B8" s="105"/>
      <c r="C8" s="105"/>
      <c r="D8" s="106"/>
      <c r="E8" s="105"/>
      <c r="H8" s="129"/>
    </row>
    <row r="9" spans="1:8" s="1" customFormat="1" ht="12.75" x14ac:dyDescent="0.2">
      <c r="A9" s="132" t="s">
        <v>73</v>
      </c>
      <c r="B9" s="132"/>
      <c r="C9" s="132"/>
      <c r="D9" s="132"/>
      <c r="E9" s="132"/>
    </row>
    <row r="10" spans="1:8" ht="15.75" thickBot="1" x14ac:dyDescent="0.3">
      <c r="A10" s="107"/>
      <c r="B10" s="107"/>
      <c r="C10" s="107"/>
      <c r="D10" s="107"/>
    </row>
    <row r="11" spans="1:8" ht="15.75" thickTop="1" x14ac:dyDescent="0.25">
      <c r="A11" s="9"/>
      <c r="B11" s="9"/>
      <c r="C11" s="108" t="s">
        <v>75</v>
      </c>
      <c r="D11" s="108" t="s">
        <v>75</v>
      </c>
    </row>
    <row r="12" spans="1:8" x14ac:dyDescent="0.25">
      <c r="A12" s="26"/>
      <c r="B12" s="26"/>
      <c r="C12" s="109" t="s">
        <v>76</v>
      </c>
      <c r="D12" s="124" t="s">
        <v>77</v>
      </c>
    </row>
    <row r="13" spans="1:8" x14ac:dyDescent="0.25">
      <c r="A13" s="26"/>
      <c r="B13" s="26"/>
      <c r="C13" s="110"/>
      <c r="D13" s="125"/>
    </row>
    <row r="14" spans="1:8" x14ac:dyDescent="0.25">
      <c r="A14" s="111" t="s">
        <v>78</v>
      </c>
      <c r="B14" s="42"/>
      <c r="C14" s="71">
        <v>173900569.09999999</v>
      </c>
      <c r="D14" s="71">
        <v>173888404.52999997</v>
      </c>
    </row>
    <row r="15" spans="1:8" x14ac:dyDescent="0.25">
      <c r="A15" s="42" t="s">
        <v>79</v>
      </c>
      <c r="B15" s="42"/>
      <c r="C15" s="112">
        <f>ROUND(D15,2)</f>
        <v>-5299819.53</v>
      </c>
      <c r="D15" s="112">
        <v>-5299819.53</v>
      </c>
    </row>
    <row r="16" spans="1:8" x14ac:dyDescent="0.25">
      <c r="A16" s="42" t="s">
        <v>53</v>
      </c>
      <c r="B16" s="42"/>
      <c r="C16" s="112">
        <f>ROUND(D16,2)</f>
        <v>2207848.38</v>
      </c>
      <c r="D16" s="112">
        <v>2207848.38</v>
      </c>
    </row>
    <row r="17" spans="1:4" x14ac:dyDescent="0.25">
      <c r="A17" s="42" t="s">
        <v>80</v>
      </c>
      <c r="B17" s="42"/>
      <c r="C17" s="112"/>
      <c r="D17" s="112">
        <v>539729.94999999995</v>
      </c>
    </row>
    <row r="18" spans="1:4" x14ac:dyDescent="0.25">
      <c r="A18" s="42" t="s">
        <v>81</v>
      </c>
      <c r="B18" s="42"/>
      <c r="C18" s="112"/>
      <c r="D18" s="112">
        <v>-1909346.1600000001</v>
      </c>
    </row>
    <row r="19" spans="1:4" x14ac:dyDescent="0.25">
      <c r="A19" s="42" t="s">
        <v>82</v>
      </c>
      <c r="B19" s="42"/>
      <c r="C19" s="112"/>
      <c r="D19" s="113">
        <v>-67937.64</v>
      </c>
    </row>
    <row r="20" spans="1:4" x14ac:dyDescent="0.25">
      <c r="A20" s="42" t="s">
        <v>83</v>
      </c>
      <c r="B20" s="42"/>
      <c r="C20" s="112"/>
      <c r="D20" s="113">
        <v>25895.8</v>
      </c>
    </row>
    <row r="21" spans="1:4" x14ac:dyDescent="0.25">
      <c r="A21" s="114"/>
      <c r="B21" s="114" t="s">
        <v>84</v>
      </c>
      <c r="C21" s="71">
        <f>ROUND(SUM(C14:C19),2)</f>
        <v>170808597.94999999</v>
      </c>
      <c r="D21" s="115"/>
    </row>
    <row r="22" spans="1:4" x14ac:dyDescent="0.25">
      <c r="C22" s="116"/>
      <c r="D22" s="116"/>
    </row>
    <row r="23" spans="1:4" x14ac:dyDescent="0.25">
      <c r="A23" s="26"/>
      <c r="B23" s="26"/>
      <c r="C23" s="117"/>
      <c r="D23" s="116"/>
    </row>
    <row r="24" spans="1:4" x14ac:dyDescent="0.25">
      <c r="A24" s="42" t="s">
        <v>85</v>
      </c>
      <c r="B24" s="42"/>
      <c r="C24" s="112">
        <f>D24</f>
        <v>7147939.46</v>
      </c>
      <c r="D24" s="112">
        <v>7147939.46</v>
      </c>
    </row>
    <row r="25" spans="1:4" x14ac:dyDescent="0.25">
      <c r="A25" s="42" t="s">
        <v>86</v>
      </c>
      <c r="B25" s="42"/>
      <c r="C25" s="112">
        <f>D25</f>
        <v>2213456.67</v>
      </c>
      <c r="D25" s="112">
        <v>2213456.67</v>
      </c>
    </row>
    <row r="26" spans="1:4" x14ac:dyDescent="0.25">
      <c r="A26" s="42" t="s">
        <v>87</v>
      </c>
      <c r="B26" s="42"/>
      <c r="C26" s="112">
        <f>D26</f>
        <v>7654101.2800000003</v>
      </c>
      <c r="D26" s="112">
        <v>7654101.2800000003</v>
      </c>
    </row>
    <row r="27" spans="1:4" x14ac:dyDescent="0.25">
      <c r="A27" s="114"/>
      <c r="B27" s="114" t="s">
        <v>88</v>
      </c>
      <c r="C27" s="71">
        <f>SUM(C24:C26)</f>
        <v>17015497.41</v>
      </c>
      <c r="D27" s="71"/>
    </row>
    <row r="28" spans="1:4" x14ac:dyDescent="0.25">
      <c r="C28" s="116"/>
      <c r="D28" s="116"/>
    </row>
    <row r="29" spans="1:4" x14ac:dyDescent="0.25">
      <c r="A29" s="118"/>
      <c r="B29" s="118" t="s">
        <v>89</v>
      </c>
      <c r="C29" s="115">
        <f>C21+C27</f>
        <v>187824095.35999998</v>
      </c>
      <c r="D29" s="115"/>
    </row>
    <row r="30" spans="1:4" x14ac:dyDescent="0.25">
      <c r="A30" s="34"/>
      <c r="B30" s="34"/>
      <c r="C30" s="119"/>
      <c r="D30" s="119"/>
    </row>
    <row r="31" spans="1:4" ht="15.75" thickBot="1" x14ac:dyDescent="0.3">
      <c r="A31" s="34"/>
      <c r="B31" s="120" t="s">
        <v>90</v>
      </c>
      <c r="C31" s="121">
        <f>ROUND(+C21/C29,4)</f>
        <v>0.90939999999999999</v>
      </c>
      <c r="D31" s="119"/>
    </row>
    <row r="32" spans="1:4" ht="15.75" thickTop="1" x14ac:dyDescent="0.25">
      <c r="A32" s="34"/>
      <c r="B32" s="34"/>
      <c r="C32" s="119"/>
      <c r="D32" s="116"/>
    </row>
    <row r="33" spans="1:4" x14ac:dyDescent="0.25">
      <c r="A33" s="26"/>
      <c r="B33" s="26"/>
      <c r="C33" s="117"/>
      <c r="D33" s="116"/>
    </row>
    <row r="34" spans="1:4" x14ac:dyDescent="0.25">
      <c r="A34" s="42" t="s">
        <v>91</v>
      </c>
      <c r="B34" s="42"/>
      <c r="C34" s="112">
        <f>D34</f>
        <v>0</v>
      </c>
      <c r="D34" s="112">
        <v>0</v>
      </c>
    </row>
    <row r="35" spans="1:4" x14ac:dyDescent="0.25">
      <c r="A35" s="42" t="s">
        <v>92</v>
      </c>
      <c r="B35" s="42"/>
      <c r="C35" s="112"/>
      <c r="D35" s="112">
        <v>0</v>
      </c>
    </row>
    <row r="36" spans="1:4" x14ac:dyDescent="0.25">
      <c r="A36" s="42" t="s">
        <v>93</v>
      </c>
      <c r="B36" s="42"/>
      <c r="C36" s="112"/>
      <c r="D36" s="112">
        <v>7404495.2199999997</v>
      </c>
    </row>
    <row r="37" spans="1:4" x14ac:dyDescent="0.25">
      <c r="A37" s="42" t="s">
        <v>94</v>
      </c>
      <c r="B37" s="42"/>
      <c r="C37" s="112"/>
      <c r="D37" s="112">
        <v>0</v>
      </c>
    </row>
    <row r="38" spans="1:4" x14ac:dyDescent="0.25">
      <c r="A38" s="42" t="s">
        <v>95</v>
      </c>
      <c r="B38" s="42"/>
      <c r="C38" s="112"/>
      <c r="D38" s="112">
        <v>6622455.9699999997</v>
      </c>
    </row>
    <row r="39" spans="1:4" ht="15.75" thickBot="1" x14ac:dyDescent="0.3">
      <c r="A39" s="122" t="s">
        <v>96</v>
      </c>
      <c r="B39" s="122"/>
      <c r="C39" s="123"/>
      <c r="D39" s="123">
        <f>SUM(D14:D38)</f>
        <v>200427223.92999998</v>
      </c>
    </row>
    <row r="40" spans="1:4" ht="15.75" thickTop="1" x14ac:dyDescent="0.25"/>
    <row r="42" spans="1:4" x14ac:dyDescent="0.25">
      <c r="D42" s="126"/>
    </row>
    <row r="43" spans="1:4" x14ac:dyDescent="0.25">
      <c r="A43" s="10"/>
      <c r="B43" s="10"/>
      <c r="D43" s="126"/>
    </row>
    <row r="45" spans="1:4" x14ac:dyDescent="0.25">
      <c r="D45" s="126"/>
    </row>
  </sheetData>
  <protectedRanges>
    <protectedRange sqref="D15:D17 D24:D26 D34:D38" name="Range1"/>
  </protectedRanges>
  <mergeCells count="1">
    <mergeCell ref="A9:E9"/>
  </mergeCells>
  <pageMargins left="0.7" right="0.7" top="0.75" bottom="0.75" header="0.3" footer="0.3"/>
  <headerFooter>
    <oddFooter>&amp;L_x000D_&amp;1#&amp;"Aptos"&amp;14&amp;K000000 Business Use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672A-6D41-4B3C-AEA8-4C9DB9BDF819}">
  <sheetPr>
    <tabColor rgb="FFFCD0D0"/>
  </sheetPr>
  <dimension ref="A3:X74"/>
  <sheetViews>
    <sheetView workbookViewId="0"/>
  </sheetViews>
  <sheetFormatPr defaultColWidth="9.140625" defaultRowHeight="15" x14ac:dyDescent="0.25"/>
  <cols>
    <col min="1" max="1" width="6.140625" style="1" customWidth="1"/>
    <col min="2" max="2" width="4.85546875" style="1" customWidth="1"/>
    <col min="3" max="3" width="5.140625" style="1" customWidth="1"/>
    <col min="4" max="4" width="12.7109375" style="1" customWidth="1"/>
    <col min="5" max="5" width="3.7109375" style="1" customWidth="1"/>
    <col min="6" max="6" width="44.5703125" style="1" customWidth="1"/>
    <col min="7" max="7" width="3.42578125" style="1" customWidth="1"/>
    <col min="8" max="8" width="22.85546875" style="1" customWidth="1"/>
    <col min="9" max="9" width="2.7109375" style="1" customWidth="1"/>
    <col min="10" max="10" width="22.85546875" style="1" customWidth="1"/>
    <col min="11" max="11" width="2.7109375" style="1" customWidth="1"/>
    <col min="12" max="12" width="8.5703125" customWidth="1"/>
    <col min="13" max="13" width="9.5703125" bestFit="1" customWidth="1"/>
    <col min="14" max="14" width="14.5703125" bestFit="1" customWidth="1"/>
    <col min="15" max="16" width="4.140625" customWidth="1"/>
    <col min="19" max="19" width="16.42578125" customWidth="1"/>
    <col min="20" max="20" width="11.7109375" customWidth="1"/>
    <col min="24" max="16384" width="9.140625" style="1"/>
  </cols>
  <sheetData>
    <row r="3" spans="1:11" x14ac:dyDescent="0.25">
      <c r="J3" s="2" t="s">
        <v>0</v>
      </c>
    </row>
    <row r="4" spans="1:11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.75" x14ac:dyDescent="0.3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18.75" x14ac:dyDescent="0.3">
      <c r="A6" s="131" t="s">
        <v>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x14ac:dyDescent="0.25">
      <c r="A7" s="132" t="s">
        <v>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1" x14ac:dyDescent="0.25">
      <c r="A8" s="132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132" t="s">
        <v>72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2" spans="1:11" x14ac:dyDescent="0.25">
      <c r="A12" s="6" t="s">
        <v>6</v>
      </c>
      <c r="B12" s="7"/>
    </row>
    <row r="13" spans="1:11" x14ac:dyDescent="0.25">
      <c r="A13" s="7"/>
      <c r="B13" s="7"/>
    </row>
    <row r="14" spans="1:11" x14ac:dyDescent="0.25">
      <c r="C14" s="8" t="s">
        <v>7</v>
      </c>
      <c r="D14" s="9"/>
      <c r="E14" s="10"/>
    </row>
    <row r="15" spans="1:11" x14ac:dyDescent="0.25">
      <c r="D15" s="7" t="s">
        <v>8</v>
      </c>
      <c r="E15" s="10" t="s">
        <v>9</v>
      </c>
      <c r="F15" s="1" t="s">
        <v>10</v>
      </c>
    </row>
    <row r="16" spans="1:11" x14ac:dyDescent="0.25">
      <c r="D16" s="7" t="s">
        <v>11</v>
      </c>
      <c r="E16" s="10" t="s">
        <v>9</v>
      </c>
      <c r="F16" s="1" t="s">
        <v>12</v>
      </c>
    </row>
    <row r="17" spans="2:24" x14ac:dyDescent="0.25">
      <c r="D17" s="7" t="s">
        <v>13</v>
      </c>
      <c r="E17" s="10" t="s">
        <v>9</v>
      </c>
      <c r="F17" s="1" t="s">
        <v>14</v>
      </c>
    </row>
    <row r="18" spans="2:24" x14ac:dyDescent="0.25">
      <c r="D18" s="7" t="s">
        <v>15</v>
      </c>
      <c r="E18" s="10" t="s">
        <v>9</v>
      </c>
      <c r="F18" s="1" t="s">
        <v>16</v>
      </c>
    </row>
    <row r="19" spans="2:24" x14ac:dyDescent="0.25">
      <c r="D19" s="7" t="s">
        <v>17</v>
      </c>
      <c r="E19" s="10" t="s">
        <v>9</v>
      </c>
      <c r="F19" s="1" t="s">
        <v>18</v>
      </c>
    </row>
    <row r="20" spans="2:24" x14ac:dyDescent="0.25">
      <c r="D20" s="7" t="s">
        <v>19</v>
      </c>
      <c r="E20" s="9" t="s">
        <v>9</v>
      </c>
      <c r="F20" s="11" t="s">
        <v>20</v>
      </c>
      <c r="J20"/>
      <c r="K20"/>
    </row>
    <row r="21" spans="2:24" x14ac:dyDescent="0.25">
      <c r="D21" s="7" t="s">
        <v>21</v>
      </c>
      <c r="E21" s="9" t="s">
        <v>9</v>
      </c>
      <c r="F21" s="1" t="s">
        <v>22</v>
      </c>
      <c r="J21"/>
      <c r="K21"/>
    </row>
    <row r="22" spans="2:24" x14ac:dyDescent="0.25">
      <c r="D22" s="7"/>
      <c r="E22" s="10"/>
      <c r="I22"/>
      <c r="J22"/>
      <c r="K22"/>
    </row>
    <row r="23" spans="2:24" x14ac:dyDescent="0.25">
      <c r="B23" s="12"/>
      <c r="C23" s="13"/>
      <c r="D23" s="14"/>
      <c r="E23" s="15"/>
      <c r="F23" s="13"/>
      <c r="G23" s="16"/>
      <c r="H23" s="16" t="s">
        <v>23</v>
      </c>
      <c r="I23" s="17"/>
      <c r="J23" s="9"/>
      <c r="K23"/>
    </row>
    <row r="24" spans="2:24" x14ac:dyDescent="0.25">
      <c r="B24" s="19"/>
      <c r="D24" s="7"/>
      <c r="E24" s="10"/>
      <c r="H24" s="9" t="s">
        <v>24</v>
      </c>
      <c r="I24" s="17"/>
      <c r="J24" s="9"/>
      <c r="K24"/>
    </row>
    <row r="25" spans="2:24" x14ac:dyDescent="0.25">
      <c r="B25" s="19"/>
      <c r="D25" s="7"/>
      <c r="E25" s="10"/>
      <c r="I25" s="17"/>
      <c r="K25"/>
    </row>
    <row r="26" spans="2:24" x14ac:dyDescent="0.25">
      <c r="B26" s="20">
        <v>-1</v>
      </c>
      <c r="C26" s="1" t="s">
        <v>8</v>
      </c>
      <c r="G26" s="10" t="s">
        <v>9</v>
      </c>
      <c r="H26" s="21">
        <v>652768949</v>
      </c>
      <c r="I26" s="17"/>
      <c r="J26" s="21"/>
      <c r="K26"/>
    </row>
    <row r="27" spans="2:24" x14ac:dyDescent="0.25">
      <c r="B27" s="20">
        <f>B26-1</f>
        <v>-2</v>
      </c>
      <c r="C27" s="1" t="s">
        <v>25</v>
      </c>
      <c r="G27" s="10" t="s">
        <v>9</v>
      </c>
      <c r="H27" s="22">
        <f>ROUND(H26/12,0)</f>
        <v>54397412</v>
      </c>
      <c r="I27" s="17"/>
      <c r="J27" s="22"/>
      <c r="K27"/>
    </row>
    <row r="28" spans="2:24" x14ac:dyDescent="0.25">
      <c r="B28" s="20">
        <f>B27-1</f>
        <v>-3</v>
      </c>
      <c r="C28" s="1" t="s">
        <v>26</v>
      </c>
      <c r="G28" s="10" t="s">
        <v>9</v>
      </c>
      <c r="H28" s="49">
        <v>8.7300000000000003E-2</v>
      </c>
      <c r="I28" s="17"/>
      <c r="J28" s="23"/>
      <c r="K28"/>
      <c r="X28"/>
    </row>
    <row r="29" spans="2:24" x14ac:dyDescent="0.25">
      <c r="B29" s="20">
        <f>B28-1</f>
        <v>-4</v>
      </c>
      <c r="C29" s="1" t="s">
        <v>17</v>
      </c>
      <c r="G29" s="10" t="s">
        <v>9</v>
      </c>
      <c r="H29" s="22">
        <v>3762318.7103133686</v>
      </c>
      <c r="I29" s="17"/>
      <c r="J29" s="22"/>
      <c r="K29"/>
      <c r="X29"/>
    </row>
    <row r="30" spans="2:24" x14ac:dyDescent="0.25">
      <c r="B30" s="20">
        <f>B29-1</f>
        <v>-5</v>
      </c>
      <c r="C30" s="1" t="s">
        <v>19</v>
      </c>
      <c r="G30" s="10" t="s">
        <v>9</v>
      </c>
      <c r="H30" s="22">
        <v>0</v>
      </c>
      <c r="I30" s="17"/>
      <c r="J30" s="22"/>
      <c r="K30"/>
      <c r="X30"/>
    </row>
    <row r="31" spans="2:24" x14ac:dyDescent="0.25">
      <c r="B31" s="20">
        <f>B30-1</f>
        <v>-6</v>
      </c>
      <c r="C31" s="1" t="s">
        <v>21</v>
      </c>
      <c r="G31" s="10" t="s">
        <v>9</v>
      </c>
      <c r="H31" s="22">
        <v>-2298012.06</v>
      </c>
      <c r="I31" s="17"/>
      <c r="J31" s="22"/>
      <c r="K31"/>
      <c r="X31"/>
    </row>
    <row r="32" spans="2:24" x14ac:dyDescent="0.25">
      <c r="B32" s="20"/>
      <c r="H32" s="24"/>
      <c r="I32" s="17"/>
      <c r="J32" s="24"/>
      <c r="K32"/>
      <c r="X32"/>
    </row>
    <row r="33" spans="1:24" x14ac:dyDescent="0.25">
      <c r="B33" s="25">
        <f>B31-1</f>
        <v>-7</v>
      </c>
      <c r="C33" s="26" t="s">
        <v>27</v>
      </c>
      <c r="D33" s="26"/>
      <c r="E33" s="26"/>
      <c r="F33" s="27" t="str">
        <f>TEXT(B27*-1,"(0)")&amp;" x "&amp;TEXT(B28*-1,"(0)")&amp;" + "&amp;TEXT(B29*-1,"(0)")&amp;" - "&amp;TEXT(B30*-1,"(0)")&amp;" + "&amp;TEXT(B31*-1,"(0)")</f>
        <v>(2) x (3) + (4) - (5) + (6)</v>
      </c>
      <c r="G33" s="28" t="s">
        <v>9</v>
      </c>
      <c r="H33" s="29">
        <f>ROUND((H27*H28)+H29-H30+H31,0)</f>
        <v>6213201</v>
      </c>
      <c r="I33" s="17"/>
      <c r="J33" s="21"/>
      <c r="K33"/>
      <c r="X33"/>
    </row>
    <row r="34" spans="1:24" x14ac:dyDescent="0.25">
      <c r="B34" s="30"/>
      <c r="I34"/>
      <c r="J34"/>
      <c r="K34"/>
      <c r="X34"/>
    </row>
    <row r="35" spans="1:24" x14ac:dyDescent="0.25">
      <c r="A35" s="6" t="s">
        <v>28</v>
      </c>
      <c r="B35" s="30"/>
      <c r="I35"/>
      <c r="J35"/>
      <c r="K35"/>
      <c r="X35"/>
    </row>
    <row r="36" spans="1:24" ht="12.75" customHeight="1" x14ac:dyDescent="0.25">
      <c r="A36" s="6"/>
      <c r="B36" s="31"/>
      <c r="C36" s="13"/>
      <c r="D36" s="13"/>
      <c r="E36" s="13"/>
      <c r="F36" s="13"/>
      <c r="G36" s="13"/>
      <c r="H36" s="54"/>
      <c r="X36"/>
    </row>
    <row r="37" spans="1:24" ht="12.75" customHeight="1" x14ac:dyDescent="0.25">
      <c r="B37" s="20">
        <f>B33-1</f>
        <v>-8</v>
      </c>
      <c r="C37" s="32" t="s">
        <v>29</v>
      </c>
      <c r="G37" s="10" t="s">
        <v>9</v>
      </c>
      <c r="H37" s="55">
        <v>0.90939999999999999</v>
      </c>
      <c r="J37" s="33"/>
      <c r="K37" s="34"/>
      <c r="X37"/>
    </row>
    <row r="38" spans="1:24" ht="12.75" customHeight="1" x14ac:dyDescent="0.25">
      <c r="B38" s="20"/>
      <c r="C38" s="35"/>
      <c r="G38" s="10"/>
      <c r="H38" s="36"/>
      <c r="J38" s="21"/>
      <c r="X38"/>
    </row>
    <row r="39" spans="1:24" ht="12.75" customHeight="1" x14ac:dyDescent="0.25">
      <c r="B39" s="20">
        <f>B37-1</f>
        <v>-9</v>
      </c>
      <c r="C39" s="35" t="str">
        <f>"Jurisdictional E(m) = Total E(m) x Jurisdictional Allocation Ratio   ["&amp;TEXT(B33*-1,"(0)")&amp;" x "&amp;TEXT(B37*-1,"(0)")&amp;"]"</f>
        <v>Jurisdictional E(m) = Total E(m) x Jurisdictional Allocation Ratio   [(7) x (8)]</v>
      </c>
      <c r="G39" s="10" t="s">
        <v>9</v>
      </c>
      <c r="H39" s="36">
        <f>ROUND(+H33*H37,0)</f>
        <v>5650285</v>
      </c>
      <c r="J39" s="21"/>
      <c r="K39" s="34"/>
      <c r="X39"/>
    </row>
    <row r="40" spans="1:24" ht="12.75" customHeight="1" x14ac:dyDescent="0.25">
      <c r="B40" s="20"/>
      <c r="C40" s="35"/>
      <c r="G40" s="10"/>
      <c r="H40" s="36"/>
      <c r="J40" s="21"/>
      <c r="X40"/>
    </row>
    <row r="41" spans="1:24" ht="12.75" customHeight="1" x14ac:dyDescent="0.25">
      <c r="B41" s="20">
        <f>B39-1</f>
        <v>-10</v>
      </c>
      <c r="C41" s="32" t="s">
        <v>30</v>
      </c>
      <c r="G41" s="10" t="s">
        <v>9</v>
      </c>
      <c r="H41" s="36">
        <v>0</v>
      </c>
      <c r="J41" s="21"/>
      <c r="K41" s="37"/>
      <c r="X41"/>
    </row>
    <row r="42" spans="1:24" ht="12.75" customHeight="1" x14ac:dyDescent="0.25">
      <c r="B42" s="20"/>
      <c r="C42" s="35"/>
      <c r="G42" s="10"/>
      <c r="H42" s="36"/>
      <c r="J42" s="21"/>
      <c r="X42"/>
    </row>
    <row r="43" spans="1:24" ht="12.75" customHeight="1" x14ac:dyDescent="0.25">
      <c r="B43" s="20">
        <f>B41-1</f>
        <v>-11</v>
      </c>
      <c r="C43" s="32" t="s">
        <v>31</v>
      </c>
      <c r="G43" s="10" t="s">
        <v>9</v>
      </c>
      <c r="H43" s="36">
        <v>0</v>
      </c>
      <c r="J43"/>
      <c r="X43"/>
    </row>
    <row r="44" spans="1:24" ht="12.75" customHeight="1" x14ac:dyDescent="0.25">
      <c r="B44" s="20"/>
      <c r="C44" s="35"/>
      <c r="G44" s="10"/>
      <c r="H44" s="36"/>
      <c r="J44" s="21"/>
      <c r="X44"/>
    </row>
    <row r="45" spans="1:24" ht="12.75" customHeight="1" x14ac:dyDescent="0.25">
      <c r="B45" s="20">
        <f>B43-1</f>
        <v>-12</v>
      </c>
      <c r="C45" s="35" t="s">
        <v>32</v>
      </c>
      <c r="G45" s="10" t="s">
        <v>9</v>
      </c>
      <c r="H45" s="36">
        <v>7248582</v>
      </c>
      <c r="J45" s="21"/>
      <c r="X45"/>
    </row>
    <row r="46" spans="1:24" ht="12.75" customHeight="1" x14ac:dyDescent="0.25">
      <c r="B46" s="20"/>
      <c r="C46" s="35"/>
      <c r="G46" s="10"/>
      <c r="H46" s="36"/>
      <c r="J46" s="21"/>
      <c r="X46"/>
    </row>
    <row r="47" spans="1:24" ht="12.75" customHeight="1" x14ac:dyDescent="0.25">
      <c r="B47" s="20">
        <f>+B45-1</f>
        <v>-13</v>
      </c>
      <c r="C47" s="32" t="s">
        <v>33</v>
      </c>
      <c r="D47" s="32"/>
      <c r="E47" s="32"/>
      <c r="F47" s="32"/>
      <c r="G47" s="10" t="s">
        <v>9</v>
      </c>
      <c r="H47" s="36">
        <f>+H39+H41+H43-H45</f>
        <v>-1598297</v>
      </c>
      <c r="J47" s="38"/>
      <c r="K47" s="37"/>
      <c r="X47"/>
    </row>
    <row r="48" spans="1:24" ht="12.75" customHeight="1" x14ac:dyDescent="0.25">
      <c r="B48" s="25"/>
      <c r="C48" s="40"/>
      <c r="D48" s="27"/>
      <c r="E48" s="27"/>
      <c r="F48" s="27"/>
      <c r="G48" s="28"/>
      <c r="H48" s="41"/>
      <c r="J48" s="38"/>
      <c r="K48" s="37"/>
      <c r="X48"/>
    </row>
    <row r="49" spans="1:24" x14ac:dyDescent="0.25">
      <c r="B49" s="30"/>
      <c r="C49" s="8"/>
      <c r="D49" s="7"/>
      <c r="E49" s="7"/>
      <c r="F49" s="7"/>
      <c r="G49" s="10"/>
      <c r="H49" s="38"/>
      <c r="J49" s="38"/>
      <c r="K49" s="37"/>
      <c r="X49"/>
    </row>
    <row r="50" spans="1:24" x14ac:dyDescent="0.25">
      <c r="A50" s="6" t="s">
        <v>34</v>
      </c>
      <c r="B50" s="30"/>
      <c r="C50" s="35"/>
      <c r="G50" s="10"/>
      <c r="H50" s="38"/>
      <c r="J50" s="38"/>
      <c r="K50" s="37"/>
    </row>
    <row r="51" spans="1:24" ht="34.5" customHeight="1" x14ac:dyDescent="0.35">
      <c r="A51" s="6"/>
      <c r="B51" s="31"/>
      <c r="C51" s="43"/>
      <c r="D51" s="13"/>
      <c r="E51" s="13"/>
      <c r="F51" s="13"/>
      <c r="G51" s="15"/>
      <c r="H51" s="44" t="s">
        <v>35</v>
      </c>
      <c r="I51" s="13"/>
      <c r="J51" s="45" t="s">
        <v>36</v>
      </c>
      <c r="K51" s="46"/>
    </row>
    <row r="52" spans="1:24" x14ac:dyDescent="0.25">
      <c r="B52" s="20"/>
      <c r="C52" s="35"/>
      <c r="G52" s="10"/>
      <c r="H52" s="38"/>
      <c r="J52" s="38"/>
      <c r="K52" s="47"/>
    </row>
    <row r="53" spans="1:24" x14ac:dyDescent="0.25">
      <c r="B53" s="20">
        <f>B47-1</f>
        <v>-14</v>
      </c>
      <c r="C53" s="32" t="s">
        <v>37</v>
      </c>
      <c r="K53" s="47"/>
    </row>
    <row r="54" spans="1:24" x14ac:dyDescent="0.25">
      <c r="B54" s="20"/>
      <c r="C54" s="32" t="s">
        <v>38</v>
      </c>
      <c r="G54" s="10" t="s">
        <v>9</v>
      </c>
      <c r="H54" s="103">
        <f>'Form 3.00 - Revised (July)'!H34</f>
        <v>0.42130000000000001</v>
      </c>
      <c r="I54" s="33"/>
      <c r="J54" s="49">
        <v>0.57869999999999999</v>
      </c>
      <c r="K54" s="47"/>
    </row>
    <row r="55" spans="1:24" x14ac:dyDescent="0.25">
      <c r="B55" s="20"/>
      <c r="C55" s="32"/>
      <c r="G55" s="10"/>
      <c r="H55" s="38"/>
      <c r="J55" s="38"/>
      <c r="K55" s="47"/>
    </row>
    <row r="56" spans="1:24" x14ac:dyDescent="0.25">
      <c r="B56" s="20">
        <f>B53-1</f>
        <v>-15</v>
      </c>
      <c r="C56" s="35" t="str">
        <f>"Group E(m)     ["&amp;TEXT(B47*-1,"(0)")&amp;" x "&amp;TEXT(B53*-1,"(0)")&amp;"]"</f>
        <v>Group E(m)     [(13) x (14)]</v>
      </c>
      <c r="G56" s="10" t="s">
        <v>9</v>
      </c>
      <c r="H56" s="21">
        <f>ROUND(+$H$47*H54,0)</f>
        <v>-673363</v>
      </c>
      <c r="J56" s="21">
        <f>ROUND(+$H$47*J54,0)</f>
        <v>-924934</v>
      </c>
      <c r="K56" s="47"/>
    </row>
    <row r="57" spans="1:24" x14ac:dyDescent="0.25">
      <c r="B57" s="20"/>
      <c r="C57" s="35"/>
      <c r="G57" s="10"/>
      <c r="H57" s="38"/>
      <c r="J57" s="38"/>
      <c r="K57" s="47"/>
    </row>
    <row r="58" spans="1:24" x14ac:dyDescent="0.25">
      <c r="B58" s="20">
        <f>+B56-1</f>
        <v>-16</v>
      </c>
      <c r="C58" s="32" t="s">
        <v>39</v>
      </c>
      <c r="K58" s="48"/>
    </row>
    <row r="59" spans="1:24" x14ac:dyDescent="0.25">
      <c r="B59" s="20"/>
      <c r="D59" s="32" t="s">
        <v>40</v>
      </c>
      <c r="G59" s="10" t="s">
        <v>9</v>
      </c>
      <c r="H59" s="102">
        <f>'Form 3.00 - Revised (July)'!H32</f>
        <v>64159782</v>
      </c>
      <c r="J59" s="21">
        <v>63086672</v>
      </c>
      <c r="K59" s="48"/>
    </row>
    <row r="60" spans="1:24" x14ac:dyDescent="0.25">
      <c r="B60" s="20"/>
      <c r="C60" s="35"/>
      <c r="G60" s="10"/>
      <c r="H60" s="50"/>
      <c r="J60" s="50"/>
      <c r="K60" s="48"/>
    </row>
    <row r="61" spans="1:24" x14ac:dyDescent="0.25">
      <c r="B61" s="20">
        <f>B58-1</f>
        <v>-17</v>
      </c>
      <c r="C61" s="35" t="str">
        <f>"Group Environmental Surcharge Billing Factors     ["&amp;TEXT(B56*-1,"(0)")&amp;" ÷ "&amp;TEXT(B58*-1,"(0)")&amp;"]"</f>
        <v>Group Environmental Surcharge Billing Factors     [(15) ÷ (16)]</v>
      </c>
      <c r="G61" s="10" t="s">
        <v>9</v>
      </c>
      <c r="H61" s="51">
        <f>ROUND(+H56/H59,4)</f>
        <v>-1.0500000000000001E-2</v>
      </c>
      <c r="J61" s="51">
        <f>ROUND(+J56/J59,4)</f>
        <v>-1.47E-2</v>
      </c>
      <c r="K61" s="48"/>
    </row>
    <row r="62" spans="1:24" x14ac:dyDescent="0.25">
      <c r="B62" s="52"/>
      <c r="C62" s="26"/>
      <c r="D62" s="26"/>
      <c r="E62" s="26"/>
      <c r="F62" s="26"/>
      <c r="G62" s="26"/>
      <c r="H62" s="26"/>
      <c r="I62" s="26"/>
      <c r="J62" s="26"/>
      <c r="K62" s="53"/>
    </row>
    <row r="64" spans="1:24" x14ac:dyDescent="0.25">
      <c r="B64" s="30"/>
      <c r="H64" s="100"/>
      <c r="I64"/>
      <c r="J64"/>
    </row>
    <row r="65" spans="2:10" x14ac:dyDescent="0.25">
      <c r="B65" s="30"/>
      <c r="H65" s="100"/>
      <c r="I65"/>
      <c r="J65"/>
    </row>
    <row r="66" spans="2:10" x14ac:dyDescent="0.25">
      <c r="H66" s="100"/>
      <c r="I66"/>
      <c r="J66"/>
    </row>
    <row r="67" spans="2:10" x14ac:dyDescent="0.25">
      <c r="H67" s="100"/>
      <c r="I67"/>
      <c r="J67"/>
    </row>
    <row r="68" spans="2:10" x14ac:dyDescent="0.25">
      <c r="H68" s="100"/>
      <c r="I68"/>
      <c r="J68"/>
    </row>
    <row r="69" spans="2:10" x14ac:dyDescent="0.25">
      <c r="H69" s="100"/>
      <c r="I69"/>
      <c r="J69"/>
    </row>
    <row r="70" spans="2:10" x14ac:dyDescent="0.25">
      <c r="H70" s="39"/>
      <c r="J70" s="39"/>
    </row>
    <row r="72" spans="2:10" x14ac:dyDescent="0.25">
      <c r="H72" s="24"/>
      <c r="J72" s="24"/>
    </row>
    <row r="73" spans="2:10" x14ac:dyDescent="0.25">
      <c r="H73" s="50"/>
      <c r="J73" s="50"/>
    </row>
    <row r="74" spans="2:10" x14ac:dyDescent="0.25">
      <c r="H74" s="33"/>
      <c r="J74" s="33"/>
    </row>
  </sheetData>
  <protectedRanges>
    <protectedRange sqref="H28 J28 H41 H43" name="Range1"/>
  </protectedRanges>
  <mergeCells count="5">
    <mergeCell ref="A5:K5"/>
    <mergeCell ref="A6:K6"/>
    <mergeCell ref="A7:K7"/>
    <mergeCell ref="A8:K8"/>
    <mergeCell ref="A10:K10"/>
  </mergeCells>
  <pageMargins left="0.7" right="0.7" top="0.75" bottom="0.75" header="0.3" footer="0.3"/>
  <headerFooter>
    <oddFooter>&amp;L_x000D_&amp;1#&amp;"Aptos"&amp;14&amp;K000000 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_x0020_Testimony xmlns="65bfb563-8fe2-4d34-a09f-38a217d8feea" xsi:nil="true"/>
    <Year xmlns="65bfb563-8fe2-4d34-a09f-38a217d8feea">2026</Year>
    <Filing_x0020_Case_x0020__x0023_ xmlns="65bfb563-8fe2-4d34-a09f-38a217d8feea" xsi:nil="true"/>
    <Construction_x0020_Monitoring_x0020_Description xmlns="65bfb563-8fe2-4d34-a09f-38a217d8feea" xsi:nil="true"/>
    <Review_x0020_Case_x0020_Doc_x0020_Types xmlns="65bfb563-8fe2-4d34-a09f-38a217d8feea">02.2 – 2nd Data Request Attachments</Review_x0020_Case_x0020_Doc_x0020_Types>
    <Status xmlns="65bfb563-8fe2-4d34-a09f-38a217d8feea"/>
    <Filing_x0020_Witness xmlns="65bfb563-8fe2-4d34-a09f-38a217d8feea" xsi:nil="true"/>
    <Filings xmlns="65bfb563-8fe2-4d34-a09f-38a217d8feea" xsi:nil="true"/>
    <IconOverlay xmlns="http://schemas.microsoft.com/sharepoint/v4" xsi:nil="true"/>
    <Document_x0020_Type xmlns="65bfb563-8fe2-4d34-a09f-38a217d8feea">
      <Value>ECR</Value>
    </Document_x0020_Type>
    <Filing_x0020_Type xmlns="65bfb563-8fe2-4d34-a09f-38a217d8feea">
      <Value>Review Cases (ECR/FAC/OST)</Value>
    </Filing_x0020_Type>
    <Construction_x0020_Monitoring xmlns="65bfb563-8fe2-4d34-a09f-38a217d8feea" xsi:nil="true"/>
    <Case_x0020__x0023_ xmlns="65bfb563-8fe2-4d34-a09f-38a217d8feea" xsi:nil="true"/>
    <Review_x0020_Case_x0020_Expense_x0020_Period xmlns="65bfb563-8fe2-4d34-a09f-38a217d8feea">May-Oct (ECR)</Review_x0020_Case_x0020_Expense_x0020_Period>
    <Filing_x0020_Doc_x0020_Types xmlns="65bfb563-8fe2-4d34-a09f-38a217d8feea" xsi:nil="true"/>
    <Company xmlns="65bfb563-8fe2-4d34-a09f-38a217d8feea">
      <Value>KU</Value>
    </Compan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10F20E04BCF41BE361D2F61EE6FFA" ma:contentTypeVersion="32" ma:contentTypeDescription="Create a new document." ma:contentTypeScope="" ma:versionID="dd2ef17682f908c14b2377d2a7da4924">
  <xsd:schema xmlns:xsd="http://www.w3.org/2001/XMLSchema" xmlns:xs="http://www.w3.org/2001/XMLSchema" xmlns:p="http://schemas.microsoft.com/office/2006/metadata/properties" xmlns:ns1="http://schemas.microsoft.com/sharepoint/v3" xmlns:ns2="65bfb563-8fe2-4d34-a09f-38a217d8feea" xmlns:ns3="http://schemas.microsoft.com/sharepoint/v4" targetNamespace="http://schemas.microsoft.com/office/2006/metadata/properties" ma:root="true" ma:fieldsID="ab34520e7a024e187225ee44c787475a" ns1:_="" ns2:_="" ns3:_="">
    <xsd:import namespace="http://schemas.microsoft.com/sharepoint/v3"/>
    <xsd:import namespace="65bfb563-8fe2-4d34-a09f-38a217d8fee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 minOccurs="0"/>
                <xsd:element ref="ns2:Filing_x0020_Type" minOccurs="0"/>
                <xsd:element ref="ns2:Filings" minOccurs="0"/>
                <xsd:element ref="ns2:Filing_x0020_Doc_x0020_Types" minOccurs="0"/>
                <xsd:element ref="ns2:Filing_x0020_Case_x0020__x0023_" minOccurs="0"/>
                <xsd:element ref="ns2:Filing_x0020_Witness" minOccurs="0"/>
                <xsd:element ref="ns2:Review_x0020_Case_x0020_Expense_x0020_Period" minOccurs="0"/>
                <xsd:element ref="ns2:Review_x0020_Case_x0020_Doc_x0020_Types" minOccurs="0"/>
                <xsd:element ref="ns2:Case_x0020__x0023_" minOccurs="0"/>
                <xsd:element ref="ns2:Witness_x0020_Testimony" minOccurs="0"/>
                <xsd:element ref="ns2:Construction_x0020_Monitoring_x0020_Description" minOccurs="0"/>
                <xsd:element ref="ns2:Construction_x0020_Monitoring" minOccurs="0"/>
                <xsd:element ref="ns2:Status" minOccurs="0"/>
                <xsd:element ref="ns3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2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fb563-8fe2-4d34-a09f-38a217d8fee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format="Dropdown" ma:internalName="Year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</xsd:restriction>
      </xsd:simpleType>
    </xsd:element>
    <xsd:element name="Document_x0020_Type" ma:index="4" nillable="true" ma:displayName="Document Type" ma:internalName="Document_x0020_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SM"/>
                    <xsd:enumeration value="ECR"/>
                    <xsd:enumeration value="FAC / OST"/>
                    <xsd:enumeration value="GLT"/>
                    <xsd:enumeration value="GSC"/>
                    <xsd:enumeration value="LFF"/>
                    <xsd:enumeration value="PGR"/>
                    <xsd:enumeration value="RAR"/>
                  </xsd:restriction>
                </xsd:simpleType>
              </xsd:element>
            </xsd:sequence>
          </xsd:extension>
        </xsd:complexContent>
      </xsd:complexType>
    </xsd:element>
    <xsd:element name="Filing_x0020_Type" ma:index="5" nillable="true" ma:displayName="Filing Type" ma:internalName="Filing_x0020_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onthly Filings (ECR/LFF)"/>
                    <xsd:enumeration value="Form A Filings (FAC/OST)"/>
                    <xsd:enumeration value="Form B Filings (FAC/OST)"/>
                    <xsd:enumeration value="Fixed NAS FAC/OSS Factor (NFOF)"/>
                    <xsd:enumeration value="Fuel Supply Contracts (FAC)"/>
                    <xsd:enumeration value="Avoided Energy Cost (LQF)"/>
                    <xsd:enumeration value="Municipal WPS Reports (FAC)"/>
                    <xsd:enumeration value="Quarterly Filings (GSC)"/>
                    <xsd:enumeration value="Annual Filing (DSM)"/>
                    <xsd:enumeration value="Annual Filing (GLT/LFF/WNA)"/>
                    <xsd:enumeration value="Forecasted Annual Filing (GLT)"/>
                    <xsd:enumeration value="True-up Annual Filing (GLT)"/>
                    <xsd:enumeration value="Review Cases (ECR/FAC/OST)"/>
                    <xsd:enumeration value="Construction Monitoring (ECR)"/>
                    <xsd:enumeration value="Approved Project Detail (ECR/GLT)"/>
                  </xsd:restriction>
                </xsd:simpleType>
              </xsd:element>
            </xsd:sequence>
          </xsd:extension>
        </xsd:complexContent>
      </xsd:complexType>
    </xsd:element>
    <xsd:element name="Filings" ma:index="6" nillable="true" ma:displayName="Filing Expense Period" ma:format="Dropdown" ma:internalName="Filings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  <xsd:enumeration value="Nov-Jan (GSC)"/>
          <xsd:enumeration value="Feb-Apr (GSC)"/>
          <xsd:enumeration value="May-Jul (GSC)"/>
          <xsd:enumeration value="Aug-Oct (GSC)"/>
          <xsd:enumeration value="Apr-May (LFF)"/>
          <xsd:enumeration value="Jan-Dec (GLT/WNA)"/>
          <xsd:enumeration value="N/A"/>
        </xsd:restriction>
      </xsd:simpleType>
    </xsd:element>
    <xsd:element name="Filing_x0020_Doc_x0020_Types" ma:index="7" nillable="true" ma:displayName="Filing Doc Types" ma:format="Dropdown" ma:internalName="Filing_x0020_Doc_x0020_Types">
      <xsd:simpleType>
        <xsd:restriction base="dms:Choice">
          <xsd:enumeration value="00 – Orders/Requests for Information"/>
          <xsd:enumeration value="01.1 – 1st Data Request Responses/Testimony"/>
          <xsd:enumeration value="01.2 – 1st Data Request Attachments"/>
          <xsd:enumeration value="01.3 – 1st Data Request Confidentiality Petition"/>
          <xsd:enumeration value="01.4 – 1st Data Request/Testimony - As Filed"/>
          <xsd:enumeration value="02.1 – 2nd Data Request Responses/Testimony"/>
          <xsd:enumeration value="02.2 – 2nd Data Request Attachments"/>
          <xsd:enumeration value="02.3 – 2nd Data Request Confidentiality Petition"/>
          <xsd:enumeration value="02.4 – 2nd Data Request/Testimony - As Filed"/>
          <xsd:enumeration value="03.1 – 3rd Data Request Responses/Testimony"/>
          <xsd:enumeration value="03.2 – 3rd Data Request Attachments"/>
          <xsd:enumeration value="03.3 – 3rd Data Request Confidentiality Petition"/>
          <xsd:enumeration value="03.4 – 3rd Data Request/Testimony - As Filed"/>
          <xsd:enumeration value="04.1 – Post Hearing Data Request Responses/Testimony"/>
          <xsd:enumeration value="04.2 – Post Hearing Data Request Attachments"/>
          <xsd:enumeration value="04.3 – Post Hearing Data Request Confidentiality Petition"/>
          <xsd:enumeration value="04.4 – Post Hearing Data Request/Testimony - As Filed"/>
          <xsd:enumeration value="05 – Technical Conference or Hearings"/>
          <xsd:enumeration value="06 – Briefs"/>
          <xsd:enumeration value="07 – Support"/>
          <xsd:enumeration value="08 – Tariffs"/>
          <xsd:enumeration value="09 – Proof of Publication/Certificate of Notice"/>
          <xsd:enumeration value="10 – eFiled/Filed Documents"/>
          <xsd:enumeration value="10.1 – Application"/>
          <xsd:enumeration value="10.2 – Application - As Filed"/>
          <xsd:enumeration value="11 – Talking Points (Internal Use Only)"/>
          <xsd:enumeration value="12 – Data Request Assignments"/>
          <xsd:enumeration value="13 – Review Checklists"/>
        </xsd:restriction>
      </xsd:simpleType>
    </xsd:element>
    <xsd:element name="Filing_x0020_Case_x0020__x0023_" ma:index="8" nillable="true" ma:displayName="Filing Case #" ma:internalName="Filing_x0020_Case_x0020__x0023_">
      <xsd:simpleType>
        <xsd:restriction base="dms:Text">
          <xsd:maxLength value="255"/>
        </xsd:restriction>
      </xsd:simpleType>
    </xsd:element>
    <xsd:element name="Filing_x0020_Witness" ma:index="9" nillable="true" ma:displayName="Filing Witness" ma:format="Dropdown" ma:internalName="Filing_x0020_Witness">
      <xsd:simpleType>
        <xsd:restriction base="dms:Choice">
          <xsd:enumeration value="Billiter, Delbert"/>
          <xsd:enumeration value="Drake, Michael"/>
          <xsd:enumeration value="Fackler, Andrea"/>
          <xsd:enumeration value="Garrett, Chris"/>
          <xsd:enumeration value="Rahn, Derek"/>
          <xsd:enumeration value="Rieth, Tom"/>
          <xsd:enumeration value="Schram, Chuck"/>
          <xsd:enumeration value="Sebourn, Michael"/>
          <xsd:enumeration value="Wilson, Stuart"/>
        </xsd:restriction>
      </xsd:simpleType>
    </xsd:element>
    <xsd:element name="Review_x0020_Case_x0020_Expense_x0020_Period" ma:index="10" nillable="true" ma:displayName="Review Case Expense Period" ma:format="Dropdown" ma:internalName="Review_x0020_Case_x0020_Expense_x0020_Period">
      <xsd:simpleType>
        <xsd:restriction base="dms:Choice">
          <xsd:enumeration value="Mar-Aug (ECR)"/>
          <xsd:enumeration value="Sep-Feb (ECR)"/>
          <xsd:enumeration value="Mar-Feb (ECR)"/>
          <xsd:enumeration value="May-Oct (ECR)"/>
          <xsd:enumeration value="May-Oct (FAC)"/>
          <xsd:enumeration value="Nov-Apr (FAC)"/>
          <xsd:enumeration value="Nov-Oct (FAC)"/>
        </xsd:restriction>
      </xsd:simpleType>
    </xsd:element>
    <xsd:element name="Review_x0020_Case_x0020_Doc_x0020_Types" ma:index="11" nillable="true" ma:displayName="Review Case Doc Types" ma:format="Dropdown" ma:internalName="Review_x0020_Case_x0020_Doc_x0020_Types">
      <xsd:simpleType>
        <xsd:restriction base="dms:Choice">
          <xsd:enumeration value="00.1 – Orders"/>
          <xsd:enumeration value="00.2 – Requests for Information"/>
          <xsd:enumeration value="00.4 – Other Communications/eFilings"/>
          <xsd:enumeration value="01.1 – 1st Data Request Responses/Testimony"/>
          <xsd:enumeration value="01.2 – 1st Data Request Attachments"/>
          <xsd:enumeration value="01.3 – 1st Data Request Confidentiality Petition"/>
          <xsd:enumeration value="01.4 – 1st Data Request/Testimony - As Filed"/>
          <xsd:enumeration value="01.5 – 1st Data Request/Testimony Support"/>
          <xsd:enumeration value="02.1 – 2nd Data Request Responses/Testimony"/>
          <xsd:enumeration value="02.2 – 2nd Data Request Attachments"/>
          <xsd:enumeration value="02.3 – 2nd Data Request Confidentiality Petition"/>
          <xsd:enumeration value="02.4 – 2nd Data Request/Testimony - As Filed"/>
          <xsd:enumeration value="03.1 – 3rd Data Request Responses/Testimony"/>
          <xsd:enumeration value="03.2 – 3rd Data Request Attachments"/>
          <xsd:enumeration value="03.3 – 3rd Data Request Confidentiality Petition"/>
          <xsd:enumeration value="03.4 – 3rd Data Request/Testimony - As Filed"/>
          <xsd:enumeration value="04.1 – Post Hearing Data Request Responses/Testimony/Briefs"/>
          <xsd:enumeration value="04.2 – Post Hearing Data Request Attachments"/>
          <xsd:enumeration value="04.3 – Post Hearing Data Request Confidentiality Petition"/>
          <xsd:enumeration value="04.4 – Post Hearing Data Request/Testimony - As Filed"/>
          <xsd:enumeration value="05 – Technical Conference or Hearings"/>
          <xsd:enumeration value="06 - Witness E-book"/>
          <xsd:enumeration value="10 – Application"/>
          <xsd:enumeration value="10.1 – Application - As Filed"/>
          <xsd:enumeration value="11 - Talking Points (Internal Use Only)"/>
        </xsd:restriction>
      </xsd:simpleType>
    </xsd:element>
    <xsd:element name="Case_x0020__x0023_" ma:index="12" nillable="true" ma:displayName="Review Case #" ma:internalName="Case_x0020__x0023_">
      <xsd:simpleType>
        <xsd:restriction base="dms:Text">
          <xsd:maxLength value="255"/>
        </xsd:restriction>
      </xsd:simpleType>
    </xsd:element>
    <xsd:element name="Witness_x0020_Testimony" ma:index="13" nillable="true" ma:displayName="Review Case Witness" ma:format="Dropdown" ma:internalName="Witness_x0020_Testimony">
      <xsd:simpleType>
        <xsd:restriction base="dms:Choice">
          <xsd:enumeration value="Billiter, Delbert"/>
          <xsd:enumeration value="Drake, Michael"/>
          <xsd:enumeration value="Fackler, Andrea"/>
          <xsd:enumeration value="Garrett, Christopher"/>
          <xsd:enumeration value="Neal, Susan"/>
          <xsd:enumeration value="Williams, Scott"/>
          <xsd:enumeration value="Multiple"/>
          <xsd:enumeration value="N/A"/>
          <xsd:enumeration value="Rahn, Derek"/>
          <xsd:enumeration value="Schram, Chuck"/>
          <xsd:enumeration value="Sebourn, Michael"/>
          <xsd:enumeration value="Wilson, Stuart"/>
        </xsd:restriction>
      </xsd:simpleType>
    </xsd:element>
    <xsd:element name="Construction_x0020_Monitoring_x0020_Description" ma:index="14" nillable="true" ma:displayName="Construction Monitoring Description" ma:format="Dropdown" ma:internalName="Construction_x0020_Monitoring_x0020_Description">
      <xsd:simpleType>
        <xsd:restriction base="dms:Choice">
          <xsd:enumeration value="2011 ECR Plan"/>
          <xsd:enumeration value="2016 ECR Plan"/>
          <xsd:enumeration value="TC Landfill"/>
          <xsd:enumeration value="2020 ECR Plan"/>
        </xsd:restriction>
      </xsd:simpleType>
    </xsd:element>
    <xsd:element name="Construction_x0020_Monitoring" ma:index="15" nillable="true" ma:displayName="Construction Monitoring Period" ma:format="Dropdown" ma:internalName="Construction_x0020_Monitoring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Status" ma:index="23" nillable="true" ma:displayName="Status (Internal Use Only)" ma:internalName="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l"/>
                    <xsd:enumeration value="Filed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B394B-797A-4666-AB08-C1D223D94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6CC48-E0F0-437D-85FB-D68CE731B71C}">
  <ds:schemaRefs>
    <ds:schemaRef ds:uri="http://schemas.microsoft.com/sharepoint/v4"/>
    <ds:schemaRef ds:uri="65bfb563-8fe2-4d34-a09f-38a217d8feea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AB9E87-8E7E-4349-834E-BA922AF07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5bfb563-8fe2-4d34-a09f-38a217d8fee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Form 1.10 - Filed (June)</vt:lpstr>
      <vt:lpstr>Form 3.00 - Filed (June)</vt:lpstr>
      <vt:lpstr>Form 3.10 - Filed (June)</vt:lpstr>
      <vt:lpstr>Form 1.10 - Revised (June)</vt:lpstr>
      <vt:lpstr>Form 3.00 - Revised (June)</vt:lpstr>
      <vt:lpstr>Form 1.10 - Filed (July)</vt:lpstr>
      <vt:lpstr>Form 3.00 - Filed (July)</vt:lpstr>
      <vt:lpstr>Form 3.10 - Filed (July)</vt:lpstr>
      <vt:lpstr>Form 1.10 - Revised (July)</vt:lpstr>
      <vt:lpstr>Form 3.00 - Revised (July)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Sharp, Stephen</dc:creator>
  <cp:lastModifiedBy>Sharp, Stephen</cp:lastModifiedBy>
  <dcterms:created xsi:type="dcterms:W3CDTF">2026-04-07T10:37:38Z</dcterms:created>
  <dcterms:modified xsi:type="dcterms:W3CDTF">2026-04-10T15:19:11Z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2026-04-07T11:09:11Z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a47fed0b-c0b3-4da2-8923-8a0fdf5d3b63</vt:lpwstr>
  </property>
  <property fmtid="{D5CDD505-2E9C-101B-9397-08002B2CF9AE}" pid="8" name="MSIP_Label_e0c8e74a-db15-49f1-980d-3d74f2e3ff07_ContentBits">
    <vt:lpwstr>2</vt:lpwstr>
  </property>
  <property fmtid="{D5CDD505-2E9C-101B-9397-08002B2CF9AE}" pid="9" name="MSIP_Label_e0c8e74a-db15-49f1-980d-3d74f2e3ff07_Tag">
    <vt:lpwstr>10, 0, 1, 1</vt:lpwstr>
  </property>
  <property fmtid="{D5CDD505-2E9C-101B-9397-08002B2CF9AE}" pid="10" name="ContentTypeId">
    <vt:lpwstr>0x010100FF510F20E04BCF41BE361D2F61EE6FFA</vt:lpwstr>
  </property>
</Properties>
</file>