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-120" yWindow="-120" windowWidth="24240" windowHeight="13140" tabRatio="756" activeTab="6"/>
  </bookViews>
  <sheets>
    <sheet name="Input" sheetId="25" r:id="rId1"/>
    <sheet name="Cash Flow of U2" sheetId="52" r:id="rId2"/>
    <sheet name="GRCF" sheetId="43" r:id="rId3"/>
    <sheet name="Allocators" sheetId="44" r:id="rId4"/>
    <sheet name="CAP Structure" sheetId="26" r:id="rId5"/>
    <sheet name="Rate Base - coal" sheetId="48" r:id="rId6"/>
    <sheet name="Total Rev Req" sheetId="9" r:id="rId7"/>
    <sheet name="50% Rev Req" sheetId="45" r:id="rId8"/>
    <sheet name="SIT" sheetId="28" r:id="rId9"/>
    <sheet name="FIT" sheetId="27" r:id="rId10"/>
    <sheet name="MACRS" sheetId="49" state="hidden" r:id="rId11"/>
    <sheet name="DropDowns" sheetId="46" state="hidden" r:id="rId12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5">'Rate Base - coal'!$A$1:$W$70</definedName>
    <definedName name="_xlnm.Print_Area" localSheetId="6">'Total Rev Req'!$A$2:$V$25</definedName>
    <definedName name="_xlnm.Print_Area">#REF!</definedName>
    <definedName name="Print_Area_0">#REF!</definedName>
    <definedName name="_xlnm.Print_Titles" localSheetId="5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5" hidden="1">'Rate Base - coal'!$A$1:$M$69</definedName>
    <definedName name="Z_B2261136_1BD6_4EB8_80BC_AC5217B292C2_.wvu.PrintArea" localSheetId="6" hidden="1">'Total Rev Req'!$A$2:$L$29</definedName>
    <definedName name="Z_B2261136_1BD6_4EB8_80BC_AC5217B292C2_.wvu.PrintTitles" localSheetId="5" hidden="1">'Rate Base - coal'!$A:$A,'Rate Base - coal'!$1:$3</definedName>
  </definedNames>
  <calcPr calcId="145621" iterate="1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5" l="1"/>
  <c r="D14" i="43" l="1"/>
  <c r="A11" i="43"/>
  <c r="A12" i="43" s="1"/>
  <c r="A14" i="43" s="1"/>
  <c r="A16" i="43" s="1"/>
  <c r="A19" i="43" s="1"/>
  <c r="A21" i="43" s="1"/>
  <c r="A23" i="43" s="1"/>
  <c r="A25" i="43" s="1"/>
  <c r="D7" i="43"/>
  <c r="C18" i="26"/>
  <c r="D16" i="26"/>
  <c r="F16" i="26" s="1"/>
  <c r="H16" i="26" s="1"/>
  <c r="D14" i="26"/>
  <c r="F14" i="26" s="1"/>
  <c r="H14" i="26" s="1"/>
  <c r="D12" i="26"/>
  <c r="D18" i="26" s="1"/>
  <c r="G5" i="52"/>
  <c r="B17" i="25"/>
  <c r="B30" i="25"/>
  <c r="B22" i="25"/>
  <c r="O19" i="48"/>
  <c r="N14" i="9" s="1"/>
  <c r="N13" i="45" s="1" a="1"/>
  <c r="N13" i="45" s="1"/>
  <c r="P19" i="48"/>
  <c r="O14" i="9" s="1"/>
  <c r="O51" i="9" s="1"/>
  <c r="Q19" i="48"/>
  <c r="P14" i="9" s="1"/>
  <c r="P51" i="9" s="1"/>
  <c r="R19" i="48"/>
  <c r="Q14" i="9" s="1"/>
  <c r="S19" i="48"/>
  <c r="R14" i="9" s="1"/>
  <c r="T19" i="48"/>
  <c r="S14" i="9" s="1"/>
  <c r="U19" i="48"/>
  <c r="T14" i="9" s="1"/>
  <c r="T13" i="45" s="1" a="1"/>
  <c r="T13" i="45" s="1"/>
  <c r="V19" i="48"/>
  <c r="U14" i="9" s="1"/>
  <c r="U51" i="9" s="1"/>
  <c r="W19" i="48"/>
  <c r="V14" i="9" s="1"/>
  <c r="V13" i="45" s="1" a="1"/>
  <c r="V13" i="45" s="1"/>
  <c r="X19" i="48"/>
  <c r="W14" i="9" s="1"/>
  <c r="W40" i="9" s="1"/>
  <c r="Y19" i="48"/>
  <c r="X14" i="9" s="1"/>
  <c r="X51" i="9" s="1"/>
  <c r="Z19" i="48"/>
  <c r="Y14" i="9" s="1"/>
  <c r="AA19" i="48"/>
  <c r="Z14" i="9" s="1"/>
  <c r="Z51" i="9" s="1"/>
  <c r="B40" i="25"/>
  <c r="C4" i="48"/>
  <c r="C40" i="25"/>
  <c r="D4" i="48"/>
  <c r="B37" i="25"/>
  <c r="C3" i="48"/>
  <c r="B29" i="25"/>
  <c r="D3" i="48"/>
  <c r="C24" i="48"/>
  <c r="B27" i="48"/>
  <c r="C27" i="48" a="1"/>
  <c r="C27" i="48"/>
  <c r="D27" i="48" a="1"/>
  <c r="D27" i="48"/>
  <c r="D24" i="48"/>
  <c r="D29" i="48"/>
  <c r="B34" i="25"/>
  <c r="E18" i="28" s="1"/>
  <c r="C45" i="25"/>
  <c r="C6" i="9"/>
  <c r="C9" i="9"/>
  <c r="C10" i="9"/>
  <c r="C11" i="9"/>
  <c r="C12" i="9"/>
  <c r="E19" i="27"/>
  <c r="D40" i="25"/>
  <c r="E4" i="48"/>
  <c r="E3" i="48"/>
  <c r="E27" i="48" a="1"/>
  <c r="E27" i="48"/>
  <c r="E29" i="48"/>
  <c r="E24" i="48"/>
  <c r="E30" i="48"/>
  <c r="D45" i="25"/>
  <c r="D6" i="9"/>
  <c r="D9" i="9"/>
  <c r="D10" i="9"/>
  <c r="D11" i="9"/>
  <c r="D12" i="9"/>
  <c r="F19" i="27"/>
  <c r="E40" i="25"/>
  <c r="F4" i="48"/>
  <c r="F3" i="48"/>
  <c r="F27" i="48" a="1"/>
  <c r="F27" i="48"/>
  <c r="F29" i="48"/>
  <c r="F30" i="48"/>
  <c r="F24" i="48"/>
  <c r="F31" i="48"/>
  <c r="E45" i="25"/>
  <c r="E6" i="9"/>
  <c r="E9" i="9"/>
  <c r="E10" i="9"/>
  <c r="E11" i="9"/>
  <c r="E12" i="9"/>
  <c r="G19" i="27"/>
  <c r="F40" i="25"/>
  <c r="G4" i="48"/>
  <c r="G3" i="48"/>
  <c r="G27" i="48" a="1"/>
  <c r="G27" i="48"/>
  <c r="G29" i="48"/>
  <c r="G30" i="48"/>
  <c r="G31" i="48"/>
  <c r="G24" i="48"/>
  <c r="G32" i="48"/>
  <c r="F45" i="25"/>
  <c r="F6" i="9"/>
  <c r="F9" i="9"/>
  <c r="F10" i="9"/>
  <c r="F11" i="9"/>
  <c r="F12" i="9"/>
  <c r="H19" i="27"/>
  <c r="G40" i="25"/>
  <c r="H4" i="48"/>
  <c r="H3" i="48"/>
  <c r="H27" i="48" a="1"/>
  <c r="H27" i="48"/>
  <c r="H29" i="48"/>
  <c r="H30" i="48"/>
  <c r="H31" i="48"/>
  <c r="H32" i="48"/>
  <c r="H24" i="48"/>
  <c r="H33" i="48"/>
  <c r="G45" i="25"/>
  <c r="G6" i="9"/>
  <c r="G9" i="9"/>
  <c r="G10" i="9"/>
  <c r="G11" i="9"/>
  <c r="G12" i="9"/>
  <c r="I19" i="27"/>
  <c r="H40" i="25"/>
  <c r="I4" i="48"/>
  <c r="I3" i="48"/>
  <c r="I27" i="48" a="1"/>
  <c r="I27" i="48"/>
  <c r="I29" i="48"/>
  <c r="I30" i="48"/>
  <c r="I31" i="48"/>
  <c r="I32" i="48"/>
  <c r="I33" i="48"/>
  <c r="I24" i="48"/>
  <c r="I34" i="48"/>
  <c r="H45" i="25"/>
  <c r="H6" i="9"/>
  <c r="H9" i="9"/>
  <c r="H10" i="9"/>
  <c r="H11" i="9"/>
  <c r="H12" i="9"/>
  <c r="J19" i="27"/>
  <c r="I40" i="25"/>
  <c r="J4" i="48"/>
  <c r="J3" i="48"/>
  <c r="J27" i="48" a="1"/>
  <c r="J27" i="48"/>
  <c r="J29" i="48"/>
  <c r="J30" i="48"/>
  <c r="J31" i="48"/>
  <c r="J32" i="48"/>
  <c r="J33" i="48"/>
  <c r="J34" i="48"/>
  <c r="J24" i="48"/>
  <c r="J35" i="48"/>
  <c r="I45" i="25"/>
  <c r="I6" i="9"/>
  <c r="I9" i="9"/>
  <c r="I10" i="9"/>
  <c r="I11" i="9"/>
  <c r="I12" i="9"/>
  <c r="K18" i="28"/>
  <c r="K19" i="27"/>
  <c r="J40" i="25"/>
  <c r="K4" i="48"/>
  <c r="K3" i="48"/>
  <c r="K27" i="48" a="1"/>
  <c r="K27" i="48"/>
  <c r="K29" i="48"/>
  <c r="K30" i="48"/>
  <c r="K31" i="48"/>
  <c r="K32" i="48"/>
  <c r="K33" i="48"/>
  <c r="K34" i="48"/>
  <c r="K35" i="48"/>
  <c r="K24" i="48"/>
  <c r="K36" i="48"/>
  <c r="J45" i="25"/>
  <c r="J6" i="9"/>
  <c r="J9" i="9"/>
  <c r="J10" i="9"/>
  <c r="J11" i="9"/>
  <c r="J12" i="9"/>
  <c r="L18" i="28"/>
  <c r="L19" i="27"/>
  <c r="K40" i="25"/>
  <c r="L4" i="48"/>
  <c r="L3" i="48"/>
  <c r="L27" i="48" a="1"/>
  <c r="L27" i="48"/>
  <c r="L29" i="48"/>
  <c r="L30" i="48"/>
  <c r="L31" i="48"/>
  <c r="L32" i="48"/>
  <c r="L33" i="48"/>
  <c r="L34" i="48"/>
  <c r="L35" i="48"/>
  <c r="L36" i="48"/>
  <c r="L24" i="48"/>
  <c r="L37" i="48"/>
  <c r="K45" i="25"/>
  <c r="K6" i="9"/>
  <c r="K9" i="9"/>
  <c r="K10" i="9"/>
  <c r="K11" i="9"/>
  <c r="K12" i="9"/>
  <c r="M18" i="28"/>
  <c r="M19" i="27"/>
  <c r="L40" i="25"/>
  <c r="M4" i="48"/>
  <c r="M3" i="48"/>
  <c r="M27" i="48" a="1"/>
  <c r="M27" i="48"/>
  <c r="M29" i="48"/>
  <c r="M30" i="48"/>
  <c r="M31" i="48"/>
  <c r="M32" i="48"/>
  <c r="M33" i="48"/>
  <c r="M34" i="48"/>
  <c r="M35" i="48"/>
  <c r="M36" i="48"/>
  <c r="M37" i="48"/>
  <c r="M24" i="48"/>
  <c r="M38" i="48"/>
  <c r="L45" i="25"/>
  <c r="L6" i="9"/>
  <c r="L9" i="9"/>
  <c r="L10" i="9"/>
  <c r="L11" i="9"/>
  <c r="L12" i="9"/>
  <c r="N18" i="28"/>
  <c r="N19" i="27"/>
  <c r="M40" i="25"/>
  <c r="N4" i="48"/>
  <c r="N3" i="48"/>
  <c r="N27" i="48" a="1"/>
  <c r="N27" i="48"/>
  <c r="N29" i="48"/>
  <c r="N30" i="48"/>
  <c r="N31" i="48"/>
  <c r="N32" i="48"/>
  <c r="N33" i="48"/>
  <c r="N34" i="48"/>
  <c r="N35" i="48"/>
  <c r="N36" i="48"/>
  <c r="N37" i="48"/>
  <c r="N38" i="48"/>
  <c r="N24" i="48"/>
  <c r="N39" i="48"/>
  <c r="M45" i="25"/>
  <c r="M6" i="9"/>
  <c r="M9" i="9"/>
  <c r="M10" i="9"/>
  <c r="M11" i="9"/>
  <c r="M12" i="9"/>
  <c r="O19" i="27"/>
  <c r="O3" i="48"/>
  <c r="O27" i="48" a="1"/>
  <c r="O27" i="48"/>
  <c r="O29" i="48"/>
  <c r="O30" i="48"/>
  <c r="O31" i="48"/>
  <c r="O32" i="48"/>
  <c r="O33" i="48"/>
  <c r="O34" i="48"/>
  <c r="O35" i="48"/>
  <c r="O36" i="48"/>
  <c r="O37" i="48"/>
  <c r="O38" i="48"/>
  <c r="O39" i="48"/>
  <c r="O40" i="48"/>
  <c r="N6" i="9"/>
  <c r="N7" i="9"/>
  <c r="N9" i="9"/>
  <c r="N10" i="9"/>
  <c r="N11" i="9"/>
  <c r="N12" i="9"/>
  <c r="N13" i="9"/>
  <c r="P6" i="28"/>
  <c r="P19" i="27"/>
  <c r="P6" i="27"/>
  <c r="P3" i="48"/>
  <c r="P27" i="48" a="1"/>
  <c r="P27" i="48"/>
  <c r="P29" i="48"/>
  <c r="P30" i="48"/>
  <c r="P31" i="48"/>
  <c r="P32" i="48"/>
  <c r="P33" i="48"/>
  <c r="P34" i="48"/>
  <c r="P35" i="48"/>
  <c r="P36" i="48"/>
  <c r="P37" i="48"/>
  <c r="P38" i="48"/>
  <c r="P39" i="48"/>
  <c r="P40" i="48"/>
  <c r="P41" i="48"/>
  <c r="O6" i="9"/>
  <c r="O7" i="9"/>
  <c r="O9" i="9"/>
  <c r="O10" i="9"/>
  <c r="O11" i="9"/>
  <c r="O12" i="9"/>
  <c r="O13" i="9"/>
  <c r="Q6" i="28"/>
  <c r="Q19" i="27"/>
  <c r="Q6" i="27"/>
  <c r="Q3" i="48"/>
  <c r="Q27" i="48" a="1"/>
  <c r="Q27" i="48"/>
  <c r="Q29" i="48"/>
  <c r="Q30" i="48"/>
  <c r="Q31" i="48"/>
  <c r="Q32" i="48"/>
  <c r="Q33" i="48"/>
  <c r="Q34" i="48"/>
  <c r="Q35" i="48"/>
  <c r="Q36" i="48"/>
  <c r="Q37" i="48"/>
  <c r="Q38" i="48"/>
  <c r="Q39" i="48"/>
  <c r="Q40" i="48"/>
  <c r="Q41" i="48"/>
  <c r="Q42" i="48"/>
  <c r="P6" i="9"/>
  <c r="P7" i="9"/>
  <c r="P9" i="9"/>
  <c r="P10" i="9"/>
  <c r="P11" i="9"/>
  <c r="P12" i="9"/>
  <c r="P13" i="9"/>
  <c r="R6" i="28"/>
  <c r="R18" i="28"/>
  <c r="R19" i="27"/>
  <c r="R6" i="27"/>
  <c r="R3" i="48"/>
  <c r="R27" i="48" a="1"/>
  <c r="R27" i="48"/>
  <c r="R29" i="48"/>
  <c r="R30" i="48"/>
  <c r="R31" i="48"/>
  <c r="R32" i="48"/>
  <c r="R33" i="48"/>
  <c r="R34" i="48"/>
  <c r="R35" i="48"/>
  <c r="R36" i="48"/>
  <c r="R37" i="48"/>
  <c r="R38" i="48"/>
  <c r="R39" i="48"/>
  <c r="R40" i="48"/>
  <c r="R41" i="48"/>
  <c r="R42" i="48"/>
  <c r="R43" i="48"/>
  <c r="Q6" i="9"/>
  <c r="Q7" i="9"/>
  <c r="Q9" i="9"/>
  <c r="Q10" i="9"/>
  <c r="Q11" i="9"/>
  <c r="Q12" i="9"/>
  <c r="Q13" i="9"/>
  <c r="S6" i="28"/>
  <c r="S18" i="28"/>
  <c r="S19" i="27"/>
  <c r="S6" i="27"/>
  <c r="S3" i="48"/>
  <c r="S27" i="48" a="1"/>
  <c r="S27" i="48"/>
  <c r="S29" i="48"/>
  <c r="S30" i="48"/>
  <c r="S31" i="48"/>
  <c r="S32" i="48"/>
  <c r="S33" i="48"/>
  <c r="S34" i="48"/>
  <c r="S35" i="48"/>
  <c r="S36" i="48"/>
  <c r="S37" i="48"/>
  <c r="S38" i="48"/>
  <c r="S39" i="48"/>
  <c r="S40" i="48"/>
  <c r="S41" i="48"/>
  <c r="S42" i="48"/>
  <c r="S43" i="48"/>
  <c r="S44" i="48"/>
  <c r="R6" i="9"/>
  <c r="R7" i="9"/>
  <c r="R9" i="9"/>
  <c r="R10" i="9"/>
  <c r="R11" i="9"/>
  <c r="R12" i="9"/>
  <c r="R13" i="9"/>
  <c r="T6" i="28"/>
  <c r="T19" i="27"/>
  <c r="T6" i="27"/>
  <c r="T3" i="48"/>
  <c r="T27" i="48" a="1"/>
  <c r="T27" i="48"/>
  <c r="T29" i="48"/>
  <c r="T30" i="48"/>
  <c r="T31" i="48"/>
  <c r="T32" i="48"/>
  <c r="T33" i="48"/>
  <c r="T34" i="48"/>
  <c r="T35" i="48"/>
  <c r="T36" i="48"/>
  <c r="T37" i="48"/>
  <c r="T38" i="48"/>
  <c r="T39" i="48"/>
  <c r="T40" i="48"/>
  <c r="T41" i="48"/>
  <c r="T42" i="48"/>
  <c r="T43" i="48"/>
  <c r="T44" i="48"/>
  <c r="T45" i="48"/>
  <c r="S6" i="9"/>
  <c r="S7" i="9"/>
  <c r="S9" i="9"/>
  <c r="S10" i="9"/>
  <c r="S11" i="9"/>
  <c r="S12" i="9"/>
  <c r="S13" i="9"/>
  <c r="U6" i="28"/>
  <c r="U18" i="28"/>
  <c r="U19" i="27"/>
  <c r="U6" i="27"/>
  <c r="U3" i="48"/>
  <c r="U27" i="48" a="1"/>
  <c r="U27" i="48"/>
  <c r="U29" i="48"/>
  <c r="U30" i="48"/>
  <c r="U31" i="48"/>
  <c r="U32" i="48"/>
  <c r="U33" i="48"/>
  <c r="U34" i="48"/>
  <c r="U35" i="48"/>
  <c r="U36" i="48"/>
  <c r="U37" i="48"/>
  <c r="U38" i="48"/>
  <c r="U39" i="48"/>
  <c r="U40" i="48"/>
  <c r="U41" i="48"/>
  <c r="U42" i="48"/>
  <c r="U43" i="48"/>
  <c r="U44" i="48"/>
  <c r="U45" i="48"/>
  <c r="U46" i="48"/>
  <c r="T6" i="9"/>
  <c r="T7" i="9"/>
  <c r="T9" i="9"/>
  <c r="T10" i="9"/>
  <c r="T11" i="9"/>
  <c r="T12" i="9"/>
  <c r="T13" i="9"/>
  <c r="V6" i="28"/>
  <c r="V18" i="28"/>
  <c r="V19" i="27"/>
  <c r="V6" i="27"/>
  <c r="V3" i="48"/>
  <c r="V27" i="48" a="1"/>
  <c r="V27" i="48"/>
  <c r="V29" i="48"/>
  <c r="V30" i="48"/>
  <c r="V31" i="48"/>
  <c r="V32" i="48"/>
  <c r="V33" i="48"/>
  <c r="V34" i="48"/>
  <c r="V35" i="48"/>
  <c r="V36" i="48"/>
  <c r="V37" i="48"/>
  <c r="V38" i="48"/>
  <c r="V39" i="48"/>
  <c r="V40" i="48"/>
  <c r="V41" i="48"/>
  <c r="V42" i="48"/>
  <c r="V43" i="48"/>
  <c r="V44" i="48"/>
  <c r="V45" i="48"/>
  <c r="V46" i="48"/>
  <c r="V47" i="48"/>
  <c r="U6" i="9"/>
  <c r="U7" i="9"/>
  <c r="U9" i="9"/>
  <c r="U10" i="9"/>
  <c r="U11" i="9"/>
  <c r="U12" i="9"/>
  <c r="U13" i="9"/>
  <c r="W6" i="28"/>
  <c r="W19" i="27"/>
  <c r="W6" i="27"/>
  <c r="W3" i="48"/>
  <c r="W27" i="48" a="1"/>
  <c r="W27" i="48"/>
  <c r="W29" i="48"/>
  <c r="W30" i="48"/>
  <c r="W31" i="48"/>
  <c r="W32" i="48"/>
  <c r="W33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48" i="48"/>
  <c r="V6" i="9"/>
  <c r="V7" i="9"/>
  <c r="V9" i="9"/>
  <c r="V10" i="9"/>
  <c r="V11" i="9"/>
  <c r="V12" i="9"/>
  <c r="V13" i="9"/>
  <c r="X6" i="28"/>
  <c r="X19" i="27"/>
  <c r="X6" i="27"/>
  <c r="X3" i="48"/>
  <c r="X29" i="48"/>
  <c r="X30" i="48"/>
  <c r="X31" i="48"/>
  <c r="X32" i="48"/>
  <c r="X33" i="48"/>
  <c r="X34" i="48"/>
  <c r="X35" i="48"/>
  <c r="X36" i="48"/>
  <c r="X37" i="48"/>
  <c r="X38" i="48"/>
  <c r="X39" i="48"/>
  <c r="X40" i="48"/>
  <c r="X41" i="48"/>
  <c r="X42" i="48"/>
  <c r="X43" i="48"/>
  <c r="X44" i="48"/>
  <c r="X45" i="48"/>
  <c r="X46" i="48"/>
  <c r="X47" i="48"/>
  <c r="X48" i="48"/>
  <c r="X49" i="48"/>
  <c r="W6" i="9"/>
  <c r="W7" i="9"/>
  <c r="W9" i="9"/>
  <c r="W10" i="9"/>
  <c r="W11" i="9"/>
  <c r="W12" i="9"/>
  <c r="W13" i="9"/>
  <c r="Y6" i="28"/>
  <c r="Y19" i="27"/>
  <c r="Y6" i="27"/>
  <c r="Y3" i="48"/>
  <c r="Y29" i="48"/>
  <c r="Y30" i="48"/>
  <c r="Y31" i="48"/>
  <c r="Y32" i="48"/>
  <c r="Y33" i="48"/>
  <c r="Y34" i="48"/>
  <c r="Y35" i="48"/>
  <c r="Y36" i="48"/>
  <c r="Y37" i="48"/>
  <c r="Y38" i="48"/>
  <c r="Y39" i="48"/>
  <c r="Y40" i="48"/>
  <c r="Y41" i="48"/>
  <c r="Y42" i="48"/>
  <c r="Y43" i="48"/>
  <c r="Y44" i="48"/>
  <c r="Y45" i="48"/>
  <c r="Y46" i="48"/>
  <c r="Y47" i="48"/>
  <c r="Y48" i="48"/>
  <c r="Y49" i="48"/>
  <c r="Y50" i="48"/>
  <c r="X6" i="9"/>
  <c r="X7" i="9"/>
  <c r="X9" i="9"/>
  <c r="X10" i="9"/>
  <c r="X11" i="9"/>
  <c r="X12" i="9"/>
  <c r="X13" i="9"/>
  <c r="Z6" i="28"/>
  <c r="Z18" i="28"/>
  <c r="Z19" i="27"/>
  <c r="Z6" i="27"/>
  <c r="Z3" i="48"/>
  <c r="Z29" i="48"/>
  <c r="Z30" i="48"/>
  <c r="Z31" i="48"/>
  <c r="Z32" i="48"/>
  <c r="Z33" i="48"/>
  <c r="Z34" i="48"/>
  <c r="Z35" i="48"/>
  <c r="Z36" i="48"/>
  <c r="Z37" i="48"/>
  <c r="Z38" i="48"/>
  <c r="Z39" i="48"/>
  <c r="Z40" i="48"/>
  <c r="Z41" i="48"/>
  <c r="Z42" i="48"/>
  <c r="Z43" i="48"/>
  <c r="Z44" i="48"/>
  <c r="Z45" i="48"/>
  <c r="Z46" i="48"/>
  <c r="Z47" i="48"/>
  <c r="Z48" i="48"/>
  <c r="Z49" i="48"/>
  <c r="Z50" i="48"/>
  <c r="Z51" i="48"/>
  <c r="Y6" i="9"/>
  <c r="Y7" i="9"/>
  <c r="Y9" i="9"/>
  <c r="Y10" i="9"/>
  <c r="Y11" i="9"/>
  <c r="Y12" i="9"/>
  <c r="Y13" i="9"/>
  <c r="AA6" i="28"/>
  <c r="AA18" i="28"/>
  <c r="AA19" i="27"/>
  <c r="AA6" i="27"/>
  <c r="AA3" i="48"/>
  <c r="AA29" i="48"/>
  <c r="AA30" i="48"/>
  <c r="AA31" i="48"/>
  <c r="AA32" i="48"/>
  <c r="AA33" i="48"/>
  <c r="AA34" i="48"/>
  <c r="AA35" i="48"/>
  <c r="AA36" i="48"/>
  <c r="AA37" i="48"/>
  <c r="AA38" i="48"/>
  <c r="AA39" i="48"/>
  <c r="AA40" i="48"/>
  <c r="AA41" i="48"/>
  <c r="AA42" i="48"/>
  <c r="AA43" i="48"/>
  <c r="AA44" i="48"/>
  <c r="AA45" i="48"/>
  <c r="AA46" i="48"/>
  <c r="AA47" i="48"/>
  <c r="AA48" i="48"/>
  <c r="AA49" i="48"/>
  <c r="AA50" i="48"/>
  <c r="AA51" i="48"/>
  <c r="AA52" i="48"/>
  <c r="Z6" i="9"/>
  <c r="Z7" i="9"/>
  <c r="Z9" i="9"/>
  <c r="Z10" i="9"/>
  <c r="Z11" i="9"/>
  <c r="Z12" i="9"/>
  <c r="Z13" i="9"/>
  <c r="AB6" i="28"/>
  <c r="AB19" i="27"/>
  <c r="AB6" i="27"/>
  <c r="B45" i="25"/>
  <c r="B6" i="9"/>
  <c r="B9" i="9"/>
  <c r="B10" i="9"/>
  <c r="B11" i="9"/>
  <c r="B12" i="9"/>
  <c r="D18" i="28"/>
  <c r="D19" i="27"/>
  <c r="D6" i="52"/>
  <c r="D9" i="52"/>
  <c r="E6" i="52"/>
  <c r="E9" i="52"/>
  <c r="E13" i="25"/>
  <c r="C9" i="52"/>
  <c r="A29" i="45"/>
  <c r="A32" i="45"/>
  <c r="A33" i="45"/>
  <c r="E15" i="25"/>
  <c r="C37" i="25"/>
  <c r="D37" i="25"/>
  <c r="E37" i="25"/>
  <c r="F37" i="25"/>
  <c r="G37" i="25"/>
  <c r="H37" i="25"/>
  <c r="I37" i="25"/>
  <c r="J37" i="25"/>
  <c r="K37" i="25"/>
  <c r="L37" i="25"/>
  <c r="M37" i="25"/>
  <c r="N37" i="25"/>
  <c r="O37" i="25"/>
  <c r="P37" i="25"/>
  <c r="Q37" i="25"/>
  <c r="R37" i="25"/>
  <c r="S37" i="25"/>
  <c r="T37" i="25"/>
  <c r="U37" i="25"/>
  <c r="V37" i="25"/>
  <c r="W37" i="25"/>
  <c r="X37" i="25"/>
  <c r="Y37" i="25"/>
  <c r="Z37" i="25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U50" i="9"/>
  <c r="V50" i="9"/>
  <c r="X50" i="9"/>
  <c r="W50" i="9"/>
  <c r="T50" i="9"/>
  <c r="N50" i="9"/>
  <c r="Q50" i="9"/>
  <c r="S50" i="9"/>
  <c r="O50" i="9"/>
  <c r="P50" i="9"/>
  <c r="Y50" i="9"/>
  <c r="Z50" i="9"/>
  <c r="R50" i="9"/>
  <c r="A10" i="9"/>
  <c r="E17" i="25"/>
  <c r="J25" i="48"/>
  <c r="K25" i="48"/>
  <c r="L25" i="48"/>
  <c r="M25" i="48"/>
  <c r="N25" i="48"/>
  <c r="AL19" i="27"/>
  <c r="AC19" i="27"/>
  <c r="AD19" i="27"/>
  <c r="AE19" i="27"/>
  <c r="AF19" i="27"/>
  <c r="AG19" i="27"/>
  <c r="AH19" i="27"/>
  <c r="AI19" i="27"/>
  <c r="AJ19" i="27"/>
  <c r="AK19" i="27"/>
  <c r="AJ2" i="28"/>
  <c r="AJ1" i="27"/>
  <c r="AK2" i="28"/>
  <c r="AK1" i="27"/>
  <c r="AL2" i="28"/>
  <c r="AL1" i="27"/>
  <c r="Y2" i="28"/>
  <c r="Y1" i="27"/>
  <c r="Z2" i="28"/>
  <c r="Z1" i="27"/>
  <c r="AA2" i="28"/>
  <c r="AA1" i="27"/>
  <c r="AB2" i="28"/>
  <c r="AB1" i="27"/>
  <c r="AC2" i="28"/>
  <c r="AC1" i="27"/>
  <c r="AD2" i="28"/>
  <c r="AD1" i="27"/>
  <c r="AE2" i="28"/>
  <c r="AE1" i="27"/>
  <c r="AF2" i="28"/>
  <c r="AF1" i="27"/>
  <c r="AG2" i="28"/>
  <c r="AG1" i="27"/>
  <c r="AH2" i="28"/>
  <c r="AH1" i="27"/>
  <c r="AI2" i="28"/>
  <c r="AI1" i="27"/>
  <c r="AL6" i="28"/>
  <c r="AK6" i="28"/>
  <c r="AJ6" i="27"/>
  <c r="AI6" i="27"/>
  <c r="AH6" i="28"/>
  <c r="AL6" i="27"/>
  <c r="AI6" i="28"/>
  <c r="AK6" i="27"/>
  <c r="AJ6" i="28"/>
  <c r="AH6" i="27"/>
  <c r="AF18" i="28"/>
  <c r="AG18" i="28"/>
  <c r="AD18" i="28"/>
  <c r="V8" i="45" a="1"/>
  <c r="V8" i="45"/>
  <c r="W9" i="45" a="1"/>
  <c r="W9" i="45"/>
  <c r="X10" i="45" a="1"/>
  <c r="X10" i="45"/>
  <c r="Z11" i="45" a="1"/>
  <c r="Z11" i="45"/>
  <c r="V11" i="45" a="1"/>
  <c r="V11" i="45"/>
  <c r="X11" i="45" a="1"/>
  <c r="X11" i="45"/>
  <c r="V9" i="45" a="1"/>
  <c r="V9" i="45"/>
  <c r="W10" i="45" a="1"/>
  <c r="W10" i="45"/>
  <c r="Y11" i="45" a="1"/>
  <c r="Y11" i="45"/>
  <c r="W8" i="45" a="1"/>
  <c r="W8" i="45"/>
  <c r="X9" i="45" a="1"/>
  <c r="X9" i="45"/>
  <c r="X8" i="45" a="1"/>
  <c r="X8" i="45"/>
  <c r="Y9" i="45" a="1"/>
  <c r="Y9" i="45"/>
  <c r="Y10" i="45" a="1"/>
  <c r="Y10" i="45"/>
  <c r="V6" i="45" a="1"/>
  <c r="V6" i="45"/>
  <c r="Y8" i="45" a="1"/>
  <c r="Y8" i="45"/>
  <c r="Z9" i="45" a="1"/>
  <c r="Z9" i="45"/>
  <c r="X6" i="45" a="1"/>
  <c r="X6" i="45"/>
  <c r="Z8" i="45" a="1"/>
  <c r="Z8" i="45"/>
  <c r="Y6" i="45" a="1"/>
  <c r="Y6" i="45"/>
  <c r="W11" i="45" a="1"/>
  <c r="W11" i="45"/>
  <c r="Z6" i="45" a="1"/>
  <c r="Z6" i="45"/>
  <c r="V10" i="45" a="1"/>
  <c r="V10" i="45"/>
  <c r="W6" i="45" a="1"/>
  <c r="W6" i="45"/>
  <c r="Z10" i="45" a="1"/>
  <c r="Z10" i="45"/>
  <c r="G23" i="49"/>
  <c r="F23" i="49"/>
  <c r="E23" i="49"/>
  <c r="D23" i="49"/>
  <c r="C23" i="49"/>
  <c r="B23" i="49"/>
  <c r="E2" i="28"/>
  <c r="E1" i="27"/>
  <c r="F2" i="28"/>
  <c r="F1" i="27"/>
  <c r="G2" i="28"/>
  <c r="G1" i="27"/>
  <c r="H2" i="28"/>
  <c r="H1" i="27"/>
  <c r="I2" i="28"/>
  <c r="I1" i="27"/>
  <c r="J2" i="28"/>
  <c r="J1" i="27"/>
  <c r="K2" i="28"/>
  <c r="K1" i="27"/>
  <c r="L2" i="28"/>
  <c r="L1" i="27"/>
  <c r="M2" i="28"/>
  <c r="M1" i="27"/>
  <c r="N2" i="28"/>
  <c r="N1" i="27"/>
  <c r="O2" i="28"/>
  <c r="O1" i="27"/>
  <c r="P2" i="28"/>
  <c r="P1" i="27"/>
  <c r="Q2" i="28"/>
  <c r="Q1" i="27"/>
  <c r="R2" i="28"/>
  <c r="R1" i="27"/>
  <c r="S2" i="28"/>
  <c r="S1" i="27"/>
  <c r="T2" i="28"/>
  <c r="T1" i="27"/>
  <c r="U2" i="28"/>
  <c r="U1" i="27"/>
  <c r="V2" i="28"/>
  <c r="V1" i="27"/>
  <c r="W2" i="28"/>
  <c r="W1" i="27"/>
  <c r="X2" i="28"/>
  <c r="X1" i="27"/>
  <c r="D2" i="28"/>
  <c r="D1" i="27"/>
  <c r="A14" i="45"/>
  <c r="A15" i="45"/>
  <c r="A16" i="45"/>
  <c r="A17" i="45"/>
  <c r="A18" i="45"/>
  <c r="A20" i="45"/>
  <c r="A21" i="45"/>
  <c r="A23" i="45"/>
  <c r="A24" i="45"/>
  <c r="A25" i="45"/>
  <c r="A1" i="45"/>
  <c r="V5" i="45" a="1"/>
  <c r="V5" i="45"/>
  <c r="B5" i="9"/>
  <c r="B4" i="45"/>
  <c r="D3" i="28"/>
  <c r="D2" i="27"/>
  <c r="W5" i="45" a="1"/>
  <c r="W5" i="45"/>
  <c r="V12" i="45" a="1"/>
  <c r="V12" i="45"/>
  <c r="V48" i="45"/>
  <c r="X5" i="45" a="1"/>
  <c r="X5" i="45"/>
  <c r="W12" i="45" a="1"/>
  <c r="W12" i="45"/>
  <c r="W48" i="45"/>
  <c r="Y5" i="45" a="1"/>
  <c r="Y5" i="45"/>
  <c r="X12" i="45" a="1"/>
  <c r="X12" i="45"/>
  <c r="X48" i="45"/>
  <c r="A6" i="45"/>
  <c r="A8" i="45"/>
  <c r="A9" i="45"/>
  <c r="A10" i="45"/>
  <c r="A11" i="45"/>
  <c r="A12" i="45"/>
  <c r="A13" i="45"/>
  <c r="A5" i="45"/>
  <c r="Z5" i="45" a="1"/>
  <c r="Z5" i="45"/>
  <c r="Y12" i="45" a="1"/>
  <c r="Y12" i="45"/>
  <c r="Y48" i="45"/>
  <c r="E8" i="25"/>
  <c r="E4" i="25"/>
  <c r="C8" i="45" a="1"/>
  <c r="C8" i="45"/>
  <c r="D8" i="45" a="1"/>
  <c r="D8" i="45"/>
  <c r="E8" i="45" a="1"/>
  <c r="E8" i="45"/>
  <c r="F8" i="45" a="1"/>
  <c r="F8" i="45"/>
  <c r="G8" i="45" a="1"/>
  <c r="G8" i="45"/>
  <c r="H8" i="45" a="1"/>
  <c r="H8" i="45"/>
  <c r="I8" i="45" a="1"/>
  <c r="I8" i="45"/>
  <c r="J8" i="45" a="1"/>
  <c r="J8" i="45"/>
  <c r="K8" i="45" a="1"/>
  <c r="K8" i="45"/>
  <c r="L8" i="45" a="1"/>
  <c r="L8" i="45"/>
  <c r="M8" i="45" a="1"/>
  <c r="M8" i="45"/>
  <c r="N8" i="45" a="1"/>
  <c r="N8" i="45"/>
  <c r="O8" i="45" a="1"/>
  <c r="O8" i="45"/>
  <c r="P8" i="45" a="1"/>
  <c r="P8" i="45"/>
  <c r="Q8" i="45" a="1"/>
  <c r="Q8" i="45"/>
  <c r="R8" i="45" a="1"/>
  <c r="R8" i="45"/>
  <c r="S8" i="45" a="1"/>
  <c r="S8" i="45"/>
  <c r="T8" i="45" a="1"/>
  <c r="T8" i="45"/>
  <c r="U8" i="45" a="1"/>
  <c r="U8" i="45"/>
  <c r="C9" i="45" a="1"/>
  <c r="C9" i="45"/>
  <c r="D9" i="45" a="1"/>
  <c r="D9" i="45"/>
  <c r="E9" i="45" a="1"/>
  <c r="E9" i="45"/>
  <c r="F9" i="45" a="1"/>
  <c r="F9" i="45"/>
  <c r="G9" i="45" a="1"/>
  <c r="G9" i="45"/>
  <c r="H9" i="45" a="1"/>
  <c r="H9" i="45"/>
  <c r="I9" i="45" a="1"/>
  <c r="I9" i="45"/>
  <c r="J9" i="45" a="1"/>
  <c r="J9" i="45"/>
  <c r="K9" i="45" a="1"/>
  <c r="K9" i="45"/>
  <c r="L9" i="45" a="1"/>
  <c r="L9" i="45"/>
  <c r="M9" i="45" a="1"/>
  <c r="M9" i="45"/>
  <c r="N9" i="45" a="1"/>
  <c r="N9" i="45"/>
  <c r="O9" i="45" a="1"/>
  <c r="O9" i="45"/>
  <c r="P9" i="45" a="1"/>
  <c r="P9" i="45"/>
  <c r="Q9" i="45" a="1"/>
  <c r="Q9" i="45"/>
  <c r="R9" i="45" a="1"/>
  <c r="R9" i="45"/>
  <c r="S9" i="45" a="1"/>
  <c r="S9" i="45"/>
  <c r="T9" i="45" a="1"/>
  <c r="T9" i="45"/>
  <c r="U9" i="45" a="1"/>
  <c r="U9" i="45"/>
  <c r="C10" i="45" a="1"/>
  <c r="C10" i="45"/>
  <c r="D10" i="45" a="1"/>
  <c r="D10" i="45"/>
  <c r="E10" i="45" a="1"/>
  <c r="E10" i="45"/>
  <c r="F10" i="45" a="1"/>
  <c r="F10" i="45"/>
  <c r="G10" i="45" a="1"/>
  <c r="G10" i="45"/>
  <c r="H10" i="45" a="1"/>
  <c r="H10" i="45"/>
  <c r="I10" i="45" a="1"/>
  <c r="I10" i="45"/>
  <c r="J10" i="45" a="1"/>
  <c r="J10" i="45"/>
  <c r="K10" i="45" a="1"/>
  <c r="K10" i="45"/>
  <c r="L10" i="45" a="1"/>
  <c r="L10" i="45"/>
  <c r="M10" i="45" a="1"/>
  <c r="M10" i="45"/>
  <c r="N10" i="45" a="1"/>
  <c r="N10" i="45"/>
  <c r="O10" i="45" a="1"/>
  <c r="O10" i="45"/>
  <c r="P10" i="45" a="1"/>
  <c r="P10" i="45"/>
  <c r="Q10" i="45" a="1"/>
  <c r="Q10" i="45"/>
  <c r="R10" i="45" a="1"/>
  <c r="R10" i="45"/>
  <c r="S10" i="45" a="1"/>
  <c r="S10" i="45"/>
  <c r="T10" i="45" a="1"/>
  <c r="T10" i="45"/>
  <c r="U10" i="45" a="1"/>
  <c r="U10" i="45"/>
  <c r="C11" i="45" a="1"/>
  <c r="C11" i="45"/>
  <c r="D11" i="45" a="1"/>
  <c r="D11" i="45"/>
  <c r="E11" i="45" a="1"/>
  <c r="E11" i="45"/>
  <c r="F11" i="45" a="1"/>
  <c r="F11" i="45"/>
  <c r="G11" i="45" a="1"/>
  <c r="G11" i="45"/>
  <c r="H11" i="45" a="1"/>
  <c r="H11" i="45"/>
  <c r="I11" i="45" a="1"/>
  <c r="I11" i="45"/>
  <c r="J11" i="45" a="1"/>
  <c r="J11" i="45"/>
  <c r="K11" i="45" a="1"/>
  <c r="K11" i="45"/>
  <c r="L11" i="45" a="1"/>
  <c r="L11" i="45"/>
  <c r="M11" i="45" a="1"/>
  <c r="M11" i="45"/>
  <c r="N11" i="45" a="1"/>
  <c r="N11" i="45"/>
  <c r="O11" i="45" a="1"/>
  <c r="O11" i="45"/>
  <c r="P11" i="45" a="1"/>
  <c r="P11" i="45"/>
  <c r="Q11" i="45" a="1"/>
  <c r="Q11" i="45"/>
  <c r="R11" i="45" a="1"/>
  <c r="R11" i="45"/>
  <c r="S11" i="45" a="1"/>
  <c r="S11" i="45"/>
  <c r="T11" i="45" a="1"/>
  <c r="T11" i="45"/>
  <c r="U11" i="45" a="1"/>
  <c r="U11" i="45"/>
  <c r="B9" i="45" a="1"/>
  <c r="B9" i="45"/>
  <c r="B10" i="45" a="1"/>
  <c r="B10" i="45"/>
  <c r="B11" i="45" a="1"/>
  <c r="B11" i="45"/>
  <c r="B8" i="45" a="1"/>
  <c r="B8" i="45"/>
  <c r="N6" i="45" a="1"/>
  <c r="N6" i="45"/>
  <c r="O6" i="45" a="1"/>
  <c r="O6" i="45"/>
  <c r="P6" i="45" a="1"/>
  <c r="P6" i="45"/>
  <c r="Q6" i="45" a="1"/>
  <c r="Q6" i="45"/>
  <c r="R6" i="45" a="1"/>
  <c r="R6" i="45"/>
  <c r="S6" i="45" a="1"/>
  <c r="S6" i="45"/>
  <c r="T6" i="45" a="1"/>
  <c r="T6" i="45"/>
  <c r="U6" i="45" a="1"/>
  <c r="U6" i="45"/>
  <c r="C5" i="45" a="1"/>
  <c r="C5" i="45"/>
  <c r="D5" i="45" a="1"/>
  <c r="D5" i="45"/>
  <c r="E5" i="45" a="1"/>
  <c r="E5" i="45"/>
  <c r="F5" i="45" a="1"/>
  <c r="F5" i="45"/>
  <c r="G5" i="45" a="1"/>
  <c r="G5" i="45"/>
  <c r="H5" i="45" a="1"/>
  <c r="H5" i="45"/>
  <c r="I5" i="45" a="1"/>
  <c r="I5" i="45"/>
  <c r="J5" i="45" a="1"/>
  <c r="J5" i="45"/>
  <c r="K5" i="45" a="1"/>
  <c r="K5" i="45"/>
  <c r="L5" i="45" a="1"/>
  <c r="L5" i="45"/>
  <c r="M5" i="45" a="1"/>
  <c r="M5" i="45"/>
  <c r="N5" i="45" a="1"/>
  <c r="N5" i="45"/>
  <c r="O5" i="45" a="1"/>
  <c r="O5" i="45"/>
  <c r="P5" i="45" a="1"/>
  <c r="P5" i="45"/>
  <c r="Q5" i="45" a="1"/>
  <c r="Q5" i="45"/>
  <c r="R5" i="45" a="1"/>
  <c r="R5" i="45"/>
  <c r="S5" i="45" a="1"/>
  <c r="S5" i="45"/>
  <c r="T5" i="45" a="1"/>
  <c r="T5" i="45"/>
  <c r="U5" i="45" a="1"/>
  <c r="U5" i="45"/>
  <c r="Z12" i="45" a="1"/>
  <c r="Z12" i="45"/>
  <c r="Z48" i="45"/>
  <c r="B5" i="45" a="1"/>
  <c r="B5" i="45"/>
  <c r="E7" i="25"/>
  <c r="AC6" i="27"/>
  <c r="AC6" i="28"/>
  <c r="AD6" i="28"/>
  <c r="AD6" i="27"/>
  <c r="AE6" i="28"/>
  <c r="AE6" i="27"/>
  <c r="A37" i="25"/>
  <c r="AG6" i="28"/>
  <c r="AG6" i="27"/>
  <c r="AF6" i="28"/>
  <c r="AF6" i="27"/>
  <c r="D25" i="48"/>
  <c r="C5" i="9"/>
  <c r="C4" i="45"/>
  <c r="E3" i="28"/>
  <c r="E2" i="27"/>
  <c r="E25" i="48"/>
  <c r="D5" i="9"/>
  <c r="D4" i="45"/>
  <c r="F3" i="28"/>
  <c r="F2" i="27"/>
  <c r="Q12" i="45" a="1"/>
  <c r="Q12" i="45"/>
  <c r="Q48" i="45"/>
  <c r="N12" i="45" a="1"/>
  <c r="N12" i="45"/>
  <c r="N48" i="45"/>
  <c r="P12" i="45" a="1"/>
  <c r="P12" i="45"/>
  <c r="P48" i="45"/>
  <c r="O12" i="45" a="1"/>
  <c r="O12" i="45"/>
  <c r="O48" i="45"/>
  <c r="U12" i="45" a="1"/>
  <c r="U12" i="45"/>
  <c r="U48" i="45"/>
  <c r="T12" i="45" a="1"/>
  <c r="T12" i="45"/>
  <c r="T48" i="45"/>
  <c r="S12" i="45" a="1"/>
  <c r="S12" i="45"/>
  <c r="S48" i="45"/>
  <c r="R12" i="45" a="1"/>
  <c r="R12" i="45"/>
  <c r="R48" i="45"/>
  <c r="E5" i="9"/>
  <c r="E4" i="45"/>
  <c r="G3" i="28"/>
  <c r="G2" i="27"/>
  <c r="F25" i="48"/>
  <c r="F5" i="9"/>
  <c r="F4" i="45"/>
  <c r="H3" i="28"/>
  <c r="H2" i="27"/>
  <c r="G25" i="48"/>
  <c r="G5" i="9"/>
  <c r="G4" i="45"/>
  <c r="I3" i="28"/>
  <c r="I2" i="27"/>
  <c r="H25" i="48"/>
  <c r="H5" i="9"/>
  <c r="H4" i="45"/>
  <c r="J3" i="28"/>
  <c r="J2" i="27"/>
  <c r="I25" i="48"/>
  <c r="I5" i="9"/>
  <c r="I4" i="45"/>
  <c r="K3" i="28"/>
  <c r="K2" i="27"/>
  <c r="J5" i="9"/>
  <c r="J4" i="45"/>
  <c r="L3" i="28"/>
  <c r="L2" i="27"/>
  <c r="K5" i="9"/>
  <c r="K4" i="45"/>
  <c r="M3" i="28"/>
  <c r="M2" i="27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Z5" i="9"/>
  <c r="L4" i="45"/>
  <c r="N3" i="28"/>
  <c r="N2" i="27"/>
  <c r="M4" i="45"/>
  <c r="O3" i="28"/>
  <c r="O2" i="27"/>
  <c r="N4" i="45"/>
  <c r="P3" i="28"/>
  <c r="P2" i="27"/>
  <c r="O4" i="45"/>
  <c r="Q3" i="28"/>
  <c r="Q2" i="27"/>
  <c r="P4" i="45"/>
  <c r="R3" i="28"/>
  <c r="R2" i="27"/>
  <c r="Q4" i="45"/>
  <c r="S3" i="28"/>
  <c r="S2" i="27"/>
  <c r="R4" i="45"/>
  <c r="T3" i="28"/>
  <c r="T2" i="27"/>
  <c r="S4" i="45"/>
  <c r="U3" i="28"/>
  <c r="U2" i="27"/>
  <c r="T4" i="45"/>
  <c r="V3" i="28"/>
  <c r="V2" i="27"/>
  <c r="U4" i="45"/>
  <c r="W3" i="28"/>
  <c r="W2" i="27"/>
  <c r="V4" i="45"/>
  <c r="X3" i="28"/>
  <c r="X2" i="27"/>
  <c r="W4" i="45"/>
  <c r="Y3" i="28"/>
  <c r="Y2" i="27"/>
  <c r="X4" i="45"/>
  <c r="Z3" i="28"/>
  <c r="Z2" i="27"/>
  <c r="Y4" i="45"/>
  <c r="AA3" i="28"/>
  <c r="AA2" i="27"/>
  <c r="Z4" i="45"/>
  <c r="AB3" i="28"/>
  <c r="AB2" i="27"/>
  <c r="X40" i="9"/>
  <c r="AC3" i="28"/>
  <c r="AC2" i="27"/>
  <c r="X13" i="45" a="1"/>
  <c r="Y40" i="9"/>
  <c r="AD3" i="28"/>
  <c r="AD2" i="27"/>
  <c r="Y13" i="45" a="1"/>
  <c r="AE3" i="28"/>
  <c r="AE2" i="27"/>
  <c r="AC14" i="28"/>
  <c r="AC15" i="27"/>
  <c r="AF3" i="28"/>
  <c r="AF2" i="27"/>
  <c r="AC7" i="27"/>
  <c r="AC7" i="28"/>
  <c r="AD14" i="28"/>
  <c r="AD15" i="27"/>
  <c r="AG3" i="28"/>
  <c r="AG2" i="27"/>
  <c r="AE14" i="28"/>
  <c r="AE15" i="27"/>
  <c r="AD7" i="27"/>
  <c r="AD7" i="28"/>
  <c r="AH3" i="28"/>
  <c r="AH2" i="27"/>
  <c r="AE7" i="27"/>
  <c r="AE7" i="28"/>
  <c r="AF14" i="28"/>
  <c r="AF15" i="27"/>
  <c r="AI3" i="28"/>
  <c r="AI2" i="27"/>
  <c r="AG14" i="28"/>
  <c r="AG15" i="27"/>
  <c r="AF7" i="27"/>
  <c r="AF7" i="28"/>
  <c r="AJ3" i="28"/>
  <c r="AJ2" i="27"/>
  <c r="AH14" i="28"/>
  <c r="AH15" i="27"/>
  <c r="AG7" i="27"/>
  <c r="AG7" i="28"/>
  <c r="AK3" i="28"/>
  <c r="AK2" i="27"/>
  <c r="AI14" i="28"/>
  <c r="AI15" i="27"/>
  <c r="AH7" i="28"/>
  <c r="AH7" i="27"/>
  <c r="AL3" i="28"/>
  <c r="AL2" i="27"/>
  <c r="AJ14" i="28"/>
  <c r="AJ15" i="27"/>
  <c r="AI7" i="27"/>
  <c r="AI7" i="28"/>
  <c r="AK14" i="28"/>
  <c r="AK15" i="27"/>
  <c r="AJ7" i="27"/>
  <c r="AJ7" i="28"/>
  <c r="AL14" i="28"/>
  <c r="AL15" i="27"/>
  <c r="AK7" i="27"/>
  <c r="AK7" i="28"/>
  <c r="AL7" i="28"/>
  <c r="AL7" i="27"/>
  <c r="AC27" i="27"/>
  <c r="AC22" i="28"/>
  <c r="AD27" i="27"/>
  <c r="AD22" i="28"/>
  <c r="AE27" i="27"/>
  <c r="AE22" i="28"/>
  <c r="AF22" i="28"/>
  <c r="AF27" i="27"/>
  <c r="AG27" i="27"/>
  <c r="AG22" i="28"/>
  <c r="AH22" i="28"/>
  <c r="AH27" i="27"/>
  <c r="AI27" i="27"/>
  <c r="AI22" i="28"/>
  <c r="AJ27" i="27"/>
  <c r="AJ22" i="28"/>
  <c r="AL27" i="27"/>
  <c r="AL22" i="28"/>
  <c r="AK27" i="27"/>
  <c r="AK22" i="28"/>
  <c r="Y13" i="45" l="1"/>
  <c r="Y49" i="45" s="1"/>
  <c r="X13" i="45"/>
  <c r="X38" i="45" s="1"/>
  <c r="D16" i="43"/>
  <c r="D19" i="43" s="1"/>
  <c r="AC18" i="28"/>
  <c r="H18" i="28"/>
  <c r="AK18" i="28"/>
  <c r="Q18" i="28"/>
  <c r="F18" i="28"/>
  <c r="AL18" i="28"/>
  <c r="AI18" i="28"/>
  <c r="W18" i="28"/>
  <c r="I18" i="28"/>
  <c r="AJ18" i="28"/>
  <c r="X18" i="28"/>
  <c r="P18" i="28"/>
  <c r="AE18" i="28"/>
  <c r="AH18" i="28"/>
  <c r="AB18" i="28"/>
  <c r="Y18" i="28"/>
  <c r="T18" i="28"/>
  <c r="O18" i="28"/>
  <c r="J18" i="28"/>
  <c r="G18" i="28"/>
  <c r="F12" i="26"/>
  <c r="V7" i="27"/>
  <c r="V7" i="28"/>
  <c r="AB7" i="27"/>
  <c r="N40" i="9"/>
  <c r="P7" i="28"/>
  <c r="W13" i="45" a="1"/>
  <c r="W13" i="45" s="1"/>
  <c r="W38" i="45" s="1"/>
  <c r="G6" i="52"/>
  <c r="E6" i="25" s="1"/>
  <c r="Z13" i="45" a="1"/>
  <c r="Z13" i="45" s="1"/>
  <c r="Z49" i="45" s="1"/>
  <c r="C6" i="52"/>
  <c r="T40" i="9"/>
  <c r="W51" i="9"/>
  <c r="B18" i="25"/>
  <c r="E9" i="25" s="1"/>
  <c r="B5" i="48" s="1"/>
  <c r="B6" i="48" s="1"/>
  <c r="C25" i="48" s="1"/>
  <c r="S7" i="28"/>
  <c r="Q51" i="9"/>
  <c r="T7" i="27"/>
  <c r="T7" i="28"/>
  <c r="R13" i="45" a="1"/>
  <c r="R13" i="45" s="1"/>
  <c r="R38" i="45" s="1"/>
  <c r="R51" i="9"/>
  <c r="R40" i="9"/>
  <c r="N49" i="45"/>
  <c r="N38" i="45"/>
  <c r="T49" i="45"/>
  <c r="T38" i="45"/>
  <c r="Q13" i="45" a="1"/>
  <c r="Q13" i="45" s="1"/>
  <c r="AB7" i="28"/>
  <c r="U13" i="45" a="1"/>
  <c r="U13" i="45" s="1"/>
  <c r="U38" i="45" s="1"/>
  <c r="Z40" i="9"/>
  <c r="T51" i="9"/>
  <c r="N51" i="9"/>
  <c r="R49" i="45"/>
  <c r="U40" i="9"/>
  <c r="O13" i="45" a="1"/>
  <c r="O13" i="45" s="1"/>
  <c r="O40" i="9"/>
  <c r="Q40" i="9"/>
  <c r="V49" i="45"/>
  <c r="V38" i="45"/>
  <c r="R7" i="28"/>
  <c r="P40" i="9"/>
  <c r="R7" i="27"/>
  <c r="P13" i="45" a="1"/>
  <c r="P13" i="45" s="1"/>
  <c r="Y7" i="27"/>
  <c r="Y7" i="28"/>
  <c r="X7" i="28"/>
  <c r="V40" i="9"/>
  <c r="X7" i="27"/>
  <c r="V51" i="9"/>
  <c r="AA7" i="27"/>
  <c r="AA7" i="28"/>
  <c r="Y51" i="9"/>
  <c r="U7" i="27"/>
  <c r="U7" i="28"/>
  <c r="S40" i="9"/>
  <c r="S13" i="45" a="1"/>
  <c r="S13" i="45" s="1"/>
  <c r="Z7" i="28"/>
  <c r="Z7" i="27"/>
  <c r="W7" i="28"/>
  <c r="W7" i="27"/>
  <c r="S51" i="9"/>
  <c r="S7" i="27"/>
  <c r="Q7" i="27"/>
  <c r="Q7" i="28"/>
  <c r="P7" i="27"/>
  <c r="Z38" i="45" l="1"/>
  <c r="W49" i="45"/>
  <c r="X49" i="45"/>
  <c r="Y38" i="45"/>
  <c r="D23" i="43"/>
  <c r="D25" i="43" s="1"/>
  <c r="E12" i="25" s="1"/>
  <c r="D21" i="43"/>
  <c r="F18" i="26"/>
  <c r="E14" i="25" s="1"/>
  <c r="E16" i="25"/>
  <c r="H12" i="26"/>
  <c r="H18" i="26" s="1"/>
  <c r="C6" i="48"/>
  <c r="C19" i="48" s="1"/>
  <c r="U49" i="45"/>
  <c r="Q49" i="45"/>
  <c r="Q38" i="45"/>
  <c r="O49" i="45"/>
  <c r="O38" i="45"/>
  <c r="S49" i="45"/>
  <c r="S38" i="45"/>
  <c r="C28" i="48"/>
  <c r="C59" i="48" s="1"/>
  <c r="F28" i="48"/>
  <c r="F59" i="48" s="1"/>
  <c r="L28" i="48"/>
  <c r="L59" i="48" s="1"/>
  <c r="Q28" i="48"/>
  <c r="Q59" i="48" s="1"/>
  <c r="G28" i="48"/>
  <c r="G59" i="48" s="1"/>
  <c r="M28" i="48"/>
  <c r="M59" i="48" s="1"/>
  <c r="P28" i="48"/>
  <c r="P59" i="48" s="1"/>
  <c r="T28" i="48"/>
  <c r="T59" i="48" s="1"/>
  <c r="D28" i="48"/>
  <c r="D59" i="48" s="1"/>
  <c r="H28" i="48"/>
  <c r="H59" i="48" s="1"/>
  <c r="N28" i="48"/>
  <c r="N59" i="48" s="1"/>
  <c r="I28" i="48"/>
  <c r="I59" i="48" s="1"/>
  <c r="K28" i="48"/>
  <c r="K59" i="48" s="1"/>
  <c r="V28" i="48"/>
  <c r="V59" i="48" s="1"/>
  <c r="O28" i="48"/>
  <c r="O59" i="48" s="1"/>
  <c r="S28" i="48"/>
  <c r="S59" i="48" s="1"/>
  <c r="R28" i="48"/>
  <c r="R59" i="48" s="1"/>
  <c r="Z28" i="48"/>
  <c r="Z59" i="48" s="1"/>
  <c r="U28" i="48"/>
  <c r="U59" i="48" s="1"/>
  <c r="E28" i="48"/>
  <c r="E59" i="48" s="1"/>
  <c r="Y28" i="48"/>
  <c r="Y59" i="48" s="1"/>
  <c r="J28" i="48"/>
  <c r="J59" i="48" s="1"/>
  <c r="W28" i="48"/>
  <c r="W59" i="48" s="1"/>
  <c r="AA28" i="48"/>
  <c r="AA59" i="48" s="1"/>
  <c r="X28" i="48"/>
  <c r="X59" i="48" s="1"/>
  <c r="P49" i="45"/>
  <c r="P38" i="45"/>
  <c r="I27" i="9" l="1"/>
  <c r="L27" i="9"/>
  <c r="B27" i="9"/>
  <c r="X24" i="45"/>
  <c r="N24" i="45"/>
  <c r="C24" i="45"/>
  <c r="V24" i="45"/>
  <c r="D24" i="45"/>
  <c r="O24" i="45"/>
  <c r="E27" i="9"/>
  <c r="H27" i="9"/>
  <c r="M27" i="9"/>
  <c r="P27" i="9"/>
  <c r="X27" i="9"/>
  <c r="Y27" i="9"/>
  <c r="W24" i="45"/>
  <c r="E24" i="45"/>
  <c r="H24" i="45"/>
  <c r="C27" i="9"/>
  <c r="R27" i="9"/>
  <c r="W27" i="9"/>
  <c r="Z27" i="9"/>
  <c r="M24" i="45"/>
  <c r="J24" i="45"/>
  <c r="U24" i="45"/>
  <c r="K24" i="45"/>
  <c r="G27" i="9"/>
  <c r="N27" i="9"/>
  <c r="V27" i="9"/>
  <c r="P24" i="45"/>
  <c r="T24" i="45"/>
  <c r="T27" i="9"/>
  <c r="F27" i="9"/>
  <c r="O27" i="9"/>
  <c r="S24" i="45"/>
  <c r="Z24" i="45"/>
  <c r="L24" i="45"/>
  <c r="J27" i="9"/>
  <c r="K27" i="9"/>
  <c r="S27" i="9"/>
  <c r="Y24" i="45"/>
  <c r="F24" i="45"/>
  <c r="U27" i="9"/>
  <c r="B24" i="45"/>
  <c r="Q24" i="45"/>
  <c r="G24" i="45"/>
  <c r="R24" i="45"/>
  <c r="I24" i="45"/>
  <c r="D27" i="9"/>
  <c r="Q27" i="9"/>
  <c r="D7" i="52"/>
  <c r="D8" i="52" s="1"/>
  <c r="D11" i="52" s="1"/>
  <c r="E7" i="52"/>
  <c r="E8" i="52" s="1"/>
  <c r="E11" i="52" s="1"/>
  <c r="C7" i="52"/>
  <c r="C8" i="52" s="1"/>
  <c r="C11" i="52" s="1"/>
  <c r="AL9" i="28"/>
  <c r="AC9" i="28"/>
  <c r="AJ9" i="28"/>
  <c r="AK9" i="28"/>
  <c r="AI9" i="28"/>
  <c r="AE9" i="28"/>
  <c r="AH9" i="28"/>
  <c r="AF9" i="28"/>
  <c r="AD9" i="28"/>
  <c r="AG9" i="28"/>
  <c r="F21" i="9"/>
  <c r="M21" i="9"/>
  <c r="P21" i="9"/>
  <c r="S21" i="9"/>
  <c r="B21" i="9"/>
  <c r="C21" i="9"/>
  <c r="N21" i="9"/>
  <c r="R21" i="9"/>
  <c r="E21" i="9"/>
  <c r="I21" i="9"/>
  <c r="J21" i="9"/>
  <c r="O21" i="9"/>
  <c r="H21" i="9"/>
  <c r="K21" i="9"/>
  <c r="Q21" i="9"/>
  <c r="W21" i="9"/>
  <c r="X21" i="9"/>
  <c r="D21" i="9"/>
  <c r="G21" i="9"/>
  <c r="L21" i="9"/>
  <c r="U21" i="9"/>
  <c r="V21" i="9"/>
  <c r="Y21" i="9"/>
  <c r="T21" i="9"/>
  <c r="Z21" i="9"/>
  <c r="C10" i="48"/>
  <c r="D6" i="48"/>
  <c r="D10" i="48" s="1"/>
  <c r="P14" i="28"/>
  <c r="P15" i="27" s="1"/>
  <c r="O63" i="48"/>
  <c r="O65" i="48"/>
  <c r="V63" i="48"/>
  <c r="W14" i="28"/>
  <c r="W15" i="27" s="1"/>
  <c r="V65" i="48"/>
  <c r="C63" i="48"/>
  <c r="D14" i="28"/>
  <c r="D15" i="27" s="1"/>
  <c r="C65" i="48"/>
  <c r="C60" i="48"/>
  <c r="D60" i="48" s="1"/>
  <c r="E60" i="48" s="1"/>
  <c r="F60" i="48" s="1"/>
  <c r="G60" i="48" s="1"/>
  <c r="H60" i="48" s="1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AA63" i="48"/>
  <c r="AA65" i="48"/>
  <c r="AB14" i="28"/>
  <c r="AB15" i="27" s="1"/>
  <c r="W63" i="48"/>
  <c r="X14" i="28"/>
  <c r="X15" i="27" s="1"/>
  <c r="W65" i="48"/>
  <c r="Y65" i="48"/>
  <c r="Z14" i="28"/>
  <c r="Z15" i="27" s="1"/>
  <c r="Y63" i="48"/>
  <c r="T63" i="48"/>
  <c r="U14" i="28"/>
  <c r="U15" i="27" s="1"/>
  <c r="T65" i="48"/>
  <c r="C20" i="48"/>
  <c r="B14" i="9"/>
  <c r="AA14" i="28"/>
  <c r="AA15" i="27" s="1"/>
  <c r="Z63" i="48"/>
  <c r="Z65" i="48"/>
  <c r="X63" i="48"/>
  <c r="X65" i="48"/>
  <c r="Y14" i="28"/>
  <c r="Y15" i="27" s="1"/>
  <c r="U63" i="48"/>
  <c r="V14" i="28"/>
  <c r="V15" i="27" s="1"/>
  <c r="U65" i="48"/>
  <c r="P63" i="48"/>
  <c r="P65" i="48"/>
  <c r="Q14" i="28"/>
  <c r="Q15" i="27" s="1"/>
  <c r="R63" i="48"/>
  <c r="R65" i="48"/>
  <c r="S14" i="28"/>
  <c r="S15" i="27" s="1"/>
  <c r="T14" i="28"/>
  <c r="T15" i="27" s="1"/>
  <c r="S63" i="48"/>
  <c r="S65" i="48"/>
  <c r="Q63" i="48"/>
  <c r="Q65" i="48"/>
  <c r="R14" i="28"/>
  <c r="R15" i="27" s="1"/>
  <c r="AD10" i="27" l="1"/>
  <c r="AD11" i="28"/>
  <c r="AF10" i="27"/>
  <c r="AF11" i="28"/>
  <c r="AH10" i="27"/>
  <c r="AH11" i="28"/>
  <c r="AE10" i="27"/>
  <c r="AE11" i="28"/>
  <c r="AI10" i="27"/>
  <c r="AI11" i="28"/>
  <c r="AK10" i="27"/>
  <c r="AK11" i="28"/>
  <c r="AJ11" i="28"/>
  <c r="AJ10" i="27"/>
  <c r="AC11" i="28"/>
  <c r="AC10" i="27"/>
  <c r="AL10" i="27"/>
  <c r="AL11" i="28"/>
  <c r="AG10" i="27"/>
  <c r="AG11" i="28"/>
  <c r="E6" i="48"/>
  <c r="E10" i="48" s="1"/>
  <c r="D19" i="48"/>
  <c r="C14" i="9" s="1"/>
  <c r="E7" i="27" s="1"/>
  <c r="C66" i="48"/>
  <c r="C67" i="48"/>
  <c r="C68" i="48" s="1"/>
  <c r="B16" i="9"/>
  <c r="B15" i="45" s="1" a="1"/>
  <c r="B15" i="45" s="1"/>
  <c r="P16" i="9"/>
  <c r="P15" i="45" s="1" a="1"/>
  <c r="P15" i="45" s="1"/>
  <c r="Q67" i="48"/>
  <c r="P18" i="9" s="1"/>
  <c r="P17" i="45" s="1" a="1"/>
  <c r="P17" i="45" s="1"/>
  <c r="O16" i="9"/>
  <c r="O15" i="45" s="1" a="1"/>
  <c r="O15" i="45" s="1"/>
  <c r="P67" i="48"/>
  <c r="O18" i="9" s="1"/>
  <c r="O17" i="45" s="1" a="1"/>
  <c r="O17" i="45" s="1"/>
  <c r="C64" i="48"/>
  <c r="Z16" i="9"/>
  <c r="Z15" i="45" s="1" a="1"/>
  <c r="Z15" i="45" s="1"/>
  <c r="AA67" i="48"/>
  <c r="Z18" i="9" s="1"/>
  <c r="Z17" i="45" s="1" a="1"/>
  <c r="Z17" i="45" s="1"/>
  <c r="C11" i="48"/>
  <c r="V67" i="48"/>
  <c r="U18" i="9" s="1"/>
  <c r="U17" i="45" s="1" a="1"/>
  <c r="U17" i="45" s="1"/>
  <c r="U16" i="9"/>
  <c r="U15" i="45" s="1" a="1"/>
  <c r="U15" i="45" s="1"/>
  <c r="S67" i="48"/>
  <c r="R18" i="9" s="1"/>
  <c r="R17" i="45" s="1" a="1"/>
  <c r="R17" i="45" s="1"/>
  <c r="R16" i="9"/>
  <c r="R15" i="45" s="1" a="1"/>
  <c r="R15" i="45" s="1"/>
  <c r="T16" i="9"/>
  <c r="T15" i="45" s="1" a="1"/>
  <c r="T15" i="45" s="1"/>
  <c r="U67" i="48"/>
  <c r="T18" i="9" s="1"/>
  <c r="T17" i="45" s="1" a="1"/>
  <c r="T17" i="45" s="1"/>
  <c r="W67" i="48"/>
  <c r="V18" i="9" s="1"/>
  <c r="V17" i="45" s="1" a="1"/>
  <c r="V17" i="45" s="1"/>
  <c r="V16" i="9"/>
  <c r="V15" i="45" s="1" a="1"/>
  <c r="V15" i="45" s="1"/>
  <c r="S16" i="9"/>
  <c r="S15" i="45" s="1" a="1"/>
  <c r="S15" i="45" s="1"/>
  <c r="T67" i="48"/>
  <c r="S18" i="9" s="1"/>
  <c r="S17" i="45" s="1" a="1"/>
  <c r="S17" i="45" s="1"/>
  <c r="O67" i="48"/>
  <c r="N18" i="9" s="1"/>
  <c r="N17" i="45" s="1" a="1"/>
  <c r="N17" i="45" s="1"/>
  <c r="N16" i="9"/>
  <c r="N15" i="45" s="1" a="1"/>
  <c r="N15" i="45" s="1"/>
  <c r="R67" i="48"/>
  <c r="Q18" i="9" s="1"/>
  <c r="Q17" i="45" s="1" a="1"/>
  <c r="Q17" i="45" s="1"/>
  <c r="Q16" i="9"/>
  <c r="Q15" i="45" s="1" a="1"/>
  <c r="Q15" i="45" s="1"/>
  <c r="W16" i="9"/>
  <c r="W15" i="45" s="1" a="1"/>
  <c r="W15" i="45" s="1"/>
  <c r="X67" i="48"/>
  <c r="W18" i="9" s="1"/>
  <c r="W17" i="45" s="1" a="1"/>
  <c r="W17" i="45" s="1"/>
  <c r="Y67" i="48"/>
  <c r="X18" i="9" s="1"/>
  <c r="X17" i="45" s="1" a="1"/>
  <c r="X17" i="45" s="1"/>
  <c r="X16" i="9"/>
  <c r="X15" i="45" s="1" a="1"/>
  <c r="X15" i="45" s="1"/>
  <c r="D7" i="27"/>
  <c r="D7" i="28"/>
  <c r="B51" i="9"/>
  <c r="B13" i="45"/>
  <c r="B49" i="45" s="1"/>
  <c r="C51" i="9"/>
  <c r="Y16" i="9"/>
  <c r="Y15" i="45" s="1" a="1"/>
  <c r="Y15" i="45" s="1"/>
  <c r="Z67" i="48"/>
  <c r="Y18" i="9" s="1"/>
  <c r="Y17" i="45" s="1" a="1"/>
  <c r="Y17" i="45" s="1"/>
  <c r="B18" i="9" l="1"/>
  <c r="B17" i="45" s="1" a="1"/>
  <c r="B17" i="45" s="1"/>
  <c r="D63" i="48"/>
  <c r="AK16" i="28"/>
  <c r="AK24" i="28"/>
  <c r="AI24" i="28"/>
  <c r="AI16" i="28"/>
  <c r="AG24" i="28"/>
  <c r="AG16" i="28"/>
  <c r="AE16" i="28"/>
  <c r="AE24" i="28"/>
  <c r="AL16" i="28"/>
  <c r="AL24" i="28"/>
  <c r="AH16" i="28"/>
  <c r="AH24" i="28"/>
  <c r="AF24" i="28"/>
  <c r="AF16" i="28"/>
  <c r="AC16" i="28"/>
  <c r="AC24" i="28"/>
  <c r="AD24" i="28"/>
  <c r="AD16" i="28"/>
  <c r="AJ16" i="28"/>
  <c r="AJ24" i="28"/>
  <c r="D20" i="48"/>
  <c r="D11" i="48" s="1"/>
  <c r="F6" i="48"/>
  <c r="F10" i="48" s="1"/>
  <c r="C13" i="45" a="1"/>
  <c r="C13" i="45" s="1"/>
  <c r="C49" i="45" s="1"/>
  <c r="E7" i="28"/>
  <c r="E19" i="48"/>
  <c r="E63" i="48" s="1"/>
  <c r="D65" i="48"/>
  <c r="D66" i="48" s="1"/>
  <c r="E14" i="28"/>
  <c r="E15" i="27" s="1"/>
  <c r="D64" i="48"/>
  <c r="C12" i="48"/>
  <c r="F19" i="48"/>
  <c r="G6" i="48"/>
  <c r="E65" i="48"/>
  <c r="C13" i="48"/>
  <c r="D14" i="9" l="1"/>
  <c r="F14" i="28"/>
  <c r="F15" i="27" s="1"/>
  <c r="AH20" i="28"/>
  <c r="AH8" i="27" s="1"/>
  <c r="AH12" i="27" s="1"/>
  <c r="AH17" i="27" s="1"/>
  <c r="AH26" i="28"/>
  <c r="AH28" i="28" s="1"/>
  <c r="AL20" i="28"/>
  <c r="AL8" i="27" s="1"/>
  <c r="AL12" i="27" s="1"/>
  <c r="AL17" i="27" s="1"/>
  <c r="AL26" i="28"/>
  <c r="AL28" i="28" s="1"/>
  <c r="AJ20" i="28"/>
  <c r="AJ8" i="27" s="1"/>
  <c r="AJ12" i="27" s="1"/>
  <c r="AJ17" i="27" s="1"/>
  <c r="AJ26" i="28"/>
  <c r="AJ28" i="28" s="1"/>
  <c r="AE20" i="28"/>
  <c r="AE8" i="27" s="1"/>
  <c r="AE12" i="27" s="1"/>
  <c r="AE17" i="27" s="1"/>
  <c r="AE26" i="28"/>
  <c r="AE28" i="28" s="1"/>
  <c r="AD20" i="28"/>
  <c r="AD8" i="27" s="1"/>
  <c r="AD12" i="27" s="1"/>
  <c r="AD17" i="27" s="1"/>
  <c r="AD26" i="28"/>
  <c r="AD28" i="28" s="1"/>
  <c r="AG20" i="28"/>
  <c r="AG8" i="27" s="1"/>
  <c r="AG12" i="27" s="1"/>
  <c r="AG17" i="27" s="1"/>
  <c r="AG26" i="28"/>
  <c r="AG28" i="28" s="1"/>
  <c r="AI20" i="28"/>
  <c r="AI8" i="27" s="1"/>
  <c r="AI12" i="27" s="1"/>
  <c r="AI17" i="27" s="1"/>
  <c r="AI26" i="28"/>
  <c r="AI28" i="28" s="1"/>
  <c r="AC20" i="28"/>
  <c r="AC8" i="27" s="1"/>
  <c r="AC12" i="27" s="1"/>
  <c r="AC17" i="27" s="1"/>
  <c r="AC26" i="28"/>
  <c r="AC28" i="28" s="1"/>
  <c r="AF26" i="28"/>
  <c r="AF28" i="28" s="1"/>
  <c r="AF20" i="28"/>
  <c r="AF8" i="27" s="1"/>
  <c r="AF12" i="27" s="1"/>
  <c r="AF17" i="27" s="1"/>
  <c r="AK20" i="28"/>
  <c r="AK8" i="27" s="1"/>
  <c r="AK12" i="27" s="1"/>
  <c r="AK17" i="27" s="1"/>
  <c r="AK26" i="28"/>
  <c r="AK28" i="28" s="1"/>
  <c r="E20" i="48"/>
  <c r="E11" i="48" s="1"/>
  <c r="C16" i="9"/>
  <c r="C15" i="45" s="1" a="1"/>
  <c r="C15" i="45" s="1"/>
  <c r="D67" i="48"/>
  <c r="C16" i="48"/>
  <c r="B23" i="9" s="1"/>
  <c r="F7" i="27"/>
  <c r="F7" i="28"/>
  <c r="D51" i="9"/>
  <c r="D13" i="45" a="1"/>
  <c r="D13" i="45" s="1"/>
  <c r="D49" i="45" s="1"/>
  <c r="G19" i="48"/>
  <c r="H6" i="48"/>
  <c r="G10" i="48"/>
  <c r="D13" i="48"/>
  <c r="E66" i="48"/>
  <c r="D16" i="9"/>
  <c r="D15" i="45" s="1" a="1"/>
  <c r="D15" i="45" s="1"/>
  <c r="E67" i="48"/>
  <c r="D18" i="9" s="1"/>
  <c r="D17" i="45" s="1" a="1"/>
  <c r="D17" i="45" s="1"/>
  <c r="E14" i="9"/>
  <c r="G14" i="28"/>
  <c r="G15" i="27" s="1"/>
  <c r="F63" i="48"/>
  <c r="F65" i="48"/>
  <c r="E64" i="48"/>
  <c r="AD21" i="27" l="1"/>
  <c r="AD25" i="27" s="1"/>
  <c r="AD29" i="27"/>
  <c r="AD31" i="27" s="1"/>
  <c r="AK21" i="27"/>
  <c r="AK25" i="27" s="1"/>
  <c r="AK29" i="27"/>
  <c r="AK31" i="27" s="1"/>
  <c r="AE29" i="27"/>
  <c r="AE31" i="27" s="1"/>
  <c r="AE21" i="27"/>
  <c r="AE25" i="27" s="1"/>
  <c r="AG21" i="27"/>
  <c r="AG25" i="27" s="1"/>
  <c r="AG29" i="27"/>
  <c r="AG31" i="27" s="1"/>
  <c r="AJ29" i="27"/>
  <c r="AJ31" i="27" s="1"/>
  <c r="AJ21" i="27"/>
  <c r="AJ25" i="27" s="1"/>
  <c r="AC21" i="27"/>
  <c r="AC25" i="27" s="1"/>
  <c r="AC29" i="27"/>
  <c r="AC31" i="27" s="1"/>
  <c r="AF21" i="27"/>
  <c r="AF25" i="27" s="1"/>
  <c r="AF29" i="27"/>
  <c r="AF31" i="27" s="1"/>
  <c r="AL21" i="27"/>
  <c r="AL25" i="27" s="1"/>
  <c r="AL29" i="27"/>
  <c r="AL31" i="27" s="1"/>
  <c r="AI29" i="27"/>
  <c r="AI31" i="27" s="1"/>
  <c r="AI21" i="27"/>
  <c r="AI25" i="27" s="1"/>
  <c r="AH21" i="27"/>
  <c r="AH25" i="27" s="1"/>
  <c r="AH29" i="27"/>
  <c r="AH31" i="27" s="1"/>
  <c r="F20" i="48"/>
  <c r="F11" i="48" s="1"/>
  <c r="C18" i="9"/>
  <c r="C17" i="45" s="1" a="1"/>
  <c r="C17" i="45" s="1"/>
  <c r="D68" i="48"/>
  <c r="D12" i="48" s="1"/>
  <c r="D16" i="48" s="1"/>
  <c r="B47" i="25"/>
  <c r="B7" i="9" s="1"/>
  <c r="E13" i="48"/>
  <c r="F66" i="48"/>
  <c r="H10" i="48"/>
  <c r="H19" i="48"/>
  <c r="I6" i="48"/>
  <c r="F14" i="9"/>
  <c r="G65" i="48"/>
  <c r="H14" i="28"/>
  <c r="H15" i="27" s="1"/>
  <c r="G63" i="48"/>
  <c r="E16" i="9"/>
  <c r="E15" i="45" s="1" a="1"/>
  <c r="E15" i="45" s="1"/>
  <c r="F67" i="48"/>
  <c r="E18" i="9" s="1"/>
  <c r="E17" i="45" s="1" a="1"/>
  <c r="E17" i="45" s="1"/>
  <c r="F64" i="48"/>
  <c r="G7" i="27"/>
  <c r="G7" i="28"/>
  <c r="E51" i="9"/>
  <c r="E13" i="45" a="1"/>
  <c r="E13" i="45" s="1"/>
  <c r="E49" i="45" s="1"/>
  <c r="B24" i="9"/>
  <c r="B46" i="9"/>
  <c r="D9" i="28"/>
  <c r="D10" i="27" s="1"/>
  <c r="B20" i="45" a="1"/>
  <c r="B20" i="45" s="1"/>
  <c r="B44" i="9"/>
  <c r="C47" i="25" l="1"/>
  <c r="C7" i="9" s="1"/>
  <c r="C23" i="9"/>
  <c r="C24" i="9" s="1"/>
  <c r="E68" i="48"/>
  <c r="E12" i="48" s="1"/>
  <c r="E16" i="48" s="1"/>
  <c r="D23" i="9" s="1"/>
  <c r="G20" i="48"/>
  <c r="B52" i="25"/>
  <c r="H7" i="27"/>
  <c r="H7" i="28"/>
  <c r="F13" i="45" a="1"/>
  <c r="F13" i="45" s="1"/>
  <c r="F49" i="45" s="1"/>
  <c r="F51" i="9"/>
  <c r="F16" i="9"/>
  <c r="F15" i="45" s="1" a="1"/>
  <c r="F15" i="45" s="1"/>
  <c r="G67" i="48"/>
  <c r="F18" i="9" s="1"/>
  <c r="F17" i="45" s="1" a="1"/>
  <c r="F17" i="45" s="1"/>
  <c r="I10" i="48"/>
  <c r="I19" i="48"/>
  <c r="J6" i="48"/>
  <c r="G14" i="9"/>
  <c r="I14" i="28"/>
  <c r="I15" i="27" s="1"/>
  <c r="H63" i="48"/>
  <c r="H65" i="48"/>
  <c r="D47" i="25"/>
  <c r="G11" i="48"/>
  <c r="H20" i="48"/>
  <c r="B44" i="45"/>
  <c r="B42" i="45"/>
  <c r="B21" i="45" a="1"/>
  <c r="B21" i="45" s="1"/>
  <c r="B53" i="9"/>
  <c r="B13" i="9"/>
  <c r="B6" i="45" a="1"/>
  <c r="B6" i="45" s="1"/>
  <c r="G64" i="48"/>
  <c r="G66" i="48"/>
  <c r="F13" i="48"/>
  <c r="E9" i="28" l="1"/>
  <c r="E10" i="27" s="1"/>
  <c r="F68" i="48"/>
  <c r="G68" i="48" s="1"/>
  <c r="G12" i="48" s="1"/>
  <c r="C20" i="45" a="1"/>
  <c r="C20" i="45" s="1"/>
  <c r="C44" i="45" s="1"/>
  <c r="C52" i="25"/>
  <c r="C44" i="9"/>
  <c r="C46" i="9"/>
  <c r="I7" i="28"/>
  <c r="I7" i="27"/>
  <c r="G13" i="45" a="1"/>
  <c r="G13" i="45" s="1"/>
  <c r="G49" i="45" s="1"/>
  <c r="G51" i="9"/>
  <c r="F9" i="28"/>
  <c r="F10" i="27" s="1"/>
  <c r="D24" i="9"/>
  <c r="D44" i="9"/>
  <c r="D46" i="9"/>
  <c r="D20" i="45" a="1"/>
  <c r="D20" i="45" s="1"/>
  <c r="G16" i="9"/>
  <c r="G15" i="45" s="1" a="1"/>
  <c r="G15" i="45" s="1"/>
  <c r="H67" i="48"/>
  <c r="H14" i="9"/>
  <c r="I63" i="48"/>
  <c r="I65" i="48"/>
  <c r="J14" i="28"/>
  <c r="J15" i="27" s="1"/>
  <c r="B51" i="45"/>
  <c r="H64" i="48"/>
  <c r="C13" i="9"/>
  <c r="C6" i="45" a="1"/>
  <c r="C6" i="45" s="1"/>
  <c r="G13" i="48"/>
  <c r="H66" i="48"/>
  <c r="H11" i="48"/>
  <c r="I20" i="48"/>
  <c r="C53" i="9"/>
  <c r="C21" i="45" a="1"/>
  <c r="C21" i="45" s="1"/>
  <c r="D7" i="9"/>
  <c r="D52" i="25"/>
  <c r="D6" i="27"/>
  <c r="B50" i="9"/>
  <c r="B40" i="9"/>
  <c r="D6" i="28"/>
  <c r="D11" i="28" s="1"/>
  <c r="D16" i="28" s="1"/>
  <c r="B12" i="45"/>
  <c r="J10" i="48"/>
  <c r="J19" i="48"/>
  <c r="K6" i="48"/>
  <c r="C42" i="45" l="1"/>
  <c r="F12" i="48"/>
  <c r="F16" i="48" s="1"/>
  <c r="E23" i="9" s="1"/>
  <c r="H68" i="48"/>
  <c r="H12" i="48" s="1"/>
  <c r="G16" i="48"/>
  <c r="F23" i="9" s="1"/>
  <c r="E6" i="27"/>
  <c r="E6" i="28"/>
  <c r="E11" i="28" s="1"/>
  <c r="E16" i="28" s="1"/>
  <c r="C12" i="45" a="1"/>
  <c r="C12" i="45" s="1"/>
  <c r="C50" i="9"/>
  <c r="C40" i="9"/>
  <c r="D21" i="45" a="1"/>
  <c r="D21" i="45" s="1"/>
  <c r="D53" i="9"/>
  <c r="G18" i="9"/>
  <c r="G17" i="45" s="1" a="1"/>
  <c r="G17" i="45" s="1"/>
  <c r="C51" i="45"/>
  <c r="K10" i="48"/>
  <c r="K19" i="48"/>
  <c r="L6" i="48"/>
  <c r="D44" i="45"/>
  <c r="D42" i="45"/>
  <c r="D13" i="9"/>
  <c r="D6" i="45" a="1"/>
  <c r="D6" i="45" s="1"/>
  <c r="I64" i="48"/>
  <c r="I67" i="48"/>
  <c r="H16" i="9"/>
  <c r="H15" i="45" s="1" a="1"/>
  <c r="H15" i="45" s="1"/>
  <c r="D20" i="28"/>
  <c r="I11" i="48"/>
  <c r="J20" i="48"/>
  <c r="I14" i="9"/>
  <c r="J65" i="48"/>
  <c r="K14" i="28"/>
  <c r="K15" i="27" s="1"/>
  <c r="J63" i="48"/>
  <c r="B48" i="45"/>
  <c r="B38" i="45"/>
  <c r="H13" i="48"/>
  <c r="I66" i="48"/>
  <c r="J7" i="27"/>
  <c r="J7" i="28"/>
  <c r="H51" i="9"/>
  <c r="H13" i="45" a="1"/>
  <c r="H13" i="45" s="1"/>
  <c r="H49" i="45" s="1"/>
  <c r="I68" i="48" l="1"/>
  <c r="I12" i="48" s="1"/>
  <c r="E47" i="25"/>
  <c r="E7" i="9" s="1"/>
  <c r="H18" i="9"/>
  <c r="H17" i="45" s="1" a="1"/>
  <c r="H17" i="45" s="1"/>
  <c r="H16" i="48"/>
  <c r="G47" i="25" s="1"/>
  <c r="F47" i="25"/>
  <c r="F52" i="25" s="1"/>
  <c r="J11" i="48"/>
  <c r="K20" i="48"/>
  <c r="L10" i="48"/>
  <c r="L19" i="48"/>
  <c r="M6" i="48"/>
  <c r="C48" i="45"/>
  <c r="C38" i="45"/>
  <c r="J14" i="9"/>
  <c r="K63" i="48"/>
  <c r="L14" i="28"/>
  <c r="L15" i="27" s="1"/>
  <c r="K65" i="48"/>
  <c r="E20" i="28"/>
  <c r="E24" i="9"/>
  <c r="G9" i="28"/>
  <c r="G10" i="27" s="1"/>
  <c r="E46" i="9"/>
  <c r="E44" i="9"/>
  <c r="E20" i="45" a="1"/>
  <c r="E20" i="45" s="1"/>
  <c r="D8" i="27"/>
  <c r="D12" i="27" s="1"/>
  <c r="D17" i="27" s="1"/>
  <c r="D21" i="27" s="1"/>
  <c r="D25" i="27" s="1"/>
  <c r="B17" i="9" s="1"/>
  <c r="B16" i="45" s="1" a="1"/>
  <c r="B16" i="45" s="1"/>
  <c r="B15" i="9"/>
  <c r="K7" i="27"/>
  <c r="K7" i="28"/>
  <c r="I51" i="9"/>
  <c r="I13" i="45" a="1"/>
  <c r="I13" i="45" s="1"/>
  <c r="I49" i="45" s="1"/>
  <c r="D51" i="45"/>
  <c r="I16" i="9"/>
  <c r="I15" i="45" s="1" a="1"/>
  <c r="I15" i="45" s="1"/>
  <c r="J67" i="48"/>
  <c r="G23" i="9"/>
  <c r="E52" i="25"/>
  <c r="I13" i="48"/>
  <c r="J66" i="48"/>
  <c r="J64" i="48"/>
  <c r="H9" i="28"/>
  <c r="H10" i="27" s="1"/>
  <c r="F24" i="9"/>
  <c r="F20" i="45" a="1"/>
  <c r="F20" i="45" s="1"/>
  <c r="F46" i="9"/>
  <c r="F44" i="9"/>
  <c r="F6" i="27"/>
  <c r="F6" i="28"/>
  <c r="F11" i="28" s="1"/>
  <c r="F16" i="28" s="1"/>
  <c r="D12" i="45" a="1"/>
  <c r="D12" i="45" s="1"/>
  <c r="D50" i="9"/>
  <c r="D40" i="9"/>
  <c r="J68" i="48" l="1"/>
  <c r="I18" i="9"/>
  <c r="I17" i="45" s="1" a="1"/>
  <c r="I17" i="45" s="1"/>
  <c r="F7" i="9"/>
  <c r="F13" i="9" s="1"/>
  <c r="I16" i="48"/>
  <c r="H23" i="9" s="1"/>
  <c r="F44" i="45"/>
  <c r="F42" i="45"/>
  <c r="B14" i="45" a="1"/>
  <c r="B14" i="45" s="1"/>
  <c r="B19" i="9"/>
  <c r="F21" i="45" a="1"/>
  <c r="F21" i="45" s="1"/>
  <c r="F53" i="9"/>
  <c r="E44" i="45"/>
  <c r="E42" i="45"/>
  <c r="M19" i="48"/>
  <c r="N6" i="48"/>
  <c r="M10" i="48"/>
  <c r="K64" i="48"/>
  <c r="J12" i="48"/>
  <c r="K14" i="9"/>
  <c r="M14" i="28"/>
  <c r="M15" i="27" s="1"/>
  <c r="L63" i="48"/>
  <c r="L65" i="48"/>
  <c r="D48" i="45"/>
  <c r="D38" i="45"/>
  <c r="L7" i="27"/>
  <c r="L7" i="28"/>
  <c r="J51" i="9"/>
  <c r="J13" i="45" a="1"/>
  <c r="J13" i="45" s="1"/>
  <c r="J49" i="45" s="1"/>
  <c r="F20" i="28"/>
  <c r="J13" i="48"/>
  <c r="K66" i="48"/>
  <c r="E21" i="45" a="1"/>
  <c r="E21" i="45" s="1"/>
  <c r="E53" i="9"/>
  <c r="L20" i="48"/>
  <c r="K11" i="48"/>
  <c r="E8" i="27"/>
  <c r="E12" i="27" s="1"/>
  <c r="E17" i="27" s="1"/>
  <c r="E21" i="27" s="1"/>
  <c r="E25" i="27" s="1"/>
  <c r="C17" i="9" s="1"/>
  <c r="C16" i="45" s="1" a="1"/>
  <c r="C16" i="45" s="1"/>
  <c r="C15" i="9"/>
  <c r="G7" i="9"/>
  <c r="G52" i="25"/>
  <c r="I9" i="28"/>
  <c r="I10" i="27" s="1"/>
  <c r="G24" i="9"/>
  <c r="G20" i="45" a="1"/>
  <c r="G20" i="45" s="1"/>
  <c r="G44" i="9"/>
  <c r="G46" i="9"/>
  <c r="E13" i="9"/>
  <c r="E6" i="45" a="1"/>
  <c r="E6" i="45" s="1"/>
  <c r="J16" i="9"/>
  <c r="J15" i="45" s="1" a="1"/>
  <c r="J15" i="45" s="1"/>
  <c r="K67" i="48"/>
  <c r="J18" i="9" s="1"/>
  <c r="J17" i="45" s="1" a="1"/>
  <c r="J17" i="45" s="1"/>
  <c r="F6" i="45" l="1" a="1"/>
  <c r="F6" i="45" s="1"/>
  <c r="J16" i="48"/>
  <c r="I23" i="9" s="1"/>
  <c r="H47" i="25"/>
  <c r="H52" i="25" s="1"/>
  <c r="M7" i="27"/>
  <c r="M7" i="28"/>
  <c r="K51" i="9"/>
  <c r="K13" i="45" a="1"/>
  <c r="K13" i="45" s="1"/>
  <c r="K49" i="45" s="1"/>
  <c r="C14" i="45" a="1"/>
  <c r="C14" i="45" s="1"/>
  <c r="C19" i="9"/>
  <c r="D15" i="9"/>
  <c r="F8" i="27"/>
  <c r="F12" i="27" s="1"/>
  <c r="F17" i="27" s="1"/>
  <c r="F21" i="27" s="1"/>
  <c r="F25" i="27" s="1"/>
  <c r="D17" i="9" s="1"/>
  <c r="D16" i="45" s="1" a="1"/>
  <c r="D16" i="45" s="1"/>
  <c r="B18" i="45" a="1"/>
  <c r="B18" i="45" s="1"/>
  <c r="B23" i="45" s="1"/>
  <c r="B25" i="45" s="1"/>
  <c r="B26" i="9"/>
  <c r="B28" i="9" s="1"/>
  <c r="K16" i="9"/>
  <c r="K15" i="45" s="1" a="1"/>
  <c r="K15" i="45" s="1"/>
  <c r="L67" i="48"/>
  <c r="K18" i="9" s="1"/>
  <c r="K17" i="45" s="1" a="1"/>
  <c r="K17" i="45" s="1"/>
  <c r="K13" i="48"/>
  <c r="L66" i="48"/>
  <c r="L64" i="48"/>
  <c r="H6" i="27"/>
  <c r="H6" i="28"/>
  <c r="H11" i="28" s="1"/>
  <c r="H16" i="28" s="1"/>
  <c r="F12" i="45" a="1"/>
  <c r="F12" i="45" s="1"/>
  <c r="F50" i="9"/>
  <c r="F40" i="9"/>
  <c r="G6" i="27"/>
  <c r="G6" i="28"/>
  <c r="G11" i="28" s="1"/>
  <c r="G16" i="28" s="1"/>
  <c r="E40" i="9"/>
  <c r="E12" i="45" a="1"/>
  <c r="E12" i="45" s="1"/>
  <c r="E50" i="9"/>
  <c r="G13" i="9"/>
  <c r="G6" i="45" a="1"/>
  <c r="G6" i="45" s="1"/>
  <c r="G42" i="45"/>
  <c r="G44" i="45"/>
  <c r="L11" i="48"/>
  <c r="M20" i="48"/>
  <c r="N10" i="48"/>
  <c r="N19" i="48"/>
  <c r="O6" i="48"/>
  <c r="K68" i="48"/>
  <c r="E51" i="45"/>
  <c r="F51" i="45"/>
  <c r="L14" i="9"/>
  <c r="M65" i="48"/>
  <c r="N14" i="28"/>
  <c r="N15" i="27" s="1"/>
  <c r="M63" i="48"/>
  <c r="G21" i="45" a="1"/>
  <c r="G21" i="45" s="1"/>
  <c r="G53" i="9"/>
  <c r="J9" i="28"/>
  <c r="J10" i="27" s="1"/>
  <c r="H24" i="9"/>
  <c r="H44" i="9"/>
  <c r="H46" i="9"/>
  <c r="H20" i="45" a="1"/>
  <c r="H20" i="45" s="1"/>
  <c r="I47" i="25" l="1"/>
  <c r="I52" i="25" s="1"/>
  <c r="H7" i="9"/>
  <c r="L68" i="48"/>
  <c r="L12" i="48" s="1"/>
  <c r="B29" i="45"/>
  <c r="B39" i="45"/>
  <c r="B40" i="45" s="1"/>
  <c r="B50" i="45"/>
  <c r="B52" i="45" s="1"/>
  <c r="B37" i="45"/>
  <c r="B32" i="9"/>
  <c r="B52" i="9"/>
  <c r="B54" i="9" s="1"/>
  <c r="B41" i="9"/>
  <c r="B42" i="9" s="1"/>
  <c r="D22" i="28"/>
  <c r="B39" i="9"/>
  <c r="D27" i="27"/>
  <c r="D29" i="27" s="1"/>
  <c r="D31" i="27" s="1"/>
  <c r="K9" i="28"/>
  <c r="K10" i="27" s="1"/>
  <c r="I24" i="9"/>
  <c r="I46" i="9"/>
  <c r="I44" i="9"/>
  <c r="I20" i="45" a="1"/>
  <c r="I20" i="45" s="1"/>
  <c r="F48" i="45"/>
  <c r="F38" i="45"/>
  <c r="H20" i="28"/>
  <c r="H13" i="9"/>
  <c r="H6" i="45" a="1"/>
  <c r="C18" i="45" a="1"/>
  <c r="C18" i="45" s="1"/>
  <c r="C23" i="45" s="1"/>
  <c r="C25" i="45" s="1"/>
  <c r="C26" i="9"/>
  <c r="C28" i="9" s="1"/>
  <c r="I7" i="9"/>
  <c r="D14" i="45" a="1"/>
  <c r="D14" i="45" s="1"/>
  <c r="D19" i="9"/>
  <c r="O10" i="48"/>
  <c r="P6" i="48"/>
  <c r="I6" i="28"/>
  <c r="I11" i="28" s="1"/>
  <c r="I16" i="28" s="1"/>
  <c r="I6" i="27"/>
  <c r="G40" i="9"/>
  <c r="G50" i="9"/>
  <c r="G12" i="45" a="1"/>
  <c r="G12" i="45" s="1"/>
  <c r="M14" i="9"/>
  <c r="O14" i="28"/>
  <c r="O15" i="27" s="1"/>
  <c r="N65" i="48"/>
  <c r="N63" i="48"/>
  <c r="K12" i="48"/>
  <c r="K16" i="48" s="1"/>
  <c r="H21" i="45" a="1"/>
  <c r="H21" i="45" s="1"/>
  <c r="H53" i="9"/>
  <c r="M64" i="48"/>
  <c r="G51" i="45"/>
  <c r="E48" i="45"/>
  <c r="E38" i="45"/>
  <c r="N7" i="27"/>
  <c r="N7" i="28"/>
  <c r="L51" i="9"/>
  <c r="L13" i="45" a="1"/>
  <c r="L13" i="45" s="1"/>
  <c r="L49" i="45" s="1"/>
  <c r="M11" i="48"/>
  <c r="N20" i="48"/>
  <c r="H42" i="45"/>
  <c r="H44" i="45"/>
  <c r="L13" i="48"/>
  <c r="M66" i="48"/>
  <c r="G20" i="28"/>
  <c r="L16" i="9"/>
  <c r="L15" i="45" s="1" a="1"/>
  <c r="L15" i="45" s="1"/>
  <c r="M67" i="48"/>
  <c r="M68" i="48" s="1"/>
  <c r="H6" i="45" l="1"/>
  <c r="L18" i="9"/>
  <c r="L17" i="45" s="1" a="1"/>
  <c r="L17" i="45" s="1"/>
  <c r="B43" i="9"/>
  <c r="B45" i="9" s="1"/>
  <c r="B47" i="9" s="1"/>
  <c r="B48" i="9" s="1"/>
  <c r="L16" i="48"/>
  <c r="K47" i="25" s="1"/>
  <c r="K23" i="9"/>
  <c r="P10" i="48"/>
  <c r="Q6" i="48"/>
  <c r="D24" i="28"/>
  <c r="D26" i="28"/>
  <c r="D28" i="28" s="1"/>
  <c r="D18" i="45" a="1"/>
  <c r="D18" i="45" s="1"/>
  <c r="D23" i="45" s="1"/>
  <c r="D25" i="45" s="1"/>
  <c r="D26" i="9"/>
  <c r="D28" i="9" s="1"/>
  <c r="M16" i="9"/>
  <c r="M15" i="45" s="1" a="1"/>
  <c r="M15" i="45" s="1"/>
  <c r="N67" i="48"/>
  <c r="M18" i="9" s="1"/>
  <c r="M17" i="45" s="1" a="1"/>
  <c r="M17" i="45" s="1"/>
  <c r="J6" i="28"/>
  <c r="J11" i="28" s="1"/>
  <c r="J16" i="28" s="1"/>
  <c r="J6" i="27"/>
  <c r="H12" i="45" a="1"/>
  <c r="H12" i="45" s="1"/>
  <c r="H50" i="9"/>
  <c r="H40" i="9"/>
  <c r="E15" i="9"/>
  <c r="G8" i="27"/>
  <c r="G12" i="27" s="1"/>
  <c r="G17" i="27" s="1"/>
  <c r="G21" i="27" s="1"/>
  <c r="G25" i="27" s="1"/>
  <c r="E17" i="9" s="1"/>
  <c r="E16" i="45" s="1" a="1"/>
  <c r="E16" i="45" s="1"/>
  <c r="O7" i="28"/>
  <c r="O7" i="27"/>
  <c r="M13" i="45" a="1"/>
  <c r="M13" i="45" s="1"/>
  <c r="M49" i="45" s="1"/>
  <c r="M51" i="9"/>
  <c r="I13" i="9"/>
  <c r="I6" i="45" a="1"/>
  <c r="I6" i="45" s="1"/>
  <c r="I44" i="45"/>
  <c r="I42" i="45"/>
  <c r="G48" i="45"/>
  <c r="G38" i="45"/>
  <c r="B41" i="45"/>
  <c r="B43" i="45" s="1"/>
  <c r="I20" i="28"/>
  <c r="J47" i="25"/>
  <c r="J23" i="9"/>
  <c r="F15" i="9"/>
  <c r="H8" i="27"/>
  <c r="H12" i="27" s="1"/>
  <c r="H17" i="27" s="1"/>
  <c r="H21" i="27" s="1"/>
  <c r="H25" i="27" s="1"/>
  <c r="F17" i="9" s="1"/>
  <c r="F16" i="45" s="1" a="1"/>
  <c r="F16" i="45" s="1"/>
  <c r="C32" i="9"/>
  <c r="E27" i="27"/>
  <c r="E29" i="27" s="1"/>
  <c r="E31" i="27" s="1"/>
  <c r="C41" i="9"/>
  <c r="C42" i="9" s="1"/>
  <c r="E22" i="28"/>
  <c r="C39" i="9"/>
  <c r="C52" i="9"/>
  <c r="C54" i="9" s="1"/>
  <c r="H51" i="45"/>
  <c r="M13" i="48"/>
  <c r="N66" i="48"/>
  <c r="I21" i="45" a="1"/>
  <c r="I21" i="45" s="1"/>
  <c r="I53" i="9"/>
  <c r="C29" i="45"/>
  <c r="C39" i="45"/>
  <c r="C40" i="45" s="1"/>
  <c r="C50" i="45"/>
  <c r="C52" i="45" s="1"/>
  <c r="C37" i="45"/>
  <c r="N11" i="48"/>
  <c r="O20" i="48"/>
  <c r="N64" i="48"/>
  <c r="M12" i="48"/>
  <c r="B30" i="45"/>
  <c r="B45" i="45" l="1"/>
  <c r="B46" i="45" s="1"/>
  <c r="C43" i="9"/>
  <c r="C45" i="9" s="1"/>
  <c r="C47" i="9" s="1"/>
  <c r="C48" i="9" s="1"/>
  <c r="M16" i="48"/>
  <c r="L23" i="9" s="1"/>
  <c r="E14" i="45" a="1"/>
  <c r="E14" i="45" s="1"/>
  <c r="E19" i="9"/>
  <c r="E24" i="28"/>
  <c r="E26" i="28"/>
  <c r="E28" i="28" s="1"/>
  <c r="D32" i="9"/>
  <c r="D52" i="9"/>
  <c r="D54" i="9" s="1"/>
  <c r="F27" i="27"/>
  <c r="F29" i="27" s="1"/>
  <c r="F31" i="27" s="1"/>
  <c r="D41" i="9"/>
  <c r="D42" i="9" s="1"/>
  <c r="F22" i="28"/>
  <c r="D39" i="9"/>
  <c r="D29" i="45"/>
  <c r="D39" i="45"/>
  <c r="D40" i="45" s="1"/>
  <c r="D50" i="45"/>
  <c r="D52" i="45" s="1"/>
  <c r="D37" i="45"/>
  <c r="I51" i="45"/>
  <c r="O64" i="48"/>
  <c r="P20" i="48"/>
  <c r="O11" i="48"/>
  <c r="N13" i="48"/>
  <c r="O66" i="48"/>
  <c r="H48" i="45"/>
  <c r="H38" i="45"/>
  <c r="R6" i="48"/>
  <c r="Q10" i="48"/>
  <c r="F14" i="45" a="1"/>
  <c r="F14" i="45" s="1"/>
  <c r="F19" i="9"/>
  <c r="K6" i="27"/>
  <c r="K6" i="28"/>
  <c r="K11" i="28" s="1"/>
  <c r="K16" i="28" s="1"/>
  <c r="I50" i="9"/>
  <c r="I40" i="9"/>
  <c r="I12" i="45" a="1"/>
  <c r="I12" i="45" s="1"/>
  <c r="G15" i="9"/>
  <c r="I8" i="27"/>
  <c r="I12" i="27" s="1"/>
  <c r="I17" i="27" s="1"/>
  <c r="I21" i="27" s="1"/>
  <c r="I25" i="27" s="1"/>
  <c r="G17" i="9" s="1"/>
  <c r="G16" i="45" s="1" a="1"/>
  <c r="G16" i="45" s="1"/>
  <c r="C41" i="45"/>
  <c r="C43" i="45" s="1"/>
  <c r="L9" i="28"/>
  <c r="L10" i="27" s="1"/>
  <c r="J24" i="9"/>
  <c r="J20" i="45" a="1"/>
  <c r="J20" i="45" s="1"/>
  <c r="J46" i="9"/>
  <c r="J44" i="9"/>
  <c r="J20" i="28"/>
  <c r="N68" i="48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7" i="9"/>
  <c r="J52" i="25"/>
  <c r="K7" i="9"/>
  <c r="K52" i="25"/>
  <c r="K24" i="9"/>
  <c r="M9" i="28"/>
  <c r="M10" i="27" s="1"/>
  <c r="K44" i="9"/>
  <c r="K46" i="9"/>
  <c r="K20" i="45" a="1"/>
  <c r="K20" i="45" s="1"/>
  <c r="C45" i="45" l="1"/>
  <c r="C46" i="45" s="1"/>
  <c r="L47" i="25"/>
  <c r="L7" i="9" s="1"/>
  <c r="N12" i="48"/>
  <c r="N16" i="48" s="1"/>
  <c r="M23" i="9" s="1"/>
  <c r="F18" i="45" a="1"/>
  <c r="F18" i="45" s="1"/>
  <c r="F23" i="45" s="1"/>
  <c r="F25" i="45" s="1"/>
  <c r="F26" i="9"/>
  <c r="F28" i="9" s="1"/>
  <c r="O12" i="48"/>
  <c r="P64" i="48"/>
  <c r="M47" i="25"/>
  <c r="G14" i="45" a="1"/>
  <c r="G14" i="45" s="1"/>
  <c r="G19" i="9"/>
  <c r="J13" i="9"/>
  <c r="J6" i="45" a="1"/>
  <c r="J6" i="45" s="1"/>
  <c r="S6" i="48"/>
  <c r="R10" i="48"/>
  <c r="D41" i="45"/>
  <c r="D43" i="45" s="1"/>
  <c r="I38" i="45"/>
  <c r="I48" i="45"/>
  <c r="K13" i="9"/>
  <c r="K6" i="45" a="1"/>
  <c r="K6" i="45" s="1"/>
  <c r="K42" i="45"/>
  <c r="K44" i="45"/>
  <c r="J8" i="27"/>
  <c r="J12" i="27" s="1"/>
  <c r="J17" i="27" s="1"/>
  <c r="J21" i="27" s="1"/>
  <c r="J25" i="27" s="1"/>
  <c r="H17" i="9" s="1"/>
  <c r="H16" i="45" s="1" a="1"/>
  <c r="H16" i="45" s="1"/>
  <c r="H15" i="9"/>
  <c r="E18" i="45" a="1"/>
  <c r="E18" i="45" s="1"/>
  <c r="E23" i="45" s="1"/>
  <c r="E25" i="45" s="1"/>
  <c r="E26" i="9"/>
  <c r="E28" i="9" s="1"/>
  <c r="P66" i="48"/>
  <c r="O13" i="48"/>
  <c r="K20" i="28"/>
  <c r="J42" i="45"/>
  <c r="J44" i="45"/>
  <c r="D43" i="9"/>
  <c r="D45" i="9" s="1"/>
  <c r="D47" i="9" s="1"/>
  <c r="D48" i="9" s="1"/>
  <c r="N9" i="28"/>
  <c r="N10" i="27" s="1"/>
  <c r="L24" i="9"/>
  <c r="L44" i="9"/>
  <c r="L20" i="45" a="1"/>
  <c r="L20" i="45" s="1"/>
  <c r="L46" i="9"/>
  <c r="K21" i="45" a="1"/>
  <c r="K21" i="45" s="1"/>
  <c r="K53" i="9"/>
  <c r="J21" i="45" a="1"/>
  <c r="J21" i="45" s="1"/>
  <c r="J53" i="9"/>
  <c r="P11" i="48"/>
  <c r="Q20" i="48"/>
  <c r="F24" i="28"/>
  <c r="F26" i="28"/>
  <c r="F28" i="28" s="1"/>
  <c r="D45" i="45" l="1"/>
  <c r="D46" i="45" s="1"/>
  <c r="L52" i="25"/>
  <c r="O16" i="48"/>
  <c r="N23" i="9" s="1"/>
  <c r="N24" i="9" s="1"/>
  <c r="G18" i="45" a="1"/>
  <c r="G18" i="45" s="1"/>
  <c r="G23" i="45" s="1"/>
  <c r="G25" i="45" s="1"/>
  <c r="G26" i="9"/>
  <c r="G28" i="9" s="1"/>
  <c r="L6" i="27"/>
  <c r="L6" i="28"/>
  <c r="L11" i="28" s="1"/>
  <c r="L16" i="28" s="1"/>
  <c r="J40" i="9"/>
  <c r="J50" i="9"/>
  <c r="J12" i="45" a="1"/>
  <c r="J12" i="45" s="1"/>
  <c r="M6" i="27"/>
  <c r="M6" i="28"/>
  <c r="M11" i="28" s="1"/>
  <c r="M16" i="28" s="1"/>
  <c r="K40" i="9"/>
  <c r="K50" i="9"/>
  <c r="K12" i="45" a="1"/>
  <c r="K12" i="45" s="1"/>
  <c r="M52" i="25"/>
  <c r="M7" i="9"/>
  <c r="L44" i="45"/>
  <c r="L42" i="45"/>
  <c r="L21" i="45" a="1"/>
  <c r="L21" i="45" s="1"/>
  <c r="L53" i="9"/>
  <c r="K8" i="27"/>
  <c r="K12" i="27" s="1"/>
  <c r="K17" i="27" s="1"/>
  <c r="K21" i="27" s="1"/>
  <c r="K25" i="27" s="1"/>
  <c r="I17" i="9" s="1"/>
  <c r="I16" i="45" s="1" a="1"/>
  <c r="I16" i="45" s="1"/>
  <c r="I15" i="9"/>
  <c r="O9" i="28"/>
  <c r="O10" i="27" s="1"/>
  <c r="M24" i="9"/>
  <c r="M20" i="45" a="1"/>
  <c r="M20" i="45" s="1"/>
  <c r="M44" i="9"/>
  <c r="M46" i="9"/>
  <c r="Q64" i="48"/>
  <c r="P12" i="48"/>
  <c r="Q11" i="48"/>
  <c r="R20" i="48"/>
  <c r="P13" i="48"/>
  <c r="Q66" i="48"/>
  <c r="H14" i="45" a="1"/>
  <c r="H14" i="45" s="1"/>
  <c r="H19" i="9"/>
  <c r="L13" i="9"/>
  <c r="L6" i="45" a="1"/>
  <c r="L6" i="45" s="1"/>
  <c r="E32" i="9"/>
  <c r="G22" i="28"/>
  <c r="G27" i="27"/>
  <c r="G29" i="27" s="1"/>
  <c r="G31" i="27" s="1"/>
  <c r="E52" i="9"/>
  <c r="E54" i="9" s="1"/>
  <c r="E41" i="9"/>
  <c r="E42" i="9" s="1"/>
  <c r="E39" i="9"/>
  <c r="F32" i="9"/>
  <c r="H22" i="28"/>
  <c r="H27" i="27"/>
  <c r="H29" i="27" s="1"/>
  <c r="H31" i="27" s="1"/>
  <c r="F41" i="9"/>
  <c r="F42" i="9" s="1"/>
  <c r="F39" i="9"/>
  <c r="F52" i="9"/>
  <c r="F54" i="9" s="1"/>
  <c r="K51" i="45"/>
  <c r="E29" i="45"/>
  <c r="E37" i="45"/>
  <c r="E50" i="45"/>
  <c r="E52" i="45" s="1"/>
  <c r="E39" i="45"/>
  <c r="E40" i="45" s="1"/>
  <c r="F29" i="45"/>
  <c r="F37" i="45"/>
  <c r="F50" i="45"/>
  <c r="F52" i="45" s="1"/>
  <c r="F39" i="45"/>
  <c r="F40" i="45" s="1"/>
  <c r="J51" i="45"/>
  <c r="S10" i="48"/>
  <c r="T6" i="48"/>
  <c r="P16" i="48" l="1"/>
  <c r="O23" i="9" s="1"/>
  <c r="O24" i="9" s="1"/>
  <c r="N44" i="9"/>
  <c r="N20" i="45" a="1"/>
  <c r="N20" i="45" s="1"/>
  <c r="N42" i="45" s="1"/>
  <c r="P9" i="28"/>
  <c r="P10" i="27" s="1"/>
  <c r="N46" i="9"/>
  <c r="L20" i="28"/>
  <c r="F41" i="45"/>
  <c r="F43" i="45" s="1"/>
  <c r="F43" i="9"/>
  <c r="F45" i="9" s="1"/>
  <c r="F47" i="9" s="1"/>
  <c r="F48" i="9" s="1"/>
  <c r="M13" i="9"/>
  <c r="M6" i="45" a="1"/>
  <c r="M6" i="45" s="1"/>
  <c r="S20" i="48"/>
  <c r="R11" i="48"/>
  <c r="K48" i="45"/>
  <c r="K38" i="45"/>
  <c r="G39" i="9"/>
  <c r="G32" i="9"/>
  <c r="G41" i="9"/>
  <c r="G42" i="9" s="1"/>
  <c r="I22" i="28"/>
  <c r="G52" i="9"/>
  <c r="G54" i="9" s="1"/>
  <c r="I27" i="27"/>
  <c r="I29" i="27" s="1"/>
  <c r="I31" i="27" s="1"/>
  <c r="Q12" i="48"/>
  <c r="R64" i="48"/>
  <c r="H24" i="28"/>
  <c r="H26" i="28"/>
  <c r="H28" i="28" s="1"/>
  <c r="H18" i="45" a="1"/>
  <c r="H18" i="45" s="1"/>
  <c r="H23" i="45" s="1"/>
  <c r="H25" i="45" s="1"/>
  <c r="H26" i="9"/>
  <c r="H28" i="9" s="1"/>
  <c r="M21" i="45" a="1"/>
  <c r="M21" i="45" s="1"/>
  <c r="M53" i="9"/>
  <c r="G29" i="45"/>
  <c r="G50" i="45"/>
  <c r="G52" i="45" s="1"/>
  <c r="G39" i="45"/>
  <c r="G40" i="45" s="1"/>
  <c r="G37" i="45"/>
  <c r="N6" i="28"/>
  <c r="N11" i="28" s="1"/>
  <c r="N16" i="28" s="1"/>
  <c r="N6" i="27"/>
  <c r="L50" i="9"/>
  <c r="L12" i="45" a="1"/>
  <c r="L12" i="45" s="1"/>
  <c r="L40" i="9"/>
  <c r="L51" i="45"/>
  <c r="G24" i="28"/>
  <c r="G26" i="28"/>
  <c r="G28" i="28" s="1"/>
  <c r="M44" i="45"/>
  <c r="M42" i="45"/>
  <c r="T10" i="48"/>
  <c r="U6" i="48"/>
  <c r="E41" i="45"/>
  <c r="E43" i="45" s="1"/>
  <c r="E43" i="9"/>
  <c r="E45" i="9" s="1"/>
  <c r="E47" i="9" s="1"/>
  <c r="E48" i="9" s="1"/>
  <c r="R66" i="48"/>
  <c r="Q13" i="48"/>
  <c r="I14" i="45" a="1"/>
  <c r="I14" i="45" s="1"/>
  <c r="I19" i="9"/>
  <c r="M20" i="28"/>
  <c r="N21" i="45" a="1"/>
  <c r="N21" i="45" s="1"/>
  <c r="N53" i="9"/>
  <c r="J48" i="45"/>
  <c r="J38" i="45"/>
  <c r="P11" i="28"/>
  <c r="P16" i="28" s="1"/>
  <c r="E45" i="45" l="1"/>
  <c r="E46" i="45" s="1"/>
  <c r="F45" i="45"/>
  <c r="F46" i="45" s="1"/>
  <c r="O20" i="45" a="1"/>
  <c r="O20" i="45" s="1"/>
  <c r="O42" i="45" s="1"/>
  <c r="O44" i="9"/>
  <c r="O46" i="9"/>
  <c r="Q9" i="28"/>
  <c r="Q10" i="27" s="1"/>
  <c r="G41" i="45"/>
  <c r="G43" i="45" s="1"/>
  <c r="Q16" i="48"/>
  <c r="P23" i="9" s="1"/>
  <c r="R9" i="28" s="1"/>
  <c r="N44" i="45"/>
  <c r="N51" i="45"/>
  <c r="L48" i="45"/>
  <c r="L38" i="45"/>
  <c r="H41" i="9"/>
  <c r="H42" i="9" s="1"/>
  <c r="H39" i="9"/>
  <c r="H32" i="9"/>
  <c r="H52" i="9"/>
  <c r="H54" i="9" s="1"/>
  <c r="J27" i="27"/>
  <c r="J29" i="27" s="1"/>
  <c r="J31" i="27" s="1"/>
  <c r="J22" i="28"/>
  <c r="G43" i="9"/>
  <c r="G45" i="9" s="1"/>
  <c r="G47" i="9" s="1"/>
  <c r="G48" i="9" s="1"/>
  <c r="M51" i="45"/>
  <c r="H29" i="45"/>
  <c r="H50" i="45"/>
  <c r="H52" i="45" s="1"/>
  <c r="H37" i="45"/>
  <c r="H39" i="45"/>
  <c r="H40" i="45" s="1"/>
  <c r="J15" i="9"/>
  <c r="L8" i="27"/>
  <c r="L12" i="27" s="1"/>
  <c r="L17" i="27" s="1"/>
  <c r="L21" i="27" s="1"/>
  <c r="L25" i="27" s="1"/>
  <c r="J17" i="9" s="1"/>
  <c r="J16" i="45" s="1" a="1"/>
  <c r="J16" i="45" s="1"/>
  <c r="U10" i="48"/>
  <c r="V6" i="48"/>
  <c r="N20" i="28"/>
  <c r="K15" i="9"/>
  <c r="M8" i="27"/>
  <c r="M12" i="27" s="1"/>
  <c r="M17" i="27" s="1"/>
  <c r="M21" i="27" s="1"/>
  <c r="M25" i="27" s="1"/>
  <c r="K17" i="9" s="1"/>
  <c r="K16" i="45" s="1" a="1"/>
  <c r="K16" i="45" s="1"/>
  <c r="P24" i="9"/>
  <c r="O6" i="28"/>
  <c r="O11" i="28" s="1"/>
  <c r="O16" i="28" s="1"/>
  <c r="M50" i="9"/>
  <c r="M40" i="9"/>
  <c r="O6" i="27"/>
  <c r="M12" i="45" a="1"/>
  <c r="M12" i="45" s="1"/>
  <c r="P20" i="28"/>
  <c r="I24" i="28"/>
  <c r="I26" i="28"/>
  <c r="I28" i="28" s="1"/>
  <c r="I18" i="45" a="1"/>
  <c r="I18" i="45" s="1"/>
  <c r="I23" i="45" s="1"/>
  <c r="I25" i="45" s="1"/>
  <c r="I26" i="9"/>
  <c r="I28" i="9" s="1"/>
  <c r="R12" i="48"/>
  <c r="S64" i="48"/>
  <c r="S66" i="48"/>
  <c r="R13" i="48"/>
  <c r="T20" i="48"/>
  <c r="S11" i="48"/>
  <c r="O21" i="45" a="1"/>
  <c r="O21" i="45" s="1"/>
  <c r="O53" i="9"/>
  <c r="P46" i="9" l="1"/>
  <c r="G45" i="45"/>
  <c r="G46" i="45" s="1"/>
  <c r="O44" i="45"/>
  <c r="P44" i="9"/>
  <c r="P20" i="45" a="1"/>
  <c r="P20" i="45" s="1"/>
  <c r="P44" i="45" s="1"/>
  <c r="Q11" i="28"/>
  <c r="Q16" i="28" s="1"/>
  <c r="Q20" i="28" s="1"/>
  <c r="R16" i="48"/>
  <c r="Q23" i="9" s="1"/>
  <c r="Q44" i="9" s="1"/>
  <c r="H43" i="9"/>
  <c r="H45" i="9" s="1"/>
  <c r="H47" i="9" s="1"/>
  <c r="H48" i="9" s="1"/>
  <c r="J14" i="45" a="1"/>
  <c r="J14" i="45" s="1"/>
  <c r="J19" i="9"/>
  <c r="T66" i="48"/>
  <c r="S13" i="48"/>
  <c r="H41" i="45"/>
  <c r="H43" i="45" s="1"/>
  <c r="R10" i="27"/>
  <c r="R11" i="28"/>
  <c r="R16" i="28" s="1"/>
  <c r="P21" i="45" a="1"/>
  <c r="P21" i="45" s="1"/>
  <c r="P53" i="9"/>
  <c r="M48" i="45"/>
  <c r="M38" i="45"/>
  <c r="N15" i="9"/>
  <c r="P8" i="27"/>
  <c r="P12" i="27" s="1"/>
  <c r="P17" i="27" s="1"/>
  <c r="P21" i="27" s="1"/>
  <c r="P25" i="27" s="1"/>
  <c r="N17" i="9" s="1"/>
  <c r="N16" i="45" s="1" a="1"/>
  <c r="N16" i="45" s="1"/>
  <c r="K14" i="45" a="1"/>
  <c r="K14" i="45" s="1"/>
  <c r="K19" i="9"/>
  <c r="S12" i="48"/>
  <c r="T64" i="48"/>
  <c r="L15" i="9"/>
  <c r="N8" i="27"/>
  <c r="N12" i="27" s="1"/>
  <c r="N17" i="27" s="1"/>
  <c r="N21" i="27" s="1"/>
  <c r="N25" i="27" s="1"/>
  <c r="L17" i="9" s="1"/>
  <c r="L16" i="45" s="1" a="1"/>
  <c r="L16" i="45" s="1"/>
  <c r="O20" i="28"/>
  <c r="O51" i="45"/>
  <c r="V10" i="48"/>
  <c r="W6" i="48"/>
  <c r="T11" i="48"/>
  <c r="U20" i="48"/>
  <c r="I32" i="9"/>
  <c r="I52" i="9"/>
  <c r="I54" i="9" s="1"/>
  <c r="K22" i="28"/>
  <c r="I41" i="9"/>
  <c r="I42" i="9" s="1"/>
  <c r="K27" i="27"/>
  <c r="K29" i="27" s="1"/>
  <c r="K31" i="27" s="1"/>
  <c r="I39" i="9"/>
  <c r="I29" i="45"/>
  <c r="I50" i="45"/>
  <c r="I52" i="45" s="1"/>
  <c r="I39" i="45"/>
  <c r="I40" i="45" s="1"/>
  <c r="I37" i="45"/>
  <c r="J24" i="28"/>
  <c r="J26" i="28"/>
  <c r="J28" i="28" s="1"/>
  <c r="P42" i="45" l="1"/>
  <c r="Q24" i="9"/>
  <c r="S9" i="28"/>
  <c r="Q46" i="9"/>
  <c r="Q20" i="45" a="1"/>
  <c r="Q20" i="45" s="1"/>
  <c r="Q44" i="45" s="1"/>
  <c r="H45" i="45"/>
  <c r="H46" i="45" s="1"/>
  <c r="I43" i="9"/>
  <c r="I45" i="9" s="1"/>
  <c r="I47" i="9" s="1"/>
  <c r="I48" i="9" s="1"/>
  <c r="I41" i="45"/>
  <c r="I43" i="45" s="1"/>
  <c r="S16" i="48"/>
  <c r="R23" i="9" s="1"/>
  <c r="T9" i="28" s="1"/>
  <c r="P51" i="45"/>
  <c r="L14" i="45" a="1"/>
  <c r="L14" i="45" s="1"/>
  <c r="L19" i="9"/>
  <c r="M15" i="9"/>
  <c r="O8" i="27"/>
  <c r="O12" i="27" s="1"/>
  <c r="O17" i="27" s="1"/>
  <c r="O21" i="27" s="1"/>
  <c r="O25" i="27" s="1"/>
  <c r="M17" i="9" s="1"/>
  <c r="M16" i="45" s="1" a="1"/>
  <c r="M16" i="45" s="1"/>
  <c r="N14" i="45" a="1"/>
  <c r="N14" i="45" s="1"/>
  <c r="N19" i="9"/>
  <c r="U11" i="48"/>
  <c r="V20" i="48"/>
  <c r="S10" i="27"/>
  <c r="S11" i="28"/>
  <c r="S16" i="28" s="1"/>
  <c r="O15" i="9"/>
  <c r="Q8" i="27"/>
  <c r="Q12" i="27" s="1"/>
  <c r="Q17" i="27" s="1"/>
  <c r="Q21" i="27" s="1"/>
  <c r="Q25" i="27" s="1"/>
  <c r="O17" i="9" s="1"/>
  <c r="O16" i="45" s="1" a="1"/>
  <c r="O16" i="45" s="1"/>
  <c r="K24" i="28"/>
  <c r="K26" i="28"/>
  <c r="K28" i="28" s="1"/>
  <c r="W10" i="48"/>
  <c r="X6" i="48"/>
  <c r="U66" i="48"/>
  <c r="T13" i="48"/>
  <c r="U64" i="48"/>
  <c r="T12" i="48"/>
  <c r="J18" i="45" a="1"/>
  <c r="J18" i="45" s="1"/>
  <c r="J23" i="45" s="1"/>
  <c r="J25" i="45" s="1"/>
  <c r="J26" i="9"/>
  <c r="J28" i="9" s="1"/>
  <c r="R20" i="28"/>
  <c r="Q21" i="45" a="1"/>
  <c r="Q21" i="45" s="1"/>
  <c r="Q53" i="9"/>
  <c r="K18" i="45" a="1"/>
  <c r="K18" i="45" s="1"/>
  <c r="K23" i="45" s="1"/>
  <c r="K25" i="45" s="1"/>
  <c r="K26" i="9"/>
  <c r="K28" i="9" s="1"/>
  <c r="Q42" i="45" l="1"/>
  <c r="I45" i="45"/>
  <c r="I46" i="45" s="1"/>
  <c r="T16" i="48"/>
  <c r="S23" i="9" s="1"/>
  <c r="S20" i="45" s="1" a="1"/>
  <c r="S20" i="45" s="1"/>
  <c r="R46" i="9"/>
  <c r="R20" i="45" a="1"/>
  <c r="R20" i="45" s="1"/>
  <c r="R42" i="45" s="1"/>
  <c r="R44" i="9"/>
  <c r="R24" i="9"/>
  <c r="R21" i="45" s="1" a="1"/>
  <c r="R21" i="45" s="1"/>
  <c r="J32" i="9"/>
  <c r="J52" i="9"/>
  <c r="J54" i="9" s="1"/>
  <c r="J41" i="9"/>
  <c r="J42" i="9" s="1"/>
  <c r="L27" i="27"/>
  <c r="L29" i="27" s="1"/>
  <c r="L31" i="27" s="1"/>
  <c r="J39" i="9"/>
  <c r="L22" i="28"/>
  <c r="L18" i="45" a="1"/>
  <c r="L18" i="45" s="1"/>
  <c r="L23" i="45" s="1"/>
  <c r="L25" i="45" s="1"/>
  <c r="L26" i="9"/>
  <c r="L28" i="9" s="1"/>
  <c r="J29" i="45"/>
  <c r="J39" i="45"/>
  <c r="J40" i="45" s="1"/>
  <c r="J50" i="45"/>
  <c r="J52" i="45" s="1"/>
  <c r="J37" i="45"/>
  <c r="S20" i="28"/>
  <c r="O14" i="45" a="1"/>
  <c r="O14" i="45" s="1"/>
  <c r="O19" i="9"/>
  <c r="U12" i="48"/>
  <c r="V64" i="48"/>
  <c r="M22" i="28"/>
  <c r="K39" i="9"/>
  <c r="K32" i="9"/>
  <c r="M27" i="27"/>
  <c r="M29" i="27" s="1"/>
  <c r="M31" i="27" s="1"/>
  <c r="K52" i="9"/>
  <c r="K54" i="9" s="1"/>
  <c r="K41" i="9"/>
  <c r="K42" i="9" s="1"/>
  <c r="K29" i="45"/>
  <c r="K39" i="45"/>
  <c r="K40" i="45" s="1"/>
  <c r="K37" i="45"/>
  <c r="K50" i="45"/>
  <c r="K52" i="45" s="1"/>
  <c r="V11" i="48"/>
  <c r="W20" i="48"/>
  <c r="R8" i="27"/>
  <c r="R12" i="27" s="1"/>
  <c r="R17" i="27" s="1"/>
  <c r="R21" i="27" s="1"/>
  <c r="R25" i="27" s="1"/>
  <c r="P17" i="9" s="1"/>
  <c r="P16" i="45" s="1" a="1"/>
  <c r="P16" i="45" s="1"/>
  <c r="P15" i="9"/>
  <c r="X10" i="48"/>
  <c r="Y6" i="48"/>
  <c r="N18" i="45" a="1"/>
  <c r="N18" i="45" s="1"/>
  <c r="N23" i="45" s="1"/>
  <c r="N25" i="45" s="1"/>
  <c r="N26" i="9"/>
  <c r="N28" i="9" s="1"/>
  <c r="M14" i="45" a="1"/>
  <c r="M14" i="45" s="1"/>
  <c r="M19" i="9"/>
  <c r="V66" i="48"/>
  <c r="U13" i="48"/>
  <c r="Q51" i="45"/>
  <c r="T10" i="27"/>
  <c r="T11" i="28"/>
  <c r="T16" i="28" s="1"/>
  <c r="U9" i="28" l="1"/>
  <c r="S24" i="9"/>
  <c r="S46" i="9"/>
  <c r="S44" i="9"/>
  <c r="R53" i="9"/>
  <c r="R44" i="45"/>
  <c r="K43" i="9"/>
  <c r="K45" i="9" s="1"/>
  <c r="K47" i="9" s="1"/>
  <c r="K48" i="9" s="1"/>
  <c r="K41" i="45"/>
  <c r="K43" i="45" s="1"/>
  <c r="U16" i="48"/>
  <c r="T23" i="9" s="1"/>
  <c r="T20" i="45" s="1" a="1"/>
  <c r="T20" i="45" s="1"/>
  <c r="T46" i="9"/>
  <c r="O18" i="45" a="1"/>
  <c r="O18" i="45" s="1"/>
  <c r="O23" i="45" s="1"/>
  <c r="O25" i="45" s="1"/>
  <c r="O26" i="9"/>
  <c r="O28" i="9" s="1"/>
  <c r="N32" i="9"/>
  <c r="N52" i="9"/>
  <c r="N54" i="9" s="1"/>
  <c r="N41" i="9"/>
  <c r="N42" i="9" s="1"/>
  <c r="P22" i="28"/>
  <c r="P27" i="27"/>
  <c r="P29" i="27" s="1"/>
  <c r="P31" i="27" s="1"/>
  <c r="N39" i="9"/>
  <c r="N29" i="45"/>
  <c r="N50" i="45"/>
  <c r="N52" i="45" s="1"/>
  <c r="N37" i="45"/>
  <c r="N39" i="45"/>
  <c r="N40" i="45" s="1"/>
  <c r="L32" i="9"/>
  <c r="L41" i="9"/>
  <c r="L42" i="9" s="1"/>
  <c r="L52" i="9"/>
  <c r="L54" i="9" s="1"/>
  <c r="N27" i="27"/>
  <c r="N29" i="27" s="1"/>
  <c r="N31" i="27" s="1"/>
  <c r="N22" i="28"/>
  <c r="L39" i="9"/>
  <c r="S44" i="45"/>
  <c r="S42" i="45"/>
  <c r="L29" i="45"/>
  <c r="L39" i="45"/>
  <c r="L40" i="45" s="1"/>
  <c r="L37" i="45"/>
  <c r="L50" i="45"/>
  <c r="L52" i="45" s="1"/>
  <c r="X20" i="48"/>
  <c r="W11" i="48"/>
  <c r="T20" i="28"/>
  <c r="Z6" i="48"/>
  <c r="Y10" i="48"/>
  <c r="B32" i="45"/>
  <c r="B33" i="45"/>
  <c r="R51" i="45"/>
  <c r="L24" i="28"/>
  <c r="L26" i="28"/>
  <c r="L28" i="28" s="1"/>
  <c r="U10" i="27"/>
  <c r="U11" i="28"/>
  <c r="U16" i="28" s="1"/>
  <c r="J43" i="9"/>
  <c r="J45" i="9" s="1"/>
  <c r="J47" i="9" s="1"/>
  <c r="J48" i="9" s="1"/>
  <c r="P14" i="45" a="1"/>
  <c r="P14" i="45" s="1"/>
  <c r="P19" i="9"/>
  <c r="S21" i="45" a="1"/>
  <c r="S21" i="45" s="1"/>
  <c r="S53" i="9"/>
  <c r="B35" i="9"/>
  <c r="B34" i="9"/>
  <c r="Q15" i="9"/>
  <c r="S8" i="27"/>
  <c r="S12" i="27" s="1"/>
  <c r="S17" i="27" s="1"/>
  <c r="S21" i="27" s="1"/>
  <c r="S25" i="27" s="1"/>
  <c r="Q17" i="9" s="1"/>
  <c r="Q16" i="45" s="1" a="1"/>
  <c r="Q16" i="45" s="1"/>
  <c r="W66" i="48"/>
  <c r="V13" i="48"/>
  <c r="M24" i="28"/>
  <c r="M26" i="28"/>
  <c r="M28" i="28" s="1"/>
  <c r="J41" i="45"/>
  <c r="J43" i="45" s="1"/>
  <c r="M18" i="45" a="1"/>
  <c r="M18" i="45" s="1"/>
  <c r="M23" i="45" s="1"/>
  <c r="M25" i="45" s="1"/>
  <c r="M26" i="9"/>
  <c r="M28" i="9" s="1"/>
  <c r="W64" i="48"/>
  <c r="V12" i="48"/>
  <c r="J45" i="45" l="1"/>
  <c r="J46" i="45" s="1"/>
  <c r="V16" i="48"/>
  <c r="U23" i="9" s="1"/>
  <c r="U24" i="9" s="1"/>
  <c r="K45" i="45"/>
  <c r="K46" i="45" s="1"/>
  <c r="T44" i="9"/>
  <c r="T24" i="9"/>
  <c r="T21" i="45" s="1" a="1"/>
  <c r="T21" i="45" s="1"/>
  <c r="V9" i="28"/>
  <c r="V11" i="28" s="1"/>
  <c r="V16" i="28" s="1"/>
  <c r="N43" i="9"/>
  <c r="N45" i="9" s="1"/>
  <c r="N47" i="9" s="1"/>
  <c r="N48" i="9" s="1"/>
  <c r="N41" i="45"/>
  <c r="N43" i="45" s="1"/>
  <c r="L43" i="9"/>
  <c r="L45" i="9" s="1"/>
  <c r="L47" i="9" s="1"/>
  <c r="L48" i="9" s="1"/>
  <c r="X11" i="48"/>
  <c r="Y20" i="48"/>
  <c r="Q19" i="9"/>
  <c r="Q14" i="45" a="1"/>
  <c r="Q14" i="45" s="1"/>
  <c r="U20" i="28"/>
  <c r="W12" i="48"/>
  <c r="X64" i="48"/>
  <c r="L41" i="45"/>
  <c r="L43" i="45" s="1"/>
  <c r="O39" i="9"/>
  <c r="O41" i="9"/>
  <c r="O42" i="9" s="1"/>
  <c r="Q27" i="27"/>
  <c r="Q29" i="27" s="1"/>
  <c r="Q31" i="27" s="1"/>
  <c r="O32" i="9"/>
  <c r="O52" i="9"/>
  <c r="O54" i="9" s="1"/>
  <c r="Q22" i="28"/>
  <c r="R15" i="9"/>
  <c r="T8" i="27"/>
  <c r="T12" i="27" s="1"/>
  <c r="T17" i="27" s="1"/>
  <c r="T21" i="27" s="1"/>
  <c r="T25" i="27" s="1"/>
  <c r="R17" i="9" s="1"/>
  <c r="R16" i="45" s="1" a="1"/>
  <c r="R16" i="45" s="1"/>
  <c r="O27" i="27"/>
  <c r="O29" i="27" s="1"/>
  <c r="O31" i="27" s="1"/>
  <c r="M32" i="9"/>
  <c r="M41" i="9"/>
  <c r="M42" i="9" s="1"/>
  <c r="M52" i="9"/>
  <c r="M54" i="9" s="1"/>
  <c r="M39" i="9"/>
  <c r="O22" i="28"/>
  <c r="O29" i="45"/>
  <c r="O50" i="45"/>
  <c r="O52" i="45" s="1"/>
  <c r="O39" i="45"/>
  <c r="O40" i="45" s="1"/>
  <c r="O37" i="45"/>
  <c r="M29" i="45"/>
  <c r="M50" i="45"/>
  <c r="M52" i="45" s="1"/>
  <c r="M39" i="45"/>
  <c r="M40" i="45" s="1"/>
  <c r="M37" i="45"/>
  <c r="S51" i="45"/>
  <c r="N24" i="28"/>
  <c r="N26" i="28"/>
  <c r="N28" i="28" s="1"/>
  <c r="P24" i="28"/>
  <c r="P26" i="28"/>
  <c r="P28" i="28" s="1"/>
  <c r="W13" i="48"/>
  <c r="X66" i="48"/>
  <c r="P18" i="45" a="1"/>
  <c r="P18" i="45" s="1"/>
  <c r="P23" i="45" s="1"/>
  <c r="P25" i="45" s="1"/>
  <c r="P26" i="9"/>
  <c r="P28" i="9" s="1"/>
  <c r="T42" i="45"/>
  <c r="T44" i="45"/>
  <c r="Z10" i="48"/>
  <c r="AA6" i="48"/>
  <c r="AA10" i="48" s="1"/>
  <c r="W9" i="28" l="1"/>
  <c r="V10" i="27"/>
  <c r="U46" i="9"/>
  <c r="U44" i="9"/>
  <c r="L45" i="45"/>
  <c r="L46" i="45" s="1"/>
  <c r="N45" i="45"/>
  <c r="N46" i="45" s="1"/>
  <c r="U20" i="45" a="1"/>
  <c r="U20" i="45" s="1"/>
  <c r="U42" i="45" s="1"/>
  <c r="T53" i="9"/>
  <c r="O41" i="45"/>
  <c r="O43" i="45" s="1"/>
  <c r="M43" i="9"/>
  <c r="M45" i="9" s="1"/>
  <c r="M47" i="9" s="1"/>
  <c r="M48" i="9" s="1"/>
  <c r="W16" i="48"/>
  <c r="V23" i="9" s="1"/>
  <c r="X9" i="28" s="1"/>
  <c r="R14" i="45" a="1"/>
  <c r="R14" i="45" s="1"/>
  <c r="R19" i="9"/>
  <c r="S15" i="9"/>
  <c r="U8" i="27"/>
  <c r="U12" i="27" s="1"/>
  <c r="U17" i="27" s="1"/>
  <c r="U21" i="27" s="1"/>
  <c r="U25" i="27" s="1"/>
  <c r="S17" i="9" s="1"/>
  <c r="S16" i="45" s="1" a="1"/>
  <c r="S16" i="45" s="1"/>
  <c r="Q24" i="28"/>
  <c r="Q26" i="28"/>
  <c r="Q28" i="28" s="1"/>
  <c r="Q18" i="45" a="1"/>
  <c r="Q18" i="45" s="1"/>
  <c r="Q23" i="45" s="1"/>
  <c r="Q25" i="45" s="1"/>
  <c r="Q26" i="9"/>
  <c r="Q28" i="9" s="1"/>
  <c r="V20" i="28"/>
  <c r="Z20" i="48"/>
  <c r="Y11" i="48"/>
  <c r="T51" i="45"/>
  <c r="O24" i="28"/>
  <c r="O26" i="28"/>
  <c r="O28" i="28" s="1"/>
  <c r="P29" i="45"/>
  <c r="P50" i="45"/>
  <c r="P52" i="45" s="1"/>
  <c r="P37" i="45"/>
  <c r="P39" i="45"/>
  <c r="P40" i="45" s="1"/>
  <c r="X13" i="48"/>
  <c r="Y66" i="48"/>
  <c r="M41" i="45"/>
  <c r="M43" i="45" s="1"/>
  <c r="O43" i="9"/>
  <c r="O45" i="9" s="1"/>
  <c r="O47" i="9" s="1"/>
  <c r="O48" i="9" s="1"/>
  <c r="P32" i="9"/>
  <c r="P52" i="9"/>
  <c r="P54" i="9" s="1"/>
  <c r="R22" i="28"/>
  <c r="P41" i="9"/>
  <c r="P42" i="9" s="1"/>
  <c r="R27" i="27"/>
  <c r="R29" i="27" s="1"/>
  <c r="R31" i="27" s="1"/>
  <c r="P39" i="9"/>
  <c r="Y64" i="48"/>
  <c r="X12" i="48"/>
  <c r="U21" i="45" a="1"/>
  <c r="U21" i="45" s="1"/>
  <c r="U53" i="9"/>
  <c r="W10" i="27"/>
  <c r="W11" i="28"/>
  <c r="W16" i="28" s="1"/>
  <c r="X16" i="48" l="1"/>
  <c r="W23" i="9" s="1"/>
  <c r="O45" i="45"/>
  <c r="O46" i="45" s="1"/>
  <c r="M45" i="45"/>
  <c r="M46" i="45" s="1"/>
  <c r="U44" i="45"/>
  <c r="V20" i="45" a="1"/>
  <c r="V20" i="45" s="1"/>
  <c r="V42" i="45" s="1"/>
  <c r="V44" i="9"/>
  <c r="V46" i="9"/>
  <c r="V24" i="9"/>
  <c r="V21" i="45" s="1" a="1"/>
  <c r="V21" i="45" s="1"/>
  <c r="P43" i="9"/>
  <c r="P45" i="9" s="1"/>
  <c r="P47" i="9" s="1"/>
  <c r="P48" i="9" s="1"/>
  <c r="P41" i="45"/>
  <c r="P43" i="45" s="1"/>
  <c r="W24" i="9"/>
  <c r="Y9" i="28"/>
  <c r="W20" i="45" a="1"/>
  <c r="W20" i="45" s="1"/>
  <c r="W44" i="9"/>
  <c r="W46" i="9"/>
  <c r="Q29" i="45"/>
  <c r="Q39" i="45"/>
  <c r="Q40" i="45" s="1"/>
  <c r="Q50" i="45"/>
  <c r="Q52" i="45" s="1"/>
  <c r="Q37" i="45"/>
  <c r="Q41" i="45" s="1"/>
  <c r="Q43" i="45" s="1"/>
  <c r="U51" i="45"/>
  <c r="R24" i="28"/>
  <c r="R26" i="28"/>
  <c r="R28" i="28" s="1"/>
  <c r="S14" i="45" a="1"/>
  <c r="S14" i="45" s="1"/>
  <c r="S19" i="9"/>
  <c r="Y12" i="48"/>
  <c r="Z64" i="48"/>
  <c r="Z66" i="48"/>
  <c r="Y13" i="48"/>
  <c r="R18" i="45" a="1"/>
  <c r="R18" i="45" s="1"/>
  <c r="R23" i="45" s="1"/>
  <c r="R25" i="45" s="1"/>
  <c r="R26" i="9"/>
  <c r="R28" i="9" s="1"/>
  <c r="W20" i="28"/>
  <c r="V44" i="45"/>
  <c r="AA20" i="48"/>
  <c r="AA11" i="48" s="1"/>
  <c r="Z11" i="48"/>
  <c r="V8" i="27"/>
  <c r="V12" i="27" s="1"/>
  <c r="V17" i="27" s="1"/>
  <c r="V21" i="27" s="1"/>
  <c r="V25" i="27" s="1"/>
  <c r="T17" i="9" s="1"/>
  <c r="T16" i="45" s="1" a="1"/>
  <c r="T16" i="45" s="1"/>
  <c r="T15" i="9"/>
  <c r="Q32" i="9"/>
  <c r="Q41" i="9"/>
  <c r="Q42" i="9" s="1"/>
  <c r="S22" i="28"/>
  <c r="Q39" i="9"/>
  <c r="Q52" i="9"/>
  <c r="Q54" i="9" s="1"/>
  <c r="S27" i="27"/>
  <c r="S29" i="27" s="1"/>
  <c r="S31" i="27" s="1"/>
  <c r="X10" i="27"/>
  <c r="X11" i="28"/>
  <c r="X16" i="28" s="1"/>
  <c r="P45" i="45" l="1"/>
  <c r="P46" i="45" s="1"/>
  <c r="Q45" i="45"/>
  <c r="Q46" i="45" s="1"/>
  <c r="V53" i="9"/>
  <c r="Y16" i="48"/>
  <c r="X23" i="9" s="1"/>
  <c r="X24" i="9" s="1"/>
  <c r="U15" i="9"/>
  <c r="W8" i="27"/>
  <c r="W12" i="27" s="1"/>
  <c r="W17" i="27" s="1"/>
  <c r="W21" i="27" s="1"/>
  <c r="W25" i="27" s="1"/>
  <c r="U17" i="9" s="1"/>
  <c r="U16" i="45" s="1" a="1"/>
  <c r="U16" i="45" s="1"/>
  <c r="S18" i="45" a="1"/>
  <c r="S18" i="45" s="1"/>
  <c r="S23" i="45" s="1"/>
  <c r="S25" i="45" s="1"/>
  <c r="S26" i="9"/>
  <c r="S28" i="9" s="1"/>
  <c r="R29" i="45"/>
  <c r="R37" i="45"/>
  <c r="R50" i="45"/>
  <c r="R52" i="45" s="1"/>
  <c r="R39" i="45"/>
  <c r="R40" i="45" s="1"/>
  <c r="S24" i="28"/>
  <c r="S26" i="28"/>
  <c r="S28" i="28" s="1"/>
  <c r="R32" i="9"/>
  <c r="R41" i="9"/>
  <c r="R42" i="9" s="1"/>
  <c r="R52" i="9"/>
  <c r="R54" i="9" s="1"/>
  <c r="T22" i="28"/>
  <c r="T27" i="27"/>
  <c r="T29" i="27" s="1"/>
  <c r="T31" i="27" s="1"/>
  <c r="R39" i="9"/>
  <c r="V51" i="45"/>
  <c r="X20" i="28"/>
  <c r="T14" i="45" a="1"/>
  <c r="T14" i="45" s="1"/>
  <c r="T19" i="9"/>
  <c r="Z13" i="48"/>
  <c r="AA66" i="48"/>
  <c r="AA13" i="48" s="1"/>
  <c r="Z12" i="48"/>
  <c r="AA64" i="48"/>
  <c r="AA12" i="48" s="1"/>
  <c r="W42" i="45"/>
  <c r="W44" i="45"/>
  <c r="Q43" i="9"/>
  <c r="Q45" i="9" s="1"/>
  <c r="Q47" i="9" s="1"/>
  <c r="Q48" i="9" s="1"/>
  <c r="Y10" i="27"/>
  <c r="Y11" i="28"/>
  <c r="Y16" i="28" s="1"/>
  <c r="W21" i="45" a="1"/>
  <c r="W21" i="45" s="1"/>
  <c r="W53" i="9"/>
  <c r="Z9" i="28" l="1"/>
  <c r="X44" i="9"/>
  <c r="X20" i="45" a="1"/>
  <c r="X20" i="45" s="1"/>
  <c r="X44" i="45" s="1"/>
  <c r="X46" i="9"/>
  <c r="Z16" i="48"/>
  <c r="Y23" i="9" s="1"/>
  <c r="Y20" i="45" s="1" a="1"/>
  <c r="Y20" i="45" s="1"/>
  <c r="R41" i="45"/>
  <c r="R43" i="45" s="1"/>
  <c r="R43" i="9"/>
  <c r="R45" i="9" s="1"/>
  <c r="R47" i="9" s="1"/>
  <c r="R48" i="9" s="1"/>
  <c r="AA16" i="48"/>
  <c r="Z23" i="9" s="1"/>
  <c r="Z44" i="9" s="1"/>
  <c r="Y20" i="28"/>
  <c r="Z10" i="27"/>
  <c r="Z11" i="28"/>
  <c r="Z16" i="28" s="1"/>
  <c r="V15" i="9"/>
  <c r="X8" i="27"/>
  <c r="X12" i="27" s="1"/>
  <c r="X17" i="27" s="1"/>
  <c r="X21" i="27" s="1"/>
  <c r="X25" i="27" s="1"/>
  <c r="V17" i="9" s="1"/>
  <c r="V16" i="45" s="1" a="1"/>
  <c r="V16" i="45" s="1"/>
  <c r="W51" i="45"/>
  <c r="T24" i="28"/>
  <c r="T26" i="28"/>
  <c r="T28" i="28" s="1"/>
  <c r="S32" i="9"/>
  <c r="S39" i="9"/>
  <c r="S52" i="9"/>
  <c r="S54" i="9" s="1"/>
  <c r="S41" i="9"/>
  <c r="S42" i="9" s="1"/>
  <c r="U22" i="28"/>
  <c r="U27" i="27"/>
  <c r="U29" i="27" s="1"/>
  <c r="U31" i="27" s="1"/>
  <c r="S29" i="45"/>
  <c r="S39" i="45"/>
  <c r="S40" i="45" s="1"/>
  <c r="S50" i="45"/>
  <c r="S52" i="45" s="1"/>
  <c r="S37" i="45"/>
  <c r="X21" i="45" a="1"/>
  <c r="X21" i="45" s="1"/>
  <c r="X53" i="9"/>
  <c r="T18" i="45" a="1"/>
  <c r="T18" i="45" s="1"/>
  <c r="T23" i="45" s="1"/>
  <c r="T25" i="45" s="1"/>
  <c r="T26" i="9"/>
  <c r="T28" i="9" s="1"/>
  <c r="U14" i="45" a="1"/>
  <c r="U14" i="45" s="1"/>
  <c r="U19" i="9"/>
  <c r="X42" i="45" l="1"/>
  <c r="S41" i="45"/>
  <c r="S43" i="45" s="1"/>
  <c r="S45" i="45" s="1"/>
  <c r="S46" i="45" s="1"/>
  <c r="R45" i="45"/>
  <c r="R46" i="45" s="1"/>
  <c r="Y46" i="9"/>
  <c r="Y24" i="9"/>
  <c r="Y21" i="45" s="1" a="1"/>
  <c r="Y21" i="45" s="1"/>
  <c r="Y44" i="9"/>
  <c r="AA9" i="28"/>
  <c r="AA10" i="27" s="1"/>
  <c r="Z24" i="9"/>
  <c r="Z21" i="45" s="1" a="1"/>
  <c r="Z21" i="45" s="1"/>
  <c r="Z20" i="45" a="1"/>
  <c r="Z20" i="45" s="1"/>
  <c r="Z42" i="45" s="1"/>
  <c r="Z46" i="9"/>
  <c r="AB9" i="28"/>
  <c r="AB10" i="27" s="1"/>
  <c r="S43" i="9"/>
  <c r="S45" i="9" s="1"/>
  <c r="S47" i="9" s="1"/>
  <c r="S48" i="9" s="1"/>
  <c r="Z20" i="28"/>
  <c r="X51" i="45"/>
  <c r="V14" i="45" a="1"/>
  <c r="V14" i="45" s="1"/>
  <c r="V19" i="9"/>
  <c r="W15" i="9"/>
  <c r="Y8" i="27"/>
  <c r="Y12" i="27" s="1"/>
  <c r="Y17" i="27" s="1"/>
  <c r="Y21" i="27" s="1"/>
  <c r="Y25" i="27" s="1"/>
  <c r="W17" i="9" s="1"/>
  <c r="W16" i="45" s="1" a="1"/>
  <c r="W16" i="45" s="1"/>
  <c r="U18" i="45" a="1"/>
  <c r="U18" i="45" s="1"/>
  <c r="U23" i="45" s="1"/>
  <c r="U25" i="45" s="1"/>
  <c r="U26" i="9"/>
  <c r="U28" i="9" s="1"/>
  <c r="U24" i="28"/>
  <c r="U26" i="28"/>
  <c r="U28" i="28" s="1"/>
  <c r="Y42" i="45"/>
  <c r="Y44" i="45"/>
  <c r="T32" i="9"/>
  <c r="T39" i="9"/>
  <c r="T52" i="9"/>
  <c r="T54" i="9" s="1"/>
  <c r="T41" i="9"/>
  <c r="T42" i="9" s="1"/>
  <c r="V27" i="27"/>
  <c r="V29" i="27" s="1"/>
  <c r="V31" i="27" s="1"/>
  <c r="V22" i="28"/>
  <c r="T29" i="45"/>
  <c r="T50" i="45"/>
  <c r="T52" i="45" s="1"/>
  <c r="T39" i="45"/>
  <c r="T40" i="45" s="1"/>
  <c r="T37" i="45"/>
  <c r="Y53" i="9"/>
  <c r="AA11" i="28" l="1"/>
  <c r="AA16" i="28" s="1"/>
  <c r="AB11" i="28"/>
  <c r="AB16" i="28" s="1"/>
  <c r="Z53" i="9"/>
  <c r="Z44" i="45"/>
  <c r="T43" i="9"/>
  <c r="T45" i="9" s="1"/>
  <c r="T47" i="9" s="1"/>
  <c r="T48" i="9" s="1"/>
  <c r="AA20" i="28"/>
  <c r="U32" i="9"/>
  <c r="U41" i="9"/>
  <c r="U42" i="9" s="1"/>
  <c r="U52" i="9"/>
  <c r="U54" i="9" s="1"/>
  <c r="U39" i="9"/>
  <c r="W22" i="28"/>
  <c r="W27" i="27"/>
  <c r="W29" i="27" s="1"/>
  <c r="W31" i="27" s="1"/>
  <c r="U29" i="45"/>
  <c r="U37" i="45"/>
  <c r="U39" i="45"/>
  <c r="U40" i="45" s="1"/>
  <c r="U50" i="45"/>
  <c r="U52" i="45" s="1"/>
  <c r="Z51" i="45"/>
  <c r="W14" i="45" a="1"/>
  <c r="W14" i="45" s="1"/>
  <c r="W19" i="9"/>
  <c r="AB20" i="28"/>
  <c r="V18" i="45" a="1"/>
  <c r="V18" i="45" s="1"/>
  <c r="V23" i="45" s="1"/>
  <c r="V25" i="45" s="1"/>
  <c r="V26" i="9"/>
  <c r="V28" i="9" s="1"/>
  <c r="T41" i="45"/>
  <c r="T43" i="45" s="1"/>
  <c r="Y51" i="45"/>
  <c r="V24" i="28"/>
  <c r="V26" i="28"/>
  <c r="V28" i="28" s="1"/>
  <c r="X15" i="9"/>
  <c r="Z8" i="27"/>
  <c r="Z12" i="27" s="1"/>
  <c r="Z17" i="27" s="1"/>
  <c r="Z21" i="27" s="1"/>
  <c r="Z25" i="27" s="1"/>
  <c r="X17" i="9" s="1"/>
  <c r="X16" i="45" s="1" a="1"/>
  <c r="X16" i="45" s="1"/>
  <c r="U43" i="9" l="1"/>
  <c r="U45" i="9" s="1"/>
  <c r="U47" i="9" s="1"/>
  <c r="U48" i="9" s="1"/>
  <c r="T45" i="45"/>
  <c r="T46" i="45" s="1"/>
  <c r="W24" i="28"/>
  <c r="W26" i="28"/>
  <c r="W28" i="28" s="1"/>
  <c r="V29" i="45"/>
  <c r="V37" i="45"/>
  <c r="V39" i="45"/>
  <c r="V40" i="45" s="1"/>
  <c r="V50" i="45"/>
  <c r="V52" i="45" s="1"/>
  <c r="W18" i="45" a="1"/>
  <c r="W18" i="45" s="1"/>
  <c r="W23" i="45" s="1"/>
  <c r="W25" i="45" s="1"/>
  <c r="W26" i="9"/>
  <c r="W28" i="9" s="1"/>
  <c r="V32" i="9"/>
  <c r="V39" i="9"/>
  <c r="X22" i="28"/>
  <c r="V52" i="9"/>
  <c r="V54" i="9" s="1"/>
  <c r="V41" i="9"/>
  <c r="V42" i="9" s="1"/>
  <c r="X27" i="27"/>
  <c r="X29" i="27" s="1"/>
  <c r="X31" i="27" s="1"/>
  <c r="X14" i="45" a="1"/>
  <c r="X14" i="45" s="1"/>
  <c r="X19" i="9"/>
  <c r="U41" i="45"/>
  <c r="U43" i="45" s="1"/>
  <c r="Z15" i="9"/>
  <c r="AB8" i="27"/>
  <c r="AB12" i="27" s="1"/>
  <c r="AB17" i="27" s="1"/>
  <c r="AB21" i="27" s="1"/>
  <c r="AB25" i="27" s="1"/>
  <c r="Z17" i="9" s="1"/>
  <c r="Z16" i="45" s="1" a="1"/>
  <c r="Z16" i="45" s="1"/>
  <c r="Y15" i="9"/>
  <c r="AA8" i="27"/>
  <c r="AA12" i="27" s="1"/>
  <c r="AA17" i="27" s="1"/>
  <c r="AA21" i="27" s="1"/>
  <c r="AA25" i="27" s="1"/>
  <c r="Y17" i="9" s="1"/>
  <c r="Y16" i="45" s="1" a="1"/>
  <c r="Y16" i="45" s="1"/>
  <c r="U45" i="45" l="1"/>
  <c r="U46" i="45" s="1"/>
  <c r="V43" i="9"/>
  <c r="V45" i="9" s="1"/>
  <c r="V47" i="9" s="1"/>
  <c r="V48" i="9" s="1"/>
  <c r="V41" i="45"/>
  <c r="V43" i="45" s="1"/>
  <c r="W29" i="45"/>
  <c r="W39" i="45"/>
  <c r="W40" i="45" s="1"/>
  <c r="W50" i="45"/>
  <c r="W52" i="45" s="1"/>
  <c r="W37" i="45"/>
  <c r="W32" i="9"/>
  <c r="W39" i="9"/>
  <c r="W52" i="9"/>
  <c r="W54" i="9" s="1"/>
  <c r="Y27" i="27"/>
  <c r="Y29" i="27" s="1"/>
  <c r="Y31" i="27" s="1"/>
  <c r="Y22" i="28"/>
  <c r="W41" i="9"/>
  <c r="W42" i="9" s="1"/>
  <c r="X18" i="45" a="1"/>
  <c r="X18" i="45" s="1"/>
  <c r="X23" i="45" s="1"/>
  <c r="X25" i="45" s="1"/>
  <c r="X26" i="9"/>
  <c r="X28" i="9" s="1"/>
  <c r="Z19" i="9"/>
  <c r="Z14" i="45" a="1"/>
  <c r="Z14" i="45" s="1"/>
  <c r="X24" i="28"/>
  <c r="X26" i="28"/>
  <c r="X28" i="28" s="1"/>
  <c r="Y14" i="45" a="1"/>
  <c r="Y14" i="45" s="1"/>
  <c r="Y19" i="9"/>
  <c r="V45" i="45" l="1"/>
  <c r="V46" i="45" s="1"/>
  <c r="W43" i="9"/>
  <c r="W45" i="9" s="1"/>
  <c r="W47" i="9" s="1"/>
  <c r="W48" i="9" s="1"/>
  <c r="Y18" i="45" a="1"/>
  <c r="Y18" i="45" s="1"/>
  <c r="Y23" i="45" s="1"/>
  <c r="Y25" i="45" s="1"/>
  <c r="Y26" i="9"/>
  <c r="Y28" i="9" s="1"/>
  <c r="W41" i="45"/>
  <c r="W43" i="45" s="1"/>
  <c r="Y24" i="28"/>
  <c r="Y26" i="28"/>
  <c r="Y28" i="28" s="1"/>
  <c r="Z18" i="45" a="1"/>
  <c r="Z18" i="45" s="1"/>
  <c r="Z23" i="45" s="1"/>
  <c r="Z25" i="45" s="1"/>
  <c r="Z26" i="9"/>
  <c r="Z28" i="9" s="1"/>
  <c r="X32" i="9"/>
  <c r="X41" i="9"/>
  <c r="X42" i="9" s="1"/>
  <c r="Z22" i="28"/>
  <c r="Z27" i="27"/>
  <c r="Z29" i="27" s="1"/>
  <c r="Z31" i="27" s="1"/>
  <c r="X39" i="9"/>
  <c r="X52" i="9"/>
  <c r="X54" i="9" s="1"/>
  <c r="X29" i="45"/>
  <c r="X50" i="45"/>
  <c r="X52" i="45" s="1"/>
  <c r="X37" i="45"/>
  <c r="X39" i="45"/>
  <c r="X40" i="45" s="1"/>
  <c r="W45" i="45" l="1"/>
  <c r="W46" i="45" s="1"/>
  <c r="Z32" i="9"/>
  <c r="Z52" i="9"/>
  <c r="Z54" i="9" s="1"/>
  <c r="Z39" i="9"/>
  <c r="Z41" i="9"/>
  <c r="Z42" i="9" s="1"/>
  <c r="AB22" i="28"/>
  <c r="AB27" i="27"/>
  <c r="AB29" i="27" s="1"/>
  <c r="AB31" i="27" s="1"/>
  <c r="Z24" i="28"/>
  <c r="Z26" i="28"/>
  <c r="Z28" i="28" s="1"/>
  <c r="Z29" i="45"/>
  <c r="Z50" i="45"/>
  <c r="Z52" i="45" s="1"/>
  <c r="Z37" i="45"/>
  <c r="Z39" i="45"/>
  <c r="Z40" i="45" s="1"/>
  <c r="X41" i="45"/>
  <c r="X43" i="45" s="1"/>
  <c r="Y32" i="9"/>
  <c r="Y52" i="9"/>
  <c r="Y54" i="9" s="1"/>
  <c r="Y41" i="9"/>
  <c r="Y42" i="9" s="1"/>
  <c r="AA22" i="28"/>
  <c r="Y39" i="9"/>
  <c r="AA27" i="27"/>
  <c r="AA29" i="27" s="1"/>
  <c r="AA31" i="27" s="1"/>
  <c r="X43" i="9"/>
  <c r="X45" i="9" s="1"/>
  <c r="X47" i="9" s="1"/>
  <c r="X48" i="9" s="1"/>
  <c r="Y29" i="45"/>
  <c r="Y50" i="45"/>
  <c r="Y52" i="45" s="1"/>
  <c r="Y37" i="45"/>
  <c r="Y39" i="45"/>
  <c r="Y40" i="45" s="1"/>
  <c r="X45" i="45" l="1"/>
  <c r="X46" i="45" s="1"/>
  <c r="Y43" i="9"/>
  <c r="Y45" i="9" s="1"/>
  <c r="Y47" i="9" s="1"/>
  <c r="Y48" i="9" s="1"/>
  <c r="Y41" i="45"/>
  <c r="Y43" i="45" s="1"/>
  <c r="AA24" i="28"/>
  <c r="AA26" i="28"/>
  <c r="AA28" i="28" s="1"/>
  <c r="AB24" i="28"/>
  <c r="AB26" i="28"/>
  <c r="AB28" i="28" s="1"/>
  <c r="Z43" i="9"/>
  <c r="Z45" i="9" s="1"/>
  <c r="Z47" i="9" s="1"/>
  <c r="Z48" i="9" s="1"/>
  <c r="Z41" i="45"/>
  <c r="Z43" i="45" s="1"/>
  <c r="Z45" i="45" l="1"/>
  <c r="Z46" i="45" s="1"/>
  <c r="Y45" i="45"/>
  <c r="Y46" i="45" s="1"/>
</calcChain>
</file>

<file path=xl/comments1.xml><?xml version="1.0" encoding="utf-8"?>
<comments xmlns="http://schemas.openxmlformats.org/spreadsheetml/2006/main">
  <authors>
    <author>s207409</author>
  </authors>
  <commentList>
    <comment ref="C8" authorId="0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>
  <authors>
    <author>s207409</author>
  </authors>
  <commentList>
    <comment ref="C9" authorId="0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<sst xmlns="http://schemas.openxmlformats.org/spreadsheetml/2006/main" count="418" uniqueCount="274">
  <si>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</si>
  <si>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</si>
  <si>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</si>
  <si>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</si>
  <si>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</si>
  <si>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</si>
  <si>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</si>
  <si>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</si>
  <si>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</si>
  <si>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</si>
  <si>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</si>
  <si>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</si>
  <si>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</si>
  <si>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</si>
  <si>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</si>
  <si>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</si>
  <si>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</si>
  <si>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</si>
  <si>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</si>
  <si>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</si>
  <si>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</si>
  <si>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</si>
  <si>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</si>
  <si>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</si>
  <si>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</si>
  <si>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</si>
  <si>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</si>
  <si>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</si>
  <si>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</si>
  <si>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</si>
  <si>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</si>
  <si>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</si>
  <si>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</si>
  <si>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</si>
  <si>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</si>
  <si>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</si>
  <si>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</si>
  <si>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</si>
  <si>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</si>
  <si>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</si>
  <si>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</si>
  <si>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</si>
  <si>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</si>
  <si>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</si>
  <si>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</si>
  <si>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</si>
  <si>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</si>
  <si>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</si>
  <si>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</si>
  <si>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</si>
  <si>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</si>
  <si>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</si>
  <si>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</si>
  <si>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</si>
  <si>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</si>
  <si>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</si>
  <si>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</si>
  <si>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</si>
  <si>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</si>
  <si>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</si>
  <si>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</si>
  <si>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</si>
  <si>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</si>
  <si>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</si>
  <si>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</si>
  <si>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</si>
  <si>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</si>
  <si>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</si>
  <si>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</si>
  <si>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</si>
  <si>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</si>
  <si>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</si>
  <si>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</si>
  <si>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</si>
  <si>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</si>
  <si>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</si>
  <si>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</si>
  <si>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</si>
  <si>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</si>
  <si>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</si>
  <si>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</si>
  <si>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</si>
  <si>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</si>
  <si>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</si>
  <si>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</si>
  <si>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</si>
  <si>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</si>
  <si>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</si>
  <si>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</si>
  <si>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</si>
  <si>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</si>
  <si>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</si>
  <si>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</si>
  <si>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</si>
  <si>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</si>
  <si>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</si>
  <si>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</si>
  <si>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</si>
  <si>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</si>
  <si>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</si>
  <si>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</si>
  <si>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</si>
  <si>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</si>
  <si>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</si>
  <si>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</si>
  <si>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</si>
  <si>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</si>
  <si>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</si>
  <si>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</si>
  <si>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</si>
  <si>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</si>
  <si>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</si>
  <si>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</si>
  <si>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</si>
  <si>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</si>
  <si>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</si>
  <si>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</si>
  <si>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</si>
  <si>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</si>
  <si>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</si>
  <si>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</si>
  <si>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</si>
  <si>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</si>
  <si>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</si>
  <si>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</si>
  <si>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</si>
  <si>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</si>
  <si>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</si>
  <si>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</si>
  <si>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</si>
  <si>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</si>
  <si>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</si>
  <si>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</si>
  <si>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</si>
  <si>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</si>
  <si>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</si>
  <si>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</si>
  <si>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</si>
  <si>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</si>
  <si>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</si>
  <si>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</si>
  <si>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</si>
  <si>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</si>
  <si>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</si>
  <si>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</si>
  <si>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</si>
  <si>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</si>
  <si>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</si>
  <si>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</si>
  <si>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</si>
  <si>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</si>
  <si>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</si>
  <si>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</si>
  <si>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</si>
  <si>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</si>
  <si>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</si>
  <si>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</si>
  <si>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</si>
  <si>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</si>
  <si>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</si>
  <si>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</si>
  <si>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</si>
  <si>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</si>
  <si>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</si>
  <si>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</si>
  <si>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</si>
  <si>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</si>
  <si>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</si>
  <si>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</si>
  <si>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</si>
  <si>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</si>
  <si>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</si>
  <si>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</si>
  <si>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</si>
  <si>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</si>
  <si>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</si>
  <si>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</si>
  <si>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</si>
  <si>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</si>
  <si>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</si>
  <si>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</si>
  <si>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</si>
  <si>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</si>
  <si>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</si>
  <si>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</si>
  <si>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</si>
  <si>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</si>
  <si>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</si>
  <si>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</si>
  <si>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</si>
  <si>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</si>
  <si>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</si>
  <si>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</si>
  <si>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</si>
  <si>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</si>
  <si>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</si>
  <si>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</si>
  <si>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</si>
  <si>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</si>
  <si>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</si>
  <si>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</si>
  <si>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</si>
  <si>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</si>
  <si>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</si>
  <si>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</si>
  <si>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</si>
  <si>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</si>
  <si>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</si>
  <si>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</si>
  <si>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</si>
  <si>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</si>
  <si>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</si>
  <si>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</si>
  <si>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</si>
  <si>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</si>
  <si>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</si>
  <si>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</si>
  <si>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</si>
  <si>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</si>
  <si>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</si>
  <si>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</si>
  <si>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</si>
  <si>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</si>
  <si>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</si>
  <si>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</si>
  <si>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</si>
  <si>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</si>
  <si>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</si>
  <si>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</si>
  <si>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</si>
  <si>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</si>
  <si>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</si>
  <si>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</si>
  <si>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</si>
  <si>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</si>
  <si>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</si>
  <si>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</si>
  <si>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</si>
  <si>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</si>
  <si>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</si>
  <si>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</si>
  <si>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</si>
  <si>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</si>
  <si>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</si>
  <si>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</si>
  <si>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</si>
  <si>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</si>
  <si>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</si>
  <si>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</si>
  <si>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</si>
  <si>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</si>
  <si>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</si>
  <si>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</si>
  <si>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</si>
  <si>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Coal</t>
  </si>
  <si>
    <t>Mitchell Rate Base Calucations</t>
  </si>
  <si>
    <t>Option</t>
  </si>
  <si>
    <t>Interconnection Costs</t>
  </si>
  <si>
    <t>Option 3: New Mechanical Draft Cooling Tower</t>
  </si>
  <si>
    <t>Total Present Value Rev Requirement 10 Yr</t>
  </si>
  <si>
    <t>Avg Revenue Rrequirement 10 Yr</t>
  </si>
  <si>
    <t>Wheeling Share</t>
  </si>
  <si>
    <t>Kentucky Share</t>
  </si>
  <si>
    <t>Project Allocation Factor</t>
  </si>
  <si>
    <t>Total Project</t>
  </si>
  <si>
    <t>Pretaxx WACC</t>
  </si>
  <si>
    <t>Property Tax</t>
  </si>
  <si>
    <t>Property Tax Expense</t>
  </si>
  <si>
    <t>Net Revenue Requirement No Property Taxes</t>
  </si>
  <si>
    <t>Remove AFUDC</t>
  </si>
  <si>
    <t>Net Total</t>
  </si>
  <si>
    <t>Return on CWIP</t>
  </si>
  <si>
    <t>Return on CWIP 50% Share</t>
  </si>
  <si>
    <t>TEST YEAR ENDED MAY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</si>
</sst>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  <family val="2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0" fillId="0" borderId="0"/>
    <xf numFmtId="180" fontId="30" fillId="0" borderId="0" applyFont="0" applyFill="0" applyBorder="0" applyAlignment="0" applyProtection="0"/>
    <xf numFmtId="0" fontId="66" fillId="0" borderId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184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0" fontId="71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1" fillId="0" borderId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0" fontId="69" fillId="0" borderId="0"/>
    <xf numFmtId="0" fontId="70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0" fontId="68" fillId="0" borderId="0"/>
    <xf numFmtId="0" fontId="71" fillId="0" borderId="0"/>
    <xf numFmtId="0" fontId="68" fillId="0" borderId="0"/>
    <xf numFmtId="188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69" fillId="0" borderId="0"/>
    <xf numFmtId="0" fontId="44" fillId="0" borderId="0"/>
    <xf numFmtId="0" fontId="69" fillId="0" borderId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0" fontId="30" fillId="0" borderId="0"/>
    <xf numFmtId="181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9" fillId="0" borderId="0"/>
    <xf numFmtId="188" fontId="30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0" fontId="68" fillId="0" borderId="0"/>
    <xf numFmtId="8" fontId="67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0" fontId="69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71" fillId="0" borderId="0"/>
    <xf numFmtId="0" fontId="69" fillId="0" borderId="0"/>
    <xf numFmtId="0" fontId="67" fillId="0" borderId="0"/>
    <xf numFmtId="0" fontId="72" fillId="0" borderId="0"/>
    <xf numFmtId="0" fontId="73" fillId="0" borderId="0"/>
    <xf numFmtId="0" fontId="30" fillId="0" borderId="0"/>
    <xf numFmtId="0" fontId="70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185" fontId="30" fillId="0" borderId="0" applyFont="0" applyFill="0" applyBorder="0" applyAlignment="0" applyProtection="0"/>
    <xf numFmtId="0" fontId="70" fillId="0" borderId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70" fillId="0" borderId="0"/>
    <xf numFmtId="183" fontId="30" fillId="0" borderId="0" applyFont="0" applyFill="0" applyBorder="0" applyAlignment="0" applyProtection="0"/>
    <xf numFmtId="0" fontId="7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188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9" fillId="0" borderId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0" fontId="44" fillId="0" borderId="0"/>
    <xf numFmtId="185" fontId="30" fillId="0" borderId="0" applyFont="0" applyFill="0" applyBorder="0" applyAlignment="0" applyProtection="0"/>
    <xf numFmtId="0" fontId="30" fillId="0" borderId="0"/>
    <xf numFmtId="0" fontId="72" fillId="0" borderId="0"/>
    <xf numFmtId="0" fontId="70" fillId="0" borderId="0"/>
    <xf numFmtId="0" fontId="69" fillId="0" borderId="0"/>
    <xf numFmtId="191" fontId="30" fillId="0" borderId="0" applyFont="0" applyFill="0" applyBorder="0" applyAlignment="0" applyProtection="0"/>
    <xf numFmtId="0" fontId="69" fillId="0" borderId="0"/>
    <xf numFmtId="191" fontId="30" fillId="0" borderId="0" applyFont="0" applyFill="0" applyBorder="0" applyAlignment="0" applyProtection="0"/>
    <xf numFmtId="191" fontId="30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177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93" fontId="30" fillId="0" borderId="0">
      <alignment horizontal="left" wrapText="1"/>
    </xf>
    <xf numFmtId="193" fontId="30" fillId="0" borderId="0">
      <alignment horizontal="left" wrapText="1"/>
    </xf>
    <xf numFmtId="169" fontId="30" fillId="0" borderId="0">
      <alignment horizontal="left" wrapText="1"/>
    </xf>
    <xf numFmtId="169" fontId="30" fillId="0" borderId="0">
      <alignment horizontal="left" wrapText="1"/>
    </xf>
    <xf numFmtId="194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30" fillId="0" borderId="0">
      <alignment horizontal="left" wrapText="1"/>
    </xf>
    <xf numFmtId="0" fontId="74" fillId="0" borderId="0" applyNumberFormat="0" applyFill="0" applyBorder="0" applyAlignment="0" applyProtection="0"/>
    <xf numFmtId="198" fontId="30" fillId="0" borderId="0" applyFont="0" applyFill="0" applyBorder="0" applyAlignment="0" applyProtection="0"/>
    <xf numFmtId="199" fontId="30" fillId="0" borderId="0" applyFont="0" applyFill="0" applyBorder="0" applyAlignment="0" applyProtection="0"/>
    <xf numFmtId="200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30" fillId="0" borderId="0"/>
    <xf numFmtId="0" fontId="30" fillId="0" borderId="0"/>
    <xf numFmtId="0" fontId="24" fillId="2" borderId="0" applyNumberFormat="0" applyBorder="0" applyAlignment="0" applyProtection="0"/>
    <xf numFmtId="0" fontId="25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4" fillId="2" borderId="0" applyNumberFormat="0" applyBorder="0" applyAlignment="0" applyProtection="0"/>
    <xf numFmtId="0" fontId="25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76" fillId="16" borderId="0" applyNumberFormat="0" applyBorder="0" applyAlignment="0" applyProtection="0"/>
    <xf numFmtId="0" fontId="25" fillId="11" borderId="0" applyNumberFormat="0" applyBorder="0" applyAlignment="0" applyProtection="0"/>
    <xf numFmtId="0" fontId="76" fillId="11" borderId="0" applyNumberFormat="0" applyBorder="0" applyAlignment="0" applyProtection="0"/>
    <xf numFmtId="0" fontId="25" fillId="12" borderId="0" applyNumberFormat="0" applyBorder="0" applyAlignment="0" applyProtection="0"/>
    <xf numFmtId="0" fontId="76" fillId="13" borderId="0" applyNumberFormat="0" applyBorder="0" applyAlignment="0" applyProtection="0"/>
    <xf numFmtId="0" fontId="25" fillId="17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4" borderId="0" applyNumberFormat="0" applyBorder="0" applyAlignment="0" applyProtection="0"/>
    <xf numFmtId="0" fontId="76" fillId="19" borderId="0" applyNumberFormat="0" applyBorder="0" applyAlignment="0" applyProtection="0"/>
    <xf numFmtId="0" fontId="27" fillId="0" borderId="0"/>
    <xf numFmtId="0" fontId="25" fillId="15" borderId="0" applyNumberFormat="0" applyBorder="0" applyAlignment="0" applyProtection="0"/>
    <xf numFmtId="0" fontId="76" fillId="20" borderId="0" applyNumberFormat="0" applyBorder="0" applyAlignment="0" applyProtection="0"/>
    <xf numFmtId="0" fontId="25" fillId="21" borderId="0" applyNumberFormat="0" applyBorder="0" applyAlignment="0" applyProtection="0"/>
    <xf numFmtId="0" fontId="76" fillId="22" borderId="0" applyNumberFormat="0" applyBorder="0" applyAlignment="0" applyProtection="0"/>
    <xf numFmtId="0" fontId="25" fillId="23" borderId="0" applyNumberFormat="0" applyBorder="0" applyAlignment="0" applyProtection="0"/>
    <xf numFmtId="0" fontId="76" fillId="23" borderId="0" applyNumberFormat="0" applyBorder="0" applyAlignment="0" applyProtection="0"/>
    <xf numFmtId="0" fontId="25" fillId="24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21" borderId="0" applyNumberFormat="0" applyBorder="0" applyAlignment="0" applyProtection="0"/>
    <xf numFmtId="0" fontId="76" fillId="21" borderId="0" applyNumberFormat="0" applyBorder="0" applyAlignment="0" applyProtection="0"/>
    <xf numFmtId="202" fontId="30" fillId="25" borderId="1">
      <alignment horizontal="center" vertical="center"/>
    </xf>
    <xf numFmtId="203" fontId="77" fillId="0" borderId="0" applyNumberFormat="0" applyFill="0" applyBorder="0" applyAlignment="0">
      <alignment vertical="top"/>
      <protection locked="0"/>
    </xf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37" fontId="49" fillId="0" borderId="0" applyFill="0" applyBorder="0" applyProtection="0"/>
    <xf numFmtId="0" fontId="78" fillId="0" borderId="0"/>
    <xf numFmtId="0" fontId="79" fillId="0" borderId="2" applyNumberFormat="0" applyFont="0" applyFill="0" applyAlignment="0" applyProtection="0"/>
    <xf numFmtId="0" fontId="79" fillId="0" borderId="3" applyNumberFormat="0" applyFont="0" applyFill="0" applyAlignment="0" applyProtection="0"/>
    <xf numFmtId="170" fontId="27" fillId="0" borderId="0" applyNumberFormat="0" applyFont="0" applyAlignment="0" applyProtection="0"/>
    <xf numFmtId="0" fontId="28" fillId="2" borderId="4" applyNumberFormat="0" applyAlignment="0" applyProtection="0"/>
    <xf numFmtId="0" fontId="28" fillId="26" borderId="4" applyNumberFormat="0" applyAlignment="0" applyProtection="0"/>
    <xf numFmtId="0" fontId="44" fillId="0" borderId="0">
      <alignment horizontal="centerContinuous"/>
    </xf>
    <xf numFmtId="0" fontId="29" fillId="27" borderId="5" applyNumberFormat="0" applyAlignment="0" applyProtection="0"/>
    <xf numFmtId="0" fontId="80" fillId="27" borderId="5" applyNumberFormat="0" applyAlignment="0" applyProtection="0"/>
    <xf numFmtId="43" fontId="18" fillId="0" borderId="0" applyFont="0" applyFill="0" applyBorder="0" applyAlignment="0" applyProtection="0"/>
    <xf numFmtId="204" fontId="41" fillId="0" borderId="0" applyFont="0" applyFill="0" applyBorder="0" applyAlignment="0" applyProtection="0">
      <alignment horizontal="right"/>
    </xf>
    <xf numFmtId="39" fontId="75" fillId="0" borderId="0"/>
    <xf numFmtId="37" fontId="75" fillId="0" borderId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3" fontId="31" fillId="0" borderId="0" applyFont="0" applyFill="0" applyBorder="0" applyAlignment="0" applyProtection="0"/>
    <xf numFmtId="0" fontId="32" fillId="0" borderId="0"/>
    <xf numFmtId="172" fontId="30" fillId="0" borderId="0" applyFont="0" applyFill="0" applyBorder="0" applyAlignment="0" applyProtection="0"/>
    <xf numFmtId="205" fontId="82" fillId="0" borderId="0">
      <alignment horizontal="center"/>
    </xf>
    <xf numFmtId="44" fontId="18" fillId="0" borderId="0" applyFont="0" applyFill="0" applyBorder="0" applyAlignment="0" applyProtection="0"/>
    <xf numFmtId="178" fontId="19" fillId="0" borderId="0" applyFont="0" applyFill="0" applyBorder="0" applyAlignment="0"/>
    <xf numFmtId="8" fontId="30" fillId="0" borderId="0" applyFont="0" applyFill="0" applyBorder="0" applyAlignment="0"/>
    <xf numFmtId="37" fontId="75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4" fontId="30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83" fillId="0" borderId="0" applyNumberFormat="0" applyFill="0" applyBorder="0"/>
    <xf numFmtId="0" fontId="31" fillId="0" borderId="0" applyFont="0" applyFill="0" applyBorder="0" applyAlignment="0" applyProtection="0"/>
    <xf numFmtId="207" fontId="85" fillId="28" borderId="6" applyFont="0" applyFill="0" applyBorder="0" applyAlignment="0" applyProtection="0"/>
    <xf numFmtId="208" fontId="19" fillId="28" borderId="0" applyFont="0" applyFill="0" applyBorder="0" applyAlignment="0" applyProtection="0"/>
    <xf numFmtId="209" fontId="58" fillId="0" borderId="7"/>
    <xf numFmtId="0" fontId="81" fillId="0" borderId="0" applyFont="0" applyFill="0" applyBorder="0" applyAlignment="0" applyProtection="0"/>
    <xf numFmtId="210" fontId="30" fillId="0" borderId="0" applyFont="0" applyFill="0" applyBorder="0" applyAlignment="0" applyProtection="0"/>
    <xf numFmtId="207" fontId="58" fillId="0" borderId="0" applyFill="0" applyBorder="0">
      <alignment horizontal="right"/>
    </xf>
    <xf numFmtId="211" fontId="30" fillId="0" borderId="0" applyFont="0" applyFill="0" applyBorder="0" applyAlignment="0" applyProtection="0">
      <alignment vertical="top"/>
    </xf>
    <xf numFmtId="212" fontId="50" fillId="0" borderId="0" applyFont="0" applyFill="0" applyBorder="0" applyAlignment="0" applyProtection="0"/>
    <xf numFmtId="213" fontId="30" fillId="0" borderId="0" applyFont="0" applyFill="0" applyBorder="0" applyAlignment="0" applyProtection="0">
      <alignment horizontal="right"/>
    </xf>
    <xf numFmtId="40" fontId="86" fillId="0" borderId="0"/>
    <xf numFmtId="214" fontId="30" fillId="0" borderId="0" applyFont="0" applyFill="0" applyBorder="0" applyAlignment="0" applyProtection="0"/>
    <xf numFmtId="215" fontId="30" fillId="0" borderId="0" applyFont="0" applyFill="0" applyBorder="0" applyAlignment="0" applyProtection="0"/>
    <xf numFmtId="0" fontId="87" fillId="0" borderId="0" applyNumberFormat="0"/>
    <xf numFmtId="0" fontId="88" fillId="0" borderId="0">
      <alignment horizontal="centerContinuous"/>
    </xf>
    <xf numFmtId="0" fontId="88" fillId="0" borderId="0" applyNumberFormat="0"/>
    <xf numFmtId="5" fontId="30" fillId="0" borderId="0"/>
    <xf numFmtId="0" fontId="89" fillId="0" borderId="7" applyFont="0" applyFill="0" applyBorder="0" applyAlignment="0" applyProtection="0"/>
    <xf numFmtId="0" fontId="81" fillId="0" borderId="8" applyNumberFormat="0" applyFont="0" applyFill="0" applyAlignment="0" applyProtection="0"/>
    <xf numFmtId="37" fontId="75" fillId="0" borderId="0"/>
    <xf numFmtId="216" fontId="3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17" fontId="56" fillId="0" borderId="0" applyFont="0" applyFill="0" applyBorder="0" applyAlignment="0" applyProtection="0">
      <alignment horizontal="right"/>
    </xf>
    <xf numFmtId="205" fontId="82" fillId="0" borderId="0">
      <alignment horizontal="center"/>
    </xf>
    <xf numFmtId="2" fontId="31" fillId="0" borderId="0" applyFont="0" applyFill="0" applyBorder="0" applyAlignment="0" applyProtection="0"/>
    <xf numFmtId="218" fontId="30" fillId="28" borderId="0" applyFont="0" applyFill="0" applyBorder="0" applyAlignment="0"/>
    <xf numFmtId="2" fontId="30" fillId="0" borderId="0" applyFont="0" applyFill="0" applyBorder="0" applyAlignment="0" applyProtection="0"/>
    <xf numFmtId="0" fontId="32" fillId="0" borderId="0"/>
    <xf numFmtId="0" fontId="79" fillId="0" borderId="0" applyFill="0" applyBorder="0" applyProtection="0">
      <alignment horizontal="left"/>
    </xf>
    <xf numFmtId="219" fontId="30" fillId="0" borderId="0"/>
    <xf numFmtId="219" fontId="77" fillId="0" borderId="9"/>
    <xf numFmtId="0" fontId="90" fillId="0" borderId="0">
      <alignment horizontal="right"/>
    </xf>
    <xf numFmtId="0" fontId="90" fillId="0" borderId="0"/>
    <xf numFmtId="37" fontId="19" fillId="0" borderId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38" fontId="19" fillId="29" borderId="0" applyNumberFormat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91" fillId="0" borderId="0" applyNumberFormat="0" applyFill="0" applyBorder="0" applyAlignment="0" applyProtection="0"/>
    <xf numFmtId="0" fontId="23" fillId="0" borderId="10" applyNumberFormat="0" applyAlignment="0" applyProtection="0">
      <alignment horizontal="left" vertical="center"/>
    </xf>
    <xf numFmtId="0" fontId="23" fillId="0" borderId="11">
      <alignment horizontal="left" vertical="center"/>
    </xf>
    <xf numFmtId="0" fontId="35" fillId="0" borderId="0" applyNumberFormat="0" applyFill="0" applyBorder="0" applyAlignment="0" applyProtection="0"/>
    <xf numFmtId="0" fontId="63" fillId="0" borderId="0" applyNumberFormat="0" applyFont="0" applyFill="0" applyAlignment="0" applyProtection="0"/>
    <xf numFmtId="0" fontId="36" fillId="0" borderId="0" applyNumberFormat="0" applyFill="0" applyBorder="0" applyAlignment="0" applyProtection="0"/>
    <xf numFmtId="0" fontId="23" fillId="0" borderId="0" applyNumberFormat="0" applyFont="0" applyFill="0" applyAlignment="0" applyProtection="0"/>
    <xf numFmtId="0" fontId="37" fillId="0" borderId="12" applyNumberFormat="0" applyFill="0" applyAlignment="0" applyProtection="0"/>
    <xf numFmtId="0" fontId="92" fillId="0" borderId="0" applyProtection="0">
      <alignment horizontal="left"/>
    </xf>
    <xf numFmtId="0" fontId="3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206" fontId="94" fillId="0" borderId="0">
      <protection locked="0"/>
    </xf>
    <xf numFmtId="206" fontId="94" fillId="0" borderId="0">
      <protection locked="0"/>
    </xf>
    <xf numFmtId="220" fontId="30" fillId="0" borderId="0">
      <alignment horizontal="left"/>
    </xf>
    <xf numFmtId="37" fontId="75" fillId="0" borderId="0"/>
    <xf numFmtId="0" fontId="77" fillId="0" borderId="13" applyNumberFormat="0" applyFill="0" applyAlignment="0" applyProtection="0"/>
    <xf numFmtId="0" fontId="38" fillId="4" borderId="4" applyNumberFormat="0" applyAlignment="0" applyProtection="0"/>
    <xf numFmtId="10" fontId="19" fillId="28" borderId="9" applyNumberFormat="0" applyBorder="0" applyAlignment="0" applyProtection="0"/>
    <xf numFmtId="0" fontId="38" fillId="4" borderId="4" applyNumberFormat="0" applyAlignment="0" applyProtection="0"/>
    <xf numFmtId="41" fontId="51" fillId="0" borderId="0">
      <alignment horizontal="left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168" fontId="30" fillId="0" borderId="0"/>
    <xf numFmtId="14" fontId="75" fillId="0" borderId="0">
      <alignment horizontal="center"/>
    </xf>
    <xf numFmtId="37" fontId="30" fillId="0" borderId="0" applyFont="0" applyFill="0" applyBorder="0" applyAlignment="0" applyProtection="0"/>
    <xf numFmtId="221" fontId="30" fillId="0" borderId="0" applyFont="0" applyFill="0" applyBorder="0" applyAlignment="0" applyProtection="0">
      <alignment horizontal="left" wrapText="1"/>
    </xf>
    <xf numFmtId="37" fontId="75" fillId="0" borderId="9">
      <alignment horizontal="right"/>
    </xf>
    <xf numFmtId="37" fontId="75" fillId="0" borderId="0">
      <alignment horizontal="center"/>
    </xf>
    <xf numFmtId="37" fontId="75" fillId="0" borderId="0">
      <alignment horizontal="center"/>
    </xf>
    <xf numFmtId="17" fontId="75" fillId="0" borderId="0">
      <alignment horizontal="center"/>
    </xf>
    <xf numFmtId="222" fontId="81" fillId="0" borderId="0" applyFont="0" applyFill="0" applyBorder="0" applyProtection="0">
      <alignment horizontal="right"/>
    </xf>
    <xf numFmtId="0" fontId="49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23" fontId="19" fillId="29" borderId="0" applyFont="0" applyBorder="0" applyAlignment="0" applyProtection="0">
      <alignment horizontal="right"/>
      <protection hidden="1"/>
    </xf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37" fontId="95" fillId="0" borderId="0"/>
    <xf numFmtId="224" fontId="96" fillId="0" borderId="0"/>
    <xf numFmtId="0" fontId="42" fillId="0" borderId="0"/>
    <xf numFmtId="0" fontId="42" fillId="0" borderId="0"/>
    <xf numFmtId="38" fontId="19" fillId="0" borderId="0" applyFont="0" applyFill="0" applyBorder="0" applyAlignment="0"/>
    <xf numFmtId="208" fontId="30" fillId="0" borderId="0" applyFont="0" applyFill="0" applyBorder="0" applyAlignment="0"/>
    <xf numFmtId="40" fontId="19" fillId="0" borderId="0" applyFont="0" applyFill="0" applyBorder="0" applyAlignment="0"/>
    <xf numFmtId="225" fontId="19" fillId="0" borderId="0" applyFont="0" applyFill="0" applyBorder="0" applyAlignment="0"/>
    <xf numFmtId="0" fontId="30" fillId="0" borderId="0"/>
    <xf numFmtId="0" fontId="30" fillId="0" borderId="0"/>
    <xf numFmtId="0" fontId="18" fillId="0" borderId="0"/>
    <xf numFmtId="208" fontId="58" fillId="0" borderId="0" applyNumberFormat="0" applyFill="0" applyBorder="0" applyAlignment="0" applyProtection="0"/>
    <xf numFmtId="226" fontId="19" fillId="0" borderId="0" applyFont="0" applyFill="0" applyBorder="0" applyAlignment="0" applyProtection="0"/>
    <xf numFmtId="0" fontId="30" fillId="0" borderId="0"/>
    <xf numFmtId="2" fontId="22" fillId="0" borderId="0" applyFont="0" applyFill="0" applyBorder="0">
      <alignment horizontal="center" vertical="top" wrapText="1" shrinkToFit="1"/>
    </xf>
    <xf numFmtId="0" fontId="97" fillId="0" borderId="0"/>
    <xf numFmtId="0" fontId="18" fillId="6" borderId="15" applyNumberFormat="0" applyFont="0" applyAlignment="0" applyProtection="0"/>
    <xf numFmtId="0" fontId="30" fillId="6" borderId="16" applyNumberFormat="0" applyFont="0" applyAlignment="0" applyProtection="0"/>
    <xf numFmtId="43" fontId="52" fillId="0" borderId="0"/>
    <xf numFmtId="227" fontId="19" fillId="0" borderId="0" applyFont="0" applyFill="0" applyBorder="0" applyAlignment="0" applyProtection="0"/>
    <xf numFmtId="170" fontId="42" fillId="0" borderId="0" applyProtection="0"/>
    <xf numFmtId="173" fontId="53" fillId="0" borderId="0"/>
    <xf numFmtId="228" fontId="19" fillId="0" borderId="0" applyFont="0" applyFill="0" applyBorder="0" applyAlignment="0" applyProtection="0"/>
    <xf numFmtId="37" fontId="32" fillId="30" borderId="9" applyNumberFormat="0" applyFont="0" applyFill="0" applyAlignment="0" applyProtection="0"/>
    <xf numFmtId="0" fontId="43" fillId="2" borderId="17" applyNumberFormat="0" applyAlignment="0" applyProtection="0"/>
    <xf numFmtId="0" fontId="43" fillId="26" borderId="17" applyNumberFormat="0" applyAlignment="0" applyProtection="0"/>
    <xf numFmtId="0" fontId="98" fillId="0" borderId="0" applyFill="0" applyBorder="0" applyProtection="0">
      <alignment horizontal="left"/>
    </xf>
    <xf numFmtId="0" fontId="99" fillId="0" borderId="0" applyFill="0" applyBorder="0" applyProtection="0">
      <alignment horizontal="left"/>
    </xf>
    <xf numFmtId="1" fontId="100" fillId="0" borderId="0" applyProtection="0">
      <alignment horizontal="right" vertical="center"/>
    </xf>
    <xf numFmtId="0" fontId="101" fillId="0" borderId="0">
      <alignment horizontal="centerContinuous"/>
    </xf>
    <xf numFmtId="205" fontId="102" fillId="0" borderId="0">
      <alignment horizontal="right"/>
    </xf>
    <xf numFmtId="205" fontId="102" fillId="0" borderId="0">
      <alignment horizontal="right"/>
    </xf>
    <xf numFmtId="0" fontId="32" fillId="0" borderId="0"/>
    <xf numFmtId="9" fontId="18" fillId="0" borderId="0" applyFont="0" applyFill="0" applyBorder="0" applyAlignment="0" applyProtection="0"/>
    <xf numFmtId="10" fontId="19" fillId="0" borderId="0"/>
    <xf numFmtId="229" fontId="30" fillId="0" borderId="0" applyFont="0" applyFill="0" applyBorder="0" applyAlignment="0"/>
    <xf numFmtId="230" fontId="19" fillId="0" borderId="0" applyFont="0" applyFill="0" applyBorder="0" applyAlignment="0"/>
    <xf numFmtId="231" fontId="30" fillId="0" borderId="0" applyFont="0" applyFill="0" applyBorder="0" applyAlignment="0"/>
    <xf numFmtId="9" fontId="30" fillId="0" borderId="0" applyFont="0" applyFill="0" applyBorder="0" applyAlignment="0" applyProtection="0"/>
    <xf numFmtId="232" fontId="79" fillId="0" borderId="0" applyFont="0" applyFill="0" applyBorder="0" applyProtection="0">
      <alignment horizontal="right"/>
    </xf>
    <xf numFmtId="233" fontId="19" fillId="0" borderId="0" applyFont="0" applyFill="0" applyBorder="0" applyAlignment="0" applyProtection="0"/>
    <xf numFmtId="37" fontId="75" fillId="0" borderId="0"/>
    <xf numFmtId="37" fontId="75" fillId="0" borderId="0"/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208" fontId="103" fillId="0" borderId="0" applyNumberFormat="0" applyFill="0" applyBorder="0" applyAlignment="0" applyProtection="0">
      <alignment horizontal="left"/>
    </xf>
    <xf numFmtId="0" fontId="104" fillId="0" borderId="18">
      <alignment vertical="center"/>
    </xf>
    <xf numFmtId="0" fontId="105" fillId="0" borderId="0"/>
    <xf numFmtId="0" fontId="106" fillId="0" borderId="0"/>
    <xf numFmtId="0" fontId="107" fillId="32" borderId="0" applyNumberFormat="0" applyFont="0" applyBorder="0" applyAlignment="0" applyProtection="0"/>
    <xf numFmtId="169" fontId="30" fillId="0" borderId="0">
      <alignment horizontal="left" wrapText="1"/>
    </xf>
    <xf numFmtId="0" fontId="30" fillId="0" borderId="0"/>
    <xf numFmtId="0" fontId="30" fillId="0" borderId="0"/>
    <xf numFmtId="193" fontId="30" fillId="0" borderId="0">
      <alignment horizontal="left" wrapText="1"/>
    </xf>
    <xf numFmtId="0" fontId="108" fillId="0" borderId="19" applyNumberFormat="0"/>
    <xf numFmtId="177" fontId="109" fillId="0" borderId="0"/>
    <xf numFmtId="0" fontId="48" fillId="0" borderId="0" applyFill="0" applyBorder="0" applyProtection="0">
      <alignment horizontal="center" vertical="center"/>
    </xf>
    <xf numFmtId="0" fontId="110" fillId="0" borderId="0" applyBorder="0" applyProtection="0">
      <alignment vertical="center"/>
    </xf>
    <xf numFmtId="0" fontId="110" fillId="0" borderId="7" applyBorder="0" applyProtection="0">
      <alignment horizontal="right" vertical="center"/>
    </xf>
    <xf numFmtId="0" fontId="111" fillId="33" borderId="0" applyBorder="0" applyProtection="0">
      <alignment horizontal="centerContinuous" vertical="center"/>
    </xf>
    <xf numFmtId="0" fontId="111" fillId="34" borderId="7" applyBorder="0" applyProtection="0">
      <alignment horizontal="centerContinuous" vertical="center"/>
    </xf>
    <xf numFmtId="0" fontId="58" fillId="0" borderId="0" applyBorder="0" applyProtection="0">
      <alignment horizontal="left"/>
    </xf>
    <xf numFmtId="0" fontId="48" fillId="0" borderId="0" applyFill="0" applyBorder="0" applyProtection="0"/>
    <xf numFmtId="0" fontId="97" fillId="0" borderId="0"/>
    <xf numFmtId="0" fontId="22" fillId="0" borderId="0" applyFill="0" applyBorder="0" applyProtection="0">
      <alignment horizontal="left"/>
    </xf>
    <xf numFmtId="0" fontId="113" fillId="0" borderId="0" applyFill="0" applyBorder="0" applyProtection="0">
      <alignment horizontal="left" vertical="top"/>
    </xf>
    <xf numFmtId="0" fontId="114" fillId="0" borderId="0">
      <alignment horizontal="centerContinuous"/>
    </xf>
    <xf numFmtId="0" fontId="115" fillId="0" borderId="0"/>
    <xf numFmtId="0" fontId="116" fillId="0" borderId="0"/>
    <xf numFmtId="234" fontId="117" fillId="0" borderId="0" applyFill="0" applyBorder="0" applyAlignment="0" applyProtection="0">
      <alignment horizontal="right"/>
    </xf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1" fillId="0" borderId="20" applyNumberFormat="0" applyFont="0" applyFill="0" applyAlignment="0" applyProtection="0"/>
    <xf numFmtId="206" fontId="84" fillId="0" borderId="21">
      <protection locked="0"/>
    </xf>
    <xf numFmtId="235" fontId="30" fillId="0" borderId="0"/>
    <xf numFmtId="38" fontId="19" fillId="35" borderId="0" applyNumberFormat="0" applyBorder="0" applyAlignment="0" applyProtection="0"/>
    <xf numFmtId="0" fontId="119" fillId="0" borderId="0">
      <alignment horizontal="fill"/>
    </xf>
    <xf numFmtId="37" fontId="19" fillId="35" borderId="0" applyNumberFormat="0" applyBorder="0" applyAlignment="0" applyProtection="0"/>
    <xf numFmtId="37" fontId="19" fillId="0" borderId="0"/>
    <xf numFmtId="37" fontId="19" fillId="29" borderId="0" applyNumberFormat="0" applyBorder="0" applyAlignment="0" applyProtection="0"/>
    <xf numFmtId="3" fontId="85" fillId="0" borderId="13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0" fontId="79" fillId="0" borderId="0" applyFont="0" applyFill="0" applyBorder="0" applyProtection="0">
      <alignment horizontal="right"/>
    </xf>
    <xf numFmtId="0" fontId="83" fillId="34" borderId="22">
      <alignment horizontal="center" vertical="top"/>
    </xf>
    <xf numFmtId="201" fontId="82" fillId="0" borderId="0">
      <alignment horizontal="center"/>
    </xf>
    <xf numFmtId="205" fontId="30" fillId="0" borderId="0">
      <alignment horizontal="left"/>
    </xf>
    <xf numFmtId="183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0" fontId="30" fillId="0" borderId="0"/>
    <xf numFmtId="43" fontId="121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6" borderId="15" applyNumberFormat="0" applyFont="0" applyAlignment="0" applyProtection="0"/>
    <xf numFmtId="9" fontId="30" fillId="0" borderId="0" applyFont="0" applyFill="0" applyBorder="0" applyAlignment="0" applyProtection="0"/>
    <xf numFmtId="0" fontId="17" fillId="0" borderId="0"/>
    <xf numFmtId="43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7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6" fillId="0" borderId="0"/>
    <xf numFmtId="0" fontId="16" fillId="0" borderId="0"/>
    <xf numFmtId="185" fontId="18" fillId="0" borderId="0" applyFont="0" applyFill="0" applyBorder="0" applyAlignment="0" applyProtection="0"/>
    <xf numFmtId="0" fontId="18" fillId="0" borderId="0"/>
    <xf numFmtId="236" fontId="125" fillId="0" borderId="0">
      <alignment horizontal="right"/>
    </xf>
    <xf numFmtId="10" fontId="126" fillId="0" borderId="0"/>
    <xf numFmtId="9" fontId="127" fillId="0" borderId="0"/>
    <xf numFmtId="9" fontId="127" fillId="0" borderId="0"/>
    <xf numFmtId="174" fontId="127" fillId="0" borderId="0"/>
    <xf numFmtId="174" fontId="127" fillId="0" borderId="0"/>
    <xf numFmtId="10" fontId="127" fillId="0" borderId="0"/>
    <xf numFmtId="10" fontId="127" fillId="0" borderId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18" fillId="0" borderId="0">
      <alignment horizontal="left" wrapText="1"/>
    </xf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236" fillId="0" borderId="59" applyNumberFormat="0" applyFill="0" applyProtection="0">
      <alignment horizontal="center"/>
    </xf>
    <xf numFmtId="42" fontId="10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242" fontId="127" fillId="0" borderId="0" applyFont="0" applyFill="0" applyBorder="0" applyAlignment="0" applyProtection="0"/>
    <xf numFmtId="242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37" fontId="21" fillId="0" borderId="0"/>
    <xf numFmtId="0" fontId="107" fillId="0" borderId="0"/>
    <xf numFmtId="0" fontId="107" fillId="0" borderId="0"/>
    <xf numFmtId="237" fontId="44" fillId="0" borderId="0"/>
    <xf numFmtId="9" fontId="18" fillId="0" borderId="0"/>
    <xf numFmtId="9" fontId="18" fillId="0" borderId="0"/>
    <xf numFmtId="9" fontId="18" fillId="0" borderId="0"/>
    <xf numFmtId="9" fontId="18" fillId="0" borderId="0"/>
    <xf numFmtId="238" fontId="44" fillId="0" borderId="0"/>
    <xf numFmtId="174" fontId="44" fillId="0" borderId="0"/>
    <xf numFmtId="2" fontId="44" fillId="0" borderId="0"/>
    <xf numFmtId="10" fontId="44" fillId="0" borderId="0"/>
    <xf numFmtId="0" fontId="128" fillId="0" borderId="31" applyFont="0" applyFill="0" applyBorder="0" applyAlignment="0" applyProtection="0"/>
    <xf numFmtId="237" fontId="44" fillId="0" borderId="0"/>
    <xf numFmtId="0" fontId="129" fillId="0" borderId="0"/>
    <xf numFmtId="244" fontId="127" fillId="0" borderId="0"/>
    <xf numFmtId="244" fontId="127" fillId="0" borderId="0"/>
    <xf numFmtId="43" fontId="18" fillId="0" borderId="0" applyFon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124" fillId="16" borderId="0" applyNumberFormat="0" applyBorder="0" applyAlignment="0" applyProtection="0"/>
    <xf numFmtId="0" fontId="124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3" borderId="0" applyNumberFormat="0" applyBorder="0" applyAlignment="0" applyProtection="0"/>
    <xf numFmtId="0" fontId="124" fillId="1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9" borderId="0" applyNumberFormat="0" applyBorder="0" applyAlignment="0" applyProtection="0"/>
    <xf numFmtId="0" fontId="124" fillId="19" borderId="0" applyNumberFormat="0" applyBorder="0" applyAlignment="0" applyProtection="0"/>
    <xf numFmtId="37" fontId="41" fillId="0" borderId="0">
      <alignment horizontal="center"/>
    </xf>
    <xf numFmtId="0" fontId="124" fillId="20" borderId="0" applyNumberFormat="0" applyBorder="0" applyAlignment="0" applyProtection="0"/>
    <xf numFmtId="0" fontId="124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43" fontId="130" fillId="0" borderId="7" applyNumberFormat="0" applyBorder="0"/>
    <xf numFmtId="37" fontId="131" fillId="36" borderId="27" applyBorder="0" applyProtection="0">
      <alignment vertical="center"/>
    </xf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32" fillId="0" borderId="32" applyNumberFormat="0" applyFill="0" applyAlignment="0" applyProtection="0"/>
    <xf numFmtId="0" fontId="133" fillId="0" borderId="7" applyFont="0">
      <alignment horizontal="centerContinuous"/>
    </xf>
    <xf numFmtId="0" fontId="133" fillId="0" borderId="7" applyFont="0">
      <alignment horizontal="centerContinuous"/>
    </xf>
    <xf numFmtId="0" fontId="125" fillId="0" borderId="0"/>
    <xf numFmtId="0" fontId="125" fillId="0" borderId="0"/>
    <xf numFmtId="9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7" fillId="0" borderId="0"/>
    <xf numFmtId="0" fontId="127" fillId="0" borderId="0"/>
    <xf numFmtId="0" fontId="18" fillId="29" borderId="0"/>
    <xf numFmtId="0" fontId="18" fillId="29" borderId="0"/>
    <xf numFmtId="0" fontId="18" fillId="29" borderId="0"/>
    <xf numFmtId="0" fontId="18" fillId="29" borderId="0"/>
    <xf numFmtId="0" fontId="226" fillId="5" borderId="0" applyNumberFormat="0" applyBorder="0" applyAlignment="0" applyProtection="0"/>
    <xf numFmtId="38" fontId="134" fillId="0" borderId="0" applyNumberFormat="0" applyFill="0" applyBorder="0" applyAlignment="0" applyProtection="0"/>
    <xf numFmtId="245" fontId="107" fillId="0" borderId="0" applyFont="0" applyFill="0" applyBorder="0" applyAlignment="0" applyProtection="0"/>
    <xf numFmtId="0" fontId="114" fillId="37" borderId="28" applyFill="0" applyBorder="0" applyProtection="0">
      <alignment horizontal="left"/>
    </xf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7" fillId="0" borderId="0"/>
    <xf numFmtId="0" fontId="127" fillId="0" borderId="0"/>
    <xf numFmtId="0" fontId="137" fillId="38" borderId="0" applyBorder="0">
      <alignment horizontal="left" vertical="center" indent="1"/>
    </xf>
    <xf numFmtId="0" fontId="133" fillId="0" borderId="7" applyNumberFormat="0" applyFill="0" applyAlignment="0" applyProtection="0"/>
    <xf numFmtId="0" fontId="134" fillId="0" borderId="7" applyNumberFormat="0" applyFont="0" applyFill="0" applyAlignment="0" applyProtection="0"/>
    <xf numFmtId="0" fontId="125" fillId="0" borderId="19"/>
    <xf numFmtId="0" fontId="125" fillId="0" borderId="19"/>
    <xf numFmtId="0" fontId="138" fillId="0" borderId="0" applyFill="0" applyBorder="0">
      <alignment vertical="top"/>
    </xf>
    <xf numFmtId="246" fontId="48" fillId="29" borderId="0" applyBorder="0">
      <alignment vertical="top"/>
    </xf>
    <xf numFmtId="246" fontId="49" fillId="29" borderId="0" applyBorder="0">
      <alignment vertical="top"/>
    </xf>
    <xf numFmtId="1" fontId="61" fillId="0" borderId="0" applyFont="0" applyFill="0" applyBorder="0" applyAlignment="0" applyProtection="0"/>
    <xf numFmtId="0" fontId="127" fillId="0" borderId="7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247" fontId="127" fillId="0" borderId="0" applyFont="0" applyFill="0" applyBorder="0" applyAlignment="0" applyProtection="0"/>
    <xf numFmtId="247" fontId="127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6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43" fontId="125" fillId="0" borderId="0">
      <alignment horizontal="right"/>
    </xf>
    <xf numFmtId="43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37" fontId="127" fillId="0" borderId="0">
      <alignment horizontal="center"/>
    </xf>
    <xf numFmtId="0" fontId="127" fillId="0" borderId="0"/>
    <xf numFmtId="0" fontId="133" fillId="0" borderId="0"/>
    <xf numFmtId="0" fontId="133" fillId="0" borderId="0"/>
    <xf numFmtId="0" fontId="227" fillId="26" borderId="4" applyNumberFormat="0" applyAlignment="0" applyProtection="0"/>
    <xf numFmtId="0" fontId="140" fillId="29" borderId="0" applyNumberFormat="0" applyBorder="0">
      <alignment vertical="center"/>
    </xf>
    <xf numFmtId="0" fontId="48" fillId="0" borderId="0"/>
    <xf numFmtId="0" fontId="48" fillId="0" borderId="0"/>
    <xf numFmtId="0" fontId="141" fillId="0" borderId="0"/>
    <xf numFmtId="1" fontId="142" fillId="0" borderId="0"/>
    <xf numFmtId="0" fontId="228" fillId="27" borderId="5" applyNumberFormat="0" applyAlignment="0" applyProtection="0"/>
    <xf numFmtId="0" fontId="127" fillId="0" borderId="0"/>
    <xf numFmtId="248" fontId="49" fillId="0" borderId="0" applyFill="0" applyBorder="0" applyAlignment="0"/>
    <xf numFmtId="249" fontId="49" fillId="0" borderId="0" applyFill="0" applyBorder="0" applyAlignment="0"/>
    <xf numFmtId="0" fontId="114" fillId="39" borderId="9" applyNumberFormat="0" applyBorder="0" applyProtection="0">
      <alignment horizontal="center" vertical="center" wrapText="1"/>
    </xf>
    <xf numFmtId="43" fontId="18" fillId="0" borderId="0" applyFont="0" applyFill="0" applyBorder="0" applyAlignment="0" applyProtection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0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42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ill="0" applyBorder="0" applyAlignment="0" applyProtection="0"/>
    <xf numFmtId="170" fontId="145" fillId="0" borderId="0" applyFill="0" applyBorder="0">
      <alignment horizontal="left"/>
    </xf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0" fontId="146" fillId="0" borderId="0">
      <alignment horizontal="left"/>
    </xf>
    <xf numFmtId="0" fontId="147" fillId="0" borderId="0"/>
    <xf numFmtId="0" fontId="148" fillId="0" borderId="0">
      <alignment horizontal="left"/>
    </xf>
    <xf numFmtId="44" fontId="18" fillId="0" borderId="0" applyFont="0" applyFill="0" applyBorder="0" applyAlignment="0" applyProtection="0"/>
    <xf numFmtId="252" fontId="79" fillId="0" borderId="0"/>
    <xf numFmtId="252" fontId="79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36" fontId="126" fillId="0" borderId="0">
      <alignment horizontal="right"/>
    </xf>
    <xf numFmtId="253" fontId="127" fillId="0" borderId="0" applyFont="0" applyFill="0" applyBorder="0" applyAlignment="0" applyProtection="0"/>
    <xf numFmtId="253" fontId="127" fillId="0" borderId="0" applyFont="0" applyFill="0" applyBorder="0" applyAlignment="0" applyProtection="0"/>
    <xf numFmtId="254" fontId="18" fillId="0" borderId="0" applyFont="0" applyFill="0" applyBorder="0" applyAlignment="0" applyProtection="0"/>
    <xf numFmtId="14" fontId="114" fillId="0" borderId="0"/>
    <xf numFmtId="14" fontId="114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5" fontId="18" fillId="0" borderId="0"/>
    <xf numFmtId="255" fontId="18" fillId="0" borderId="0"/>
    <xf numFmtId="255" fontId="18" fillId="0" borderId="0"/>
    <xf numFmtId="255" fontId="18" fillId="0" borderId="0"/>
    <xf numFmtId="14" fontId="18" fillId="0" borderId="0"/>
    <xf numFmtId="164" fontId="126" fillId="0" borderId="0"/>
    <xf numFmtId="175" fontId="126" fillId="0" borderId="0"/>
    <xf numFmtId="252" fontId="18" fillId="0" borderId="0"/>
    <xf numFmtId="252" fontId="18" fillId="0" borderId="0"/>
    <xf numFmtId="252" fontId="18" fillId="0" borderId="0"/>
    <xf numFmtId="252" fontId="18" fillId="0" borderId="0"/>
    <xf numFmtId="41" fontId="18" fillId="0" borderId="0" applyFont="0" applyFill="0" applyBorder="0" applyAlignment="0" applyProtection="0"/>
    <xf numFmtId="1" fontId="150" fillId="0" borderId="0" applyFill="0" applyBorder="0" applyAlignment="0" applyProtection="0"/>
    <xf numFmtId="174" fontId="151" fillId="0" borderId="0">
      <alignment horizontal="right"/>
    </xf>
    <xf numFmtId="236" fontId="126" fillId="0" borderId="19">
      <alignment horizontal="right"/>
    </xf>
    <xf numFmtId="176" fontId="18" fillId="0" borderId="0" applyFont="0" applyFill="0" applyBorder="0" applyAlignment="0" applyProtection="0"/>
    <xf numFmtId="170" fontId="27" fillId="0" borderId="0"/>
    <xf numFmtId="2" fontId="152" fillId="0" borderId="0"/>
    <xf numFmtId="256" fontId="18" fillId="0" borderId="0" applyFont="0" applyFill="0" applyBorder="0" applyAlignment="0" applyProtection="0"/>
    <xf numFmtId="216" fontId="18" fillId="0" borderId="0" applyFont="0" applyFill="0" applyBorder="0" applyAlignment="0" applyProtection="0">
      <alignment horizontal="left" wrapText="1"/>
    </xf>
    <xf numFmtId="216" fontId="18" fillId="0" borderId="0" applyFont="0" applyFill="0" applyBorder="0" applyAlignment="0" applyProtection="0">
      <alignment horizontal="left" wrapText="1"/>
    </xf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224" fontId="21" fillId="0" borderId="0" applyNumberFormat="0" applyBorder="0" applyAlignment="0">
      <alignment horizontal="left"/>
    </xf>
    <xf numFmtId="224" fontId="21" fillId="0" borderId="0" applyNumberFormat="0" applyBorder="0" applyAlignment="0">
      <alignment horizontal="left"/>
    </xf>
    <xf numFmtId="236" fontId="125" fillId="0" borderId="0">
      <alignment horizontal="right"/>
    </xf>
    <xf numFmtId="164" fontId="125" fillId="0" borderId="0">
      <alignment horizontal="right"/>
    </xf>
    <xf numFmtId="175" fontId="125" fillId="0" borderId="0">
      <alignment horizontal="right"/>
    </xf>
    <xf numFmtId="1" fontId="49" fillId="0" borderId="0" applyFill="0"/>
    <xf numFmtId="257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57" fontId="18" fillId="0" borderId="0"/>
    <xf numFmtId="257" fontId="18" fillId="0" borderId="0"/>
    <xf numFmtId="257" fontId="18" fillId="0" borderId="0"/>
    <xf numFmtId="257" fontId="18" fillId="0" borderId="0"/>
    <xf numFmtId="0" fontId="42" fillId="0" borderId="0"/>
    <xf numFmtId="258" fontId="125" fillId="0" borderId="0" applyProtection="0">
      <alignment horizontal="left"/>
    </xf>
    <xf numFmtId="258" fontId="125" fillId="0" borderId="0" applyProtection="0">
      <alignment horizontal="left"/>
    </xf>
    <xf numFmtId="0" fontId="153" fillId="0" borderId="0">
      <alignment horizontal="left"/>
    </xf>
    <xf numFmtId="0" fontId="104" fillId="0" borderId="0">
      <alignment horizontal="left"/>
    </xf>
    <xf numFmtId="0" fontId="154" fillId="0" borderId="0">
      <alignment horizontal="left"/>
    </xf>
    <xf numFmtId="0" fontId="79" fillId="0" borderId="0" applyFill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154" fillId="0" borderId="0">
      <alignment horizontal="left"/>
    </xf>
    <xf numFmtId="259" fontId="155" fillId="0" borderId="0"/>
    <xf numFmtId="260" fontId="155" fillId="0" borderId="0"/>
    <xf numFmtId="261" fontId="155" fillId="0" borderId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38" fontId="19" fillId="29" borderId="0" applyNumberFormat="0" applyBorder="0" applyAlignment="0" applyProtection="0"/>
    <xf numFmtId="0" fontId="22" fillId="38" borderId="11" applyAlignment="0" applyProtection="0"/>
    <xf numFmtId="0" fontId="107" fillId="0" borderId="24" applyFill="0" applyBorder="0" applyProtection="0">
      <alignment horizontal="left"/>
    </xf>
    <xf numFmtId="0" fontId="157" fillId="0" borderId="0" applyNumberFormat="0" applyFill="0" applyProtection="0">
      <alignment horizontal="left"/>
    </xf>
    <xf numFmtId="0" fontId="158" fillId="0" borderId="33">
      <alignment horizontal="centerContinuous"/>
    </xf>
    <xf numFmtId="0" fontId="159" fillId="0" borderId="0">
      <alignment horizontal="centerContinuous"/>
    </xf>
    <xf numFmtId="183" fontId="18" fillId="0" borderId="0" applyFont="0" applyFill="0" applyBorder="0" applyAlignment="0" applyProtection="0"/>
    <xf numFmtId="0" fontId="160" fillId="0" borderId="0">
      <alignment horizontal="left"/>
    </xf>
    <xf numFmtId="0" fontId="161" fillId="0" borderId="0" applyProtection="0">
      <alignment horizontal="right"/>
    </xf>
    <xf numFmtId="0" fontId="160" fillId="0" borderId="0">
      <alignment horizontal="left"/>
    </xf>
    <xf numFmtId="37" fontId="162" fillId="29" borderId="10" applyFill="0">
      <alignment vertical="center"/>
    </xf>
    <xf numFmtId="0" fontId="160" fillId="0" borderId="0">
      <alignment horizontal="left"/>
    </xf>
    <xf numFmtId="0" fontId="162" fillId="0" borderId="2" applyNumberFormat="0" applyFill="0">
      <alignment horizontal="centerContinuous" vertical="top"/>
    </xf>
    <xf numFmtId="0" fontId="163" fillId="36" borderId="34" applyNumberFormat="0" applyBorder="0">
      <alignment horizontal="left" vertical="center" indent="1"/>
    </xf>
    <xf numFmtId="0" fontId="230" fillId="0" borderId="35" applyNumberFormat="0" applyFill="0" applyAlignment="0" applyProtection="0"/>
    <xf numFmtId="0" fontId="164" fillId="0" borderId="0">
      <alignment horizontal="left"/>
    </xf>
    <xf numFmtId="0" fontId="165" fillId="0" borderId="24">
      <alignment horizontal="left" vertical="top"/>
    </xf>
    <xf numFmtId="0" fontId="231" fillId="0" borderId="36" applyNumberFormat="0" applyFill="0" applyAlignment="0" applyProtection="0"/>
    <xf numFmtId="0" fontId="97" fillId="0" borderId="0">
      <alignment horizontal="left"/>
    </xf>
    <xf numFmtId="0" fontId="166" fillId="0" borderId="24">
      <alignment horizontal="left" vertical="top"/>
    </xf>
    <xf numFmtId="0" fontId="232" fillId="0" borderId="37" applyNumberFormat="0" applyFill="0" applyAlignment="0" applyProtection="0"/>
    <xf numFmtId="0" fontId="92" fillId="0" borderId="0">
      <alignment horizontal="left"/>
    </xf>
    <xf numFmtId="0" fontId="232" fillId="0" borderId="0" applyNumberFormat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0" fontId="63" fillId="0" borderId="0" applyNumberFormat="0" applyFill="0" applyBorder="0" applyAlignment="0" applyProtection="0"/>
    <xf numFmtId="0" fontId="107" fillId="0" borderId="0" applyFill="0" applyBorder="0" applyProtection="0">
      <alignment horizontal="right"/>
    </xf>
    <xf numFmtId="0" fontId="167" fillId="0" borderId="2">
      <alignment horizontal="centerContinuous"/>
    </xf>
    <xf numFmtId="0" fontId="132" fillId="0" borderId="0" applyNumberFormat="0" applyFill="0" applyBorder="0" applyAlignment="0" applyProtection="0"/>
    <xf numFmtId="263" fontId="168" fillId="0" borderId="0" applyNumberFormat="0" applyFill="0" applyBorder="0" applyAlignment="0">
      <protection locked="0"/>
    </xf>
    <xf numFmtId="0" fontId="133" fillId="0" borderId="0" applyFont="0" applyAlignment="0">
      <alignment horizontal="centerContinuous"/>
    </xf>
    <xf numFmtId="0" fontId="133" fillId="0" borderId="0" applyFont="0" applyAlignment="0">
      <alignment horizontal="centerContinuous"/>
    </xf>
    <xf numFmtId="0" fontId="126" fillId="0" borderId="9">
      <alignment horizontal="centerContinuous"/>
    </xf>
    <xf numFmtId="49" fontId="169" fillId="0" borderId="38"/>
    <xf numFmtId="49" fontId="99" fillId="0" borderId="0"/>
    <xf numFmtId="49" fontId="170" fillId="0" borderId="0"/>
    <xf numFmtId="0" fontId="127" fillId="0" borderId="0"/>
    <xf numFmtId="0" fontId="171" fillId="0" borderId="0"/>
    <xf numFmtId="0" fontId="171" fillId="0" borderId="0"/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63" fontId="172" fillId="0" borderId="0" applyNumberFormat="0" applyFill="0" applyBorder="0" applyAlignment="0"/>
    <xf numFmtId="9" fontId="152" fillId="0" borderId="0" applyAlignment="0">
      <alignment horizontal="center"/>
    </xf>
    <xf numFmtId="10" fontId="19" fillId="28" borderId="9" applyNumberFormat="0" applyBorder="0" applyAlignment="0" applyProtection="0"/>
    <xf numFmtId="0" fontId="52" fillId="4" borderId="4" applyNumberFormat="0" applyAlignment="0" applyProtection="0"/>
    <xf numFmtId="264" fontId="173" fillId="0" borderId="0" applyNumberFormat="0" applyBorder="0" applyProtection="0"/>
    <xf numFmtId="264" fontId="174" fillId="0" borderId="0"/>
    <xf numFmtId="0" fontId="174" fillId="40" borderId="0" applyNumberFormat="0" applyBorder="0" applyProtection="0">
      <alignment horizontal="center" vertical="center"/>
    </xf>
    <xf numFmtId="249" fontId="175" fillId="0" borderId="0" applyBorder="0">
      <alignment horizontal="right" vertical="top"/>
      <protection locked="0"/>
    </xf>
    <xf numFmtId="0" fontId="126" fillId="0" borderId="0" applyNumberFormat="0" applyFill="0" applyBorder="0" applyAlignment="0">
      <protection locked="0"/>
    </xf>
    <xf numFmtId="0" fontId="77" fillId="0" borderId="0" applyNumberFormat="0" applyFill="0" applyBorder="0" applyAlignment="0"/>
    <xf numFmtId="0" fontId="77" fillId="0" borderId="0" applyNumberFormat="0" applyFill="0" applyBorder="0" applyAlignment="0"/>
    <xf numFmtId="265" fontId="175" fillId="0" borderId="0" applyBorder="0">
      <alignment horizontal="right" vertical="top"/>
      <protection locked="0"/>
    </xf>
    <xf numFmtId="237" fontId="156" fillId="29" borderId="0" applyFill="0" applyBorder="0">
      <protection locked="0"/>
    </xf>
    <xf numFmtId="237" fontId="156" fillId="29" borderId="0" applyFill="0" applyBorder="0">
      <protection locked="0"/>
    </xf>
    <xf numFmtId="249" fontId="175" fillId="0" borderId="0" applyBorder="0" applyProtection="0"/>
    <xf numFmtId="249" fontId="175" fillId="0" borderId="0" applyBorder="0" applyProtection="0"/>
    <xf numFmtId="266" fontId="175" fillId="0" borderId="0" applyBorder="0">
      <alignment horizontal="right" vertical="top"/>
      <protection locked="0"/>
    </xf>
    <xf numFmtId="266" fontId="175" fillId="0" borderId="0" applyBorder="0">
      <alignment horizontal="right" vertical="top"/>
      <protection locked="0"/>
    </xf>
    <xf numFmtId="267" fontId="18" fillId="0" borderId="0"/>
    <xf numFmtId="267" fontId="18" fillId="0" borderId="0"/>
    <xf numFmtId="267" fontId="18" fillId="0" borderId="0"/>
    <xf numFmtId="267" fontId="18" fillId="0" borderId="0"/>
    <xf numFmtId="268" fontId="176" fillId="0" borderId="24" applyFill="0" applyBorder="0" applyProtection="0"/>
    <xf numFmtId="0" fontId="177" fillId="0" borderId="0"/>
    <xf numFmtId="269" fontId="178" fillId="0" borderId="0" applyFont="0" applyFill="0" applyBorder="0" applyAlignment="0" applyProtection="0"/>
    <xf numFmtId="270" fontId="178" fillId="0" borderId="0" applyFont="0" applyFill="0" applyBorder="0" applyAlignment="0" applyProtection="0"/>
    <xf numFmtId="1" fontId="179" fillId="1" borderId="39">
      <protection locked="0"/>
    </xf>
    <xf numFmtId="271" fontId="180" fillId="0" borderId="40" applyFont="0" applyFill="0" applyBorder="0" applyAlignment="0" applyProtection="0"/>
    <xf numFmtId="0" fontId="49" fillId="29" borderId="0" applyNumberFormat="0" applyFill="0" applyBorder="0"/>
    <xf numFmtId="249" fontId="181" fillId="0" borderId="0" applyNumberFormat="0" applyFill="0" applyBorder="0" applyProtection="0">
      <alignment horizontal="left" vertical="top"/>
    </xf>
    <xf numFmtId="0" fontId="182" fillId="0" borderId="0">
      <alignment horizontal="left"/>
    </xf>
    <xf numFmtId="0" fontId="183" fillId="0" borderId="0">
      <alignment horizontal="left"/>
    </xf>
    <xf numFmtId="0" fontId="157" fillId="0" borderId="0">
      <alignment horizontal="left"/>
    </xf>
    <xf numFmtId="0" fontId="157" fillId="0" borderId="0">
      <alignment horizontal="left"/>
    </xf>
    <xf numFmtId="0" fontId="123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37" fontId="184" fillId="0" borderId="0" applyNumberFormat="0" applyFill="0" applyBorder="0" applyAlignment="0" applyProtection="0">
      <alignment horizontal="right"/>
    </xf>
    <xf numFmtId="0" fontId="233" fillId="0" borderId="14" applyNumberFormat="0" applyFill="0" applyAlignment="0" applyProtection="0"/>
    <xf numFmtId="272" fontId="125" fillId="0" borderId="0">
      <alignment horizontal="right"/>
    </xf>
    <xf numFmtId="273" fontId="125" fillId="0" borderId="0">
      <alignment horizontal="right"/>
    </xf>
    <xf numFmtId="0" fontId="99" fillId="0" borderId="0" applyNumberFormat="0" applyFill="0" applyBorder="0" applyProtection="0">
      <alignment horizontal="left" vertical="center"/>
    </xf>
    <xf numFmtId="0" fontId="99" fillId="0" borderId="0" applyNumberFormat="0" applyFill="0" applyBorder="0" applyProtection="0">
      <alignment horizontal="left" vertical="center"/>
    </xf>
    <xf numFmtId="0" fontId="138" fillId="0" borderId="0">
      <alignment vertical="top"/>
    </xf>
    <xf numFmtId="0" fontId="185" fillId="0" borderId="0" applyNumberFormat="0" applyFill="0" applyBorder="0" applyAlignment="0" applyProtection="0"/>
    <xf numFmtId="0" fontId="19" fillId="0" borderId="0" applyNumberFormat="0" applyFill="0" applyBorder="0"/>
    <xf numFmtId="0" fontId="19" fillId="0" borderId="0" applyNumberFormat="0" applyFill="0" applyBorder="0"/>
    <xf numFmtId="265" fontId="19" fillId="0" borderId="0" applyFill="0" applyBorder="0">
      <alignment vertical="top"/>
    </xf>
    <xf numFmtId="265" fontId="19" fillId="0" borderId="0" applyFill="0" applyBorder="0" applyAlignment="0"/>
    <xf numFmtId="265" fontId="19" fillId="0" borderId="0" applyFill="0" applyBorder="0" applyAlignment="0"/>
    <xf numFmtId="249" fontId="185" fillId="0" borderId="0" applyNumberFormat="0" applyFill="0" applyBorder="0" applyAlignment="0"/>
    <xf numFmtId="249" fontId="186" fillId="0" borderId="0" applyNumberFormat="0" applyFill="0" applyBorder="0">
      <alignment vertical="center"/>
    </xf>
    <xf numFmtId="249" fontId="19" fillId="0" borderId="0" applyFill="0" applyBorder="0">
      <alignment horizontal="right"/>
    </xf>
    <xf numFmtId="249" fontId="19" fillId="0" borderId="0" applyFill="0" applyBorder="0">
      <alignment horizontal="right"/>
    </xf>
    <xf numFmtId="0" fontId="19" fillId="0" borderId="0" applyFill="0" applyBorder="0" applyProtection="0">
      <alignment vertical="top"/>
    </xf>
    <xf numFmtId="0" fontId="19" fillId="0" borderId="0" applyFill="0" applyBorder="0" applyProtection="0">
      <alignment vertical="top"/>
    </xf>
    <xf numFmtId="249" fontId="19" fillId="0" borderId="0" applyFill="0" applyBorder="0">
      <alignment horizontal="right" vertical="top"/>
    </xf>
    <xf numFmtId="249" fontId="19" fillId="0" borderId="0" applyFill="0" applyBorder="0">
      <alignment horizontal="right" vertical="top"/>
    </xf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274" fontId="18" fillId="0" borderId="0" applyFont="0" applyFill="0" applyBorder="0" applyAlignment="0" applyProtection="0"/>
    <xf numFmtId="2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76" fontId="180" fillId="0" borderId="40" applyFont="0" applyFill="0" applyBorder="0" applyAlignment="0" applyProtection="0"/>
    <xf numFmtId="0" fontId="187" fillId="0" borderId="0">
      <alignment horizontal="centerContinuous"/>
    </xf>
    <xf numFmtId="277" fontId="188" fillId="0" borderId="0" applyFont="0" applyFill="0" applyBorder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3" fontId="127" fillId="0" borderId="0"/>
    <xf numFmtId="43" fontId="127" fillId="0" borderId="0"/>
    <xf numFmtId="0" fontId="189" fillId="0" borderId="0" applyNumberFormat="0" applyFill="0" applyBorder="0" applyProtection="0">
      <alignment horizontal="left"/>
    </xf>
    <xf numFmtId="0" fontId="234" fillId="12" borderId="0" applyNumberFormat="0" applyBorder="0" applyAlignment="0" applyProtection="0"/>
    <xf numFmtId="0" fontId="125" fillId="0" borderId="0">
      <alignment horizontal="left"/>
    </xf>
    <xf numFmtId="170" fontId="44" fillId="0" borderId="0"/>
    <xf numFmtId="0" fontId="190" fillId="29" borderId="0">
      <alignment horizontal="left" indent="1"/>
    </xf>
    <xf numFmtId="0" fontId="191" fillId="0" borderId="0"/>
    <xf numFmtId="0" fontId="191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0" fontId="18" fillId="0" borderId="0"/>
    <xf numFmtId="0" fontId="191" fillId="0" borderId="0"/>
    <xf numFmtId="0" fontId="18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91" fillId="0" borderId="0"/>
    <xf numFmtId="0" fontId="191" fillId="0" borderId="0"/>
    <xf numFmtId="0" fontId="192" fillId="0" borderId="0"/>
    <xf numFmtId="37" fontId="193" fillId="0" borderId="0" applyNumberFormat="0" applyFont="0" applyFill="0" applyBorder="0" applyAlignment="0" applyProtection="0"/>
    <xf numFmtId="0" fontId="56" fillId="6" borderId="16" applyNumberFormat="0" applyFont="0" applyAlignment="0" applyProtection="0"/>
    <xf numFmtId="0" fontId="56" fillId="6" borderId="16" applyNumberFormat="0" applyFont="0" applyAlignment="0" applyProtection="0"/>
    <xf numFmtId="0" fontId="194" fillId="0" borderId="30"/>
    <xf numFmtId="38" fontId="107" fillId="0" borderId="25" applyFont="0" applyFill="0" applyBorder="0" applyAlignment="0" applyProtection="0"/>
    <xf numFmtId="37" fontId="18" fillId="0" borderId="0"/>
    <xf numFmtId="215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235" fillId="26" borderId="17" applyNumberFormat="0" applyAlignment="0" applyProtection="0"/>
    <xf numFmtId="10" fontId="127" fillId="0" borderId="25"/>
    <xf numFmtId="174" fontId="195" fillId="0" borderId="0" applyProtection="0">
      <alignment horizontal="right"/>
    </xf>
    <xf numFmtId="174" fontId="125" fillId="0" borderId="0"/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64" fillId="0" borderId="0" applyNumberFormat="0" applyFill="0" applyBorder="0" applyProtection="0">
      <alignment horizontal="left"/>
    </xf>
    <xf numFmtId="1" fontId="100" fillId="0" borderId="0" applyProtection="0">
      <alignment horizontal="right" vertical="center"/>
    </xf>
    <xf numFmtId="246" fontId="49" fillId="0" borderId="0" applyFont="0" applyFill="0" applyBorder="0">
      <alignment horizontal="right" vertical="top"/>
    </xf>
    <xf numFmtId="278" fontId="49" fillId="29" borderId="0" applyFill="0" applyBorder="0">
      <alignment horizontal="right" vertical="top"/>
    </xf>
    <xf numFmtId="174" fontId="151" fillId="0" borderId="0">
      <alignment horizontal="right"/>
    </xf>
    <xf numFmtId="0" fontId="125" fillId="0" borderId="0"/>
    <xf numFmtId="0" fontId="125" fillId="0" borderId="0"/>
    <xf numFmtId="0" fontId="196" fillId="0" borderId="0"/>
    <xf numFmtId="0" fontId="42" fillId="0" borderId="0"/>
    <xf numFmtId="9" fontId="18" fillId="0" borderId="0" applyFont="0" applyFill="0" applyBorder="0" applyAlignment="0" applyProtection="0"/>
    <xf numFmtId="9" fontId="134" fillId="0" borderId="0" applyFont="0" applyFill="0" applyBorder="0" applyAlignment="0" applyProtection="0"/>
    <xf numFmtId="0" fontId="197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44" fillId="0" borderId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79" fontId="188" fillId="0" borderId="0" applyFont="0" applyFill="0" applyBorder="0" applyProtection="0">
      <alignment horizontal="right"/>
    </xf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174" fontId="195" fillId="0" borderId="0">
      <alignment horizontal="right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10" fontId="126" fillId="0" borderId="0"/>
    <xf numFmtId="9" fontId="126" fillId="0" borderId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199" fillId="38" borderId="0">
      <alignment horizontal="left" indent="1"/>
    </xf>
    <xf numFmtId="0" fontId="200" fillId="0" borderId="0">
      <alignment horizontal="centerContinuous"/>
    </xf>
    <xf numFmtId="0" fontId="201" fillId="0" borderId="7"/>
    <xf numFmtId="236" fontId="202" fillId="0" borderId="0">
      <alignment horizontal="right"/>
    </xf>
    <xf numFmtId="10" fontId="125" fillId="0" borderId="9"/>
    <xf numFmtId="10" fontId="125" fillId="0" borderId="9"/>
    <xf numFmtId="10" fontId="18" fillId="0" borderId="0"/>
    <xf numFmtId="10" fontId="18" fillId="0" borderId="0"/>
    <xf numFmtId="10" fontId="18" fillId="0" borderId="0"/>
    <xf numFmtId="10" fontId="18" fillId="0" borderId="0"/>
    <xf numFmtId="248" fontId="129" fillId="0" borderId="0" applyFont="0" applyFill="0" applyBorder="0" applyAlignment="0" applyProtection="0">
      <alignment horizontal="right"/>
    </xf>
    <xf numFmtId="283" fontId="48" fillId="41" borderId="9" applyNumberFormat="0" applyProtection="0">
      <alignment horizontal="center" vertical="center" wrapText="1"/>
    </xf>
    <xf numFmtId="166" fontId="18" fillId="0" borderId="0" applyFont="0" applyFill="0" applyBorder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31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1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48" fillId="0" borderId="0" applyNumberFormat="0" applyFill="0" applyBorder="0" applyProtection="0">
      <alignment horizontal="left"/>
    </xf>
    <xf numFmtId="0" fontId="18" fillId="17" borderId="0" applyNumberFormat="0" applyFont="0" applyBorder="0" applyAlignment="0" applyProtection="0"/>
    <xf numFmtId="0" fontId="20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284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14" fillId="39" borderId="6" applyNumberFormat="0" applyBorder="0" applyProtection="0">
      <alignment horizontal="left" wrapText="1"/>
    </xf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0"/>
    <xf numFmtId="0" fontId="206" fillId="0" borderId="31">
      <protection locked="0"/>
    </xf>
    <xf numFmtId="0" fontId="27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0" fontId="107" fillId="0" borderId="0">
      <alignment horizontal="center"/>
    </xf>
    <xf numFmtId="0" fontId="107" fillId="0" borderId="0">
      <alignment horizontal="center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236" fontId="125" fillId="0" borderId="19">
      <alignment horizontal="right"/>
    </xf>
    <xf numFmtId="236" fontId="125" fillId="0" borderId="19">
      <alignment horizontal="right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207" fillId="35" borderId="17" applyNumberFormat="0" applyProtection="0">
      <alignment vertical="center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208" fillId="52" borderId="17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209" fillId="54" borderId="0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53" borderId="17" applyNumberFormat="0" applyProtection="0">
      <alignment horizontal="left" vertical="center" indent="1"/>
    </xf>
    <xf numFmtId="4" fontId="56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207" fillId="28" borderId="17" applyNumberFormat="0" applyProtection="0">
      <alignment vertical="center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207" fillId="53" borderId="17" applyNumberFormat="0" applyProtection="0">
      <alignment horizontal="right" vertical="center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210" fillId="0" borderId="0"/>
    <xf numFmtId="4" fontId="50" fillId="53" borderId="17" applyNumberFormat="0" applyProtection="0">
      <alignment horizontal="right" vertical="center"/>
    </xf>
    <xf numFmtId="177" fontId="211" fillId="0" borderId="0">
      <protection locked="0"/>
    </xf>
    <xf numFmtId="285" fontId="64" fillId="0" borderId="0" applyNumberFormat="0" applyFill="0" applyBorder="0"/>
    <xf numFmtId="0" fontId="212" fillId="0" borderId="9">
      <alignment horizontal="center" vertical="center"/>
    </xf>
    <xf numFmtId="0" fontId="213" fillId="0" borderId="0" applyNumberFormat="0" applyFill="0" applyBorder="0" applyProtection="0">
      <alignment horizontal="left" vertical="center"/>
    </xf>
    <xf numFmtId="0" fontId="59" fillId="29" borderId="0" applyNumberFormat="0" applyBorder="0">
      <alignment vertical="center"/>
    </xf>
    <xf numFmtId="177" fontId="214" fillId="0" borderId="0"/>
    <xf numFmtId="37" fontId="214" fillId="0" borderId="0"/>
    <xf numFmtId="0" fontId="107" fillId="32" borderId="0" applyNumberFormat="0" applyFont="0" applyBorder="0" applyAlignment="0" applyProtection="0"/>
    <xf numFmtId="0" fontId="174" fillId="37" borderId="0" applyNumberFormat="0" applyFont="0" applyBorder="0" applyAlignment="0" applyProtection="0"/>
    <xf numFmtId="0" fontId="174" fillId="37" borderId="0" applyNumberFormat="0" applyFont="0" applyBorder="0" applyAlignment="0" applyProtection="0"/>
    <xf numFmtId="1" fontId="61" fillId="0" borderId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40" fontId="10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201" fillId="0" borderId="20">
      <alignment horizontal="right"/>
    </xf>
    <xf numFmtId="0" fontId="215" fillId="0" borderId="31"/>
    <xf numFmtId="0" fontId="133" fillId="0" borderId="0">
      <alignment horizontal="centerContinuous"/>
    </xf>
    <xf numFmtId="0" fontId="133" fillId="0" borderId="0">
      <alignment horizontal="centerContinuous"/>
    </xf>
    <xf numFmtId="0" fontId="178" fillId="0" borderId="0"/>
    <xf numFmtId="0" fontId="192" fillId="0" borderId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56" fillId="0" borderId="0" applyNumberFormat="0" applyBorder="0" applyAlignment="0"/>
    <xf numFmtId="0" fontId="216" fillId="0" borderId="0" applyNumberFormat="0" applyBorder="0" applyAlignment="0"/>
    <xf numFmtId="0" fontId="139" fillId="0" borderId="0" applyNumberFormat="0" applyBorder="0" applyAlignment="0"/>
    <xf numFmtId="0" fontId="217" fillId="0" borderId="0" applyNumberFormat="0" applyBorder="0" applyAlignment="0"/>
    <xf numFmtId="0" fontId="217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56" fillId="0" borderId="0" applyNumberFormat="0" applyBorder="0" applyAlignment="0"/>
    <xf numFmtId="0" fontId="139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209" fillId="0" borderId="0" applyNumberFormat="0" applyBorder="0" applyAlignment="0"/>
    <xf numFmtId="0" fontId="65" fillId="0" borderId="0" applyNumberFormat="0" applyBorder="0" applyAlignment="0"/>
    <xf numFmtId="0" fontId="219" fillId="0" borderId="0" applyNumberFormat="0" applyBorder="0" applyAlignment="0"/>
    <xf numFmtId="0" fontId="62" fillId="0" borderId="0" applyNumberFormat="0" applyBorder="0" applyAlignment="0"/>
    <xf numFmtId="287" fontId="48" fillId="0" borderId="0" applyFill="0" applyBorder="0" applyProtection="0"/>
    <xf numFmtId="287" fontId="48" fillId="0" borderId="0" applyFill="0" applyBorder="0" applyProtection="0"/>
    <xf numFmtId="0" fontId="133" fillId="0" borderId="7">
      <alignment horizontal="center"/>
    </xf>
    <xf numFmtId="0" fontId="133" fillId="0" borderId="7">
      <alignment horizontal="center"/>
    </xf>
    <xf numFmtId="0" fontId="125" fillId="0" borderId="0"/>
    <xf numFmtId="0" fontId="133" fillId="0" borderId="7">
      <alignment horizontal="centerContinuous"/>
    </xf>
    <xf numFmtId="0" fontId="133" fillId="0" borderId="7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9" fontId="133" fillId="0" borderId="0">
      <alignment horizontal="centerContinuous"/>
    </xf>
    <xf numFmtId="9" fontId="133" fillId="0" borderId="0">
      <alignment horizontal="centerContinuous"/>
    </xf>
    <xf numFmtId="0" fontId="112" fillId="0" borderId="0" applyNumberFormat="0" applyFill="0" applyBorder="0" applyProtection="0">
      <alignment horizontal="left"/>
    </xf>
    <xf numFmtId="0" fontId="110" fillId="0" borderId="0" applyBorder="0" applyProtection="0">
      <alignment vertical="center"/>
    </xf>
    <xf numFmtId="0" fontId="112" fillId="0" borderId="0" applyNumberFormat="0" applyFill="0" applyBorder="0" applyProtection="0">
      <alignment horizontal="left"/>
    </xf>
    <xf numFmtId="187" fontId="18" fillId="0" borderId="0" applyFont="0" applyFill="0" applyBorder="0" applyAlignment="0" applyProtection="0"/>
    <xf numFmtId="0" fontId="58" fillId="0" borderId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220" fillId="0" borderId="0" applyFill="0" applyBorder="0" applyProtection="0"/>
    <xf numFmtId="0" fontId="97" fillId="0" borderId="0" applyNumberFormat="0" applyFill="0" applyBorder="0" applyProtection="0"/>
    <xf numFmtId="0" fontId="164" fillId="0" borderId="0" applyNumberFormat="0" applyFill="0" applyBorder="0" applyProtection="0"/>
    <xf numFmtId="0" fontId="48" fillId="0" borderId="0" applyFill="0" applyBorder="0" applyProtection="0">
      <alignment horizontal="left"/>
    </xf>
    <xf numFmtId="0" fontId="154" fillId="0" borderId="0" applyNumberFormat="0" applyFill="0" applyBorder="0" applyProtection="0"/>
    <xf numFmtId="0" fontId="19" fillId="0" borderId="24" applyFill="0" applyBorder="0" applyProtection="0">
      <alignment horizontal="left" vertical="top"/>
    </xf>
    <xf numFmtId="0" fontId="221" fillId="38" borderId="0" applyBorder="0">
      <alignment horizontal="left" vertical="center" indent="1"/>
    </xf>
    <xf numFmtId="0" fontId="222" fillId="0" borderId="0" applyNumberFormat="0" applyFill="0" applyBorder="0" applyProtection="0"/>
    <xf numFmtId="0" fontId="222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2" fillId="0" borderId="0" applyNumberFormat="0" applyFill="0" applyBorder="0" applyProtection="0"/>
    <xf numFmtId="0" fontId="222" fillId="0" borderId="0"/>
    <xf numFmtId="288" fontId="49" fillId="56" borderId="0" applyFill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4" fillId="39" borderId="57" applyNumberFormat="0" applyBorder="0" applyProtection="0">
      <alignment horizontal="left" vertical="center"/>
    </xf>
    <xf numFmtId="289" fontId="50" fillId="0" borderId="0" applyNumberFormat="0" applyFill="0" applyBorder="0" applyAlignment="0" applyProtection="0"/>
    <xf numFmtId="0" fontId="223" fillId="0" borderId="0"/>
    <xf numFmtId="0" fontId="222" fillId="0" borderId="0"/>
    <xf numFmtId="0" fontId="134" fillId="0" borderId="21" applyNumberFormat="0" applyFont="0" applyFill="0" applyAlignment="0" applyProtection="0"/>
    <xf numFmtId="0" fontId="208" fillId="0" borderId="58" applyNumberFormat="0" applyFill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164" fontId="126" fillId="0" borderId="0" applyFont="0" applyFill="0" applyBorder="0">
      <alignment horizontal="right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62" fontId="18" fillId="0" borderId="0" applyNumberFormat="0"/>
    <xf numFmtId="262" fontId="18" fillId="0" borderId="0" applyNumberFormat="0"/>
    <xf numFmtId="262" fontId="18" fillId="0" borderId="0" applyNumberFormat="0"/>
    <xf numFmtId="262" fontId="18" fillId="0" borderId="0" applyNumberFormat="0"/>
    <xf numFmtId="290" fontId="18" fillId="0" borderId="0" applyFont="0" applyFill="0" applyBorder="0" applyAlignment="0" applyProtection="0"/>
    <xf numFmtId="291" fontId="178" fillId="0" borderId="0" applyFont="0" applyFill="0" applyBorder="0" applyAlignment="0" applyProtection="0"/>
    <xf numFmtId="44" fontId="56" fillId="0" borderId="0" applyFont="0" applyFill="0" applyBorder="0" applyAlignment="0" applyProtection="0"/>
    <xf numFmtId="0" fontId="195" fillId="0" borderId="0" applyFill="0" applyBorder="0" applyProtection="0">
      <alignment horizontal="right"/>
    </xf>
    <xf numFmtId="0" fontId="195" fillId="0" borderId="0" applyFill="0" applyBorder="0" applyProtection="0">
      <alignment horizontal="right"/>
    </xf>
    <xf numFmtId="0" fontId="202" fillId="0" borderId="9"/>
    <xf numFmtId="236" fontId="202" fillId="0" borderId="0">
      <alignment horizontal="right"/>
    </xf>
    <xf numFmtId="0" fontId="50" fillId="0" borderId="0" applyNumberFormat="0" applyFill="0" applyBorder="0" applyAlignment="0" applyProtection="0"/>
    <xf numFmtId="288" fontId="224" fillId="0" borderId="9">
      <alignment horizontal="right" vertical="top"/>
      <protection locked="0"/>
    </xf>
    <xf numFmtId="249" fontId="49" fillId="29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0" fontId="107" fillId="39" borderId="0" applyNumberFormat="0" applyBorder="0" applyProtection="0">
      <alignment horizontal="left"/>
    </xf>
    <xf numFmtId="14" fontId="107" fillId="0" borderId="0" applyFont="0" applyFill="0" applyBorder="0" applyProtection="0"/>
    <xf numFmtId="1" fontId="60" fillId="0" borderId="0">
      <alignment horizontal="right"/>
    </xf>
    <xf numFmtId="1" fontId="107" fillId="0" borderId="0" applyFill="0" applyBorder="0" applyProtection="0">
      <alignment horizontal="center"/>
    </xf>
    <xf numFmtId="1" fontId="61" fillId="0" borderId="0" applyFont="0" applyFill="0" applyBorder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292" fontId="18" fillId="0" borderId="0" applyFont="0" applyFill="0" applyBorder="0" applyAlignment="0" applyProtection="0"/>
    <xf numFmtId="9" fontId="125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8" fillId="0" borderId="0"/>
    <xf numFmtId="293" fontId="225" fillId="0" borderId="0"/>
    <xf numFmtId="0" fontId="18" fillId="0" borderId="0">
      <alignment horizontal="left" wrapText="1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0" fontId="18" fillId="0" borderId="0"/>
    <xf numFmtId="181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/>
    <xf numFmtId="191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3" fontId="18" fillId="0" borderId="0">
      <alignment horizontal="left" wrapText="1"/>
    </xf>
    <xf numFmtId="193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5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>
      <alignment horizontal="left" wrapText="1"/>
    </xf>
    <xf numFmtId="199" fontId="18" fillId="0" borderId="0" applyFont="0" applyFill="0" applyBorder="0" applyAlignment="0" applyProtection="0"/>
    <xf numFmtId="257" fontId="18" fillId="0" borderId="0"/>
    <xf numFmtId="20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/>
    <xf numFmtId="0" fontId="18" fillId="0" borderId="0"/>
    <xf numFmtId="202" fontId="18" fillId="25" borderId="1">
      <alignment horizontal="center" vertical="center"/>
    </xf>
    <xf numFmtId="8" fontId="18" fillId="0" borderId="0" applyFont="0" applyFill="0" applyBorder="0" applyAlignment="0"/>
    <xf numFmtId="211" fontId="18" fillId="0" borderId="0" applyFont="0" applyFill="0" applyBorder="0" applyAlignment="0" applyProtection="0">
      <alignment vertical="top"/>
    </xf>
    <xf numFmtId="213" fontId="18" fillId="0" borderId="0" applyFont="0" applyFill="0" applyBorder="0" applyAlignment="0" applyProtection="0">
      <alignment horizontal="right"/>
    </xf>
    <xf numFmtId="216" fontId="18" fillId="0" borderId="0" applyFont="0" applyFill="0" applyBorder="0" applyAlignment="0" applyProtection="0"/>
    <xf numFmtId="218" fontId="18" fillId="28" borderId="0" applyFont="0" applyFill="0" applyBorder="0" applyAlignment="0"/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37" fontId="18" fillId="0" borderId="0" applyFont="0" applyFill="0" applyBorder="0" applyAlignment="0" applyProtection="0"/>
    <xf numFmtId="221" fontId="18" fillId="0" borderId="0" applyFont="0" applyFill="0" applyBorder="0" applyAlignment="0" applyProtection="0">
      <alignment horizontal="left" wrapText="1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0" fontId="18" fillId="6" borderId="16" applyNumberFormat="0" applyFont="0" applyAlignment="0" applyProtection="0"/>
    <xf numFmtId="229" fontId="18" fillId="0" borderId="0" applyFont="0" applyFill="0" applyBorder="0" applyAlignment="0"/>
    <xf numFmtId="231" fontId="18" fillId="0" borderId="0" applyFont="0" applyFill="0" applyBorder="0" applyAlignment="0"/>
    <xf numFmtId="169" fontId="18" fillId="0" borderId="0">
      <alignment horizontal="left" wrapText="1"/>
    </xf>
    <xf numFmtId="0" fontId="18" fillId="0" borderId="0"/>
    <xf numFmtId="0" fontId="18" fillId="0" borderId="0"/>
    <xf numFmtId="193" fontId="18" fillId="0" borderId="0">
      <alignment horizontal="left" wrapText="1"/>
    </xf>
    <xf numFmtId="235" fontId="18" fillId="0" borderId="0"/>
    <xf numFmtId="205" fontId="18" fillId="0" borderId="0">
      <alignment horizontal="left"/>
    </xf>
    <xf numFmtId="257" fontId="18" fillId="0" borderId="0"/>
    <xf numFmtId="257" fontId="18" fillId="0" borderId="0"/>
    <xf numFmtId="257" fontId="18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68" fontId="18" fillId="0" borderId="0"/>
    <xf numFmtId="0" fontId="18" fillId="0" borderId="0"/>
    <xf numFmtId="19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208" fontId="18" fillId="0" borderId="0" applyFont="0" applyFill="0" applyBorder="0" applyAlignment="0"/>
    <xf numFmtId="220" fontId="18" fillId="0" borderId="0">
      <alignment horizontal="left"/>
    </xf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0" fontId="239" fillId="0" borderId="0"/>
    <xf numFmtId="44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4" fillId="0" borderId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3" borderId="0" applyNumberFormat="0" applyBorder="0" applyAlignment="0" applyProtection="0"/>
    <xf numFmtId="0" fontId="56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3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243" fillId="7" borderId="0" applyNumberFormat="0" applyBorder="0" applyAlignment="0" applyProtection="0"/>
    <xf numFmtId="0" fontId="56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243" fillId="9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4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10" borderId="0" applyNumberFormat="0" applyBorder="0" applyAlignment="0" applyProtection="0"/>
    <xf numFmtId="0" fontId="5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243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243" fillId="13" borderId="0" applyNumberFormat="0" applyBorder="0" applyAlignment="0" applyProtection="0"/>
    <xf numFmtId="0" fontId="56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3" fillId="10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14" borderId="0" applyNumberFormat="0" applyBorder="0" applyAlignment="0" applyProtection="0"/>
    <xf numFmtId="0" fontId="56" fillId="14" borderId="0" applyNumberFormat="0" applyBorder="0" applyAlignment="0" applyProtection="0"/>
    <xf numFmtId="0" fontId="25" fillId="14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6" borderId="0" applyNumberFormat="0" applyBorder="0" applyAlignment="0" applyProtection="0"/>
    <xf numFmtId="0" fontId="124" fillId="16" borderId="0" applyNumberFormat="0" applyBorder="0" applyAlignment="0" applyProtection="0"/>
    <xf numFmtId="0" fontId="76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1" borderId="0" applyNumberFormat="0" applyBorder="0" applyAlignment="0" applyProtection="0"/>
    <xf numFmtId="0" fontId="76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244" fillId="13" borderId="0" applyNumberFormat="0" applyBorder="0" applyAlignment="0" applyProtection="0"/>
    <xf numFmtId="0" fontId="124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76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9" borderId="0" applyNumberFormat="0" applyBorder="0" applyAlignment="0" applyProtection="0"/>
    <xf numFmtId="0" fontId="124" fillId="19" borderId="0" applyNumberFormat="0" applyBorder="0" applyAlignment="0" applyProtection="0"/>
    <xf numFmtId="0" fontId="76" fillId="19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20" borderId="0" applyNumberFormat="0" applyBorder="0" applyAlignment="0" applyProtection="0"/>
    <xf numFmtId="0" fontId="124" fillId="20" borderId="0" applyNumberFormat="0" applyBorder="0" applyAlignment="0" applyProtection="0"/>
    <xf numFmtId="0" fontId="76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24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244" fillId="23" borderId="0" applyNumberFormat="0" applyBorder="0" applyAlignment="0" applyProtection="0"/>
    <xf numFmtId="0" fontId="76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0" fontId="244" fillId="21" borderId="0" applyNumberFormat="0" applyBorder="0" applyAlignment="0" applyProtection="0"/>
    <xf numFmtId="0" fontId="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45" fillId="5" borderId="0" applyNumberFormat="0" applyBorder="0" applyAlignment="0" applyProtection="0"/>
    <xf numFmtId="0" fontId="226" fillId="5" borderId="0" applyNumberFormat="0" applyBorder="0" applyAlignment="0" applyProtection="0"/>
    <xf numFmtId="0" fontId="26" fillId="5" borderId="0" applyNumberFormat="0" applyBorder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46" fillId="26" borderId="4" applyNumberFormat="0" applyAlignment="0" applyProtection="0"/>
    <xf numFmtId="0" fontId="80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47" fillId="27" borderId="5" applyNumberFormat="0" applyAlignment="0" applyProtection="0"/>
    <xf numFmtId="0" fontId="228" fillId="27" borderId="5" applyNumberFormat="0" applyAlignment="0" applyProtection="0"/>
    <xf numFmtId="0" fontId="80" fillId="27" borderId="5" applyNumberFormat="0" applyAlignment="0" applyProtection="0"/>
    <xf numFmtId="43" fontId="1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8" fontId="44" fillId="0" borderId="0" applyFont="0" applyFill="0" applyBorder="0" applyAlignment="0" applyProtection="0"/>
    <xf numFmtId="8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250" fillId="7" borderId="0" applyNumberFormat="0" applyBorder="0" applyAlignment="0" applyProtection="0"/>
    <xf numFmtId="0" fontId="251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3" fillId="0" borderId="35" applyNumberFormat="0" applyFill="0" applyAlignment="0" applyProtection="0"/>
    <xf numFmtId="0" fontId="230" fillId="0" borderId="35" applyNumberFormat="0" applyFill="0" applyAlignment="0" applyProtection="0"/>
    <xf numFmtId="0" fontId="240" fillId="0" borderId="35" applyNumberFormat="0" applyFill="0" applyAlignment="0" applyProtection="0"/>
    <xf numFmtId="0" fontId="254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6" fillId="0" borderId="36" applyNumberFormat="0" applyFill="0" applyAlignment="0" applyProtection="0"/>
    <xf numFmtId="0" fontId="231" fillId="0" borderId="36" applyNumberFormat="0" applyFill="0" applyAlignment="0" applyProtection="0"/>
    <xf numFmtId="0" fontId="241" fillId="0" borderId="36" applyNumberFormat="0" applyFill="0" applyAlignment="0" applyProtection="0"/>
    <xf numFmtId="0" fontId="3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8" fillId="0" borderId="37" applyNumberFormat="0" applyFill="0" applyAlignment="0" applyProtection="0"/>
    <xf numFmtId="0" fontId="232" fillId="0" borderId="37" applyNumberFormat="0" applyFill="0" applyAlignment="0" applyProtection="0"/>
    <xf numFmtId="0" fontId="93" fillId="0" borderId="37" applyNumberFormat="0" applyFill="0" applyAlignment="0" applyProtection="0"/>
    <xf numFmtId="0" fontId="3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259" fillId="4" borderId="4" applyNumberFormat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60" fillId="0" borderId="14" applyNumberFormat="0" applyFill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61" fillId="12" borderId="0" applyNumberFormat="0" applyBorder="0" applyAlignment="0" applyProtection="0"/>
    <xf numFmtId="0" fontId="237" fillId="0" borderId="0"/>
    <xf numFmtId="0" fontId="242" fillId="0" borderId="0"/>
    <xf numFmtId="37" fontId="41" fillId="0" borderId="0"/>
    <xf numFmtId="0" fontId="41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262" fillId="0" borderId="0"/>
    <xf numFmtId="0" fontId="262" fillId="0" borderId="0"/>
    <xf numFmtId="0" fontId="242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262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4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237" fillId="0" borderId="0"/>
    <xf numFmtId="0" fontId="237" fillId="0" borderId="0"/>
    <xf numFmtId="0" fontId="237" fillId="0" borderId="0"/>
    <xf numFmtId="0" fontId="18" fillId="6" borderId="16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63" fillId="26" borderId="17" applyNumberFormat="0" applyAlignment="0" applyProtection="0"/>
    <xf numFmtId="9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9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64" fillId="0" borderId="58" applyNumberFormat="0" applyFill="0" applyAlignment="0" applyProtection="0"/>
    <xf numFmtId="0" fontId="208" fillId="0" borderId="58" applyNumberFormat="0" applyFill="0" applyAlignment="0" applyProtection="0"/>
    <xf numFmtId="0" fontId="29" fillId="0" borderId="58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9" fillId="29" borderId="0"/>
    <xf numFmtId="168" fontId="18" fillId="0" borderId="0"/>
    <xf numFmtId="0" fontId="266" fillId="59" borderId="0" applyNumberFormat="0" applyBorder="0" applyAlignment="0" applyProtection="0"/>
    <xf numFmtId="0" fontId="44" fillId="0" borderId="0"/>
    <xf numFmtId="0" fontId="44" fillId="0" borderId="0"/>
    <xf numFmtId="0" fontId="18" fillId="0" borderId="0"/>
    <xf numFmtId="0" fontId="18" fillId="0" borderId="0"/>
    <xf numFmtId="0" fontId="13" fillId="0" borderId="0"/>
    <xf numFmtId="0" fontId="18" fillId="0" borderId="0" applyNumberFormat="0" applyFill="0" applyBorder="0" applyAlignment="0" applyProtection="0"/>
    <xf numFmtId="0" fontId="13" fillId="0" borderId="0"/>
    <xf numFmtId="0" fontId="267" fillId="0" borderId="0"/>
    <xf numFmtId="0" fontId="267" fillId="0" borderId="0"/>
    <xf numFmtId="0" fontId="18" fillId="0" borderId="0"/>
    <xf numFmtId="0" fontId="44" fillId="0" borderId="0"/>
    <xf numFmtId="0" fontId="4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8" fillId="0" borderId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44" fontId="13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8" fillId="0" borderId="0" applyNumberFormat="0">
      <alignment horizontal="right" vertical="top" wrapText="1"/>
    </xf>
    <xf numFmtId="0" fontId="18" fillId="0" borderId="0" applyNumberFormat="0">
      <alignment horizontal="left" vertical="top" wrapText="1"/>
    </xf>
    <xf numFmtId="0" fontId="117" fillId="0" borderId="0"/>
    <xf numFmtId="0" fontId="268" fillId="0" borderId="0"/>
    <xf numFmtId="0" fontId="269" fillId="60" borderId="0">
      <alignment horizontal="left" vertical="center"/>
    </xf>
    <xf numFmtId="0" fontId="22" fillId="0" borderId="63" applyNumberFormat="0">
      <alignment horizontal="right"/>
    </xf>
    <xf numFmtId="0" fontId="22" fillId="0" borderId="63">
      <alignment horizontal="left"/>
    </xf>
    <xf numFmtId="168" fontId="18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9" fillId="60" borderId="0">
      <alignment horizontal="left" vertical="center"/>
    </xf>
    <xf numFmtId="0" fontId="13" fillId="0" borderId="0"/>
    <xf numFmtId="0" fontId="269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8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8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69" fillId="60" borderId="0">
      <alignment horizontal="left" vertical="center"/>
    </xf>
    <xf numFmtId="0" fontId="12" fillId="0" borderId="0"/>
    <xf numFmtId="0" fontId="269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8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9" fillId="60" borderId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18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69" fillId="60" borderId="0">
      <alignment horizontal="left" vertical="center"/>
    </xf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7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54" fontId="18" fillId="0" borderId="0" applyFont="0" applyFill="0" applyBorder="0" applyAlignment="0" applyProtection="0"/>
    <xf numFmtId="257" fontId="18" fillId="0" borderId="0"/>
    <xf numFmtId="272" fontId="125" fillId="0" borderId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2" fontId="125" fillId="0" borderId="0">
      <alignment horizontal="righ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9" fillId="0" borderId="0" applyFont="0" applyFill="0" applyBorder="0" applyAlignment="0" applyProtection="0"/>
    <xf numFmtId="257" fontId="18" fillId="0" borderId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9" fillId="60" borderId="0">
      <alignment horizontal="left"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5" fillId="0" borderId="0" applyFont="0" applyFill="0" applyBorder="0" applyAlignment="0" applyProtection="0"/>
    <xf numFmtId="0" fontId="1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75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94" fontId="25" fillId="0" borderId="0"/>
    <xf numFmtId="0" fontId="3" fillId="0" borderId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76" fillId="62" borderId="0" applyBorder="0"/>
    <xf numFmtId="41" fontId="277" fillId="63" borderId="0" applyNumberFormat="0"/>
    <xf numFmtId="9" fontId="25" fillId="0" borderId="0" applyFont="0" applyFill="0" applyBorder="0" applyAlignment="0" applyProtection="0"/>
    <xf numFmtId="41" fontId="277" fillId="63" borderId="9" applyNumberFormat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4" fontId="278" fillId="64" borderId="9" applyNumberFormat="0"/>
    <xf numFmtId="0" fontId="279" fillId="65" borderId="9" applyNumberFormat="0"/>
    <xf numFmtId="9" fontId="267" fillId="0" borderId="0" applyFont="0" applyFill="0" applyBorder="0" applyAlignment="0" applyProtection="0"/>
    <xf numFmtId="0" fontId="267" fillId="0" borderId="0"/>
    <xf numFmtId="0" fontId="280" fillId="66" borderId="0">
      <alignment horizontal="left" vertical="center"/>
    </xf>
    <xf numFmtId="215" fontId="3" fillId="0" borderId="0" applyFont="0" applyFill="0" applyBorder="0" applyAlignment="0" applyProtection="0"/>
    <xf numFmtId="0" fontId="283" fillId="0" borderId="0"/>
    <xf numFmtId="0" fontId="18" fillId="0" borderId="0"/>
    <xf numFmtId="0" fontId="49" fillId="0" borderId="0"/>
    <xf numFmtId="0" fontId="18" fillId="0" borderId="0"/>
    <xf numFmtId="9" fontId="3" fillId="0" borderId="0" applyFont="0" applyFill="0" applyBorder="0" applyAlignment="0" applyProtection="0"/>
    <xf numFmtId="43" fontId="281" fillId="0" borderId="0" applyFont="0" applyFill="0" applyBorder="0" applyAlignment="0" applyProtection="0"/>
    <xf numFmtId="295" fontId="18" fillId="0" borderId="0" applyFont="0" applyFill="0" applyBorder="0" applyProtection="0">
      <alignment vertical="top"/>
    </xf>
    <xf numFmtId="0" fontId="18" fillId="0" borderId="0"/>
    <xf numFmtId="0" fontId="284" fillId="0" borderId="0"/>
    <xf numFmtId="0" fontId="3" fillId="0" borderId="0"/>
    <xf numFmtId="0" fontId="285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86" fillId="0" borderId="0" applyBorder="0"/>
    <xf numFmtId="0" fontId="284" fillId="0" borderId="0"/>
    <xf numFmtId="0" fontId="304" fillId="0" borderId="0" applyNumberFormat="0" applyFill="0" applyBorder="0" applyAlignment="0" applyProtection="0"/>
    <xf numFmtId="0" fontId="287" fillId="0" borderId="64" applyNumberFormat="0" applyFill="0" applyAlignment="0" applyProtection="0"/>
    <xf numFmtId="0" fontId="288" fillId="0" borderId="65" applyNumberFormat="0" applyFill="0" applyAlignment="0" applyProtection="0"/>
    <xf numFmtId="0" fontId="289" fillId="0" borderId="66" applyNumberFormat="0" applyFill="0" applyAlignment="0" applyProtection="0"/>
    <xf numFmtId="0" fontId="290" fillId="0" borderId="0" applyNumberFormat="0" applyFill="0" applyBorder="0" applyAlignment="0" applyProtection="0"/>
    <xf numFmtId="0" fontId="298" fillId="0" borderId="0" applyProtection="0"/>
    <xf numFmtId="0" fontId="299" fillId="69" borderId="0" applyProtection="0">
      <alignment vertical="center"/>
    </xf>
    <xf numFmtId="0" fontId="284" fillId="72" borderId="0" applyProtection="0">
      <alignment vertical="center"/>
    </xf>
    <xf numFmtId="0" fontId="295" fillId="70" borderId="0" applyProtection="0">
      <alignment horizontal="center" vertical="center" readingOrder="1"/>
    </xf>
    <xf numFmtId="0" fontId="300" fillId="67" borderId="0" applyProtection="0">
      <alignment horizontal="left" vertical="center" readingOrder="1"/>
    </xf>
    <xf numFmtId="0" fontId="295" fillId="68" borderId="0" applyProtection="0">
      <alignment horizontal="center" vertical="center" wrapText="1" readingOrder="1"/>
    </xf>
    <xf numFmtId="0" fontId="300" fillId="68" borderId="0" applyProtection="0">
      <alignment horizontal="left" vertical="center" readingOrder="1"/>
    </xf>
    <xf numFmtId="0" fontId="301" fillId="0" borderId="0" applyProtection="0">
      <alignment vertical="center"/>
    </xf>
    <xf numFmtId="0" fontId="302" fillId="71" borderId="0" applyProtection="0">
      <alignment vertical="center" readingOrder="1"/>
    </xf>
    <xf numFmtId="0" fontId="303" fillId="0" borderId="0" applyProtection="0">
      <alignment horizontal="right" vertical="center" readingOrder="1"/>
    </xf>
    <xf numFmtId="298" fontId="19" fillId="0" borderId="0" applyProtection="0"/>
    <xf numFmtId="296" fontId="19" fillId="0" borderId="0" applyProtection="0"/>
    <xf numFmtId="0" fontId="292" fillId="0" borderId="67" applyNumberFormat="0" applyProtection="0">
      <alignment vertical="center"/>
    </xf>
    <xf numFmtId="0" fontId="293" fillId="0" borderId="0" applyNumberFormat="0" applyProtection="0">
      <alignment vertical="center"/>
    </xf>
    <xf numFmtId="0" fontId="294" fillId="0" borderId="0" applyNumberFormat="0" applyProtection="0">
      <alignment vertical="center"/>
    </xf>
    <xf numFmtId="297" fontId="295" fillId="70" borderId="68" applyProtection="0">
      <alignment vertical="center" readingOrder="1"/>
    </xf>
    <xf numFmtId="297" fontId="295" fillId="68" borderId="68" applyProtection="0">
      <alignment vertical="center" readingOrder="1"/>
    </xf>
    <xf numFmtId="297" fontId="296" fillId="0" borderId="67" applyProtection="0">
      <alignment vertical="center" readingOrder="1"/>
    </xf>
    <xf numFmtId="0" fontId="284" fillId="0" borderId="0" applyNumberFormat="0" applyProtection="0">
      <alignment vertical="center"/>
    </xf>
    <xf numFmtId="0" fontId="284" fillId="0" borderId="67" applyProtection="0">
      <alignment vertical="center" wrapText="1" readingOrder="1"/>
    </xf>
    <xf numFmtId="298" fontId="291" fillId="0" borderId="69" applyProtection="0">
      <alignment vertical="center"/>
    </xf>
    <xf numFmtId="0" fontId="297" fillId="0" borderId="0" applyProtection="0">
      <alignment vertical="top"/>
    </xf>
    <xf numFmtId="0" fontId="284" fillId="0" borderId="0"/>
    <xf numFmtId="0" fontId="18" fillId="0" borderId="0"/>
    <xf numFmtId="0" fontId="18" fillId="0" borderId="0"/>
    <xf numFmtId="0" fontId="3" fillId="0" borderId="0"/>
    <xf numFmtId="9" fontId="285" fillId="0" borderId="0" applyFont="0" applyFill="0" applyBorder="0" applyAlignment="0" applyProtection="0"/>
    <xf numFmtId="0" fontId="3" fillId="0" borderId="0"/>
    <xf numFmtId="43" fontId="285" fillId="0" borderId="0" applyFont="0" applyFill="0" applyBorder="0" applyAlignment="0" applyProtection="0"/>
    <xf numFmtId="0" fontId="18" fillId="0" borderId="0"/>
    <xf numFmtId="0" fontId="3" fillId="0" borderId="0"/>
    <xf numFmtId="0" fontId="18" fillId="0" borderId="0"/>
    <xf numFmtId="0" fontId="3" fillId="0" borderId="0"/>
    <xf numFmtId="44" fontId="18" fillId="0" borderId="0" applyFont="0" applyFill="0" applyBorder="0" applyAlignment="0" applyProtection="0"/>
    <xf numFmtId="9" fontId="286" fillId="0" borderId="0" applyFont="0" applyFill="0" applyBorder="0" applyAlignment="0" applyProtection="0"/>
    <xf numFmtId="44" fontId="284" fillId="0" borderId="0" applyFont="0" applyFill="0" applyBorder="0" applyAlignment="0" applyProtection="0"/>
    <xf numFmtId="0" fontId="3" fillId="0" borderId="0"/>
    <xf numFmtId="0" fontId="282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05" fillId="0" borderId="70" applyNumberFormat="0" applyFont="0" applyProtection="0">
      <alignment wrapText="1"/>
    </xf>
    <xf numFmtId="0" fontId="305" fillId="0" borderId="0" applyNumberFormat="0" applyFill="0" applyBorder="0" applyAlignment="0" applyProtection="0"/>
    <xf numFmtId="0" fontId="305" fillId="0" borderId="71" applyNumberFormat="0" applyProtection="0">
      <alignment wrapText="1"/>
    </xf>
    <xf numFmtId="0" fontId="306" fillId="0" borderId="72" applyNumberFormat="0" applyProtection="0">
      <alignment wrapText="1"/>
    </xf>
    <xf numFmtId="0" fontId="306" fillId="0" borderId="73" applyNumberFormat="0" applyProtection="0">
      <alignment wrapText="1"/>
    </xf>
    <xf numFmtId="0" fontId="307" fillId="0" borderId="0" applyNumberFormat="0" applyProtection="0">
      <alignment horizontal="left"/>
    </xf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75" fillId="0" borderId="0" applyFont="0" applyFill="0" applyBorder="0" applyAlignment="0" applyProtection="0"/>
    <xf numFmtId="0" fontId="310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8" fontId="313" fillId="0" borderId="0">
      <protection locked="0"/>
    </xf>
    <xf numFmtId="0" fontId="2" fillId="0" borderId="0"/>
    <xf numFmtId="0" fontId="314" fillId="0" borderId="0" applyNumberFormat="0" applyFont="0" applyFill="0" applyBorder="0" applyAlignment="0" applyProtection="0">
      <alignment horizontal="left"/>
    </xf>
    <xf numFmtId="15" fontId="314" fillId="0" borderId="0" applyFont="0" applyFill="0" applyBorder="0" applyAlignment="0" applyProtection="0"/>
    <xf numFmtId="4" fontId="314" fillId="0" borderId="0" applyFont="0" applyFill="0" applyBorder="0" applyAlignment="0" applyProtection="0"/>
    <xf numFmtId="0" fontId="315" fillId="0" borderId="2">
      <alignment horizontal="center"/>
    </xf>
    <xf numFmtId="3" fontId="314" fillId="0" borderId="0" applyFont="0" applyFill="0" applyBorder="0" applyAlignment="0" applyProtection="0"/>
    <xf numFmtId="0" fontId="314" fillId="31" borderId="0" applyNumberFormat="0" applyFon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311" fillId="0" borderId="0"/>
    <xf numFmtId="43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311" fillId="0" borderId="0"/>
    <xf numFmtId="0" fontId="21" fillId="0" borderId="0"/>
    <xf numFmtId="9" fontId="22" fillId="0" borderId="0" applyFont="0" applyFill="0" applyBorder="0" applyAlignment="0" applyProtection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316" fillId="0" borderId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7" fillId="0" borderId="0" applyNumberFormat="0" applyFill="0" applyBorder="0" applyAlignment="0" applyProtection="0"/>
    <xf numFmtId="0" fontId="318" fillId="75" borderId="77">
      <alignment horizontal="left"/>
    </xf>
    <xf numFmtId="38" fontId="318" fillId="75" borderId="77"/>
    <xf numFmtId="0" fontId="319" fillId="63" borderId="76" applyProtection="0"/>
    <xf numFmtId="300" fontId="318" fillId="76" borderId="77">
      <alignment horizontal="center"/>
    </xf>
    <xf numFmtId="9" fontId="319" fillId="63" borderId="76" applyProtection="0">
      <alignment horizontal="center"/>
    </xf>
    <xf numFmtId="38" fontId="318" fillId="75" borderId="77"/>
    <xf numFmtId="0" fontId="320" fillId="0" borderId="0">
      <alignment horizontal="center"/>
    </xf>
    <xf numFmtId="0" fontId="321" fillId="77" borderId="76" applyNumberFormat="0" applyAlignment="0" applyProtection="0"/>
    <xf numFmtId="0" fontId="312" fillId="0" borderId="7">
      <alignment horizontal="center" wrapText="1"/>
    </xf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5" fontId="18" fillId="0" borderId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0">
    <xf numFmtId="0" fontId="0" fillId="0" borderId="0" xfId="0"/>
    <xf numFmtId="0" fontId="30" fillId="0" borderId="0" xfId="0" applyFont="1"/>
    <xf numFmtId="164" fontId="30" fillId="0" borderId="0" xfId="0" applyNumberFormat="1" applyFont="1"/>
    <xf numFmtId="37" fontId="30" fillId="0" borderId="0" xfId="0" applyNumberFormat="1" applyFont="1"/>
    <xf numFmtId="0" fontId="18" fillId="0" borderId="0" xfId="0" applyFont="1"/>
    <xf numFmtId="37" fontId="22" fillId="0" borderId="23" xfId="0" applyNumberFormat="1" applyFont="1" applyBorder="1"/>
    <xf numFmtId="8" fontId="30" fillId="0" borderId="0" xfId="0" applyNumberFormat="1" applyFont="1"/>
    <xf numFmtId="3" fontId="30" fillId="0" borderId="0" xfId="0" applyNumberFormat="1" applyFont="1"/>
    <xf numFmtId="43" fontId="30" fillId="0" borderId="0" xfId="0" applyNumberFormat="1" applyFont="1"/>
    <xf numFmtId="179" fontId="30" fillId="0" borderId="0" xfId="436" applyNumberFormat="1" applyFont="1" applyFill="1"/>
    <xf numFmtId="0" fontId="22" fillId="61" borderId="0" xfId="0" applyFont="1" applyFill="1"/>
    <xf numFmtId="0" fontId="22" fillId="61" borderId="0" xfId="0" applyFont="1" applyFill="1" applyAlignment="1">
      <alignment horizontal="center"/>
    </xf>
    <xf numFmtId="0" fontId="23" fillId="61" borderId="7" xfId="0" applyFont="1" applyFill="1" applyBorder="1" applyAlignment="1">
      <alignment horizontal="center" vertical="center" wrapText="1"/>
    </xf>
    <xf numFmtId="0" fontId="22" fillId="61" borderId="7" xfId="0" applyFont="1" applyFill="1" applyBorder="1" applyAlignment="1">
      <alignment horizontal="center" vertical="center" wrapText="1"/>
    </xf>
    <xf numFmtId="0" fontId="22" fillId="61" borderId="19" xfId="0" applyFont="1" applyFill="1" applyBorder="1" applyAlignment="1">
      <alignment horizontal="left"/>
    </xf>
    <xf numFmtId="0" fontId="22" fillId="61" borderId="0" xfId="0" applyFont="1" applyFill="1" applyAlignment="1">
      <alignment horizontal="left"/>
    </xf>
    <xf numFmtId="0" fontId="22" fillId="61" borderId="0" xfId="0" applyFont="1" applyFill="1" applyAlignment="1">
      <alignment horizontal="left" vertical="center" wrapText="1"/>
    </xf>
    <xf numFmtId="0" fontId="22" fillId="61" borderId="0" xfId="0" applyFont="1" applyFill="1" applyAlignment="1">
      <alignment vertical="center" wrapText="1"/>
    </xf>
    <xf numFmtId="0" fontId="22" fillId="61" borderId="0" xfId="0" applyFont="1" applyFill="1" applyAlignment="1">
      <alignment horizontal="left" vertical="center"/>
    </xf>
    <xf numFmtId="38" fontId="120" fillId="61" borderId="0" xfId="0" applyNumberFormat="1" applyFont="1" applyFill="1"/>
    <xf numFmtId="43" fontId="22" fillId="61" borderId="0" xfId="0" applyNumberFormat="1" applyFont="1" applyFill="1" applyAlignment="1">
      <alignment horizontal="left" vertical="center"/>
    </xf>
    <xf numFmtId="0" fontId="55" fillId="61" borderId="0" xfId="0" applyFont="1" applyFill="1" applyAlignment="1">
      <alignment vertical="center"/>
    </xf>
    <xf numFmtId="37" fontId="30" fillId="0" borderId="19" xfId="0" applyNumberFormat="1" applyFont="1" applyBorder="1"/>
    <xf numFmtId="0" fontId="54" fillId="0" borderId="0" xfId="0" applyFont="1"/>
    <xf numFmtId="0" fontId="237" fillId="0" borderId="0" xfId="0" applyFont="1"/>
    <xf numFmtId="0" fontId="273" fillId="0" borderId="0" xfId="0" applyFont="1" applyAlignment="1">
      <alignment horizontal="center"/>
    </xf>
    <xf numFmtId="0" fontId="273" fillId="0" borderId="0" xfId="0" applyFont="1"/>
    <xf numFmtId="0" fontId="237" fillId="0" borderId="0" xfId="0" applyFont="1" applyAlignment="1">
      <alignment horizontal="center"/>
    </xf>
    <xf numFmtId="164" fontId="237" fillId="0" borderId="0" xfId="424" applyNumberFormat="1" applyFont="1"/>
    <xf numFmtId="164" fontId="237" fillId="0" borderId="7" xfId="424" applyNumberFormat="1" applyFont="1" applyFill="1" applyBorder="1"/>
    <xf numFmtId="164" fontId="237" fillId="0" borderId="0" xfId="424" applyNumberFormat="1" applyFont="1" applyFill="1"/>
    <xf numFmtId="171" fontId="273" fillId="0" borderId="0" xfId="436" applyNumberFormat="1" applyFont="1"/>
    <xf numFmtId="164" fontId="237" fillId="0" borderId="0" xfId="0" applyNumberFormat="1" applyFont="1"/>
    <xf numFmtId="171" fontId="237" fillId="0" borderId="0" xfId="0" applyNumberFormat="1" applyFont="1"/>
    <xf numFmtId="164" fontId="237" fillId="0" borderId="7" xfId="424" applyNumberFormat="1" applyFont="1" applyBorder="1"/>
    <xf numFmtId="171" fontId="237" fillId="0" borderId="0" xfId="436" applyNumberFormat="1" applyFont="1"/>
    <xf numFmtId="9" fontId="237" fillId="0" borderId="7" xfId="0" applyNumberFormat="1" applyFont="1" applyBorder="1"/>
    <xf numFmtId="0" fontId="237" fillId="0" borderId="7" xfId="0" applyFont="1" applyBorder="1"/>
    <xf numFmtId="171" fontId="30" fillId="0" borderId="0" xfId="436" applyNumberFormat="1" applyFont="1" applyFill="1"/>
    <xf numFmtId="171" fontId="30" fillId="0" borderId="0" xfId="0" applyNumberFormat="1" applyFont="1"/>
    <xf numFmtId="174" fontId="30" fillId="0" borderId="0" xfId="553" applyNumberFormat="1" applyFont="1" applyFill="1"/>
    <xf numFmtId="38" fontId="120" fillId="61" borderId="7" xfId="0" applyNumberFormat="1" applyFont="1" applyFill="1" applyBorder="1"/>
    <xf numFmtId="0" fontId="18" fillId="0" borderId="7" xfId="0" applyFont="1" applyBorder="1"/>
    <xf numFmtId="171" fontId="30" fillId="0" borderId="7" xfId="436" applyNumberFormat="1" applyFont="1" applyFill="1" applyBorder="1"/>
    <xf numFmtId="171" fontId="30" fillId="0" borderId="7" xfId="0" applyNumberFormat="1" applyFont="1" applyBorder="1"/>
    <xf numFmtId="0" fontId="18" fillId="0" borderId="11" xfId="0" applyFont="1" applyBorder="1"/>
    <xf numFmtId="171" fontId="30" fillId="0" borderId="11" xfId="436" applyNumberFormat="1" applyFont="1" applyFill="1" applyBorder="1"/>
    <xf numFmtId="43" fontId="30" fillId="0" borderId="0" xfId="424" applyFont="1" applyFill="1"/>
    <xf numFmtId="3" fontId="30" fillId="0" borderId="7" xfId="0" applyNumberFormat="1" applyFont="1" applyBorder="1"/>
    <xf numFmtId="164" fontId="18" fillId="61" borderId="0" xfId="424" applyNumberFormat="1" applyFont="1" applyFill="1" applyBorder="1" applyAlignment="1">
      <alignment vertical="center"/>
    </xf>
    <xf numFmtId="0" fontId="18" fillId="61" borderId="0" xfId="0" applyFont="1" applyFill="1" applyAlignment="1">
      <alignment vertical="center"/>
    </xf>
    <xf numFmtId="0" fontId="18" fillId="0" borderId="0" xfId="0" applyFont="1" applyAlignment="1">
      <alignment horizontal="center"/>
    </xf>
    <xf numFmtId="0" fontId="22" fillId="0" borderId="7" xfId="0" applyFont="1" applyBorder="1"/>
    <xf numFmtId="165" fontId="30" fillId="0" borderId="7" xfId="553" applyNumberFormat="1" applyFont="1" applyFill="1" applyBorder="1" applyAlignment="1">
      <alignment horizontal="right" vertical="center"/>
    </xf>
    <xf numFmtId="37" fontId="30" fillId="0" borderId="11" xfId="0" applyNumberFormat="1" applyFont="1" applyBorder="1"/>
    <xf numFmtId="164" fontId="30" fillId="0" borderId="0" xfId="424" applyNumberFormat="1" applyFont="1" applyFill="1" applyBorder="1" applyAlignment="1">
      <alignment horizontal="center"/>
    </xf>
    <xf numFmtId="0" fontId="273" fillId="0" borderId="7" xfId="0" applyFont="1" applyBorder="1" applyAlignment="1">
      <alignment horizontal="center"/>
    </xf>
    <xf numFmtId="164" fontId="18" fillId="0" borderId="0" xfId="424" applyNumberFormat="1" applyFont="1" applyFill="1"/>
    <xf numFmtId="0" fontId="18" fillId="61" borderId="0" xfId="0" applyFont="1" applyFill="1"/>
    <xf numFmtId="0" fontId="18" fillId="61" borderId="0" xfId="0" applyFont="1" applyFill="1" applyAlignment="1">
      <alignment vertical="center" wrapText="1"/>
    </xf>
    <xf numFmtId="0" fontId="18" fillId="61" borderId="0" xfId="0" applyFont="1" applyFill="1" applyAlignment="1">
      <alignment horizontal="left"/>
    </xf>
    <xf numFmtId="164" fontId="18" fillId="61" borderId="0" xfId="424" applyNumberFormat="1" applyFont="1" applyFill="1" applyBorder="1"/>
    <xf numFmtId="0" fontId="18" fillId="61" borderId="7" xfId="0" applyFont="1" applyFill="1" applyBorder="1" applyAlignment="1">
      <alignment horizontal="left"/>
    </xf>
    <xf numFmtId="164" fontId="18" fillId="61" borderId="19" xfId="424" applyNumberFormat="1" applyFont="1" applyFill="1" applyBorder="1"/>
    <xf numFmtId="0" fontId="18" fillId="61" borderId="0" xfId="0" applyFont="1" applyFill="1" applyAlignment="1">
      <alignment horizontal="left" vertical="center" wrapText="1"/>
    </xf>
    <xf numFmtId="38" fontId="18" fillId="61" borderId="0" xfId="0" applyNumberFormat="1" applyFont="1" applyFill="1" applyAlignment="1">
      <alignment horizontal="left" vertical="center" wrapText="1"/>
    </xf>
    <xf numFmtId="164" fontId="18" fillId="61" borderId="0" xfId="424" applyNumberFormat="1" applyFont="1" applyFill="1" applyBorder="1" applyAlignment="1">
      <alignment horizontal="left" vertical="center"/>
    </xf>
    <xf numFmtId="0" fontId="18" fillId="61" borderId="0" xfId="0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left" vertical="center" wrapText="1"/>
    </xf>
    <xf numFmtId="164" fontId="18" fillId="61" borderId="0" xfId="0" applyNumberFormat="1" applyFont="1" applyFill="1" applyAlignment="1">
      <alignment vertical="center"/>
    </xf>
    <xf numFmtId="43" fontId="18" fillId="61" borderId="0" xfId="0" applyNumberFormat="1" applyFont="1" applyFill="1" applyAlignment="1">
      <alignment vertical="center"/>
    </xf>
    <xf numFmtId="236" fontId="18" fillId="61" borderId="0" xfId="424" applyNumberFormat="1" applyFont="1" applyFill="1" applyBorder="1" applyAlignment="1">
      <alignment vertical="center"/>
    </xf>
    <xf numFmtId="164" fontId="18" fillId="61" borderId="0" xfId="424" applyNumberFormat="1" applyFont="1" applyFill="1" applyBorder="1" applyAlignment="1">
      <alignment horizontal="center" vertical="center"/>
    </xf>
    <xf numFmtId="43" fontId="18" fillId="61" borderId="0" xfId="424" applyFont="1" applyFill="1" applyBorder="1" applyAlignment="1">
      <alignment vertical="center"/>
    </xf>
    <xf numFmtId="0" fontId="18" fillId="61" borderId="0" xfId="0" applyFont="1" applyFill="1" applyAlignment="1">
      <alignment horizontal="right" vertical="center"/>
    </xf>
    <xf numFmtId="165" fontId="18" fillId="61" borderId="0" xfId="553" applyNumberFormat="1" applyFont="1" applyFill="1" applyBorder="1" applyAlignment="1">
      <alignment vertical="center"/>
    </xf>
    <xf numFmtId="43" fontId="18" fillId="61" borderId="0" xfId="0" applyNumberFormat="1" applyFont="1" applyFill="1" applyAlignment="1">
      <alignment horizontal="left" vertical="center"/>
    </xf>
    <xf numFmtId="2" fontId="18" fillId="61" borderId="0" xfId="553" applyNumberFormat="1" applyFont="1" applyFill="1" applyBorder="1" applyAlignment="1">
      <alignment vertical="center"/>
    </xf>
    <xf numFmtId="164" fontId="18" fillId="61" borderId="0" xfId="0" applyNumberFormat="1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center" vertical="center"/>
    </xf>
    <xf numFmtId="43" fontId="18" fillId="61" borderId="0" xfId="0" applyNumberFormat="1" applyFont="1" applyFill="1"/>
    <xf numFmtId="8" fontId="274" fillId="0" borderId="0" xfId="0" applyNumberFormat="1" applyFont="1"/>
    <xf numFmtId="0" fontId="0" fillId="0" borderId="0" xfId="0" applyAlignment="1">
      <alignment horizontal="left"/>
    </xf>
    <xf numFmtId="9" fontId="18" fillId="0" borderId="0" xfId="553" applyFont="1" applyFill="1" applyAlignment="1"/>
    <xf numFmtId="0" fontId="22" fillId="0" borderId="0" xfId="0" applyFont="1"/>
    <xf numFmtId="0" fontId="18" fillId="73" borderId="0" xfId="0" applyFont="1" applyFill="1"/>
    <xf numFmtId="164" fontId="18" fillId="73" borderId="0" xfId="424" applyNumberFormat="1" applyFont="1" applyFill="1"/>
    <xf numFmtId="3" fontId="18" fillId="0" borderId="24" xfId="0" applyNumberFormat="1" applyFont="1" applyBorder="1"/>
    <xf numFmtId="0" fontId="22" fillId="0" borderId="27" xfId="0" applyFont="1" applyBorder="1"/>
    <xf numFmtId="9" fontId="18" fillId="73" borderId="0" xfId="553" applyFont="1" applyFill="1"/>
    <xf numFmtId="164" fontId="18" fillId="73" borderId="0" xfId="424" applyNumberFormat="1" applyFont="1" applyFill="1" applyBorder="1" applyAlignment="1">
      <alignment horizontal="right"/>
    </xf>
    <xf numFmtId="38" fontId="120" fillId="61" borderId="19" xfId="0" applyNumberFormat="1" applyFont="1" applyFill="1" applyBorder="1"/>
    <xf numFmtId="38" fontId="120" fillId="61" borderId="19" xfId="0" quotePrefix="1" applyNumberFormat="1" applyFont="1" applyFill="1" applyBorder="1"/>
    <xf numFmtId="0" fontId="18" fillId="74" borderId="11" xfId="0" applyFont="1" applyFill="1" applyBorder="1" applyAlignment="1">
      <alignment horizontal="right"/>
    </xf>
    <xf numFmtId="164" fontId="18" fillId="0" borderId="0" xfId="0" applyNumberFormat="1" applyFont="1" applyAlignment="1">
      <alignment vertical="center"/>
    </xf>
    <xf numFmtId="0" fontId="22" fillId="0" borderId="7" xfId="0" applyFont="1" applyBorder="1" applyAlignment="1">
      <alignment horizontal="center"/>
    </xf>
    <xf numFmtId="0" fontId="22" fillId="0" borderId="0" xfId="0" applyFont="1" applyAlignment="1">
      <alignment horizontal="center"/>
    </xf>
    <xf numFmtId="3" fontId="18" fillId="0" borderId="0" xfId="0" applyNumberFormat="1" applyFont="1"/>
    <xf numFmtId="44" fontId="30" fillId="0" borderId="0" xfId="0" applyNumberFormat="1" applyFont="1"/>
    <xf numFmtId="3" fontId="309" fillId="0" borderId="0" xfId="0" applyNumberFormat="1" applyFont="1" applyAlignment="1">
      <alignment wrapText="1"/>
    </xf>
    <xf numFmtId="171" fontId="30" fillId="0" borderId="19" xfId="0" applyNumberFormat="1" applyFont="1" applyBorder="1"/>
    <xf numFmtId="164" fontId="18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8" fillId="0" borderId="0" xfId="0" applyFont="1" applyProtection="1">
      <protection locked="0"/>
    </xf>
    <xf numFmtId="164" fontId="18" fillId="0" borderId="0" xfId="424" applyNumberFormat="1" applyFont="1" applyFill="1" applyBorder="1"/>
    <xf numFmtId="174" fontId="18" fillId="0" borderId="0" xfId="553" applyNumberFormat="1" applyFont="1" applyFill="1" applyBorder="1"/>
    <xf numFmtId="299" fontId="30" fillId="0" borderId="0" xfId="0" applyNumberFormat="1" applyFont="1"/>
    <xf numFmtId="0" fontId="30" fillId="0" borderId="19" xfId="0" applyFont="1" applyBorder="1"/>
    <xf numFmtId="164" fontId="18" fillId="61" borderId="0" xfId="424" applyNumberFormat="1" applyFont="1" applyFill="1" applyBorder="1" applyAlignment="1">
      <alignment horizontal="right"/>
    </xf>
    <xf numFmtId="0" fontId="18" fillId="61" borderId="0" xfId="0" applyFont="1" applyFill="1" applyAlignment="1">
      <alignment horizontal="right"/>
    </xf>
    <xf numFmtId="10" fontId="18" fillId="0" borderId="0" xfId="553" applyNumberFormat="1" applyFont="1" applyFill="1"/>
    <xf numFmtId="3" fontId="22" fillId="0" borderId="0" xfId="0" applyNumberFormat="1" applyFont="1"/>
    <xf numFmtId="37" fontId="22" fillId="0" borderId="11" xfId="0" applyNumberFormat="1" applyFont="1" applyBorder="1"/>
    <xf numFmtId="0" fontId="18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left" indent="2"/>
    </xf>
    <xf numFmtId="164" fontId="18" fillId="73" borderId="7" xfId="424" applyNumberFormat="1" applyFont="1" applyFill="1" applyBorder="1"/>
    <xf numFmtId="164" fontId="18" fillId="0" borderId="0" xfId="0" applyNumberFormat="1" applyFont="1"/>
    <xf numFmtId="164" fontId="18" fillId="73" borderId="0" xfId="424" applyNumberFormat="1" applyFont="1" applyFill="1" applyBorder="1"/>
    <xf numFmtId="10" fontId="18" fillId="0" borderId="0" xfId="553" applyNumberFormat="1" applyFont="1" applyFill="1" applyBorder="1"/>
    <xf numFmtId="301" fontId="18" fillId="0" borderId="0" xfId="424" applyNumberFormat="1" applyFont="1" applyFill="1" applyBorder="1"/>
    <xf numFmtId="43" fontId="30" fillId="0" borderId="7" xfId="424" applyFont="1" applyFill="1" applyBorder="1"/>
    <xf numFmtId="10" fontId="18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3" fillId="78" borderId="0" xfId="0" applyFont="1" applyFill="1" applyAlignment="1">
      <alignment horizontal="center"/>
    </xf>
    <xf numFmtId="0" fontId="273" fillId="78" borderId="0" xfId="0" applyFont="1" applyFill="1"/>
    <xf numFmtId="171" fontId="22" fillId="78" borderId="0" xfId="0" applyNumberFormat="1" applyFont="1" applyFill="1"/>
    <xf numFmtId="0" fontId="55" fillId="74" borderId="11" xfId="0" applyFont="1" applyFill="1" applyBorder="1" applyAlignment="1">
      <alignment horizontal="right"/>
    </xf>
    <xf numFmtId="164" fontId="55" fillId="74" borderId="11" xfId="424" applyNumberFormat="1" applyFont="1" applyFill="1" applyBorder="1" applyAlignment="1">
      <alignment horizontal="right"/>
    </xf>
    <xf numFmtId="0" fontId="1" fillId="0" borderId="0" xfId="2959"/>
    <xf numFmtId="0" fontId="322" fillId="0" borderId="0" xfId="2959" applyFont="1"/>
    <xf numFmtId="10" fontId="1" fillId="0" borderId="0" xfId="2960" applyNumberFormat="1"/>
    <xf numFmtId="10" fontId="18" fillId="73" borderId="0" xfId="553" applyNumberFormat="1" applyFont="1" applyFill="1"/>
    <xf numFmtId="0" fontId="18" fillId="0" borderId="0" xfId="0" applyFont="1" applyAlignment="1">
      <alignment horizontal="left"/>
    </xf>
    <xf numFmtId="2" fontId="18" fillId="73" borderId="0" xfId="0" applyNumberFormat="1" applyFont="1" applyFill="1"/>
    <xf numFmtId="0" fontId="18" fillId="0" borderId="24" xfId="0" applyFont="1" applyBorder="1"/>
    <xf numFmtId="0" fontId="18" fillId="0" borderId="26" xfId="0" applyFont="1" applyBorder="1"/>
    <xf numFmtId="0" fontId="18" fillId="0" borderId="28" xfId="0" applyFont="1" applyBorder="1"/>
    <xf numFmtId="0" fontId="22" fillId="0" borderId="74" xfId="0" applyFont="1" applyBorder="1" applyAlignment="1">
      <alignment horizontal="center"/>
    </xf>
    <xf numFmtId="0" fontId="18" fillId="0" borderId="25" xfId="0" applyFont="1" applyBorder="1"/>
    <xf numFmtId="171" fontId="18" fillId="0" borderId="25" xfId="436" applyNumberFormat="1" applyFont="1" applyFill="1" applyBorder="1" applyProtection="1"/>
    <xf numFmtId="171" fontId="18" fillId="0" borderId="75" xfId="436" applyNumberFormat="1" applyFont="1" applyFill="1" applyBorder="1" applyProtection="1"/>
    <xf numFmtId="164" fontId="22" fillId="0" borderId="25" xfId="424" applyNumberFormat="1" applyFont="1" applyFill="1" applyBorder="1" applyProtection="1"/>
    <xf numFmtId="0" fontId="22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8" fillId="0" borderId="0" xfId="0" applyFont="1" applyAlignment="1">
      <alignment horizontal="right"/>
    </xf>
    <xf numFmtId="49" fontId="18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/>
    </xf>
    <xf numFmtId="5" fontId="18" fillId="0" borderId="0" xfId="0" applyNumberFormat="1" applyFont="1"/>
    <xf numFmtId="10" fontId="18" fillId="0" borderId="0" xfId="0" applyNumberFormat="1" applyFont="1"/>
    <xf numFmtId="0" fontId="18" fillId="0" borderId="0" xfId="1157"/>
    <xf numFmtId="49" fontId="22" fillId="0" borderId="0" xfId="1157" applyNumberFormat="1" applyFont="1" applyAlignment="1">
      <alignment horizontal="center" wrapText="1"/>
    </xf>
    <xf numFmtId="0" fontId="324" fillId="0" borderId="0" xfId="1157" applyFont="1" applyAlignment="1">
      <alignment horizontal="center"/>
    </xf>
    <xf numFmtId="37" fontId="22" fillId="0" borderId="0" xfId="1157" applyNumberFormat="1" applyFont="1" applyAlignment="1">
      <alignment horizontal="center"/>
    </xf>
    <xf numFmtId="37" fontId="22" fillId="0" borderId="0" xfId="1157" applyNumberFormat="1" applyFont="1" applyAlignment="1">
      <alignment horizontal="center" wrapText="1"/>
    </xf>
    <xf numFmtId="49" fontId="18" fillId="0" borderId="0" xfId="1157" applyNumberFormat="1" applyAlignment="1">
      <alignment wrapText="1"/>
    </xf>
    <xf numFmtId="37" fontId="18" fillId="0" borderId="0" xfId="1157" applyNumberFormat="1" applyAlignment="1">
      <alignment horizontal="center"/>
    </xf>
    <xf numFmtId="304" fontId="18" fillId="0" borderId="0" xfId="1157" applyNumberFormat="1"/>
    <xf numFmtId="49" fontId="18" fillId="0" borderId="0" xfId="1157" applyNumberFormat="1"/>
    <xf numFmtId="302" fontId="18" fillId="0" borderId="0" xfId="1157" applyNumberFormat="1"/>
    <xf numFmtId="305" fontId="18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8" fillId="0" borderId="0" xfId="0" applyNumberFormat="1" applyFont="1"/>
    <xf numFmtId="10" fontId="18" fillId="0" borderId="0" xfId="0" applyNumberFormat="1" applyFont="1" applyAlignment="1">
      <alignment horizontal="right"/>
    </xf>
    <xf numFmtId="49" fontId="18" fillId="0" borderId="0" xfId="0" applyNumberFormat="1" applyFont="1" applyAlignment="1">
      <alignment horizontal="right"/>
    </xf>
    <xf numFmtId="303" fontId="22" fillId="0" borderId="0" xfId="0" applyNumberFormat="1" applyFont="1"/>
    <xf numFmtId="10" fontId="30" fillId="0" borderId="0" xfId="553" applyNumberFormat="1" applyFont="1" applyFill="1"/>
    <xf numFmtId="44" fontId="30" fillId="0" borderId="0" xfId="436" applyFont="1" applyFill="1"/>
    <xf numFmtId="9" fontId="18" fillId="61" borderId="0" xfId="553" applyFont="1" applyFill="1" applyBorder="1" applyAlignment="1">
      <alignment vertical="center"/>
    </xf>
    <xf numFmtId="44" fontId="30" fillId="0" borderId="0" xfId="436" applyFont="1" applyFill="1" applyAlignment="1"/>
    <xf numFmtId="0" fontId="18" fillId="79" borderId="0" xfId="0" applyFont="1" applyFill="1"/>
    <xf numFmtId="165" fontId="30" fillId="0" borderId="0" xfId="553" applyNumberFormat="1" applyFont="1" applyFill="1" applyBorder="1" applyAlignment="1">
      <alignment horizontal="right" vertical="center"/>
    </xf>
    <xf numFmtId="171" fontId="30" fillId="0" borderId="0" xfId="436" applyNumberFormat="1" applyFont="1" applyFill="1" applyBorder="1"/>
    <xf numFmtId="43" fontId="30" fillId="0" borderId="0" xfId="424" applyFont="1" applyFill="1" applyBorder="1"/>
    <xf numFmtId="37" fontId="22" fillId="0" borderId="0" xfId="0" applyNumberFormat="1" applyFont="1"/>
    <xf numFmtId="179" fontId="30" fillId="0" borderId="0" xfId="436" applyNumberFormat="1" applyFont="1" applyFill="1" applyBorder="1"/>
    <xf numFmtId="44" fontId="30" fillId="0" borderId="0" xfId="436" applyFont="1" applyFill="1" applyBorder="1"/>
    <xf numFmtId="174" fontId="30" fillId="0" borderId="0" xfId="553" applyNumberFormat="1" applyFont="1" applyFill="1" applyBorder="1"/>
    <xf numFmtId="9" fontId="18" fillId="0" borderId="0" xfId="553" applyFont="1" applyFill="1" applyBorder="1"/>
    <xf numFmtId="10" fontId="0" fillId="61" borderId="7" xfId="0" applyNumberFormat="1" applyFill="1" applyBorder="1"/>
    <xf numFmtId="0" fontId="18" fillId="0" borderId="11" xfId="0" applyFont="1" applyBorder="1" applyAlignment="1">
      <alignment horizontal="right"/>
    </xf>
    <xf numFmtId="164" fontId="18" fillId="0" borderId="0" xfId="424" applyNumberFormat="1" applyFont="1" applyFill="1" applyBorder="1" applyAlignment="1">
      <alignment horizontal="right"/>
    </xf>
    <xf numFmtId="0" fontId="310" fillId="0" borderId="0" xfId="2916" applyFill="1" applyBorder="1"/>
    <xf numFmtId="0" fontId="325" fillId="0" borderId="0" xfId="0" applyFont="1"/>
    <xf numFmtId="0" fontId="326" fillId="0" borderId="0" xfId="0" applyFont="1"/>
    <xf numFmtId="164" fontId="326" fillId="0" borderId="0" xfId="424" applyNumberFormat="1" applyFont="1" applyFill="1" applyBorder="1"/>
    <xf numFmtId="10" fontId="0" fillId="0" borderId="0" xfId="0" applyNumberFormat="1"/>
    <xf numFmtId="0" fontId="18" fillId="73" borderId="0" xfId="0" applyFont="1" applyFill="1" applyProtection="1">
      <protection locked="0"/>
    </xf>
    <xf numFmtId="0" fontId="18" fillId="0" borderId="24" xfId="0" applyFont="1" applyBorder="1" applyAlignment="1">
      <alignment horizontal="left"/>
    </xf>
    <xf numFmtId="3" fontId="18" fillId="73" borderId="0" xfId="0" applyNumberFormat="1" applyFont="1" applyFill="1"/>
    <xf numFmtId="164" fontId="22" fillId="0" borderId="0" xfId="424" applyNumberFormat="1" applyFont="1" applyFill="1"/>
    <xf numFmtId="10" fontId="0" fillId="79" borderId="0" xfId="553" applyNumberFormat="1" applyFont="1" applyFill="1"/>
    <xf numFmtId="171" fontId="30" fillId="80" borderId="0" xfId="0" applyNumberFormat="1" applyFont="1" applyFill="1"/>
    <xf numFmtId="10" fontId="18" fillId="80" borderId="0" xfId="0" applyNumberFormat="1" applyFont="1" applyFill="1" applyAlignment="1">
      <alignment vertical="center"/>
    </xf>
    <xf numFmtId="38" fontId="120" fillId="80" borderId="7" xfId="0" applyNumberFormat="1" applyFont="1" applyFill="1" applyBorder="1"/>
    <xf numFmtId="171" fontId="0" fillId="80" borderId="0" xfId="436" applyNumberFormat="1" applyFont="1" applyFill="1"/>
    <xf numFmtId="49" fontId="18" fillId="0" borderId="0" xfId="0" applyNumberFormat="1" applyFont="1" applyAlignment="1">
      <alignment horizontal="center"/>
    </xf>
    <xf numFmtId="49" fontId="18" fillId="0" borderId="0" xfId="0" applyNumberFormat="1" applyFont="1"/>
    <xf numFmtId="0" fontId="0" fillId="0" borderId="0" xfId="0"/>
    <xf numFmtId="49" fontId="323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72" fillId="61" borderId="0" xfId="0" applyFont="1" applyFill="1" applyAlignment="1">
      <alignment horizontal="center"/>
    </xf>
    <xf numFmtId="0" fontId="20" fillId="0" borderId="0" xfId="533" applyFont="1" applyAlignment="1">
      <alignment horizontal="center"/>
    </xf>
  </cellXfs>
  <cellStyles count="2961">
    <cellStyle name="_x0013_" xfId="1"/>
    <cellStyle name="-" xfId="654"/>
    <cellStyle name="_x0013_ 2" xfId="1640"/>
    <cellStyle name="#2 [0.00000]" xfId="2950"/>
    <cellStyle name="%" xfId="655"/>
    <cellStyle name="%0" xfId="656"/>
    <cellStyle name="%0 2" xfId="657"/>
    <cellStyle name="%1" xfId="658"/>
    <cellStyle name="%1 2" xfId="659"/>
    <cellStyle name="%2" xfId="660"/>
    <cellStyle name="%2 2" xfId="661"/>
    <cellStyle name="?? [0]_??" xfId="2"/>
    <cellStyle name="??_?.????" xfId="3"/>
    <cellStyle name="__ [0]___" xfId="4"/>
    <cellStyle name="__ [0]___ 2" xfId="1641"/>
    <cellStyle name="__ [0]____" xfId="5"/>
    <cellStyle name="__ [0]____ 2" xfId="1642"/>
    <cellStyle name="__ [0]______" xfId="6"/>
    <cellStyle name="__ [0]______ 2" xfId="1643"/>
    <cellStyle name="__ [0]__________" xfId="7"/>
    <cellStyle name="__ [0]__________ 2" xfId="1644"/>
    <cellStyle name="__ [0]___________ClearSky_AEP_Min_04.04.02_Bank" xfId="8"/>
    <cellStyle name="__ [0]___________ClearSky_AEP_Min_04.04.02_Bank 2" xfId="1645"/>
    <cellStyle name="__ [0]___________Clearsky_internal_050301" xfId="9"/>
    <cellStyle name="__ [0]___________Clearsky_internal_050301 2" xfId="1646"/>
    <cellStyle name="__ [0]___________Clearsky_internal_050301_1" xfId="10"/>
    <cellStyle name="__ [0]___________Clearsky_internal_050301_1 2" xfId="1647"/>
    <cellStyle name="__ [0]___________Clearsky_internal_070201" xfId="11"/>
    <cellStyle name="__ [0]___________Clearsky_internal_070201 2" xfId="1648"/>
    <cellStyle name="__ [0]___________Clearsky_internal_070201.xls Chart 2" xfId="12"/>
    <cellStyle name="__ [0]___________Clearsky_internal_070201.xls Chart 2 2" xfId="1649"/>
    <cellStyle name="__ [0]___________Clearsky_internal_070201_1" xfId="13"/>
    <cellStyle name="__ [0]___________Clearsky_internal_070201_1 2" xfId="1650"/>
    <cellStyle name="__ [0]___________Clearsky_internal_070201_Clearsky_internal_070201" xfId="14"/>
    <cellStyle name="__ [0]___________Clearsky_internal_070201_Clearsky_internal_070201 2" xfId="1651"/>
    <cellStyle name="__ [0]___________Clearsky_internal_070201_Clearsky_Outside_070201.xls Chart 2" xfId="15"/>
    <cellStyle name="__ [0]___________Clearsky_internal_070201_Clearsky_Outside_070201.xls Chart 2 2" xfId="1652"/>
    <cellStyle name="__ [0]___________Clearsky_Outside_070201.xls Chart 2" xfId="16"/>
    <cellStyle name="__ [0]___________Clearsky_Outside_070201.xls Chart 2 2" xfId="1653"/>
    <cellStyle name="__ [0]_______ClearSky_AEP_Min_04.04.02_Bank" xfId="17"/>
    <cellStyle name="__ [0]_______ClearSky_AEP_Min_04.04.02_Bank 2" xfId="1654"/>
    <cellStyle name="__ [0]_______Clearsky_internal_050301" xfId="18"/>
    <cellStyle name="__ [0]_______Clearsky_internal_050301 2" xfId="1655"/>
    <cellStyle name="__ [0]_______Clearsky_internal_070201" xfId="19"/>
    <cellStyle name="__ [0]_______Clearsky_internal_070201 2" xfId="1656"/>
    <cellStyle name="__ [0]_______Clearsky_internal_070201.xls Chart 2" xfId="20"/>
    <cellStyle name="__ [0]_______Clearsky_internal_070201.xls Chart 2 2" xfId="1657"/>
    <cellStyle name="__ [0]_______Clearsky_Outside_070201.xls Chart 2" xfId="21"/>
    <cellStyle name="__ [0]_______Clearsky_Outside_070201.xls Chart 2 2" xfId="1658"/>
    <cellStyle name="__ [0]_____ClearSky_AEP_Min_04.04.02_Bank" xfId="22"/>
    <cellStyle name="__ [0]_____ClearSky_AEP_Min_04.04.02_Bank 2" xfId="1659"/>
    <cellStyle name="__ [0]_____Clearsky_internal_050301" xfId="23"/>
    <cellStyle name="__ [0]_____Clearsky_internal_050301 2" xfId="1660"/>
    <cellStyle name="__ [0]_____Clearsky_internal_050301_1" xfId="24"/>
    <cellStyle name="__ [0]_____Clearsky_internal_050301_1 2" xfId="1661"/>
    <cellStyle name="__ [0]_____Clearsky_internal_070201" xfId="25"/>
    <cellStyle name="__ [0]_____Clearsky_internal_070201 2" xfId="1662"/>
    <cellStyle name="__ [0]_____Clearsky_internal_070201.xls Chart 2" xfId="26"/>
    <cellStyle name="__ [0]_____Clearsky_internal_070201.xls Chart 2 2" xfId="1663"/>
    <cellStyle name="__ [0]_____Clearsky_internal_070201_1" xfId="27"/>
    <cellStyle name="__ [0]_____Clearsky_internal_070201_1 2" xfId="1664"/>
    <cellStyle name="__ [0]_____Clearsky_internal_070201_Clearsky_internal_070201" xfId="28"/>
    <cellStyle name="__ [0]_____Clearsky_internal_070201_Clearsky_internal_070201 2" xfId="1665"/>
    <cellStyle name="__ [0]_____Clearsky_internal_070201_Clearsky_Outside_070201.xls Chart 2" xfId="29"/>
    <cellStyle name="__ [0]_____Clearsky_internal_070201_Clearsky_Outside_070201.xls Chart 2 2" xfId="1666"/>
    <cellStyle name="__ [0]_____Clearsky_Outside_070201.xls Chart 2" xfId="30"/>
    <cellStyle name="__ [0]_____Clearsky_Outside_070201.xls Chart 2 2" xfId="1667"/>
    <cellStyle name="__ [0]____ClearSky_AEP_Min_04.04.02_Bank" xfId="31"/>
    <cellStyle name="__ [0]____ClearSky_AEP_Min_04.04.02_Bank 2" xfId="1668"/>
    <cellStyle name="__ [0]____Clearsky_internal_050301" xfId="32"/>
    <cellStyle name="__ [0]____Clearsky_internal_050301 2" xfId="1669"/>
    <cellStyle name="__ [0]____Clearsky_internal_070201" xfId="33"/>
    <cellStyle name="__ [0]____Clearsky_internal_070201 2" xfId="1670"/>
    <cellStyle name="__ [0]____Clearsky_internal_070201.xls Chart 2" xfId="34"/>
    <cellStyle name="__ [0]____Clearsky_internal_070201.xls Chart 2 2" xfId="1671"/>
    <cellStyle name="__ [0]____Clearsky_Outside_070201.xls Chart 2" xfId="35"/>
    <cellStyle name="__ [0]____Clearsky_Outside_070201.xls Chart 2 2" xfId="1672"/>
    <cellStyle name="__ [0]_94___" xfId="36"/>
    <cellStyle name="__ [0]_94___ 2" xfId="1673"/>
    <cellStyle name="__ [0]_94____ClearSky_AEP_Min_04.04.02_Bank" xfId="37"/>
    <cellStyle name="__ [0]_94____ClearSky_AEP_Min_04.04.02_Bank 2" xfId="1674"/>
    <cellStyle name="__ [0]_94____Clearsky_internal_050301" xfId="38"/>
    <cellStyle name="__ [0]_94____Clearsky_internal_050301 2" xfId="1675"/>
    <cellStyle name="__ [0]_94____Clearsky_internal_070201" xfId="39"/>
    <cellStyle name="__ [0]_94____Clearsky_internal_070201 2" xfId="1676"/>
    <cellStyle name="__ [0]_94____Clearsky_internal_070201.xls Chart 2" xfId="40"/>
    <cellStyle name="__ [0]_94____Clearsky_internal_070201.xls Chart 2 2" xfId="1677"/>
    <cellStyle name="__ [0]_94____Clearsky_internal_070201_Clearsky_Outside_070201.xls Chart 2" xfId="41"/>
    <cellStyle name="__ [0]_94____Clearsky_internal_070201_Clearsky_Outside_070201.xls Chart 2 2" xfId="1678"/>
    <cellStyle name="__ [0]_94____Clearsky_Outside_070201.xls Chart 2" xfId="42"/>
    <cellStyle name="__ [0]_94____Clearsky_Outside_070201.xls Chart 2 2" xfId="1679"/>
    <cellStyle name="__ [0]_dimon" xfId="43"/>
    <cellStyle name="__ [0]_dimon 2" xfId="1680"/>
    <cellStyle name="__ [0]_form" xfId="44"/>
    <cellStyle name="__ [0]_form 2" xfId="1681"/>
    <cellStyle name="__ [0]_form_ClearSky_AEP_Min_04.04.02_Bank" xfId="45"/>
    <cellStyle name="__ [0]_form_ClearSky_AEP_Min_04.04.02_Bank 2" xfId="1682"/>
    <cellStyle name="__ [0]_form_Clearsky_internal_050301" xfId="46"/>
    <cellStyle name="__ [0]_form_Clearsky_internal_050301 2" xfId="1683"/>
    <cellStyle name="__ [0]_form_Clearsky_internal_050301_1" xfId="47"/>
    <cellStyle name="__ [0]_form_Clearsky_internal_050301_1 2" xfId="1684"/>
    <cellStyle name="__ [0]_form_Clearsky_internal_070201" xfId="48"/>
    <cellStyle name="__ [0]_form_Clearsky_internal_070201 2" xfId="1685"/>
    <cellStyle name="__ [0]_form_Clearsky_internal_070201.xls Chart 2" xfId="49"/>
    <cellStyle name="__ [0]_form_Clearsky_internal_070201.xls Chart 2 2" xfId="1686"/>
    <cellStyle name="__ [0]_form_Clearsky_internal_070201_Clearsky_Outside_070201.xls Chart 2" xfId="50"/>
    <cellStyle name="__ [0]_form_Clearsky_internal_070201_Clearsky_Outside_070201.xls Chart 2 2" xfId="1687"/>
    <cellStyle name="__ [0]_form_Clearsky_Outside_070201.xls Chart 2" xfId="51"/>
    <cellStyle name="__ [0]_form_Clearsky_Outside_070201.xls Chart 2 2" xfId="1688"/>
    <cellStyle name="__ [0]_laroux" xfId="52"/>
    <cellStyle name="__ [0]_laroux 2" xfId="1689"/>
    <cellStyle name="__ [0]_laroux_1" xfId="53"/>
    <cellStyle name="__ [0]_laroux_1_ClearSky_AEP_Min_04.04.02_Bank" xfId="54"/>
    <cellStyle name="__ [0]_laroux_1_Clearsky_internal_050301" xfId="55"/>
    <cellStyle name="__ [0]_laroux_1_Clearsky_internal_050301_1" xfId="56"/>
    <cellStyle name="__ [0]_laroux_1_Clearsky_internal_070201" xfId="57"/>
    <cellStyle name="__ [0]_laroux_1_Clearsky_internal_070201.xls Chart 2" xfId="58"/>
    <cellStyle name="__ [0]_laroux_1_Clearsky_internal_070201_1" xfId="59"/>
    <cellStyle name="__ [0]_laroux_1_Clearsky_Outside_070201.xls Chart 2" xfId="60"/>
    <cellStyle name="__ [0]_laroux_2" xfId="61"/>
    <cellStyle name="__ [0]_laroux_2 2" xfId="1690"/>
    <cellStyle name="__ [0]_laroux_ClearSky_AEP_Min_04.04.02_Bank" xfId="62"/>
    <cellStyle name="__ [0]_laroux_ClearSky_AEP_Min_04.04.02_Bank 2" xfId="1691"/>
    <cellStyle name="__ [0]_laroux_Clearsky_internal_050301" xfId="63"/>
    <cellStyle name="__ [0]_laroux_Clearsky_internal_050301 2" xfId="1692"/>
    <cellStyle name="__ [0]_laroux_Clearsky_internal_070201" xfId="64"/>
    <cellStyle name="__ [0]_laroux_Clearsky_internal_070201 2" xfId="1693"/>
    <cellStyle name="__ [0]_laroux_Clearsky_internal_070201.xls Chart 2" xfId="65"/>
    <cellStyle name="__ [0]_laroux_Clearsky_internal_070201.xls Chart 2 2" xfId="1694"/>
    <cellStyle name="__ [0]_laroux_Clearsky_internal_070201_1" xfId="66"/>
    <cellStyle name="__ [0]_laroux_Clearsky_internal_070201_1 2" xfId="1695"/>
    <cellStyle name="__ [0]_laroux_Clearsky_internal_070201_Clearsky_Outside_070201.xls Chart 2" xfId="67"/>
    <cellStyle name="__ [0]_laroux_Clearsky_internal_070201_Clearsky_Outside_070201.xls Chart 2 2" xfId="1696"/>
    <cellStyle name="__ [0]_laroux_Clearsky_Outside_070201.xls Chart 2" xfId="68"/>
    <cellStyle name="__ [0]_laroux_Clearsky_Outside_070201.xls Chart 2 2" xfId="1697"/>
    <cellStyle name="__ [0]_PERSONAL" xfId="69"/>
    <cellStyle name="__ [0]_PERSONAL 2" xfId="1698"/>
    <cellStyle name="__ [0]_PERSONAL_1" xfId="70"/>
    <cellStyle name="__ [0]_PERSONAL_1 2" xfId="1699"/>
    <cellStyle name="__ [0]_PERSONAL_1_ClearSky_AEP_Min_04.04.02_Bank" xfId="71"/>
    <cellStyle name="__ [0]_PERSONAL_1_ClearSky_AEP_Min_04.04.02_Bank 2" xfId="1700"/>
    <cellStyle name="__ [0]_PERSONAL_1_Clearsky_internal_050301" xfId="72"/>
    <cellStyle name="__ [0]_PERSONAL_1_Clearsky_internal_050301 2" xfId="1701"/>
    <cellStyle name="__ [0]_PERSONAL_1_Clearsky_internal_070201" xfId="73"/>
    <cellStyle name="__ [0]_PERSONAL_1_Clearsky_internal_070201 2" xfId="1702"/>
    <cellStyle name="__ [0]_PERSONAL_1_Clearsky_internal_070201.xls Chart 2" xfId="74"/>
    <cellStyle name="__ [0]_PERSONAL_1_Clearsky_internal_070201.xls Chart 2 2" xfId="1703"/>
    <cellStyle name="__ [0]_PERSONAL_1_Clearsky_internal_070201_1" xfId="75"/>
    <cellStyle name="__ [0]_PERSONAL_1_Clearsky_internal_070201_1 2" xfId="1704"/>
    <cellStyle name="__ [0]_PERSONAL_1_Clearsky_internal_070201_Clearsky_internal_070201" xfId="76"/>
    <cellStyle name="__ [0]_PERSONAL_1_Clearsky_internal_070201_Clearsky_internal_070201 2" xfId="1705"/>
    <cellStyle name="__ [0]_PERSONAL_1_Clearsky_internal_070201_Clearsky_Outside_070201.xls Chart 2" xfId="77"/>
    <cellStyle name="__ [0]_PERSONAL_1_Clearsky_internal_070201_Clearsky_Outside_070201.xls Chart 2 2" xfId="1706"/>
    <cellStyle name="__ [0]_PERSONAL_1_Clearsky_Outside_070201.xls Chart 2" xfId="78"/>
    <cellStyle name="__ [0]_PERSONAL_1_Clearsky_Outside_070201.xls Chart 2 2" xfId="1707"/>
    <cellStyle name="__ [0]_PERSONAL_2" xfId="79"/>
    <cellStyle name="__ [0]_PERSONAL_2 2" xfId="1708"/>
    <cellStyle name="__ [0]_PERSONAL_2_ClearSky_AEP_Min_04.04.02_Bank" xfId="80"/>
    <cellStyle name="__ [0]_PERSONAL_2_ClearSky_AEP_Min_04.04.02_Bank 2" xfId="1709"/>
    <cellStyle name="__ [0]_PERSONAL_2_Clearsky_internal_050301" xfId="81"/>
    <cellStyle name="__ [0]_PERSONAL_2_Clearsky_internal_050301 2" xfId="1710"/>
    <cellStyle name="__ [0]_PERSONAL_2_Clearsky_internal_070201" xfId="82"/>
    <cellStyle name="__ [0]_PERSONAL_2_Clearsky_internal_070201 2" xfId="1711"/>
    <cellStyle name="__ [0]_PERSONAL_2_Clearsky_internal_070201.xls Chart 2" xfId="83"/>
    <cellStyle name="__ [0]_PERSONAL_2_Clearsky_internal_070201.xls Chart 2 2" xfId="1712"/>
    <cellStyle name="__ [0]_PERSONAL_2_Clearsky_internal_070201_1" xfId="84"/>
    <cellStyle name="__ [0]_PERSONAL_2_Clearsky_internal_070201_1 2" xfId="1713"/>
    <cellStyle name="__ [0]_PERSONAL_2_Clearsky_internal_070201_Clearsky_internal_070201" xfId="85"/>
    <cellStyle name="__ [0]_PERSONAL_2_Clearsky_internal_070201_Clearsky_internal_070201 2" xfId="1714"/>
    <cellStyle name="__ [0]_PERSONAL_2_Clearsky_internal_070201_Clearsky_Outside_070201.xls Chart 2" xfId="86"/>
    <cellStyle name="__ [0]_PERSONAL_2_Clearsky_internal_070201_Clearsky_Outside_070201.xls Chart 2 2" xfId="1715"/>
    <cellStyle name="__ [0]_PERSONAL_2_Clearsky_Outside_070201.xls Chart 2" xfId="87"/>
    <cellStyle name="__ [0]_PERSONAL_2_Clearsky_Outside_070201.xls Chart 2 2" xfId="1716"/>
    <cellStyle name="__ [0]_PERSONAL_3" xfId="88"/>
    <cellStyle name="__ [0]_PERSONAL_3 2" xfId="1717"/>
    <cellStyle name="__ [0]_PERSONAL_ClearSky_AEP_Min_04.04.02_Bank" xfId="89"/>
    <cellStyle name="__ [0]_PERSONAL_ClearSky_AEP_Min_04.04.02_Bank 2" xfId="1718"/>
    <cellStyle name="__ [0]_PERSONAL_Clearsky_internal_050301" xfId="90"/>
    <cellStyle name="__ [0]_PERSONAL_Clearsky_internal_050301 2" xfId="1719"/>
    <cellStyle name="__ [0]_PERSONAL_Clearsky_internal_070201" xfId="91"/>
    <cellStyle name="__ [0]_PERSONAL_Clearsky_internal_070201 2" xfId="1720"/>
    <cellStyle name="__ [0]_PERSONAL_Clearsky_internal_070201.xls Chart 2" xfId="92"/>
    <cellStyle name="__ [0]_PERSONAL_Clearsky_internal_070201.xls Chart 2 2" xfId="1721"/>
    <cellStyle name="__ [0]_PERSONAL_Clearsky_internal_070201_1" xfId="93"/>
    <cellStyle name="__ [0]_PERSONAL_Clearsky_internal_070201_1 2" xfId="1722"/>
    <cellStyle name="__ [0]_PERSONAL_Clearsky_internal_070201_Clearsky_Outside_070201.xls Chart 2" xfId="94"/>
    <cellStyle name="__ [0]_PERSONAL_Clearsky_internal_070201_Clearsky_Outside_070201.xls Chart 2 2" xfId="1723"/>
    <cellStyle name="__ [0]_PERSONAL_Clearsky_Outside_070201.xls Chart 2" xfId="95"/>
    <cellStyle name="__ [0]_PERSONAL_Clearsky_Outside_070201.xls Chart 2 2" xfId="1724"/>
    <cellStyle name="__ [0]_Sheet2" xfId="96"/>
    <cellStyle name="__ [0]_Sheet2 2" xfId="1725"/>
    <cellStyle name="____.____" xfId="97"/>
    <cellStyle name="_____" xfId="98"/>
    <cellStyle name="______" xfId="99"/>
    <cellStyle name="_______" xfId="100"/>
    <cellStyle name="________" xfId="101"/>
    <cellStyle name="________ 2" xfId="1726"/>
    <cellStyle name="__________" xfId="102"/>
    <cellStyle name="____________" xfId="103"/>
    <cellStyle name="_____________ClearSky_AEP_Min_04.04.02_Bank" xfId="104"/>
    <cellStyle name="_____________ClearSky_AEP_Min_04.04.02_Bank 2" xfId="1727"/>
    <cellStyle name="_____________ClearSky_AEP_Min_04.04.02_Bank_1" xfId="105"/>
    <cellStyle name="_____________ClearSky_AEP_Min_04.04.02_Bank_1 2" xfId="1728"/>
    <cellStyle name="_____________Clearsky_internal_050301" xfId="106"/>
    <cellStyle name="_____________Clearsky_internal_050301_1" xfId="107"/>
    <cellStyle name="_____________Clearsky_internal_050301_1 2" xfId="1729"/>
    <cellStyle name="_____________Clearsky_internal_050301_2" xfId="108"/>
    <cellStyle name="_____________Clearsky_internal_050301_2 2" xfId="1730"/>
    <cellStyle name="_____________Clearsky_internal_070201" xfId="109"/>
    <cellStyle name="_____________Clearsky_internal_070201.xls Chart 2" xfId="110"/>
    <cellStyle name="_____________Clearsky_internal_070201.xls Chart 2_1" xfId="111"/>
    <cellStyle name="_____________Clearsky_internal_070201.xls Chart 2_1 2" xfId="1731"/>
    <cellStyle name="_____________Clearsky_internal_070201_1" xfId="112"/>
    <cellStyle name="_____________Clearsky_internal_070201_1 2" xfId="1732"/>
    <cellStyle name="_____________Clearsky_internal_070201_2" xfId="113"/>
    <cellStyle name="_____________Clearsky_internal_070201_2 2" xfId="1733"/>
    <cellStyle name="_____________Clearsky_Outside_070201.xls Chart 2" xfId="114"/>
    <cellStyle name="_____________Clearsky_Outside_070201.xls Chart 2 2" xfId="1734"/>
    <cellStyle name="_____________Clearsky_Outside_070201.xls Chart 2_1" xfId="115"/>
    <cellStyle name="_____________Clearsky_Outside_070201.xls Chart 2_1 2" xfId="1735"/>
    <cellStyle name="___________ClearSky_AEP_Min_04.04.02_Bank" xfId="116"/>
    <cellStyle name="___________Clearsky_internal_050301" xfId="117"/>
    <cellStyle name="___________Clearsky_internal_050301_1" xfId="118"/>
    <cellStyle name="___________Clearsky_internal_070201" xfId="119"/>
    <cellStyle name="___________Clearsky_internal_070201.xls Chart 2" xfId="120"/>
    <cellStyle name="___________Clearsky_internal_070201_1" xfId="121"/>
    <cellStyle name="___________Clearsky_Outside_070201.xls Chart 2" xfId="122"/>
    <cellStyle name="_________1" xfId="123"/>
    <cellStyle name="_________2" xfId="124"/>
    <cellStyle name="_________ClearSky_AEP_Min_04.04.02_Bank" xfId="125"/>
    <cellStyle name="_________ClearSky_AEP_Min_04.04.02_Bank_1" xfId="126"/>
    <cellStyle name="_________ClearSky_AEP_Min_04.04.02_Bank_1 2" xfId="1736"/>
    <cellStyle name="_________Clearsky_internal_050301" xfId="127"/>
    <cellStyle name="_________Clearsky_internal_050301_1" xfId="128"/>
    <cellStyle name="_________Clearsky_internal_050301_1 2" xfId="1737"/>
    <cellStyle name="_________Clearsky_internal_050301_2" xfId="129"/>
    <cellStyle name="_________Clearsky_internal_050301_2 2" xfId="1738"/>
    <cellStyle name="_________Clearsky_internal_070201" xfId="130"/>
    <cellStyle name="_________Clearsky_internal_070201 2" xfId="1739"/>
    <cellStyle name="_________Clearsky_internal_070201.xls Chart 2" xfId="131"/>
    <cellStyle name="_________Clearsky_internal_070201.xls Chart 2_1" xfId="132"/>
    <cellStyle name="_________Clearsky_internal_070201.xls Chart 2_1 2" xfId="1740"/>
    <cellStyle name="_________Clearsky_internal_070201_1" xfId="133"/>
    <cellStyle name="_________Clearsky_internal_070201_1 2" xfId="1741"/>
    <cellStyle name="_________Clearsky_internal_070201_2" xfId="134"/>
    <cellStyle name="_________Clearsky_Outside_070201.xls Chart 2" xfId="135"/>
    <cellStyle name="_________Clearsky_Outside_070201.xls Chart 2_1" xfId="136"/>
    <cellStyle name="_________Clearsky_Outside_070201.xls Chart 2_1 2" xfId="1742"/>
    <cellStyle name="________1" xfId="137"/>
    <cellStyle name="_______ClearSky_AEP_Min_04.04.02_Bank" xfId="138"/>
    <cellStyle name="_______ClearSky_AEP_Min_04.04.02_Bank 2" xfId="1743"/>
    <cellStyle name="_______ClearSky_AEP_Min_04.04.02_Bank_1" xfId="139"/>
    <cellStyle name="_______ClearSky_AEP_Min_04.04.02_Bank_1 2" xfId="1744"/>
    <cellStyle name="_______Clearsky_internal_050301" xfId="140"/>
    <cellStyle name="_______Clearsky_internal_050301 2" xfId="1745"/>
    <cellStyle name="_______Clearsky_internal_050301_1" xfId="141"/>
    <cellStyle name="_______Clearsky_internal_050301_1 2" xfId="1746"/>
    <cellStyle name="_______Clearsky_internal_070201" xfId="142"/>
    <cellStyle name="_______Clearsky_internal_070201 2" xfId="1747"/>
    <cellStyle name="_______Clearsky_internal_070201.xls Chart 2" xfId="143"/>
    <cellStyle name="_______Clearsky_internal_070201.xls Chart 2 2" xfId="1748"/>
    <cellStyle name="_______Clearsky_internal_070201.xls Chart 2_1" xfId="144"/>
    <cellStyle name="_______Clearsky_internal_070201.xls Chart 2_1 2" xfId="1749"/>
    <cellStyle name="_______Clearsky_internal_070201_1" xfId="145"/>
    <cellStyle name="_______Clearsky_internal_070201_1 2" xfId="1750"/>
    <cellStyle name="_______Clearsky_Outside_070201.xls Chart 2" xfId="146"/>
    <cellStyle name="_______Clearsky_Outside_070201.xls Chart 2 2" xfId="1751"/>
    <cellStyle name="_______Clearsky_Outside_070201.xls Chart 2_1" xfId="147"/>
    <cellStyle name="_______Clearsky_Outside_070201.xls Chart 2_1 2" xfId="1752"/>
    <cellStyle name="______1" xfId="148"/>
    <cellStyle name="______ClearSky_AEP_Min_04.04.02_Bank" xfId="149"/>
    <cellStyle name="______ClearSky_AEP_Min_04.04.02_Bank 2" xfId="1753"/>
    <cellStyle name="______ClearSky_AEP_Min_04.04.02_Bank_1" xfId="150"/>
    <cellStyle name="______ClearSky_AEP_Min_04.04.02_Bank_2" xfId="151"/>
    <cellStyle name="______ClearSky_AEP_Min_04.04.02_Bank_2 2" xfId="1754"/>
    <cellStyle name="______Clearsky_internal_050301" xfId="152"/>
    <cellStyle name="______Clearsky_internal_050301 2" xfId="1755"/>
    <cellStyle name="______Clearsky_internal_050301_1" xfId="153"/>
    <cellStyle name="______Clearsky_internal_050301_2" xfId="154"/>
    <cellStyle name="______Clearsky_internal_050301_2 2" xfId="1756"/>
    <cellStyle name="______Clearsky_internal_050301_3" xfId="155"/>
    <cellStyle name="______Clearsky_internal_070201" xfId="156"/>
    <cellStyle name="______Clearsky_internal_070201.xls Chart 2" xfId="157"/>
    <cellStyle name="______Clearsky_internal_070201.xls Chart 2_1" xfId="158"/>
    <cellStyle name="______Clearsky_internal_070201.xls Chart 2_1 2" xfId="1757"/>
    <cellStyle name="______Clearsky_internal_070201.xls Chart 2_2" xfId="159"/>
    <cellStyle name="______Clearsky_internal_070201_1" xfId="160"/>
    <cellStyle name="______Clearsky_internal_070201_1 2" xfId="1758"/>
    <cellStyle name="______Clearsky_internal_070201_2" xfId="161"/>
    <cellStyle name="______Clearsky_internal_070201_2_Clearsky_Outside_070201.xls Chart 2" xfId="162"/>
    <cellStyle name="______Clearsky_internal_070201_2_Clearsky_Outside_070201.xls Chart 2 2" xfId="1759"/>
    <cellStyle name="______Clearsky_internal_070201_3" xfId="163"/>
    <cellStyle name="______Clearsky_internal_070201_3 2" xfId="1760"/>
    <cellStyle name="______Clearsky_internal_070201_Clearsky_internal_070201" xfId="164"/>
    <cellStyle name="______Clearsky_internal_070201_Clearsky_Outside_070201.xls Chart 2" xfId="165"/>
    <cellStyle name="______Clearsky_Outside_070201.xls Chart 2" xfId="166"/>
    <cellStyle name="______Clearsky_Outside_070201.xls Chart 2_1" xfId="167"/>
    <cellStyle name="______Clearsky_Outside_070201.xls Chart 2_1 2" xfId="1761"/>
    <cellStyle name="______Clearsky_Outside_070201.xls Chart 2_2" xfId="168"/>
    <cellStyle name="______Clearsky_Outside_070201.xls Chart 2_2 2" xfId="1762"/>
    <cellStyle name="___94___" xfId="169"/>
    <cellStyle name="___94___ 2" xfId="1763"/>
    <cellStyle name="___94____ClearSky_AEP_Min_04.04.02_Bank" xfId="170"/>
    <cellStyle name="___94____ClearSky_AEP_Min_04.04.02_Bank 2" xfId="1764"/>
    <cellStyle name="___94____Clearsky_internal_050301" xfId="171"/>
    <cellStyle name="___94____Clearsky_internal_050301 2" xfId="1765"/>
    <cellStyle name="___94____Clearsky_internal_050301_1" xfId="172"/>
    <cellStyle name="___94____Clearsky_internal_050301_1 2" xfId="1766"/>
    <cellStyle name="___94____Clearsky_internal_070201" xfId="173"/>
    <cellStyle name="___94____Clearsky_internal_070201 2" xfId="1767"/>
    <cellStyle name="___94____Clearsky_internal_070201.xls Chart 2" xfId="174"/>
    <cellStyle name="___94____Clearsky_internal_070201.xls Chart 2 2" xfId="1768"/>
    <cellStyle name="___94____Clearsky_internal_070201_1" xfId="175"/>
    <cellStyle name="___94____Clearsky_internal_070201_1 2" xfId="1769"/>
    <cellStyle name="___94____Clearsky_internal_070201_Clearsky_Outside_070201.xls Chart 2" xfId="176"/>
    <cellStyle name="___94____Clearsky_internal_070201_Clearsky_Outside_070201.xls Chart 2 2" xfId="1770"/>
    <cellStyle name="___94____Clearsky_Outside_070201.xls Chart 2" xfId="177"/>
    <cellStyle name="___94____Clearsky_Outside_070201.xls Chart 2 2" xfId="1771"/>
    <cellStyle name="___97___" xfId="178"/>
    <cellStyle name="___970120" xfId="179"/>
    <cellStyle name="___BEBU_GI" xfId="180"/>
    <cellStyle name="___dimon" xfId="181"/>
    <cellStyle name="___dimon 2" xfId="1772"/>
    <cellStyle name="___dimon_ClearSky_AEP_Min_04.04.02_Bank" xfId="182"/>
    <cellStyle name="___dimon_ClearSky_AEP_Min_04.04.02_Bank 2" xfId="1773"/>
    <cellStyle name="___dimon_Clearsky_internal_050301" xfId="183"/>
    <cellStyle name="___dimon_Clearsky_internal_050301 2" xfId="1774"/>
    <cellStyle name="___dimon_Clearsky_internal_070201" xfId="184"/>
    <cellStyle name="___dimon_Clearsky_internal_070201 2" xfId="1775"/>
    <cellStyle name="___dimon_Clearsky_internal_070201.xls Chart 2" xfId="185"/>
    <cellStyle name="___dimon_Clearsky_internal_070201.xls Chart 2 2" xfId="1776"/>
    <cellStyle name="___dimon_Clearsky_internal_070201_1" xfId="186"/>
    <cellStyle name="___dimon_Clearsky_internal_070201_1 2" xfId="1777"/>
    <cellStyle name="___dimon_Clearsky_Outside_070201.xls Chart 2" xfId="187"/>
    <cellStyle name="___dimon_Clearsky_Outside_070201.xls Chart 2 2" xfId="1778"/>
    <cellStyle name="___form" xfId="188"/>
    <cellStyle name="___form_ClearSky_AEP_Min_04.04.02_Bank" xfId="189"/>
    <cellStyle name="___form_ClearSky_AEP_Min_04.04.02_Bank 2" xfId="1779"/>
    <cellStyle name="___form_ClearSky_AEP_Min_04.04.02_Bank_1" xfId="190"/>
    <cellStyle name="___form_ClearSky_AEP_Min_04.04.02_Bank_1 2" xfId="1780"/>
    <cellStyle name="___form_Clearsky_internal_050301" xfId="191"/>
    <cellStyle name="___form_Clearsky_internal_050301 2" xfId="1781"/>
    <cellStyle name="___form_Clearsky_internal_050301_1" xfId="192"/>
    <cellStyle name="___form_Clearsky_internal_050301_1 2" xfId="1782"/>
    <cellStyle name="___form_Clearsky_internal_070201" xfId="193"/>
    <cellStyle name="___form_Clearsky_internal_070201 2" xfId="1783"/>
    <cellStyle name="___form_Clearsky_internal_070201.xls Chart 2" xfId="194"/>
    <cellStyle name="___form_Clearsky_internal_070201.xls Chart 2 2" xfId="1784"/>
    <cellStyle name="___form_Clearsky_internal_070201.xls Chart 2_1" xfId="195"/>
    <cellStyle name="___form_Clearsky_internal_070201_1" xfId="196"/>
    <cellStyle name="___form_Clearsky_internal_070201_2" xfId="197"/>
    <cellStyle name="___form_Clearsky_internal_070201_2 2" xfId="1785"/>
    <cellStyle name="___form_Clearsky_Outside_070201.xls Chart 2" xfId="198"/>
    <cellStyle name="___form_Clearsky_Outside_070201.xls Chart 2 2" xfId="1786"/>
    <cellStyle name="___form_Clearsky_Outside_070201.xls Chart 2_1" xfId="199"/>
    <cellStyle name="___form_Clearsky_Outside_070201.xls Chart 2_1 2" xfId="1787"/>
    <cellStyle name="___ga_PB" xfId="200"/>
    <cellStyle name="___laroux" xfId="201"/>
    <cellStyle name="___laroux 2" xfId="1788"/>
    <cellStyle name="___laroux_1" xfId="202"/>
    <cellStyle name="___laroux_1_ClearSky_AEP_Min_04.04.02_Bank" xfId="203"/>
    <cellStyle name="___laroux_1_ClearSky_AEP_Min_04.04.02_Bank_1" xfId="204"/>
    <cellStyle name="___laroux_1_Clearsky_internal_050301" xfId="205"/>
    <cellStyle name="___laroux_1_Clearsky_internal_050301_1" xfId="206"/>
    <cellStyle name="___laroux_1_Clearsky_internal_050301_2" xfId="207"/>
    <cellStyle name="___laroux_1_Clearsky_internal_070201" xfId="208"/>
    <cellStyle name="___laroux_1_Clearsky_internal_070201.xls Chart 2" xfId="209"/>
    <cellStyle name="___laroux_1_Clearsky_internal_070201.xls Chart 2_1" xfId="210"/>
    <cellStyle name="___laroux_1_Clearsky_internal_070201_1" xfId="211"/>
    <cellStyle name="___laroux_1_Clearsky_internal_070201_2" xfId="212"/>
    <cellStyle name="___laroux_1_Clearsky_Outside_070201.xls Chart 2" xfId="213"/>
    <cellStyle name="___laroux_1_Clearsky_Outside_070201.xls Chart 2_1" xfId="214"/>
    <cellStyle name="___laroux_2" xfId="215"/>
    <cellStyle name="___laroux_2_ClearSky_AEP_Min_04.04.02_Bank" xfId="216"/>
    <cellStyle name="___laroux_2_ClearSky_AEP_Min_04.04.02_Bank 2" xfId="1789"/>
    <cellStyle name="___laroux_2_Clearsky_internal_050301" xfId="217"/>
    <cellStyle name="___laroux_2_Clearsky_internal_050301_1" xfId="218"/>
    <cellStyle name="___laroux_2_Clearsky_internal_050301_1 2" xfId="1790"/>
    <cellStyle name="___laroux_2_Clearsky_internal_070201" xfId="219"/>
    <cellStyle name="___laroux_2_Clearsky_internal_070201.xls Chart 2" xfId="220"/>
    <cellStyle name="___laroux_2_Clearsky_internal_070201.xls Chart 2_1" xfId="221"/>
    <cellStyle name="___laroux_2_Clearsky_internal_070201.xls Chart 2_1 2" xfId="1791"/>
    <cellStyle name="___laroux_2_Clearsky_internal_070201_1" xfId="222"/>
    <cellStyle name="___laroux_2_Clearsky_internal_070201_1 2" xfId="1792"/>
    <cellStyle name="___laroux_2_Clearsky_Outside_070201.xls Chart 2" xfId="223"/>
    <cellStyle name="___laroux_2_Clearsky_Outside_070201.xls Chart 2_1" xfId="224"/>
    <cellStyle name="___laroux_2_Clearsky_Outside_070201.xls Chart 2_1 2" xfId="1793"/>
    <cellStyle name="___laroux_3" xfId="225"/>
    <cellStyle name="___laroux_4" xfId="226"/>
    <cellStyle name="___laroux_5" xfId="227"/>
    <cellStyle name="___laroux_6" xfId="228"/>
    <cellStyle name="___laroux_7" xfId="229"/>
    <cellStyle name="___laroux_8" xfId="230"/>
    <cellStyle name="___laroux_8 2" xfId="1794"/>
    <cellStyle name="___laroux_ClearSky_AEP_Min_04.04.02_Bank" xfId="231"/>
    <cellStyle name="___laroux_ClearSky_AEP_Min_04.04.02_Bank_1" xfId="232"/>
    <cellStyle name="___laroux_ClearSky_AEP_Min_04.04.02_Bank_1 2" xfId="1795"/>
    <cellStyle name="___laroux_Clearsky_internal_050301" xfId="233"/>
    <cellStyle name="___laroux_Clearsky_internal_050301 2" xfId="1571"/>
    <cellStyle name="___laroux_Clearsky_internal_050301_1" xfId="234"/>
    <cellStyle name="___laroux_Clearsky_internal_050301_1 2" xfId="1797"/>
    <cellStyle name="___laroux_Clearsky_internal_070201" xfId="235"/>
    <cellStyle name="___laroux_Clearsky_internal_070201 2" xfId="1798"/>
    <cellStyle name="___laroux_Clearsky_internal_070201.xls Chart 2" xfId="236"/>
    <cellStyle name="___laroux_Clearsky_internal_070201.xls Chart 2 2" xfId="1799"/>
    <cellStyle name="___laroux_Clearsky_internal_070201.xls Chart 2_1" xfId="237"/>
    <cellStyle name="___laroux_Clearsky_internal_070201.xls Chart 2_1 2" xfId="1800"/>
    <cellStyle name="___laroux_Clearsky_internal_070201.xls Chart 2_2" xfId="238"/>
    <cellStyle name="___laroux_Clearsky_internal_070201_1" xfId="239"/>
    <cellStyle name="___laroux_Clearsky_internal_070201_2" xfId="240"/>
    <cellStyle name="___laroux_Clearsky_internal_070201_2 2" xfId="1801"/>
    <cellStyle name="___laroux_Clearsky_Outside_070201.xls Chart 2" xfId="241"/>
    <cellStyle name="___laroux_Clearsky_Outside_070201.xls Chart 2 2" xfId="1802"/>
    <cellStyle name="___laroux_Clearsky_Outside_070201.xls Chart 2_1" xfId="242"/>
    <cellStyle name="___PERSONAL" xfId="243"/>
    <cellStyle name="___PERSONAL 2" xfId="652"/>
    <cellStyle name="___PERSONAL_1" xfId="244"/>
    <cellStyle name="___PERSONAL_1_ClearSky_AEP_Min_04.04.02_Bank" xfId="245"/>
    <cellStyle name="___PERSONAL_1_ClearSky_AEP_Min_04.04.02_Bank 2" xfId="1804"/>
    <cellStyle name="___PERSONAL_1_ClearSky_AEP_Min_04.04.02_Bank_1" xfId="246"/>
    <cellStyle name="___PERSONAL_1_ClearSky_AEP_Min_04.04.02_Bank_1 2" xfId="1796"/>
    <cellStyle name="___PERSONAL_1_Clearsky_internal_050301" xfId="247"/>
    <cellStyle name="___PERSONAL_1_Clearsky_internal_050301 2" xfId="1908"/>
    <cellStyle name="___PERSONAL_1_Clearsky_internal_050301_1" xfId="248"/>
    <cellStyle name="___PERSONAL_1_Clearsky_internal_050301_1 2" xfId="1805"/>
    <cellStyle name="___PERSONAL_1_Clearsky_internal_070201" xfId="249"/>
    <cellStyle name="___PERSONAL_1_Clearsky_internal_070201 2" xfId="1806"/>
    <cellStyle name="___PERSONAL_1_Clearsky_internal_070201.xls Chart 2" xfId="250"/>
    <cellStyle name="___PERSONAL_1_Clearsky_internal_070201.xls Chart 2_1" xfId="251"/>
    <cellStyle name="___PERSONAL_1_Clearsky_internal_070201.xls Chart 2_1 2" xfId="1807"/>
    <cellStyle name="___PERSONAL_1_Clearsky_internal_070201_1" xfId="252"/>
    <cellStyle name="___PERSONAL_1_Clearsky_internal_070201_1 2" xfId="1808"/>
    <cellStyle name="___PERSONAL_1_Clearsky_internal_070201_1_Clearsky_Outside_070201.xls Chart 2" xfId="253"/>
    <cellStyle name="___PERSONAL_1_Clearsky_internal_070201_1_Clearsky_Outside_070201.xls Chart 2 2" xfId="1031"/>
    <cellStyle name="___PERSONAL_1_Clearsky_internal_070201_2" xfId="254"/>
    <cellStyle name="___PERSONAL_1_Clearsky_internal_070201_Clearsky_Outside_070201.xls Chart 2" xfId="255"/>
    <cellStyle name="___PERSONAL_1_Clearsky_Outside_070201.xls Chart 2" xfId="256"/>
    <cellStyle name="___PERSONAL_1_Clearsky_Outside_070201.xls Chart 2 2" xfId="1803"/>
    <cellStyle name="___PERSONAL_1_Clearsky_Outside_070201.xls Chart 2_1" xfId="257"/>
    <cellStyle name="___PERSONAL_2" xfId="258"/>
    <cellStyle name="___PERSONAL_2 2" xfId="1810"/>
    <cellStyle name="___PERSONAL_2_ClearSky_AEP_Min_04.04.02_Bank" xfId="259"/>
    <cellStyle name="___PERSONAL_2_ClearSky_AEP_Min_04.04.02_Bank 2" xfId="1812"/>
    <cellStyle name="___PERSONAL_2_ClearSky_AEP_Min_04.04.02_Bank_1" xfId="260"/>
    <cellStyle name="___PERSONAL_2_ClearSky_AEP_Min_04.04.02_Bank_1 2" xfId="1813"/>
    <cellStyle name="___PERSONAL_2_Clearsky_internal_050301" xfId="261"/>
    <cellStyle name="___PERSONAL_2_Clearsky_internal_050301 2" xfId="1814"/>
    <cellStyle name="___PERSONAL_2_Clearsky_internal_050301_1" xfId="262"/>
    <cellStyle name="___PERSONAL_2_Clearsky_internal_050301_1 2" xfId="1815"/>
    <cellStyle name="___PERSONAL_2_Clearsky_internal_070201" xfId="263"/>
    <cellStyle name="___PERSONAL_2_Clearsky_internal_070201 2" xfId="1816"/>
    <cellStyle name="___PERSONAL_2_Clearsky_internal_070201.xls Chart 2" xfId="264"/>
    <cellStyle name="___PERSONAL_2_Clearsky_internal_070201.xls Chart 2 2" xfId="1817"/>
    <cellStyle name="___PERSONAL_2_Clearsky_internal_070201.xls Chart 2_1" xfId="265"/>
    <cellStyle name="___PERSONAL_2_Clearsky_internal_070201.xls Chart 2_1 2" xfId="1818"/>
    <cellStyle name="___PERSONAL_2_Clearsky_internal_070201_1" xfId="266"/>
    <cellStyle name="___PERSONAL_2_Clearsky_internal_070201_1 2" xfId="1809"/>
    <cellStyle name="___PERSONAL_2_Clearsky_internal_070201_1_Clearsky_internal_070201" xfId="267"/>
    <cellStyle name="___PERSONAL_2_Clearsky_internal_070201_1_Clearsky_internal_070201 2" xfId="1905"/>
    <cellStyle name="___PERSONAL_2_Clearsky_internal_070201_1_Clearsky_Outside_070201.xls Chart 2" xfId="268"/>
    <cellStyle name="___PERSONAL_2_Clearsky_internal_070201_1_Clearsky_Outside_070201.xls Chart 2 2" xfId="1819"/>
    <cellStyle name="___PERSONAL_2_Clearsky_internal_070201_2" xfId="269"/>
    <cellStyle name="___PERSONAL_2_Clearsky_internal_070201_2 2" xfId="1821"/>
    <cellStyle name="___PERSONAL_2_Clearsky_internal_070201_Clearsky_Outside_070201.xls Chart 2" xfId="270"/>
    <cellStyle name="___PERSONAL_2_Clearsky_internal_070201_Clearsky_Outside_070201.xls Chart 2 2" xfId="1822"/>
    <cellStyle name="___PERSONAL_2_Clearsky_Outside_070201.xls Chart 2" xfId="271"/>
    <cellStyle name="___PERSONAL_2_Clearsky_Outside_070201.xls Chart 2 2" xfId="1823"/>
    <cellStyle name="___PERSONAL_2_Clearsky_Outside_070201.xls Chart 2_1" xfId="272"/>
    <cellStyle name="___PERSONAL_2_Clearsky_Outside_070201.xls Chart 2_1 2" xfId="1824"/>
    <cellStyle name="___PERSONAL_2_Clearsky_Outside_070201.xls Chart 2_2" xfId="273"/>
    <cellStyle name="___PERSONAL_2_Clearsky_Outside_070201.xls Chart 2_2 2" xfId="1825"/>
    <cellStyle name="___PERSONAL_3" xfId="274"/>
    <cellStyle name="___PERSONAL_3_ClearSky_AEP_Min_04.04.02_Bank" xfId="275"/>
    <cellStyle name="___PERSONAL_3_ClearSky_AEP_Min_04.04.02_Bank 2" xfId="1826"/>
    <cellStyle name="___PERSONAL_3_Clearsky_internal_050301" xfId="276"/>
    <cellStyle name="___PERSONAL_3_Clearsky_internal_070201" xfId="277"/>
    <cellStyle name="___PERSONAL_3_Clearsky_internal_070201.xls Chart 2" xfId="278"/>
    <cellStyle name="___PERSONAL_3_Clearsky_internal_070201.xls Chart 2 2" xfId="1828"/>
    <cellStyle name="___PERSONAL_3_Clearsky_internal_070201_1" xfId="279"/>
    <cellStyle name="___PERSONAL_3_Clearsky_internal_070201_1 2" xfId="1829"/>
    <cellStyle name="___PERSONAL_3_Clearsky_internal_070201_Clearsky_Outside_070201.xls Chart 2" xfId="280"/>
    <cellStyle name="___PERSONAL_3_Clearsky_internal_070201_Clearsky_Outside_070201.xls Chart 2 2" xfId="1830"/>
    <cellStyle name="___PERSONAL_3_Clearsky_Outside_070201.xls Chart 2" xfId="281"/>
    <cellStyle name="___PERSONAL_4" xfId="282"/>
    <cellStyle name="___PERSONAL_ClearSky_AEP_Min_04.04.02_Bank" xfId="283"/>
    <cellStyle name="___PERSONAL_ClearSky_AEP_Min_04.04.02_Bank_1" xfId="284"/>
    <cellStyle name="___PERSONAL_ClearSky_AEP_Min_04.04.02_Bank_1 2" xfId="1832"/>
    <cellStyle name="___PERSONAL_Clearsky_internal_050301" xfId="285"/>
    <cellStyle name="___PERSONAL_Clearsky_internal_050301_1" xfId="286"/>
    <cellStyle name="___PERSONAL_Clearsky_internal_050301_1 2" xfId="1909"/>
    <cellStyle name="___PERSONAL_Clearsky_internal_070201" xfId="287"/>
    <cellStyle name="___PERSONAL_Clearsky_internal_070201.xls Chart 2" xfId="288"/>
    <cellStyle name="___PERSONAL_Clearsky_internal_070201.xls Chart 2_1" xfId="289"/>
    <cellStyle name="___PERSONAL_Clearsky_internal_070201.xls Chart 2_1 2" xfId="1833"/>
    <cellStyle name="___PERSONAL_Clearsky_internal_070201_1" xfId="290"/>
    <cellStyle name="___PERSONAL_Clearsky_internal_070201_1 2" xfId="1834"/>
    <cellStyle name="___PERSONAL_Clearsky_internal_070201_1_Clearsky_internal_070201" xfId="291"/>
    <cellStyle name="___PERSONAL_Clearsky_internal_070201_1_Clearsky_Outside_070201.xls Chart 2" xfId="292"/>
    <cellStyle name="___PERSONAL_Clearsky_internal_070201_2" xfId="293"/>
    <cellStyle name="___PERSONAL_Clearsky_internal_070201_2 2" xfId="1836"/>
    <cellStyle name="___PERSONAL_Clearsky_internal_070201_Clearsky_Outside_070201.xls Chart 2" xfId="294"/>
    <cellStyle name="___PERSONAL_Clearsky_internal_070201_Clearsky_Outside_070201.xls Chart 2 2" xfId="1831"/>
    <cellStyle name="___PERSONAL_Clearsky_Outside_070201.xls Chart 2" xfId="295"/>
    <cellStyle name="___PERSONAL_Clearsky_Outside_070201.xls Chart 2_1" xfId="296"/>
    <cellStyle name="___PERSONAL_Clearsky_Outside_070201.xls Chart 2_1 2" xfId="1838"/>
    <cellStyle name="___Query11" xfId="297"/>
    <cellStyle name="___Query11 2" xfId="1839"/>
    <cellStyle name="___Sheet1" xfId="298"/>
    <cellStyle name="___Sheet1 (2)" xfId="299"/>
    <cellStyle name="___Sheet2" xfId="300"/>
    <cellStyle name="___Sheet2_ClearSky_AEP_Min_04.04.02_Bank" xfId="301"/>
    <cellStyle name="___Sheet2_ClearSky_AEP_Min_04.04.02_Bank 2" xfId="1840"/>
    <cellStyle name="___Sheet2_Clearsky_internal_050301" xfId="302"/>
    <cellStyle name="___Sheet2_Clearsky_internal_070201" xfId="303"/>
    <cellStyle name="___Sheet2_Clearsky_internal_070201 2" xfId="1835"/>
    <cellStyle name="___Sheet2_Clearsky_internal_070201.xls Chart 2" xfId="304"/>
    <cellStyle name="___Sheet2_Clearsky_internal_070201.xls Chart 2 2" xfId="1906"/>
    <cellStyle name="___Sheet2_Clearsky_internal_070201_1" xfId="305"/>
    <cellStyle name="___Sheet2_Clearsky_internal_070201_Clearsky_Outside_070201.xls Chart 2" xfId="306"/>
    <cellStyle name="___Sheet2_Clearsky_Outside_070201.xls Chart 2" xfId="307"/>
    <cellStyle name="_020122 TIM MITCHELL" xfId="308"/>
    <cellStyle name="_020122 TIM MITCHELL 2" xfId="1842"/>
    <cellStyle name="_020205 AEP Mitchell v2.3" xfId="309"/>
    <cellStyle name="_20030202 Mulberry_Financial Model v2" xfId="310"/>
    <cellStyle name="_20030203 Mulberry_Financial Model v1" xfId="311"/>
    <cellStyle name="_20030204 Mulberry_Financial Model v3" xfId="312"/>
    <cellStyle name="_20030710 Mulberry_CSFB" xfId="313"/>
    <cellStyle name="_20051108 Plaquemine Comps" xfId="314"/>
    <cellStyle name="_20051108 Plaquemine Comps 2" xfId="1844"/>
    <cellStyle name="_Annual Fin" xfId="315"/>
    <cellStyle name="_Annual Fin 2" xfId="1845"/>
    <cellStyle name="_APS Financial Model v1.0" xfId="316"/>
    <cellStyle name="_Colorado Wind - Case A v1.11 levelized debt - interest in 2003 Final for Board Package" xfId="317"/>
    <cellStyle name="_Colorado Wind - Case A v1.11 levelized debt - interest in 2003 Final for Board Package 2" xfId="1846"/>
    <cellStyle name="_Colorado Wind v3.11" xfId="318"/>
    <cellStyle name="_Colorado Wind v3.11 2" xfId="1847"/>
    <cellStyle name="_Comma" xfId="319"/>
    <cellStyle name="_Comma 2" xfId="663"/>
    <cellStyle name="_Comma 3" xfId="664"/>
    <cellStyle name="_Comma 4" xfId="665"/>
    <cellStyle name="_Comma 5" xfId="662"/>
    <cellStyle name="_Compare All-NEW" xfId="666"/>
    <cellStyle name="_Currency" xfId="320"/>
    <cellStyle name="_Currency 2" xfId="668"/>
    <cellStyle name="_Currency 3" xfId="669"/>
    <cellStyle name="_Currency 4" xfId="670"/>
    <cellStyle name="_Currency 5" xfId="667"/>
    <cellStyle name="_Currency_Novartis-Roche 0805 v2" xfId="671"/>
    <cellStyle name="_Currency_Novartis-Roche 0805 v2 2" xfId="672"/>
    <cellStyle name="_Currency_Novartis-Roche 0805 v2 3" xfId="673"/>
    <cellStyle name="_Currency_Novartis-Roche 0805 v2 4" xfId="674"/>
    <cellStyle name="_Currency_wacc bb final" xfId="675"/>
    <cellStyle name="_Currency_wacc bb final 2" xfId="676"/>
    <cellStyle name="_Currency_wacc bb final 3" xfId="677"/>
    <cellStyle name="_Currency_wacc bb final 4" xfId="678"/>
    <cellStyle name="_CurrencySpace" xfId="321"/>
    <cellStyle name="_CurrencySpace 2" xfId="680"/>
    <cellStyle name="_CurrencySpace 3" xfId="681"/>
    <cellStyle name="_CurrencySpace 4" xfId="682"/>
    <cellStyle name="_CurrencySpace 5" xfId="679"/>
    <cellStyle name="_Debt Template" xfId="322"/>
    <cellStyle name="_DEPR" xfId="323"/>
    <cellStyle name="_DEPR 2" xfId="1848"/>
    <cellStyle name="_Eastex 21" xfId="324"/>
    <cellStyle name="_Eastex 21 2" xfId="1849"/>
    <cellStyle name="_enXco NSP IV (mdf) v3.7" xfId="325"/>
    <cellStyle name="_Fitch VECTOR" xfId="683"/>
    <cellStyle name="_Fitch_VECTOR_Model" xfId="684"/>
    <cellStyle name="_Fitch_VECTOR_Model_Portfolio Definition" xfId="685"/>
    <cellStyle name="_GS Model2_11" xfId="326"/>
    <cellStyle name="_GS Model2_11 2" xfId="1850"/>
    <cellStyle name="_Holidays" xfId="327"/>
    <cellStyle name="_Holidays 2" xfId="1851"/>
    <cellStyle name="_Holidays_Formula Legend" xfId="328"/>
    <cellStyle name="_Holidays_Formula Legend 2" xfId="1852"/>
    <cellStyle name="_Inman  - Static ABS Deal" xfId="686"/>
    <cellStyle name="_Inputs" xfId="329"/>
    <cellStyle name="_Inputs 2" xfId="1853"/>
    <cellStyle name="_Monthly Fin" xfId="330"/>
    <cellStyle name="_Monthly Fin 2" xfId="1854"/>
    <cellStyle name="_Multiple" xfId="331"/>
    <cellStyle name="_Multiple 2" xfId="688"/>
    <cellStyle name="_Multiple 3" xfId="689"/>
    <cellStyle name="_Multiple 4" xfId="690"/>
    <cellStyle name="_Multiple 5" xfId="687"/>
    <cellStyle name="_Multiple_GS Model2_11" xfId="332"/>
    <cellStyle name="_Multiple_GS Model2_11 2" xfId="1855"/>
    <cellStyle name="_Multiple_Novartis-Roche 0805 v2" xfId="691"/>
    <cellStyle name="_Multiple_Novartis-Roche 0805 v2 2" xfId="692"/>
    <cellStyle name="_Multiple_Novartis-Roche 0805 v2 3" xfId="693"/>
    <cellStyle name="_Multiple_Novartis-Roche 0805 v2 4" xfId="694"/>
    <cellStyle name="_Multiple_wacc bb final" xfId="695"/>
    <cellStyle name="_Multiple_wacc bb final 2" xfId="696"/>
    <cellStyle name="_Multiple_wacc bb final 3" xfId="697"/>
    <cellStyle name="_Multiple_wacc bb final 4" xfId="698"/>
    <cellStyle name="_MultipleSpace" xfId="333"/>
    <cellStyle name="_MultipleSpace 2" xfId="700"/>
    <cellStyle name="_MultipleSpace 3" xfId="701"/>
    <cellStyle name="_MultipleSpace 4" xfId="702"/>
    <cellStyle name="_MultipleSpace 5" xfId="699"/>
    <cellStyle name="_MultipleSpace_GS Model2_11" xfId="334"/>
    <cellStyle name="_MultipleSpace_GS Model2_11 2" xfId="1856"/>
    <cellStyle name="_MultipleSpace_Novartis-Roche 0805 v2" xfId="703"/>
    <cellStyle name="_MultipleSpace_Novartis-Roche 0805 v2 2" xfId="704"/>
    <cellStyle name="_MultipleSpace_Novartis-Roche 0805 v2 3" xfId="705"/>
    <cellStyle name="_MultipleSpace_Novartis-Roche 0805 v2 4" xfId="706"/>
    <cellStyle name="_MultipleSpace_wacc bb final" xfId="707"/>
    <cellStyle name="_MultipleSpace_wacc bb final 2" xfId="708"/>
    <cellStyle name="_MultipleSpace_wacc bb final 3" xfId="709"/>
    <cellStyle name="_MultipleSpace_wacc bb final 4" xfId="710"/>
    <cellStyle name="_Orange-Mulberry Res. 061201a" xfId="335"/>
    <cellStyle name="_Orange-Mulberry Res. 061201a 2" xfId="1857"/>
    <cellStyle name="_OR-xx  3rd Party Transmission Revenue 3-25-08" xfId="336"/>
    <cellStyle name="_Percent" xfId="337"/>
    <cellStyle name="_Percent 2" xfId="712"/>
    <cellStyle name="_Percent 3" xfId="713"/>
    <cellStyle name="_Percent 4" xfId="714"/>
    <cellStyle name="_Percent 5" xfId="711"/>
    <cellStyle name="_Percent_GS Model2_11" xfId="338"/>
    <cellStyle name="_Percent_GS Model2_11 2" xfId="1858"/>
    <cellStyle name="_PercentSpace" xfId="339"/>
    <cellStyle name="_PercentSpace 2" xfId="716"/>
    <cellStyle name="_PercentSpace 3" xfId="717"/>
    <cellStyle name="_PercentSpace 4" xfId="718"/>
    <cellStyle name="_PercentSpace 5" xfId="715"/>
    <cellStyle name="_PercentSpace_GS Model2_11" xfId="340"/>
    <cellStyle name="_PercentSpace_GS Model2_11 2" xfId="1860"/>
    <cellStyle name="_PercentSpace_Novartis-Roche 0805 v2" xfId="719"/>
    <cellStyle name="_PercentSpace_Novartis-Roche 0805 v2 2" xfId="720"/>
    <cellStyle name="_PercentSpace_Novartis-Roche 0805 v2 3" xfId="721"/>
    <cellStyle name="_PercentSpace_Novartis-Roche 0805 v2 4" xfId="722"/>
    <cellStyle name="_PercentSpace_wacc bb final" xfId="723"/>
    <cellStyle name="_PercentSpace_wacc bb final 2" xfId="724"/>
    <cellStyle name="_PercentSpace_wacc bb final 3" xfId="725"/>
    <cellStyle name="_PercentSpace_wacc bb final 4" xfId="726"/>
    <cellStyle name="_Portfolio Definition" xfId="727"/>
    <cellStyle name="_prestemp" xfId="341"/>
    <cellStyle name="_prestemp 2" xfId="1861"/>
    <cellStyle name="_Price Curves" xfId="342"/>
    <cellStyle name="_Price Curves 2" xfId="1862"/>
    <cellStyle name="_PSEG asset valuation 1.1" xfId="343"/>
    <cellStyle name="_PSEG asset valuation 1.1 2" xfId="1863"/>
    <cellStyle name="_PSEG Swap v3.1" xfId="344"/>
    <cellStyle name="_PSEG Swap v3.5 PSEG Assets" xfId="345"/>
    <cellStyle name="_Quarterly Fin" xfId="346"/>
    <cellStyle name="_Quarterly Fin 2" xfId="1864"/>
    <cellStyle name="_SA Financial Model v1.0" xfId="347"/>
    <cellStyle name="_Sheet5" xfId="348"/>
    <cellStyle name="_Synthetic ABS NOV 4" xfId="728"/>
    <cellStyle name="_TableHead" xfId="729"/>
    <cellStyle name="_Thermo 2003 - tcp dscr 6_05a" xfId="349"/>
    <cellStyle name="_Thermo 2003 - tcp dscr 6_05a 2" xfId="1866"/>
    <cellStyle name="_TRENT6_09_BANK" xfId="350"/>
    <cellStyle name="_TRENT6_09_BANK 2" xfId="1867"/>
    <cellStyle name="_Worksheet Template with Print Macro1" xfId="351"/>
    <cellStyle name="_Worksheet Template with Print Macro1 2" xfId="1868"/>
    <cellStyle name="~Capacity (0)" xfId="352"/>
    <cellStyle name="~Capacity (1)" xfId="353"/>
    <cellStyle name="~Escalation" xfId="354"/>
    <cellStyle name="~Gas (0)" xfId="355"/>
    <cellStyle name="~Gas Price" xfId="356"/>
    <cellStyle name="~Power (0)" xfId="357"/>
    <cellStyle name="~Power Price" xfId="358"/>
    <cellStyle name="’Ê‰Ý_GE 3 MINIMUM" xfId="730"/>
    <cellStyle name="_x0010_“+ˆÉ•?pý¤" xfId="731"/>
    <cellStyle name="_x0010_“+ˆÉ•?pý¤ 2" xfId="732"/>
    <cellStyle name="_x0010_“+ˆÉ•?pý¤ 3" xfId="733"/>
    <cellStyle name="_x0010_“+ˆÉ•?pý¤ 4" xfId="734"/>
    <cellStyle name="_x0010_“+ˆÉ•?pý¤ 5" xfId="735"/>
    <cellStyle name="£ BP" xfId="736"/>
    <cellStyle name="£ BP 2" xfId="737"/>
    <cellStyle name="¥ JY" xfId="738"/>
    <cellStyle name="¥ JY 2" xfId="739"/>
    <cellStyle name="=C:\WINNT35\SYSTEM32\COMMAND.COM" xfId="359"/>
    <cellStyle name="=C:\WINNT35\SYSTEM32\COMMAND.COM 2" xfId="740"/>
    <cellStyle name="=C:\WINNT35\SYSTEM32\COMMAND.COM 3" xfId="1870"/>
    <cellStyle name="=C:\WINNT40\SYSTEM32\COMMAND.COM" xfId="360"/>
    <cellStyle name="=C:\WINNT40\SYSTEM32\COMMAND.COM 2" xfId="1871"/>
    <cellStyle name="•W€_GE 3 MINIMUM" xfId="741"/>
    <cellStyle name="•W_GE 3 MINIMUM" xfId="742"/>
    <cellStyle name="0" xfId="743"/>
    <cellStyle name="0%" xfId="744"/>
    <cellStyle name="0% 2" xfId="745"/>
    <cellStyle name="0% 3" xfId="746"/>
    <cellStyle name="0% 4" xfId="747"/>
    <cellStyle name="0.0" xfId="748"/>
    <cellStyle name="0.0%" xfId="749"/>
    <cellStyle name="0.00" xfId="750"/>
    <cellStyle name="0.00%" xfId="751"/>
    <cellStyle name="0.0x" xfId="752"/>
    <cellStyle name="0_Bullet model 122" xfId="753"/>
    <cellStyle name="0_FSG Standard LBO model 050404" xfId="754"/>
    <cellStyle name="0_Grandvision_LBO2" xfId="755"/>
    <cellStyle name="0_Proforma Model 100701 v.5" xfId="756"/>
    <cellStyle name="01. Page Heading" xfId="2870"/>
    <cellStyle name="02. (in millions)" xfId="2871"/>
    <cellStyle name="03. Message Text" xfId="2872"/>
    <cellStyle name="04. Heading 1" xfId="2873"/>
    <cellStyle name="05. Heading 2" xfId="2874"/>
    <cellStyle name="06. Heading 3" xfId="2875"/>
    <cellStyle name="07. Laz Normal / Content Row" xfId="2876"/>
    <cellStyle name="08a. Last Row" xfId="2877"/>
    <cellStyle name="08b. Total" xfId="2878"/>
    <cellStyle name="09. Footnote" xfId="2879"/>
    <cellStyle name="10. Table Column" xfId="2858"/>
    <cellStyle name="1000-sep (2 dec)_Backbone Cost Talkline Internet, Festnetz and Combined" xfId="757"/>
    <cellStyle name="11. LtBlueFill" xfId="2859"/>
    <cellStyle name="12. LtGrayFill" xfId="2860"/>
    <cellStyle name="13. Marker" xfId="2861"/>
    <cellStyle name="13a. Marker Title" xfId="2862"/>
    <cellStyle name="14. Sub Marker" xfId="2863"/>
    <cellStyle name="14a. Sub-Marker Title" xfId="2864"/>
    <cellStyle name="15.  M I N I   S P A C E R" xfId="2865"/>
    <cellStyle name="16. Comments" xfId="2866"/>
    <cellStyle name="17. Draft Notes" xfId="2867"/>
    <cellStyle name="18. Integer" xfId="2868"/>
    <cellStyle name="19. Percent" xfId="2869"/>
    <cellStyle name="20% - Accent1" xfId="361" builtinId="30" customBuiltin="1"/>
    <cellStyle name="20% - Accent1 2" xfId="362"/>
    <cellStyle name="20% - Accent1 2 2" xfId="758"/>
    <cellStyle name="20% - Accent1 2 2 2" xfId="1921"/>
    <cellStyle name="20% - Accent1 2 3" xfId="1920"/>
    <cellStyle name="20% - Accent1 3" xfId="759"/>
    <cellStyle name="20% - Accent1 3 2" xfId="1922"/>
    <cellStyle name="20% - Accent1 4" xfId="1923"/>
    <cellStyle name="20% - Accent1 5" xfId="1924"/>
    <cellStyle name="20% - Accent1 6" xfId="1925"/>
    <cellStyle name="20% - Accent1 7" xfId="1926"/>
    <cellStyle name="20% - Accent1 8" xfId="1927"/>
    <cellStyle name="20% - Accent2" xfId="363" builtinId="34" customBuiltin="1"/>
    <cellStyle name="20% - Accent2 2" xfId="364"/>
    <cellStyle name="20% - Accent2 2 2" xfId="760"/>
    <cellStyle name="20% - Accent2 2 2 2" xfId="1928"/>
    <cellStyle name="20% - Accent2 3" xfId="761"/>
    <cellStyle name="20% - Accent2 4" xfId="1929"/>
    <cellStyle name="20% - Accent2 5" xfId="1930"/>
    <cellStyle name="20% - Accent2 6" xfId="1931"/>
    <cellStyle name="20% - Accent3" xfId="365" builtinId="38" customBuiltin="1"/>
    <cellStyle name="20% - Accent3 2" xfId="366"/>
    <cellStyle name="20% - Accent3 2 2" xfId="762"/>
    <cellStyle name="20% - Accent3 2 2 2" xfId="1933"/>
    <cellStyle name="20% - Accent3 2 3" xfId="1932"/>
    <cellStyle name="20% - Accent3 3" xfId="763"/>
    <cellStyle name="20% - Accent3 3 2" xfId="1934"/>
    <cellStyle name="20% - Accent3 4" xfId="1935"/>
    <cellStyle name="20% - Accent3 5" xfId="1936"/>
    <cellStyle name="20% - Accent3 6" xfId="1937"/>
    <cellStyle name="20% - Accent3 7" xfId="1938"/>
    <cellStyle name="20% - Accent3 8" xfId="1939"/>
    <cellStyle name="20% - Accent4" xfId="367" builtinId="42" customBuiltin="1"/>
    <cellStyle name="20% - Accent4 2" xfId="368"/>
    <cellStyle name="20% - Accent4 2 2" xfId="764"/>
    <cellStyle name="20% - Accent4 2 2 2" xfId="1941"/>
    <cellStyle name="20% - Accent4 2 3" xfId="1940"/>
    <cellStyle name="20% - Accent4 3" xfId="765"/>
    <cellStyle name="20% - Accent4 3 2" xfId="1942"/>
    <cellStyle name="20% - Accent4 4" xfId="1943"/>
    <cellStyle name="20% - Accent4 5" xfId="1944"/>
    <cellStyle name="20% - Accent4 6" xfId="1945"/>
    <cellStyle name="20% - Accent4 7" xfId="1946"/>
    <cellStyle name="20% - Accent4 8" xfId="1947"/>
    <cellStyle name="20% - Accent5" xfId="369" builtinId="46" customBuiltin="1"/>
    <cellStyle name="20% - Accent5 2" xfId="370"/>
    <cellStyle name="20% - Accent5 2 2" xfId="766"/>
    <cellStyle name="20% - Accent5 2 2 2" xfId="1948"/>
    <cellStyle name="20% - Accent5 3" xfId="767"/>
    <cellStyle name="20% - Accent5 4" xfId="1949"/>
    <cellStyle name="20% - Accent5 5" xfId="1950"/>
    <cellStyle name="20% - Accent5 6" xfId="1951"/>
    <cellStyle name="20% - Accent6" xfId="371" builtinId="50" customBuiltin="1"/>
    <cellStyle name="20% - Accent6 2" xfId="372"/>
    <cellStyle name="20% - Accent6 2 2" xfId="768"/>
    <cellStyle name="20% - Accent6 2 2 2" xfId="1952"/>
    <cellStyle name="20% - Accent6 3" xfId="769"/>
    <cellStyle name="20% - Accent6 4" xfId="1953"/>
    <cellStyle name="20% - Accent6 5" xfId="1954"/>
    <cellStyle name="20% - Accent6 6" xfId="1955"/>
    <cellStyle name="40% - Accent1" xfId="373" builtinId="31" customBuiltin="1"/>
    <cellStyle name="40% - Accent1 2" xfId="374"/>
    <cellStyle name="40% - Accent1 2 2" xfId="770"/>
    <cellStyle name="40% - Accent1 2 2 2" xfId="1957"/>
    <cellStyle name="40% - Accent1 2 3" xfId="1956"/>
    <cellStyle name="40% - Accent1 3" xfId="771"/>
    <cellStyle name="40% - Accent1 3 2" xfId="1958"/>
    <cellStyle name="40% - Accent1 4" xfId="1959"/>
    <cellStyle name="40% - Accent1 5" xfId="1960"/>
    <cellStyle name="40% - Accent1 6" xfId="1961"/>
    <cellStyle name="40% - Accent1 7" xfId="1962"/>
    <cellStyle name="40% - Accent1 8" xfId="1963"/>
    <cellStyle name="40% - Accent2" xfId="375" builtinId="35" customBuiltin="1"/>
    <cellStyle name="40% - Accent2 2" xfId="376"/>
    <cellStyle name="40% - Accent2 2 2" xfId="772"/>
    <cellStyle name="40% - Accent2 2 2 2" xfId="1964"/>
    <cellStyle name="40% - Accent2 3" xfId="773"/>
    <cellStyle name="40% - Accent2 4" xfId="1965"/>
    <cellStyle name="40% - Accent2 5" xfId="1966"/>
    <cellStyle name="40% - Accent2 6" xfId="1967"/>
    <cellStyle name="40% - Accent3" xfId="377" builtinId="39" customBuiltin="1"/>
    <cellStyle name="40% - Accent3 2" xfId="378"/>
    <cellStyle name="40% - Accent3 2 2" xfId="774"/>
    <cellStyle name="40% - Accent3 2 2 2" xfId="1969"/>
    <cellStyle name="40% - Accent3 2 3" xfId="1968"/>
    <cellStyle name="40% - Accent3 3" xfId="775"/>
    <cellStyle name="40% - Accent3 3 2" xfId="1970"/>
    <cellStyle name="40% - Accent3 4" xfId="1971"/>
    <cellStyle name="40% - Accent3 5" xfId="1972"/>
    <cellStyle name="40% - Accent3 6" xfId="1973"/>
    <cellStyle name="40% - Accent3 7" xfId="1974"/>
    <cellStyle name="40% - Accent3 8" xfId="1975"/>
    <cellStyle name="40% - Accent4" xfId="379" builtinId="43" customBuiltin="1"/>
    <cellStyle name="40% - Accent4 2" xfId="380"/>
    <cellStyle name="40% - Accent4 2 2" xfId="776"/>
    <cellStyle name="40% - Accent4 2 2 2" xfId="1977"/>
    <cellStyle name="40% - Accent4 2 3" xfId="1976"/>
    <cellStyle name="40% - Accent4 3" xfId="777"/>
    <cellStyle name="40% - Accent4 3 2" xfId="1978"/>
    <cellStyle name="40% - Accent4 4" xfId="1979"/>
    <cellStyle name="40% - Accent4 5" xfId="1980"/>
    <cellStyle name="40% - Accent4 6" xfId="1981"/>
    <cellStyle name="40% - Accent4 7" xfId="1982"/>
    <cellStyle name="40% - Accent4 8" xfId="1983"/>
    <cellStyle name="40% - Accent5" xfId="381" builtinId="47" customBuiltin="1"/>
    <cellStyle name="40% - Accent5 2" xfId="382"/>
    <cellStyle name="40% - Accent5 2 2" xfId="778"/>
    <cellStyle name="40% - Accent5 2 2 2" xfId="1984"/>
    <cellStyle name="40% - Accent5 3" xfId="779"/>
    <cellStyle name="40% - Accent5 4" xfId="1985"/>
    <cellStyle name="40% - Accent5 5" xfId="1986"/>
    <cellStyle name="40% - Accent5 6" xfId="1987"/>
    <cellStyle name="40% - Accent6" xfId="383" builtinId="51" customBuiltin="1"/>
    <cellStyle name="40% - Accent6 2" xfId="384"/>
    <cellStyle name="40% - Accent6 2 2" xfId="780"/>
    <cellStyle name="40% - Accent6 2 2 2" xfId="1989"/>
    <cellStyle name="40% - Accent6 2 3" xfId="1988"/>
    <cellStyle name="40% - Accent6 3" xfId="781"/>
    <cellStyle name="40% - Accent6 3 2" xfId="1990"/>
    <cellStyle name="40% - Accent6 4" xfId="1991"/>
    <cellStyle name="40% - Accent6 5" xfId="1992"/>
    <cellStyle name="40% - Accent6 6" xfId="1993"/>
    <cellStyle name="40% - Accent6 7" xfId="1994"/>
    <cellStyle name="40% - Accent6 8" xfId="1995"/>
    <cellStyle name="60% - Accent1" xfId="385" builtinId="32" customBuiltin="1"/>
    <cellStyle name="60% - Accent1 2" xfId="386"/>
    <cellStyle name="60% - Accent1 2 2" xfId="782"/>
    <cellStyle name="60% - Accent1 2 3" xfId="1996"/>
    <cellStyle name="60% - Accent1 3" xfId="783"/>
    <cellStyle name="60% - Accent1 3 2" xfId="1997"/>
    <cellStyle name="60% - Accent1 4" xfId="1998"/>
    <cellStyle name="60% - Accent1 5" xfId="1999"/>
    <cellStyle name="60% - Accent1 6" xfId="2000"/>
    <cellStyle name="60% - Accent1 7" xfId="2001"/>
    <cellStyle name="60% - Accent1 8" xfId="2002"/>
    <cellStyle name="60% - Accent2" xfId="387" builtinId="36" customBuiltin="1"/>
    <cellStyle name="60% - Accent2 2" xfId="388"/>
    <cellStyle name="60% - Accent2 2 2" xfId="784"/>
    <cellStyle name="60% - Accent2 3" xfId="785"/>
    <cellStyle name="60% - Accent2 4" xfId="2003"/>
    <cellStyle name="60% - Accent2 5" xfId="2004"/>
    <cellStyle name="60% - Accent2 6" xfId="2005"/>
    <cellStyle name="60% - Accent3" xfId="389" builtinId="40" customBuiltin="1"/>
    <cellStyle name="60% - Accent3 2" xfId="390"/>
    <cellStyle name="60% - Accent3 2 2" xfId="786"/>
    <cellStyle name="60% - Accent3 2 3" xfId="2006"/>
    <cellStyle name="60% - Accent3 3" xfId="787"/>
    <cellStyle name="60% - Accent3 3 2" xfId="2007"/>
    <cellStyle name="60% - Accent3 4" xfId="2008"/>
    <cellStyle name="60% - Accent3 5" xfId="2009"/>
    <cellStyle name="60% - Accent3 6" xfId="2010"/>
    <cellStyle name="60% - Accent3 7" xfId="2011"/>
    <cellStyle name="60% - Accent3 8" xfId="2012"/>
    <cellStyle name="60% - Accent4" xfId="391" builtinId="44" customBuiltin="1"/>
    <cellStyle name="60% - Accent4 2" xfId="392"/>
    <cellStyle name="60% - Accent4 2 2" xfId="788"/>
    <cellStyle name="60% - Accent4 2 3" xfId="2013"/>
    <cellStyle name="60% - Accent4 3" xfId="789"/>
    <cellStyle name="60% - Accent4 3 2" xfId="2014"/>
    <cellStyle name="60% - Accent4 4" xfId="2015"/>
    <cellStyle name="60% - Accent4 5" xfId="2016"/>
    <cellStyle name="60% - Accent4 6" xfId="2017"/>
    <cellStyle name="60% - Accent4 7" xfId="2018"/>
    <cellStyle name="60% - Accent4 8" xfId="2019"/>
    <cellStyle name="60% - Accent5" xfId="393" builtinId="48" customBuiltin="1"/>
    <cellStyle name="60% - Accent5 2" xfId="394"/>
    <cellStyle name="60% - Accent5 2 2" xfId="790"/>
    <cellStyle name="60% - Accent5 3" xfId="791"/>
    <cellStyle name="60% - Accent5 4" xfId="2020"/>
    <cellStyle name="60% - Accent5 5" xfId="2021"/>
    <cellStyle name="60% - Accent5 6" xfId="2022"/>
    <cellStyle name="60% - Accent6" xfId="395" builtinId="52" customBuiltin="1"/>
    <cellStyle name="60% - Accent6 2" xfId="396"/>
    <cellStyle name="60% - Accent6 2 2" xfId="792"/>
    <cellStyle name="60% - Accent6 2 3" xfId="2023"/>
    <cellStyle name="60% - Accent6 3" xfId="793"/>
    <cellStyle name="60% - Accent6 3 2" xfId="2024"/>
    <cellStyle name="60% - Accent6 4" xfId="2025"/>
    <cellStyle name="60% - Accent6 5" xfId="2026"/>
    <cellStyle name="60% - Accent6 6" xfId="2027"/>
    <cellStyle name="60% - Accent6 7" xfId="2028"/>
    <cellStyle name="60% - Accent6 8" xfId="2029"/>
    <cellStyle name="752131" xfId="794"/>
    <cellStyle name="A3 297 x 420 mm" xfId="397"/>
    <cellStyle name="Accent1" xfId="398" builtinId="29" customBuiltin="1"/>
    <cellStyle name="Accent1 2" xfId="399"/>
    <cellStyle name="Accent1 2 2" xfId="795"/>
    <cellStyle name="Accent1 2 3" xfId="2030"/>
    <cellStyle name="Accent1 3" xfId="796"/>
    <cellStyle name="Accent1 3 2" xfId="2031"/>
    <cellStyle name="Accent1 4" xfId="2032"/>
    <cellStyle name="Accent1 5" xfId="2033"/>
    <cellStyle name="Accent1 6" xfId="2034"/>
    <cellStyle name="Accent1 7" xfId="2035"/>
    <cellStyle name="Accent1 8" xfId="2036"/>
    <cellStyle name="Accent2" xfId="400" builtinId="33" customBuiltin="1"/>
    <cellStyle name="Accent2 2" xfId="401"/>
    <cellStyle name="Accent2 2 2" xfId="797"/>
    <cellStyle name="Accent2 3" xfId="798"/>
    <cellStyle name="Accent2 4" xfId="2037"/>
    <cellStyle name="Accent2 5" xfId="2038"/>
    <cellStyle name="Accent2 6" xfId="2039"/>
    <cellStyle name="Accent3" xfId="402" builtinId="37" customBuiltin="1"/>
    <cellStyle name="Accent3 2" xfId="403"/>
    <cellStyle name="Accent3 2 2" xfId="799"/>
    <cellStyle name="Accent3 3" xfId="800"/>
    <cellStyle name="Accent3 4" xfId="2040"/>
    <cellStyle name="Accent3 5" xfId="2041"/>
    <cellStyle name="Accent3 6" xfId="2042"/>
    <cellStyle name="Accent4" xfId="404" builtinId="41" customBuiltin="1"/>
    <cellStyle name="Accent4 2" xfId="405"/>
    <cellStyle name="Accent4 2 2" xfId="801"/>
    <cellStyle name="Accent4 2 3" xfId="2043"/>
    <cellStyle name="Accent4 3" xfId="802"/>
    <cellStyle name="Accent4 3 2" xfId="2044"/>
    <cellStyle name="Accent4 4" xfId="2045"/>
    <cellStyle name="Accent4 5" xfId="2046"/>
    <cellStyle name="Accent4 6" xfId="2047"/>
    <cellStyle name="Accent4 7" xfId="2048"/>
    <cellStyle name="Accent4 8" xfId="2049"/>
    <cellStyle name="Accent5" xfId="406" builtinId="45" customBuiltin="1"/>
    <cellStyle name="Accent5 2" xfId="407"/>
    <cellStyle name="Accent5 2 2" xfId="803"/>
    <cellStyle name="Accent5 3" xfId="804"/>
    <cellStyle name="Accent5 4" xfId="2050"/>
    <cellStyle name="Accent5 5" xfId="2051"/>
    <cellStyle name="Accent5 6" xfId="2052"/>
    <cellStyle name="Accent6" xfId="408" builtinId="49" customBuiltin="1"/>
    <cellStyle name="Accent6 2" xfId="409"/>
    <cellStyle name="Accent6 2 2" xfId="805"/>
    <cellStyle name="Accent6 3" xfId="806"/>
    <cellStyle name="Accent6 4" xfId="2053"/>
    <cellStyle name="Accent6 5" xfId="2054"/>
    <cellStyle name="Accent6 6" xfId="2055"/>
    <cellStyle name="accounting" xfId="807"/>
    <cellStyle name="Actual Date" xfId="410"/>
    <cellStyle name="Actual Date 2" xfId="1872"/>
    <cellStyle name="Adjustable" xfId="411"/>
    <cellStyle name="amount" xfId="808"/>
    <cellStyle name="Arial 10" xfId="809"/>
    <cellStyle name="Arial 12" xfId="810"/>
    <cellStyle name="Arial 12 2" xfId="811"/>
    <cellStyle name="Assumption" xfId="812"/>
    <cellStyle name="at" xfId="813"/>
    <cellStyle name="at 2" xfId="814"/>
    <cellStyle name="b" xfId="815"/>
    <cellStyle name="b 2" xfId="816"/>
    <cellStyle name="b%0" xfId="817"/>
    <cellStyle name="b%1" xfId="818"/>
    <cellStyle name="b%2" xfId="819"/>
    <cellStyle name="b0" xfId="820"/>
    <cellStyle name="b09" xfId="821"/>
    <cellStyle name="b1" xfId="822"/>
    <cellStyle name="b1 2" xfId="823"/>
    <cellStyle name="b1 3" xfId="824"/>
    <cellStyle name="b1 4" xfId="825"/>
    <cellStyle name="b2" xfId="826"/>
    <cellStyle name="b2 2" xfId="827"/>
    <cellStyle name="Background" xfId="828"/>
    <cellStyle name="Background 2" xfId="829"/>
    <cellStyle name="Background 3" xfId="830"/>
    <cellStyle name="Background 4" xfId="831"/>
    <cellStyle name="Bad" xfId="412" builtinId="27" customBuiltin="1"/>
    <cellStyle name="Bad 2" xfId="413"/>
    <cellStyle name="Bad 2 2" xfId="832"/>
    <cellStyle name="Bad 2 3" xfId="2056"/>
    <cellStyle name="Bad 3" xfId="2057"/>
    <cellStyle name="Bad 4" xfId="2058"/>
    <cellStyle name="Bad 5" xfId="2059"/>
    <cellStyle name="Bad 6" xfId="2060"/>
    <cellStyle name="Bad 7" xfId="2061"/>
    <cellStyle name="Bad 8" xfId="2062"/>
    <cellStyle name="Basic" xfId="414"/>
    <cellStyle name="Basic - Style1" xfId="415"/>
    <cellStyle name="Black" xfId="833"/>
    <cellStyle name="BlankedZeros" xfId="834"/>
    <cellStyle name="Block Titles" xfId="835"/>
    <cellStyle name="Blue" xfId="836"/>
    <cellStyle name="Blue 2" xfId="837"/>
    <cellStyle name="bo" xfId="838"/>
    <cellStyle name="bo 2" xfId="839"/>
    <cellStyle name="Body text" xfId="840"/>
    <cellStyle name="Body: normal cell" xfId="2900"/>
    <cellStyle name="Bold/Border" xfId="841"/>
    <cellStyle name="Border Heavy" xfId="416"/>
    <cellStyle name="Border Thin" xfId="417"/>
    <cellStyle name="Bottom" xfId="842"/>
    <cellStyle name="bout" xfId="843"/>
    <cellStyle name="bout 2" xfId="844"/>
    <cellStyle name="BoxSubHeader" xfId="2823"/>
    <cellStyle name="BPchg" xfId="845"/>
    <cellStyle name="BPChgB" xfId="846"/>
    <cellStyle name="BPchgStd" xfId="847"/>
    <cellStyle name="British Pound" xfId="848"/>
    <cellStyle name="bt" xfId="849"/>
    <cellStyle name="btit" xfId="850"/>
    <cellStyle name="btit 2" xfId="851"/>
    <cellStyle name="btit 3" xfId="852"/>
    <cellStyle name="btit 4" xfId="853"/>
    <cellStyle name="Bullet" xfId="854"/>
    <cellStyle name="Bullet 2" xfId="855"/>
    <cellStyle name="c" xfId="856"/>
    <cellStyle name="c_ad3" xfId="857"/>
    <cellStyle name="c_ad5" xfId="858"/>
    <cellStyle name="c_asko1" xfId="859"/>
    <cellStyle name="c_btr_2" xfId="860"/>
    <cellStyle name="c_btr_3" xfId="861"/>
    <cellStyle name="c_Cases (2)" xfId="862"/>
    <cellStyle name="c_dccmod1" xfId="863"/>
    <cellStyle name="c_Earnings (2)" xfId="864"/>
    <cellStyle name="c_Grouse+Pelican" xfId="865"/>
    <cellStyle name="c_LBO" xfId="866"/>
    <cellStyle name="c_lbo1" xfId="867"/>
    <cellStyle name="c_lbo3" xfId="868"/>
    <cellStyle name="c_LBO5" xfId="869"/>
    <cellStyle name="c_Macros" xfId="870"/>
    <cellStyle name="c_Macros (2)" xfId="871"/>
    <cellStyle name="c_Macros (2) 2" xfId="872"/>
    <cellStyle name="c_Macros 2" xfId="873"/>
    <cellStyle name="c_Macros 3" xfId="874"/>
    <cellStyle name="c_Macros 4" xfId="875"/>
    <cellStyle name="c_Macros 5" xfId="876"/>
    <cellStyle name="c_Manager (2)" xfId="877"/>
    <cellStyle name="c_Manager (2) 2" xfId="878"/>
    <cellStyle name="c_model1" xfId="879"/>
    <cellStyle name="c_model6" xfId="880"/>
    <cellStyle name="c_saft_1" xfId="881"/>
    <cellStyle name="c_WACC benchmarking" xfId="882"/>
    <cellStyle name="c_WACC benchmarking 2" xfId="883"/>
    <cellStyle name="c_WACC benchmarking_Advantage_Completed_20071127_new assumptions_newlibor" xfId="884"/>
    <cellStyle name="c_WACC benchmarking_Advantage_Completed_20071127_new assumptions_newlibor 2" xfId="885"/>
    <cellStyle name="c_WACC benchmarking_Advantage_Completed_20071127_new assumptions_newlibor 3" xfId="886"/>
    <cellStyle name="c_West Ham (2)" xfId="887"/>
    <cellStyle name="c_Westham (2)" xfId="888"/>
    <cellStyle name="c_Wool_01_07_12_1999" xfId="889"/>
    <cellStyle name="c_Wool_14_12_1999_2" xfId="890"/>
    <cellStyle name="c_Wool_15_02_2000" xfId="891"/>
    <cellStyle name="c_Wool_28_01_2000_02" xfId="892"/>
    <cellStyle name="c_WoolEuro_12_04_2000_02" xfId="893"/>
    <cellStyle name="c_WoolEuro_17_03_2000" xfId="894"/>
    <cellStyle name="c_WoolEuro_20_03_2000_3" xfId="895"/>
    <cellStyle name="c_WoolEuroEx_14_04_2000_01" xfId="896"/>
    <cellStyle name="c0" xfId="897"/>
    <cellStyle name="c2" xfId="898"/>
    <cellStyle name="cach" xfId="899"/>
    <cellStyle name="cach 2" xfId="900"/>
    <cellStyle name="cajun" xfId="418"/>
    <cellStyle name="Calc# [0,000]" xfId="2952"/>
    <cellStyle name="Calculation" xfId="419" builtinId="22" customBuiltin="1"/>
    <cellStyle name="Calculation 2" xfId="420"/>
    <cellStyle name="Calculation 2 2" xfId="901"/>
    <cellStyle name="Calculation 3" xfId="2063"/>
    <cellStyle name="Calculation 4" xfId="2064"/>
    <cellStyle name="Calculation 5" xfId="2065"/>
    <cellStyle name="Calculation 6" xfId="2066"/>
    <cellStyle name="CatTitle" xfId="902"/>
    <cellStyle name="CatTotal" xfId="903"/>
    <cellStyle name="CatTotal 2" xfId="904"/>
    <cellStyle name="cd" xfId="421"/>
    <cellStyle name="Center Bold" xfId="2953"/>
    <cellStyle name="Change" xfId="905"/>
    <cellStyle name="Changeable" xfId="906"/>
    <cellStyle name="Check Cell" xfId="422" builtinId="23" customBuiltin="1"/>
    <cellStyle name="Check Cell 2" xfId="423"/>
    <cellStyle name="Check Cell 2 2" xfId="907"/>
    <cellStyle name="Check Cell 2 3" xfId="2067"/>
    <cellStyle name="Check Cell 3" xfId="2068"/>
    <cellStyle name="Check Cell 4" xfId="2069"/>
    <cellStyle name="Check Cell 5" xfId="2070"/>
    <cellStyle name="Check Cell 6" xfId="2071"/>
    <cellStyle name="Check Cell 7" xfId="2072"/>
    <cellStyle name="Check Cell 8" xfId="2073"/>
    <cellStyle name="co" xfId="908"/>
    <cellStyle name="ColHide" xfId="909"/>
    <cellStyle name="ColShow" xfId="910"/>
    <cellStyle name="Column Heading" xfId="911"/>
    <cellStyle name="Comma" xfId="424" builtinId="3"/>
    <cellStyle name="Comma  - Style1" xfId="913"/>
    <cellStyle name="Comma  - Style2" xfId="914"/>
    <cellStyle name="Comma  - Style3" xfId="915"/>
    <cellStyle name="Comma  - Style4" xfId="916"/>
    <cellStyle name="Comma  - Style5" xfId="917"/>
    <cellStyle name="Comma  - Style6" xfId="918"/>
    <cellStyle name="Comma  - Style7" xfId="919"/>
    <cellStyle name="Comma  - Style8" xfId="920"/>
    <cellStyle name="Comma [0] 2" xfId="2568"/>
    <cellStyle name="Comma [0] 2 2" xfId="2828"/>
    <cellStyle name="Comma [0] 2 3" xfId="2938"/>
    <cellStyle name="Comma [1]" xfId="425"/>
    <cellStyle name="Comma [1] 2" xfId="921"/>
    <cellStyle name="Comma [2]" xfId="426"/>
    <cellStyle name="Comma [2] 2" xfId="922"/>
    <cellStyle name="Comma [3]" xfId="427"/>
    <cellStyle name="Comma 0" xfId="428"/>
    <cellStyle name="Comma 0*" xfId="429"/>
    <cellStyle name="Comma 10" xfId="639"/>
    <cellStyle name="Comma 10 2" xfId="923"/>
    <cellStyle name="Comma 11" xfId="642"/>
    <cellStyle name="Comma 11 2" xfId="1634"/>
    <cellStyle name="Comma 11 3" xfId="912"/>
    <cellStyle name="Comma 11 4" xfId="2075"/>
    <cellStyle name="Comma 12" xfId="638"/>
    <cellStyle name="Comma 12 2" xfId="2076"/>
    <cellStyle name="Comma 12 3" xfId="2734"/>
    <cellStyle name="Comma 13" xfId="1912"/>
    <cellStyle name="Comma 13 2" xfId="2077"/>
    <cellStyle name="Comma 14" xfId="1913"/>
    <cellStyle name="Comma 14 2" xfId="2078"/>
    <cellStyle name="Comma 14 3" xfId="2569"/>
    <cellStyle name="Comma 15" xfId="1914"/>
    <cellStyle name="Comma 15 2" xfId="2079"/>
    <cellStyle name="Comma 15 3" xfId="2570"/>
    <cellStyle name="Comma 16" xfId="1915"/>
    <cellStyle name="Comma 16 2" xfId="2080"/>
    <cellStyle name="Comma 17" xfId="2081"/>
    <cellStyle name="Comma 17 2" xfId="2082"/>
    <cellStyle name="Comma 17 2 2" xfId="2083"/>
    <cellStyle name="Comma 17 2 2 2" xfId="2084"/>
    <cellStyle name="Comma 17 2 3" xfId="2085"/>
    <cellStyle name="Comma 17 3" xfId="2086"/>
    <cellStyle name="Comma 17 3 2" xfId="2087"/>
    <cellStyle name="Comma 17 3 2 2" xfId="2088"/>
    <cellStyle name="Comma 17 3 3" xfId="2089"/>
    <cellStyle name="Comma 17 4" xfId="2090"/>
    <cellStyle name="Comma 17 4 2" xfId="2091"/>
    <cellStyle name="Comma 17 5" xfId="2092"/>
    <cellStyle name="Comma 17 6" xfId="2571"/>
    <cellStyle name="Comma 18" xfId="2093"/>
    <cellStyle name="Comma 19" xfId="2094"/>
    <cellStyle name="Comma 2" xfId="430"/>
    <cellStyle name="Comma 2 2" xfId="628"/>
    <cellStyle name="Comma 2 2 2" xfId="925"/>
    <cellStyle name="Comma 2 2 2 2" xfId="2847"/>
    <cellStyle name="Comma 2 2 2 3" xfId="2827"/>
    <cellStyle name="Comma 2 2 3" xfId="2096"/>
    <cellStyle name="Comma 2 2 4" xfId="2095"/>
    <cellStyle name="Comma 2 2 5" xfId="2886"/>
    <cellStyle name="Comma 2 2 6" xfId="2934"/>
    <cellStyle name="Comma 2 3" xfId="924"/>
    <cellStyle name="Comma 2 3 2" xfId="2674"/>
    <cellStyle name="Comma 2 3 3" xfId="2673"/>
    <cellStyle name="Comma 2 3 4" xfId="2957"/>
    <cellStyle name="Comma 2 4" xfId="2097"/>
    <cellStyle name="Comma 2 4 2" xfId="2675"/>
    <cellStyle name="Comma 2 5" xfId="2098"/>
    <cellStyle name="Comma 2 6" xfId="2834"/>
    <cellStyle name="Comma 2 7" xfId="2929"/>
    <cellStyle name="Comma 2_Allocators" xfId="2099"/>
    <cellStyle name="Comma 20" xfId="2100"/>
    <cellStyle name="Comma 20 2" xfId="2101"/>
    <cellStyle name="Comma 20 2 2" xfId="2102"/>
    <cellStyle name="Comma 20 2 2 2" xfId="2103"/>
    <cellStyle name="Comma 20 2 3" xfId="2104"/>
    <cellStyle name="Comma 20 3" xfId="2105"/>
    <cellStyle name="Comma 20 3 2" xfId="2106"/>
    <cellStyle name="Comma 20 3 2 2" xfId="2107"/>
    <cellStyle name="Comma 20 3 3" xfId="2108"/>
    <cellStyle name="Comma 20 4" xfId="2109"/>
    <cellStyle name="Comma 20 4 2" xfId="2110"/>
    <cellStyle name="Comma 20 5" xfId="2111"/>
    <cellStyle name="Comma 20 6" xfId="2573"/>
    <cellStyle name="Comma 21" xfId="2112"/>
    <cellStyle name="Comma 22" xfId="2074"/>
    <cellStyle name="Comma 22 2" xfId="2574"/>
    <cellStyle name="Comma 23" xfId="2575"/>
    <cellStyle name="Comma 24" xfId="2567"/>
    <cellStyle name="Comma 25" xfId="2616"/>
    <cellStyle name="Comma 26" xfId="2627"/>
    <cellStyle name="Comma 27" xfId="2632"/>
    <cellStyle name="Comma 28" xfId="2645"/>
    <cellStyle name="Comma 29" xfId="2650"/>
    <cellStyle name="Comma 29 2" xfId="2803"/>
    <cellStyle name="Comma 29 2 2" xfId="2811"/>
    <cellStyle name="Comma 3" xfId="431"/>
    <cellStyle name="Comma 3 10" xfId="2113"/>
    <cellStyle name="Comma 3 10 2" xfId="2114"/>
    <cellStyle name="Comma 3 10 2 2" xfId="2115"/>
    <cellStyle name="Comma 3 10 2 2 2" xfId="2116"/>
    <cellStyle name="Comma 3 10 2 3" xfId="2117"/>
    <cellStyle name="Comma 3 10 3" xfId="2118"/>
    <cellStyle name="Comma 3 10 3 2" xfId="2119"/>
    <cellStyle name="Comma 3 10 3 2 2" xfId="2120"/>
    <cellStyle name="Comma 3 10 3 3" xfId="2121"/>
    <cellStyle name="Comma 3 10 4" xfId="2122"/>
    <cellStyle name="Comma 3 10 4 2" xfId="2123"/>
    <cellStyle name="Comma 3 10 5" xfId="2124"/>
    <cellStyle name="Comma 3 11" xfId="2125"/>
    <cellStyle name="Comma 3 12" xfId="2126"/>
    <cellStyle name="Comma 3 12 2" xfId="2127"/>
    <cellStyle name="Comma 3 12 2 2" xfId="2128"/>
    <cellStyle name="Comma 3 12 3" xfId="2129"/>
    <cellStyle name="Comma 3 13" xfId="2130"/>
    <cellStyle name="Comma 3 14" xfId="2676"/>
    <cellStyle name="Comma 3 15" xfId="2932"/>
    <cellStyle name="Comma 3 2" xfId="926"/>
    <cellStyle name="Comma 3 3" xfId="2131"/>
    <cellStyle name="Comma 3 4" xfId="2132"/>
    <cellStyle name="Comma 3 4 2" xfId="2133"/>
    <cellStyle name="Comma 3 4 2 2" xfId="2134"/>
    <cellStyle name="Comma 3 4 2 2 2" xfId="2135"/>
    <cellStyle name="Comma 3 4 2 3" xfId="2136"/>
    <cellStyle name="Comma 3 4 3" xfId="2137"/>
    <cellStyle name="Comma 3 4 3 2" xfId="2138"/>
    <cellStyle name="Comma 3 4 3 2 2" xfId="2139"/>
    <cellStyle name="Comma 3 4 3 3" xfId="2140"/>
    <cellStyle name="Comma 3 4 4" xfId="2141"/>
    <cellStyle name="Comma 3 4 4 2" xfId="2142"/>
    <cellStyle name="Comma 3 4 5" xfId="2143"/>
    <cellStyle name="Comma 3 5" xfId="2144"/>
    <cellStyle name="Comma 3 5 2" xfId="2145"/>
    <cellStyle name="Comma 3 5 2 2" xfId="2146"/>
    <cellStyle name="Comma 3 5 2 2 2" xfId="2147"/>
    <cellStyle name="Comma 3 5 2 3" xfId="2148"/>
    <cellStyle name="Comma 3 5 3" xfId="2149"/>
    <cellStyle name="Comma 3 5 3 2" xfId="2150"/>
    <cellStyle name="Comma 3 5 3 2 2" xfId="2151"/>
    <cellStyle name="Comma 3 5 3 3" xfId="2152"/>
    <cellStyle name="Comma 3 5 4" xfId="2153"/>
    <cellStyle name="Comma 3 5 4 2" xfId="2154"/>
    <cellStyle name="Comma 3 5 5" xfId="2155"/>
    <cellStyle name="Comma 3 6" xfId="2156"/>
    <cellStyle name="Comma 3 6 2" xfId="2157"/>
    <cellStyle name="Comma 3 6 2 2" xfId="2158"/>
    <cellStyle name="Comma 3 6 2 2 2" xfId="2159"/>
    <cellStyle name="Comma 3 6 2 3" xfId="2160"/>
    <cellStyle name="Comma 3 6 3" xfId="2161"/>
    <cellStyle name="Comma 3 6 3 2" xfId="2162"/>
    <cellStyle name="Comma 3 6 3 2 2" xfId="2163"/>
    <cellStyle name="Comma 3 6 3 3" xfId="2164"/>
    <cellStyle name="Comma 3 6 4" xfId="2165"/>
    <cellStyle name="Comma 3 6 4 2" xfId="2166"/>
    <cellStyle name="Comma 3 6 5" xfId="2167"/>
    <cellStyle name="Comma 3 7" xfId="2168"/>
    <cellStyle name="Comma 3 7 2" xfId="2169"/>
    <cellStyle name="Comma 3 7 2 2" xfId="2170"/>
    <cellStyle name="Comma 3 7 2 2 2" xfId="2171"/>
    <cellStyle name="Comma 3 7 2 3" xfId="2172"/>
    <cellStyle name="Comma 3 7 3" xfId="2173"/>
    <cellStyle name="Comma 3 7 3 2" xfId="2174"/>
    <cellStyle name="Comma 3 7 3 2 2" xfId="2175"/>
    <cellStyle name="Comma 3 7 3 3" xfId="2176"/>
    <cellStyle name="Comma 3 7 4" xfId="2177"/>
    <cellStyle name="Comma 3 7 4 2" xfId="2178"/>
    <cellStyle name="Comma 3 7 5" xfId="2179"/>
    <cellStyle name="Comma 3 8" xfId="2180"/>
    <cellStyle name="Comma 3 8 2" xfId="2181"/>
    <cellStyle name="Comma 3 8 2 2" xfId="2182"/>
    <cellStyle name="Comma 3 8 2 2 2" xfId="2183"/>
    <cellStyle name="Comma 3 8 2 3" xfId="2184"/>
    <cellStyle name="Comma 3 8 3" xfId="2185"/>
    <cellStyle name="Comma 3 8 3 2" xfId="2186"/>
    <cellStyle name="Comma 3 8 3 2 2" xfId="2187"/>
    <cellStyle name="Comma 3 8 3 3" xfId="2188"/>
    <cellStyle name="Comma 3 8 4" xfId="2189"/>
    <cellStyle name="Comma 3 8 4 2" xfId="2190"/>
    <cellStyle name="Comma 3 8 5" xfId="2191"/>
    <cellStyle name="Comma 3 9" xfId="2192"/>
    <cellStyle name="Comma 3 9 2" xfId="2193"/>
    <cellStyle name="Comma 3 9 2 2" xfId="2194"/>
    <cellStyle name="Comma 3 9 2 2 2" xfId="2195"/>
    <cellStyle name="Comma 3 9 2 3" xfId="2196"/>
    <cellStyle name="Comma 3 9 3" xfId="2197"/>
    <cellStyle name="Comma 3 9 3 2" xfId="2198"/>
    <cellStyle name="Comma 3 9 3 2 2" xfId="2199"/>
    <cellStyle name="Comma 3 9 3 3" xfId="2200"/>
    <cellStyle name="Comma 3 9 4" xfId="2201"/>
    <cellStyle name="Comma 3 9 4 2" xfId="2202"/>
    <cellStyle name="Comma 3 9 5" xfId="2203"/>
    <cellStyle name="Comma 30" xfId="2662"/>
    <cellStyle name="Comma 31" xfId="2736"/>
    <cellStyle name="Comma 32" xfId="2751"/>
    <cellStyle name="Comma 33" xfId="2754"/>
    <cellStyle name="Comma 34" xfId="2756"/>
    <cellStyle name="Comma 35" xfId="2759"/>
    <cellStyle name="Comma 36" xfId="2770"/>
    <cellStyle name="Comma 37" xfId="2774"/>
    <cellStyle name="Comma 38" xfId="2793"/>
    <cellStyle name="Comma 39" xfId="2796"/>
    <cellStyle name="Comma 4" xfId="618"/>
    <cellStyle name="Comma 4 2" xfId="927"/>
    <cellStyle name="Comma 4 2 2" xfId="2840"/>
    <cellStyle name="Comma 4 3" xfId="2204"/>
    <cellStyle name="Comma 4 4" xfId="2205"/>
    <cellStyle name="Comma 4 5" xfId="2576"/>
    <cellStyle name="Comma 4 6" xfId="2804"/>
    <cellStyle name="Comma 4 7" xfId="2812"/>
    <cellStyle name="Comma 4 8" xfId="2939"/>
    <cellStyle name="Comma 40" xfId="2798"/>
    <cellStyle name="Comma 41" xfId="2773"/>
    <cellStyle name="Comma 42" xfId="2800"/>
    <cellStyle name="Comma 43" xfId="2817"/>
    <cellStyle name="Comma 44" xfId="2919"/>
    <cellStyle name="Comma 5" xfId="622"/>
    <cellStyle name="Comma 5 2" xfId="928"/>
    <cellStyle name="Comma 5 2 2" xfId="2578"/>
    <cellStyle name="Comma 5 2 2 2 2 2" xfId="2822"/>
    <cellStyle name="Comma 5 3" xfId="2206"/>
    <cellStyle name="Comma 5 4" xfId="2577"/>
    <cellStyle name="Comma 5 5" xfId="2896"/>
    <cellStyle name="Comma 6" xfId="621"/>
    <cellStyle name="Comma 6 2" xfId="929"/>
    <cellStyle name="Comma 6 3" xfId="2907"/>
    <cellStyle name="Comma 7" xfId="643"/>
    <cellStyle name="Comma 7 2" xfId="930"/>
    <cellStyle name="Comma 7 2 9" xfId="2850"/>
    <cellStyle name="Comma 7 3" xfId="2908"/>
    <cellStyle name="Comma 8" xfId="640"/>
    <cellStyle name="Comma 8 2" xfId="931"/>
    <cellStyle name="Comma 8 3" xfId="2913"/>
    <cellStyle name="Comma 9" xfId="641"/>
    <cellStyle name="Comma 9 2" xfId="932"/>
    <cellStyle name="Comma 9 3" xfId="2914"/>
    <cellStyle name="Comma0" xfId="432"/>
    <cellStyle name="Comma0 - Style3" xfId="433"/>
    <cellStyle name="Comma0 - Style3 2" xfId="934"/>
    <cellStyle name="Comma0 10" xfId="1902"/>
    <cellStyle name="Comma0 11" xfId="1827"/>
    <cellStyle name="Comma0 12" xfId="1901"/>
    <cellStyle name="Comma0 13" xfId="2677"/>
    <cellStyle name="Comma0 14" xfId="2730"/>
    <cellStyle name="Comma0 2" xfId="935"/>
    <cellStyle name="Comma0 3" xfId="936"/>
    <cellStyle name="Comma0 4" xfId="937"/>
    <cellStyle name="Comma0 5" xfId="938"/>
    <cellStyle name="Comma0 6" xfId="933"/>
    <cellStyle name="Comma0 7" xfId="1811"/>
    <cellStyle name="Comma0 8" xfId="1903"/>
    <cellStyle name="Comma0 9" xfId="1820"/>
    <cellStyle name="Comma0_AEP DSO Calcs Collection Curve Worksheet Sent to Brian Dunaway" xfId="939"/>
    <cellStyle name="CommaBlank" xfId="434"/>
    <cellStyle name="CommaBlank 2" xfId="1907"/>
    <cellStyle name="CompanyName" xfId="940"/>
    <cellStyle name="Constant" xfId="435"/>
    <cellStyle name="Cost" xfId="941"/>
    <cellStyle name="Cost 2" xfId="942"/>
    <cellStyle name="Cost 3" xfId="943"/>
    <cellStyle name="Cost 4" xfId="944"/>
    <cellStyle name="Cover Date" xfId="945"/>
    <cellStyle name="Cover Subtitle" xfId="946"/>
    <cellStyle name="Cover Title" xfId="947"/>
    <cellStyle name="Currency" xfId="436" builtinId="4"/>
    <cellStyle name="Currency (1)" xfId="949"/>
    <cellStyle name="Currency (1) 2" xfId="950"/>
    <cellStyle name="Currency [1]" xfId="437"/>
    <cellStyle name="Currency [1] 2" xfId="951"/>
    <cellStyle name="Currency [2]" xfId="438"/>
    <cellStyle name="Currency [2] 2" xfId="952"/>
    <cellStyle name="Currency [2] 3" xfId="1873"/>
    <cellStyle name="Currency [3]" xfId="439"/>
    <cellStyle name="Currency 0" xfId="440"/>
    <cellStyle name="Currency 10" xfId="645"/>
    <cellStyle name="Currency 10 2" xfId="2209"/>
    <cellStyle name="Currency 10 2 2" xfId="2210"/>
    <cellStyle name="Currency 10 2 2 2" xfId="2211"/>
    <cellStyle name="Currency 10 2 3" xfId="2212"/>
    <cellStyle name="Currency 10 3" xfId="2213"/>
    <cellStyle name="Currency 10 3 2" xfId="2214"/>
    <cellStyle name="Currency 10 3 2 2" xfId="2215"/>
    <cellStyle name="Currency 10 3 3" xfId="2216"/>
    <cellStyle name="Currency 10 4" xfId="2217"/>
    <cellStyle name="Currency 10 4 2" xfId="2218"/>
    <cellStyle name="Currency 10 5" xfId="2219"/>
    <cellStyle name="Currency 10 6" xfId="2208"/>
    <cellStyle name="Currency 11" xfId="635"/>
    <cellStyle name="Currency 11 2" xfId="2220"/>
    <cellStyle name="Currency 12" xfId="1917"/>
    <cellStyle name="Currency 13" xfId="2207"/>
    <cellStyle name="Currency 13 2" xfId="2891"/>
    <cellStyle name="Currency 14" xfId="2580"/>
    <cellStyle name="Currency 15" xfId="2606"/>
    <cellStyle name="Currency 16" xfId="2626"/>
    <cellStyle name="Currency 17" xfId="2633"/>
    <cellStyle name="Currency 18" xfId="2644"/>
    <cellStyle name="Currency 19" xfId="2651"/>
    <cellStyle name="Currency 2" xfId="441"/>
    <cellStyle name="Currency 2 11" xfId="2820"/>
    <cellStyle name="Currency 2 2" xfId="2222"/>
    <cellStyle name="Currency 2 3" xfId="2223"/>
    <cellStyle name="Currency 2 3 2" xfId="2679"/>
    <cellStyle name="Currency 2 3 3" xfId="2678"/>
    <cellStyle name="Currency 2 4" xfId="2224"/>
    <cellStyle name="Currency 2 5" xfId="2221"/>
    <cellStyle name="Currency 2 5 2" xfId="2680"/>
    <cellStyle name="Currency 2 6" xfId="2893"/>
    <cellStyle name="Currency 20" xfId="2663"/>
    <cellStyle name="Currency 21" xfId="2738"/>
    <cellStyle name="Currency 22" xfId="2749"/>
    <cellStyle name="Currency 23" xfId="2737"/>
    <cellStyle name="Currency 24" xfId="2750"/>
    <cellStyle name="Currency 25" xfId="2760"/>
    <cellStyle name="Currency 26" xfId="2769"/>
    <cellStyle name="Currency 27" xfId="2776"/>
    <cellStyle name="Currency 28" xfId="2790"/>
    <cellStyle name="Currency 29" xfId="2775"/>
    <cellStyle name="Currency 3" xfId="442"/>
    <cellStyle name="Currency 3 10" xfId="2664"/>
    <cellStyle name="Currency 3 11" xfId="2739"/>
    <cellStyle name="Currency 3 12" xfId="2761"/>
    <cellStyle name="Currency 3 13" xfId="2777"/>
    <cellStyle name="Currency 3 2" xfId="953"/>
    <cellStyle name="Currency 3 3" xfId="2226"/>
    <cellStyle name="Currency 3 4" xfId="2227"/>
    <cellStyle name="Currency 3 5" xfId="2228"/>
    <cellStyle name="Currency 3 6" xfId="2225"/>
    <cellStyle name="Currency 3 7" xfId="2581"/>
    <cellStyle name="Currency 3 8" xfId="2634"/>
    <cellStyle name="Currency 3 9" xfId="2652"/>
    <cellStyle name="Currency 30" xfId="2791"/>
    <cellStyle name="Currency 31" xfId="2778"/>
    <cellStyle name="Currency 32" xfId="2792"/>
    <cellStyle name="Currency 33" xfId="2915"/>
    <cellStyle name="Currency 34" xfId="2945"/>
    <cellStyle name="Currency 4" xfId="623"/>
    <cellStyle name="Currency 4 2" xfId="954"/>
    <cellStyle name="Currency 4 3" xfId="2230"/>
    <cellStyle name="Currency 4 4" xfId="2231"/>
    <cellStyle name="Currency 4 5" xfId="2229"/>
    <cellStyle name="Currency 5" xfId="620"/>
    <cellStyle name="Currency 5 2" xfId="955"/>
    <cellStyle name="Currency 5 3" xfId="2582"/>
    <cellStyle name="Currency 5 4" xfId="2635"/>
    <cellStyle name="Currency 5 5" xfId="2653"/>
    <cellStyle name="Currency 5 6" xfId="2665"/>
    <cellStyle name="Currency 5 7" xfId="2740"/>
    <cellStyle name="Currency 5 8" xfId="2762"/>
    <cellStyle name="Currency 5 9" xfId="2779"/>
    <cellStyle name="Currency 6" xfId="646"/>
    <cellStyle name="Currency 6 2" xfId="956"/>
    <cellStyle name="Currency 7" xfId="637"/>
    <cellStyle name="Currency 7 2" xfId="957"/>
    <cellStyle name="Currency 7 3" xfId="2232"/>
    <cellStyle name="Currency 8" xfId="644"/>
    <cellStyle name="Currency 8 2" xfId="1635"/>
    <cellStyle name="Currency 8 3" xfId="948"/>
    <cellStyle name="Currency 8 4" xfId="2233"/>
    <cellStyle name="Currency 9" xfId="636"/>
    <cellStyle name="Currency 9 2" xfId="2234"/>
    <cellStyle name="Currency0" xfId="443"/>
    <cellStyle name="Currency0 2" xfId="959"/>
    <cellStyle name="Currency0 2 2" xfId="2958"/>
    <cellStyle name="Currency0 3" xfId="960"/>
    <cellStyle name="Currency0 4" xfId="961"/>
    <cellStyle name="Currency0 5" xfId="958"/>
    <cellStyle name="d" xfId="962"/>
    <cellStyle name="Dash" xfId="963"/>
    <cellStyle name="Dash 2" xfId="964"/>
    <cellStyle name="DATA TYPE" xfId="444"/>
    <cellStyle name="Date" xfId="445"/>
    <cellStyle name="Date [mm-d-yyyy]" xfId="446"/>
    <cellStyle name="Date [mmm-d-yyyy]" xfId="447"/>
    <cellStyle name="Date [mmm-yyyy]" xfId="448"/>
    <cellStyle name="Date 10" xfId="1899"/>
    <cellStyle name="Date 11" xfId="1843"/>
    <cellStyle name="Date 12" xfId="1898"/>
    <cellStyle name="Date 13" xfId="2681"/>
    <cellStyle name="Date 14" xfId="2729"/>
    <cellStyle name="Date 2" xfId="966"/>
    <cellStyle name="Date 2 2" xfId="967"/>
    <cellStyle name="Date 2 3" xfId="968"/>
    <cellStyle name="Date 3" xfId="969"/>
    <cellStyle name="Date 4" xfId="970"/>
    <cellStyle name="Date 5" xfId="971"/>
    <cellStyle name="Date 6" xfId="965"/>
    <cellStyle name="Date 7" xfId="1837"/>
    <cellStyle name="Date 8" xfId="1900"/>
    <cellStyle name="Date 9" xfId="1841"/>
    <cellStyle name="Date Aligned" xfId="449"/>
    <cellStyle name="Date_$ FEL Managed View" xfId="450"/>
    <cellStyle name="Date2" xfId="451"/>
    <cellStyle name="Date2 2" xfId="973"/>
    <cellStyle name="Date2 3" xfId="974"/>
    <cellStyle name="Date2 4" xfId="975"/>
    <cellStyle name="Date2 5" xfId="972"/>
    <cellStyle name="DateFormat" xfId="976"/>
    <cellStyle name="DateLong" xfId="452"/>
    <cellStyle name="DateLong 2" xfId="1874"/>
    <cellStyle name="DateShort" xfId="453"/>
    <cellStyle name="Day" xfId="454"/>
    <cellStyle name="Day 2" xfId="1875"/>
    <cellStyle name="dd" xfId="977"/>
    <cellStyle name="ddd" xfId="978"/>
    <cellStyle name="decimal" xfId="455"/>
    <cellStyle name="Dezimal [0]_Compiling Utility Macros" xfId="456"/>
    <cellStyle name="Dezimal_Compiling Utility Macros" xfId="457"/>
    <cellStyle name="dohm" xfId="458"/>
    <cellStyle name="dohm1" xfId="459"/>
    <cellStyle name="dohm2" xfId="460"/>
    <cellStyle name="Dollar" xfId="979"/>
    <cellStyle name="Dollar 2" xfId="980"/>
    <cellStyle name="Dollar 3" xfId="981"/>
    <cellStyle name="Dollar 4" xfId="982"/>
    <cellStyle name="Dollar_Zero" xfId="461"/>
    <cellStyle name="Dollars" xfId="462"/>
    <cellStyle name="Dollars 2" xfId="983"/>
    <cellStyle name="Dotted Line" xfId="463"/>
    <cellStyle name="Double Accounting" xfId="984"/>
    <cellStyle name="dr" xfId="985"/>
    <cellStyle name="ds" xfId="986"/>
    <cellStyle name="Duration" xfId="987"/>
    <cellStyle name="ep" xfId="988"/>
    <cellStyle name="Escalation" xfId="464"/>
    <cellStyle name="Estimate" xfId="989"/>
    <cellStyle name="Euro" xfId="465"/>
    <cellStyle name="Euro 2" xfId="991"/>
    <cellStyle name="Euro 2 2" xfId="992"/>
    <cellStyle name="Euro 2 3" xfId="993"/>
    <cellStyle name="Euro 3" xfId="994"/>
    <cellStyle name="Euro 4" xfId="995"/>
    <cellStyle name="Euro 5" xfId="996"/>
    <cellStyle name="Euro 6" xfId="990"/>
    <cellStyle name="Euro 7" xfId="1876"/>
    <cellStyle name="Explanatory Text" xfId="466" builtinId="53" customBuiltin="1"/>
    <cellStyle name="Explanatory Text 2" xfId="467"/>
    <cellStyle name="Explanatory Text 2 2" xfId="997"/>
    <cellStyle name="Explanatory Text 3" xfId="2235"/>
    <cellStyle name="Explanatory Text 4" xfId="2236"/>
    <cellStyle name="Explanatory Text 5" xfId="2237"/>
    <cellStyle name="Explanatory Text 6" xfId="2238"/>
    <cellStyle name="extra" xfId="998"/>
    <cellStyle name="extra 2" xfId="999"/>
    <cellStyle name="f" xfId="1000"/>
    <cellStyle name="Factor" xfId="468"/>
    <cellStyle name="ff" xfId="1001"/>
    <cellStyle name="fff" xfId="1002"/>
    <cellStyle name="FilterCol" xfId="1003"/>
    <cellStyle name="FinClose" xfId="469"/>
    <cellStyle name="Fixed" xfId="470"/>
    <cellStyle name="Fixed [0]" xfId="471"/>
    <cellStyle name="Fixed [0] 2" xfId="1877"/>
    <cellStyle name="Fixed 10" xfId="1896"/>
    <cellStyle name="Fixed 11" xfId="1869"/>
    <cellStyle name="Fixed 12" xfId="1895"/>
    <cellStyle name="Fixed 13" xfId="2682"/>
    <cellStyle name="Fixed 14" xfId="2728"/>
    <cellStyle name="Fixed 2" xfId="1005"/>
    <cellStyle name="Fixed 2 2" xfId="1006"/>
    <cellStyle name="Fixed 2 3" xfId="1007"/>
    <cellStyle name="Fixed 3" xfId="1008"/>
    <cellStyle name="Fixed 4" xfId="1009"/>
    <cellStyle name="Fixed 5" xfId="1010"/>
    <cellStyle name="Fixed 6" xfId="1004"/>
    <cellStyle name="Fixed 7" xfId="1859"/>
    <cellStyle name="Fixed 8" xfId="1897"/>
    <cellStyle name="Fixed 9" xfId="1865"/>
    <cellStyle name="Fixed_$ FEL Managed View" xfId="472"/>
    <cellStyle name="Fixed2 - Style2" xfId="473"/>
    <cellStyle name="Fixed2 - Style2 2" xfId="1011"/>
    <cellStyle name="fn" xfId="1012"/>
    <cellStyle name="fn 2" xfId="1013"/>
    <cellStyle name="Font: Calibri, 9pt regular" xfId="2901"/>
    <cellStyle name="Footer SBILogo1" xfId="1014"/>
    <cellStyle name="Footer SBILogo2" xfId="1015"/>
    <cellStyle name="Footnote" xfId="474"/>
    <cellStyle name="Footnote 2" xfId="1017"/>
    <cellStyle name="Footnote 3" xfId="1016"/>
    <cellStyle name="Footnote Reference" xfId="1018"/>
    <cellStyle name="Footnote_AccessGroup 012509 v3" xfId="1019"/>
    <cellStyle name="Footnotes: top row" xfId="2902"/>
    <cellStyle name="FRxAmtStyle" xfId="1020"/>
    <cellStyle name="FRxCurrStyle" xfId="1021"/>
    <cellStyle name="FRxPcntStyle" xfId="1022"/>
    <cellStyle name="FS_Zero" xfId="475"/>
    <cellStyle name="FS-Hist_Zero" xfId="476"/>
    <cellStyle name="FUEL SUBTOTAL" xfId="477"/>
    <cellStyle name="FUEL TYPE" xfId="478"/>
    <cellStyle name="general" xfId="479"/>
    <cellStyle name="Good" xfId="480" builtinId="26" customBuiltin="1"/>
    <cellStyle name="Good 2" xfId="481"/>
    <cellStyle name="Good 2 2" xfId="1023"/>
    <cellStyle name="Good 3" xfId="1024"/>
    <cellStyle name="Good 4" xfId="2239"/>
    <cellStyle name="Good 5" xfId="2240"/>
    <cellStyle name="Good 6" xfId="2241"/>
    <cellStyle name="Grey" xfId="482"/>
    <cellStyle name="Grey 2" xfId="1025"/>
    <cellStyle name="GreybarHeader" xfId="1026"/>
    <cellStyle name="Group Headings" xfId="1027"/>
    <cellStyle name="h" xfId="1028"/>
    <cellStyle name="h1" xfId="1029"/>
    <cellStyle name="h2" xfId="1030"/>
    <cellStyle name="Hard Percent" xfId="483"/>
    <cellStyle name="hardCode" xfId="2824"/>
    <cellStyle name="HEADER" xfId="484"/>
    <cellStyle name="Header 2" xfId="1033"/>
    <cellStyle name="Header 3" xfId="1032"/>
    <cellStyle name="Header Draft Stamp" xfId="1034"/>
    <cellStyle name="Header Total" xfId="1035"/>
    <cellStyle name="Header: bottom row" xfId="2903"/>
    <cellStyle name="Header_AccessGroup 012509 v3" xfId="1036"/>
    <cellStyle name="Header1" xfId="485"/>
    <cellStyle name="Header2" xfId="486"/>
    <cellStyle name="Header3" xfId="1037"/>
    <cellStyle name="Header4" xfId="1038"/>
    <cellStyle name="Heading 1" xfId="487" builtinId="16" customBuiltin="1"/>
    <cellStyle name="Heading 1 2" xfId="488"/>
    <cellStyle name="Heading 1 2 2" xfId="1039"/>
    <cellStyle name="Heading 1 2 3" xfId="2242"/>
    <cellStyle name="Heading 1 2 4" xfId="2854"/>
    <cellStyle name="Heading 1 3" xfId="2243"/>
    <cellStyle name="Heading 1 4" xfId="2244"/>
    <cellStyle name="Heading 1 5" xfId="2245"/>
    <cellStyle name="Heading 1 6" xfId="2246"/>
    <cellStyle name="Heading 1 7" xfId="2247"/>
    <cellStyle name="Heading 1 8" xfId="2248"/>
    <cellStyle name="Heading 1 Above" xfId="1040"/>
    <cellStyle name="Heading 1+" xfId="1041"/>
    <cellStyle name="Heading 2" xfId="489" builtinId="17" customBuiltin="1"/>
    <cellStyle name="Heading 2 2" xfId="490"/>
    <cellStyle name="Heading 2 2 2" xfId="1042"/>
    <cellStyle name="Heading 2 2 3" xfId="2249"/>
    <cellStyle name="Heading 2 2 4" xfId="2855"/>
    <cellStyle name="Heading 2 3" xfId="2250"/>
    <cellStyle name="Heading 2 4" xfId="2251"/>
    <cellStyle name="Heading 2 5" xfId="2252"/>
    <cellStyle name="Heading 2 6" xfId="2253"/>
    <cellStyle name="Heading 2 7" xfId="2254"/>
    <cellStyle name="Heading 2 8" xfId="2255"/>
    <cellStyle name="Heading 2 Below" xfId="1043"/>
    <cellStyle name="Heading 2+" xfId="1044"/>
    <cellStyle name="Heading 3" xfId="491" builtinId="18" customBuiltin="1"/>
    <cellStyle name="Heading 3 2" xfId="492"/>
    <cellStyle name="Heading 3 2 2" xfId="1045"/>
    <cellStyle name="Heading 3 2 3" xfId="2256"/>
    <cellStyle name="Heading 3 2 4" xfId="2856"/>
    <cellStyle name="Heading 3 3" xfId="2257"/>
    <cellStyle name="Heading 3 4" xfId="2258"/>
    <cellStyle name="Heading 3 5" xfId="2259"/>
    <cellStyle name="Heading 3 6" xfId="2260"/>
    <cellStyle name="Heading 3 7" xfId="2261"/>
    <cellStyle name="Heading 3 8" xfId="2262"/>
    <cellStyle name="Heading 3+" xfId="1046"/>
    <cellStyle name="Heading 4" xfId="493" builtinId="19" customBuiltin="1"/>
    <cellStyle name="Heading 4 2" xfId="494"/>
    <cellStyle name="Heading 4 2 2" xfId="1047"/>
    <cellStyle name="Heading 4 2 3" xfId="2263"/>
    <cellStyle name="Heading 4 2 4" xfId="2857"/>
    <cellStyle name="Heading 4 3" xfId="2264"/>
    <cellStyle name="Heading 4 4" xfId="2265"/>
    <cellStyle name="Heading 4 5" xfId="2266"/>
    <cellStyle name="Heading 4 6" xfId="2267"/>
    <cellStyle name="Heading 4 7" xfId="2268"/>
    <cellStyle name="Heading 4 8" xfId="2269"/>
    <cellStyle name="Heading1" xfId="495"/>
    <cellStyle name="HEADING1 2" xfId="1049"/>
    <cellStyle name="HEADING1 3" xfId="1050"/>
    <cellStyle name="HEADING1 4" xfId="1051"/>
    <cellStyle name="HEADING1 5" xfId="1048"/>
    <cellStyle name="Heading2" xfId="496"/>
    <cellStyle name="HEADING2 2" xfId="1052"/>
    <cellStyle name="Heading2 3" xfId="2833"/>
    <cellStyle name="Headings" xfId="1053"/>
    <cellStyle name="hh" xfId="1054"/>
    <cellStyle name="HHV" xfId="497"/>
    <cellStyle name="HHV 2" xfId="1911"/>
    <cellStyle name="Hidden" xfId="498"/>
    <cellStyle name="HIGHLIGHT" xfId="499"/>
    <cellStyle name="Highlight 2" xfId="1055"/>
    <cellStyle name="Hist inmatning" xfId="1056"/>
    <cellStyle name="hj" xfId="1057"/>
    <cellStyle name="hj 2" xfId="1058"/>
    <cellStyle name="Hyperlink" xfId="2916" builtinId="8"/>
    <cellStyle name="Hyperlink 2" xfId="2583"/>
    <cellStyle name="i" xfId="1059"/>
    <cellStyle name="i0" xfId="1060"/>
    <cellStyle name="i1" xfId="1061"/>
    <cellStyle name="i2" xfId="1062"/>
    <cellStyle name="i3" xfId="1063"/>
    <cellStyle name="i4" xfId="1064"/>
    <cellStyle name="i5" xfId="1065"/>
    <cellStyle name="Indirect Reference" xfId="1066"/>
    <cellStyle name="Indirect Reference 2" xfId="1067"/>
    <cellStyle name="Indirect Reference 3" xfId="1068"/>
    <cellStyle name="Indirect Reference 4" xfId="1069"/>
    <cellStyle name="inmatning" xfId="1070"/>
    <cellStyle name="Input" xfId="500" builtinId="20" customBuiltin="1"/>
    <cellStyle name="Input (estimate)" xfId="1071"/>
    <cellStyle name="Input [yellow]" xfId="501"/>
    <cellStyle name="Input [yellow] 2" xfId="1072"/>
    <cellStyle name="Input 2" xfId="502"/>
    <cellStyle name="Input 2 2" xfId="1073"/>
    <cellStyle name="Input 3" xfId="2270"/>
    <cellStyle name="Input 4" xfId="2271"/>
    <cellStyle name="Input 5" xfId="2272"/>
    <cellStyle name="Input 6" xfId="2273"/>
    <cellStyle name="Input 7" xfId="2954"/>
    <cellStyle name="Input from Analysys" xfId="1074"/>
    <cellStyle name="Input from CETI" xfId="1075"/>
    <cellStyle name="Input Link" xfId="1076"/>
    <cellStyle name="Input Text" xfId="2949"/>
    <cellStyle name="Input% [00%]" xfId="2951"/>
    <cellStyle name="InputAmt" xfId="1077"/>
    <cellStyle name="InputBlueFont" xfId="1078"/>
    <cellStyle name="InputBlueFontLocked" xfId="1079"/>
    <cellStyle name="InputBlueFontLocked 2" xfId="1080"/>
    <cellStyle name="inputCell" xfId="2826"/>
    <cellStyle name="InputPct" xfId="1081"/>
    <cellStyle name="InputShaded" xfId="1082"/>
    <cellStyle name="InputShaded 2" xfId="1083"/>
    <cellStyle name="InputVal" xfId="1084"/>
    <cellStyle name="InputVal 2" xfId="1085"/>
    <cellStyle name="InputValNeg" xfId="1086"/>
    <cellStyle name="InputValNeg 2" xfId="1087"/>
    <cellStyle name="Integer" xfId="1088"/>
    <cellStyle name="Integer 2" xfId="1089"/>
    <cellStyle name="Integer 3" xfId="1090"/>
    <cellStyle name="Integer 4" xfId="1091"/>
    <cellStyle name="italic" xfId="1092"/>
    <cellStyle name="ItalicHeader" xfId="1093"/>
    <cellStyle name="kirkdollars" xfId="503"/>
    <cellStyle name="Komma [0]_Sheet1" xfId="1094"/>
    <cellStyle name="Komma_Sheet1" xfId="1095"/>
    <cellStyle name="kopregel" xfId="1096"/>
    <cellStyle name="Ks" xfId="1097"/>
    <cellStyle name="Label" xfId="1098"/>
    <cellStyle name="LblRed" xfId="1099"/>
    <cellStyle name="lev1" xfId="1100"/>
    <cellStyle name="lev2" xfId="1101"/>
    <cellStyle name="lev3" xfId="1102"/>
    <cellStyle name="lev4" xfId="1103"/>
    <cellStyle name="Lien hypertexte" xfId="1104"/>
    <cellStyle name="Lien hypertexte visité" xfId="1105"/>
    <cellStyle name="Lines" xfId="2584"/>
    <cellStyle name="link:# [0,000]" xfId="2948"/>
    <cellStyle name="link:Text" xfId="2947"/>
    <cellStyle name="Linked" xfId="1106"/>
    <cellStyle name="Linked Cell" xfId="504" builtinId="24" customBuiltin="1"/>
    <cellStyle name="Linked Cell 2" xfId="505"/>
    <cellStyle name="Linked Cell 2 2" xfId="1107"/>
    <cellStyle name="Linked Cell 3" xfId="2274"/>
    <cellStyle name="Linked Cell 4" xfId="2275"/>
    <cellStyle name="Linked Cell 5" xfId="2276"/>
    <cellStyle name="Linked Cell 6" xfId="2277"/>
    <cellStyle name="M" xfId="506"/>
    <cellStyle name="M 10" xfId="2666"/>
    <cellStyle name="m 11" xfId="2683"/>
    <cellStyle name="m 12" xfId="2686"/>
    <cellStyle name="m 2" xfId="1108"/>
    <cellStyle name="M 3" xfId="1904"/>
    <cellStyle name="M 4" xfId="2585"/>
    <cellStyle name="M 5" xfId="2602"/>
    <cellStyle name="M 6" xfId="2625"/>
    <cellStyle name="M 7" xfId="2636"/>
    <cellStyle name="M 8" xfId="2643"/>
    <cellStyle name="M 9" xfId="2654"/>
    <cellStyle name="m/d/yy" xfId="507"/>
    <cellStyle name="m2" xfId="1109"/>
    <cellStyle name="Main Title" xfId="1110"/>
    <cellStyle name="Main Title 2" xfId="1111"/>
    <cellStyle name="Margin" xfId="1112"/>
    <cellStyle name="Memo" xfId="1113"/>
    <cellStyle name="MemoLbl" xfId="1114"/>
    <cellStyle name="MemoLbl 2" xfId="1115"/>
    <cellStyle name="MemoPct_Wide" xfId="1116"/>
    <cellStyle name="MemoPercent" xfId="1117"/>
    <cellStyle name="MemoPercent 2" xfId="1118"/>
    <cellStyle name="MemoTitle" xfId="1119"/>
    <cellStyle name="MemoTitleItal" xfId="1120"/>
    <cellStyle name="MemoValue" xfId="1121"/>
    <cellStyle name="MemoValue 2" xfId="1122"/>
    <cellStyle name="MemoValueRow18" xfId="1123"/>
    <cellStyle name="MemoValueRow18 2" xfId="1124"/>
    <cellStyle name="MemoValueWide" xfId="1125"/>
    <cellStyle name="MemoValueWide 2" xfId="1126"/>
    <cellStyle name="Migliaia (0)_All 2" xfId="1127"/>
    <cellStyle name="Migliaia_All 2" xfId="1128"/>
    <cellStyle name="Millares [0]_2AV_M_M " xfId="1129"/>
    <cellStyle name="Millares_2AV_M_M " xfId="1130"/>
    <cellStyle name="Milliers [0] 2" xfId="2942"/>
    <cellStyle name="Milliers [0]_comparable" xfId="1131"/>
    <cellStyle name="Milliers 2" xfId="2941"/>
    <cellStyle name="Milliers_comparable" xfId="1132"/>
    <cellStyle name="MLComma0" xfId="508"/>
    <cellStyle name="MLComma0 2" xfId="1881"/>
    <cellStyle name="MLPercent0" xfId="509"/>
    <cellStyle name="MLPercent0 2" xfId="1882"/>
    <cellStyle name="Moneda [0]_2AV_M_M " xfId="1133"/>
    <cellStyle name="Moneda_2AV_M_M " xfId="1134"/>
    <cellStyle name="Monétaire [0]_comparable" xfId="1135"/>
    <cellStyle name="Monétaire 2" xfId="2943"/>
    <cellStyle name="Monétaire_comparable" xfId="1136"/>
    <cellStyle name="Month" xfId="510"/>
    <cellStyle name="Month-long" xfId="511"/>
    <cellStyle name="Month-short" xfId="512"/>
    <cellStyle name="Mon-yr" xfId="513"/>
    <cellStyle name="Ms" xfId="1137"/>
    <cellStyle name="mt" xfId="1138"/>
    <cellStyle name="Multiple" xfId="514"/>
    <cellStyle name="Multiple [1]" xfId="515"/>
    <cellStyle name="Multiple 10" xfId="2685"/>
    <cellStyle name="Multiple 11" xfId="2684"/>
    <cellStyle name="Multiple 2" xfId="1140"/>
    <cellStyle name="Multiple 3" xfId="1139"/>
    <cellStyle name="Multiple 4" xfId="1878"/>
    <cellStyle name="Multiple 5" xfId="1885"/>
    <cellStyle name="Multiple 6" xfId="1879"/>
    <cellStyle name="Multiple 7" xfId="1884"/>
    <cellStyle name="Multiple 8" xfId="1880"/>
    <cellStyle name="Multiple 9" xfId="1883"/>
    <cellStyle name="Multiple_Quarterly Fin" xfId="516"/>
    <cellStyle name="n2" xfId="1141"/>
    <cellStyle name="n2 2" xfId="1142"/>
    <cellStyle name="NA is zero" xfId="517"/>
    <cellStyle name="Name" xfId="1143"/>
    <cellStyle name="Neutral" xfId="518" builtinId="28" customBuiltin="1"/>
    <cellStyle name="Neutral 2" xfId="519"/>
    <cellStyle name="Neutral 2 2" xfId="1144"/>
    <cellStyle name="Neutral 2 3" xfId="2586"/>
    <cellStyle name="Neutral 3" xfId="2278"/>
    <cellStyle name="Neutral 4" xfId="2279"/>
    <cellStyle name="Neutral 5" xfId="2280"/>
    <cellStyle name="Neutral 6" xfId="2281"/>
    <cellStyle name="no" xfId="1145"/>
    <cellStyle name="no dec" xfId="520"/>
    <cellStyle name="No.s to 1dp" xfId="1146"/>
    <cellStyle name="NonPrint_Heading" xfId="1147"/>
    <cellStyle name="Normal" xfId="0" builtinId="0"/>
    <cellStyle name="Normal - Style1" xfId="521"/>
    <cellStyle name="Normal - Style1 11" xfId="2842"/>
    <cellStyle name="Normal - Style1 2_Project CF &amp; Project Structures" xfId="2836"/>
    <cellStyle name="Normal - Style2" xfId="522"/>
    <cellStyle name="Normal - Style3" xfId="523"/>
    <cellStyle name="Normal [0]" xfId="524"/>
    <cellStyle name="Normal [1]" xfId="525"/>
    <cellStyle name="Normal [1] 2" xfId="1910"/>
    <cellStyle name="Normal [2]" xfId="526"/>
    <cellStyle name="Normal [3]" xfId="527"/>
    <cellStyle name="Normal 10" xfId="1148"/>
    <cellStyle name="Normal 10 11" xfId="2889"/>
    <cellStyle name="Normal 10 2" xfId="2282"/>
    <cellStyle name="Normal 10 3" xfId="2587"/>
    <cellStyle name="Normal 10 4" xfId="2912"/>
    <cellStyle name="Normal 11" xfId="1149"/>
    <cellStyle name="Normal 11 2" xfId="2283"/>
    <cellStyle name="Normal 11 3" xfId="2588"/>
    <cellStyle name="Normal 12" xfId="1150"/>
    <cellStyle name="Normal 12 2" xfId="2284"/>
    <cellStyle name="Normal 12 3" xfId="2589"/>
    <cellStyle name="Normal 13" xfId="1151"/>
    <cellStyle name="Normal 13 2" xfId="2285"/>
    <cellStyle name="Normal 13 3" xfId="2590"/>
    <cellStyle name="Normal 14" xfId="1152"/>
    <cellStyle name="Normal 14 2" xfId="2286"/>
    <cellStyle name="Normal 14 3" xfId="2591"/>
    <cellStyle name="Normal 14 4" xfId="2637"/>
    <cellStyle name="Normal 14 5" xfId="2655"/>
    <cellStyle name="Normal 14 6" xfId="2667"/>
    <cellStyle name="Normal 14 7" xfId="2741"/>
    <cellStyle name="Normal 14 8" xfId="2763"/>
    <cellStyle name="Normal 14 9" xfId="2780"/>
    <cellStyle name="Normal 15" xfId="1153"/>
    <cellStyle name="Normal 15 2" xfId="2288"/>
    <cellStyle name="Normal 15 2 2" xfId="2289"/>
    <cellStyle name="Normal 15 2 2 2" xfId="2290"/>
    <cellStyle name="Normal 15 2 3" xfId="2291"/>
    <cellStyle name="Normal 15 3" xfId="2292"/>
    <cellStyle name="Normal 15 3 2" xfId="2293"/>
    <cellStyle name="Normal 15 3 2 2" xfId="2294"/>
    <cellStyle name="Normal 15 3 3" xfId="2295"/>
    <cellStyle name="Normal 15 4" xfId="2296"/>
    <cellStyle name="Normal 15 4 2" xfId="2297"/>
    <cellStyle name="Normal 15 5" xfId="2298"/>
    <cellStyle name="Normal 15 6" xfId="2287"/>
    <cellStyle name="Normal 15 7" xfId="2592"/>
    <cellStyle name="Normal 16" xfId="1154"/>
    <cellStyle name="Normal 16 2" xfId="1636"/>
    <cellStyle name="Normal 16 2 2" xfId="2688"/>
    <cellStyle name="Normal 16 3" xfId="2299"/>
    <cellStyle name="Normal 16 4" xfId="2687"/>
    <cellStyle name="Normal 17" xfId="1155"/>
    <cellStyle name="Normal 17 2" xfId="1637"/>
    <cellStyle name="Normal 17 2 2" xfId="2690"/>
    <cellStyle name="Normal 17 3" xfId="2300"/>
    <cellStyle name="Normal 17 4" xfId="2689"/>
    <cellStyle name="Normal 18" xfId="1156"/>
    <cellStyle name="Normal 18 2" xfId="1638"/>
    <cellStyle name="Normal 18 2 2" xfId="2692"/>
    <cellStyle name="Normal 18 2 3" xfId="2838"/>
    <cellStyle name="Normal 18 2 8 2 2" xfId="2894"/>
    <cellStyle name="Normal 18 3" xfId="2301"/>
    <cellStyle name="Normal 18 4" xfId="2691"/>
    <cellStyle name="Normal 19" xfId="1916"/>
    <cellStyle name="Normal 19 2" xfId="2302"/>
    <cellStyle name="Normal 19 3" xfId="2693"/>
    <cellStyle name="Normal 2" xfId="528"/>
    <cellStyle name="Normal 2 10 2" xfId="2881"/>
    <cellStyle name="Normal 2 16 2" xfId="2882"/>
    <cellStyle name="Normal 2 17" xfId="2818"/>
    <cellStyle name="Normal 2 17 2" xfId="2888"/>
    <cellStyle name="Normal 2 2" xfId="629"/>
    <cellStyle name="Normal 2 2 2" xfId="1158"/>
    <cellStyle name="Normal 2 2 2 2" xfId="2304"/>
    <cellStyle name="Normal 2 2 3" xfId="2303"/>
    <cellStyle name="Normal 2 2 3 2" xfId="2694"/>
    <cellStyle name="Normal 2 2 4" xfId="2845"/>
    <cellStyle name="Normal 2 2 7" xfId="2883"/>
    <cellStyle name="Normal 2 3" xfId="1157"/>
    <cellStyle name="Normal 2 3 10" xfId="2959"/>
    <cellStyle name="Normal 2 3 2" xfId="2593"/>
    <cellStyle name="Normal 2 3 3" xfId="2638"/>
    <cellStyle name="Normal 2 3 4" xfId="2656"/>
    <cellStyle name="Normal 2 3 5" xfId="2668"/>
    <cellStyle name="Normal 2 3 6" xfId="2742"/>
    <cellStyle name="Normal 2 3 7" xfId="2764"/>
    <cellStyle name="Normal 2 3 8" xfId="2781"/>
    <cellStyle name="Normal 2 3 9" xfId="2841"/>
    <cellStyle name="Normal 2 4" xfId="653"/>
    <cellStyle name="Normal 2 4 2" xfId="2305"/>
    <cellStyle name="Normal 2 4 2 2" xfId="2695"/>
    <cellStyle name="Normal 2 5" xfId="2306"/>
    <cellStyle name="Normal 2 6" xfId="2835"/>
    <cellStyle name="Normal 2 7" xfId="2921"/>
    <cellStyle name="Normal 2_Adjustment WP" xfId="2307"/>
    <cellStyle name="Normal 20" xfId="1159"/>
    <cellStyle name="Normal 20 2" xfId="2308"/>
    <cellStyle name="Normal 206" xfId="2844"/>
    <cellStyle name="Normal 206 2" xfId="2890"/>
    <cellStyle name="Normal 206 3" xfId="2885"/>
    <cellStyle name="Normal 21" xfId="2309"/>
    <cellStyle name="Normal 21 2" xfId="2696"/>
    <cellStyle name="Normal 22" xfId="2310"/>
    <cellStyle name="Normal 22 2" xfId="2697"/>
    <cellStyle name="Normal 23" xfId="2311"/>
    <cellStyle name="Normal 23 2" xfId="2698"/>
    <cellStyle name="Normal 24" xfId="2312"/>
    <cellStyle name="Normal 24 2" xfId="2699"/>
    <cellStyle name="Normal 25" xfId="2313"/>
    <cellStyle name="Normal 25 2" xfId="2700"/>
    <cellStyle name="Normal 26" xfId="2314"/>
    <cellStyle name="Normal 26 2" xfId="2701"/>
    <cellStyle name="Normal 27" xfId="2315"/>
    <cellStyle name="Normal 27 2" xfId="2702"/>
    <cellStyle name="Normal 28" xfId="2316"/>
    <cellStyle name="Normal 28 2" xfId="2703"/>
    <cellStyle name="Normal 29" xfId="2317"/>
    <cellStyle name="Normal 29 2" xfId="2704"/>
    <cellStyle name="Normal 3" xfId="529"/>
    <cellStyle name="Normal 3 10" xfId="2813"/>
    <cellStyle name="Normal 3 11" xfId="2928"/>
    <cellStyle name="Normal 3 188" xfId="2887"/>
    <cellStyle name="Normal 3 2" xfId="1160"/>
    <cellStyle name="Normal 3 2 2" xfId="2318"/>
    <cellStyle name="Normal 3 2 3" xfId="2851"/>
    <cellStyle name="Normal 3 2 4" xfId="2935"/>
    <cellStyle name="Normal 3 3" xfId="2319"/>
    <cellStyle name="Normal 3 3 2" xfId="2706"/>
    <cellStyle name="Normal 3 3 3" xfId="2705"/>
    <cellStyle name="Normal 3 4" xfId="2320"/>
    <cellStyle name="Normal 3 4 2" xfId="2707"/>
    <cellStyle name="Normal 3 5" xfId="2321"/>
    <cellStyle name="Normal 3 6" xfId="2322"/>
    <cellStyle name="Normal 3 7" xfId="2323"/>
    <cellStyle name="Normal 3 8" xfId="2324"/>
    <cellStyle name="Normal 3 9" xfId="2805"/>
    <cellStyle name="Normal 3_108 Summary" xfId="2325"/>
    <cellStyle name="Normal 30" xfId="2326"/>
    <cellStyle name="Normal 30 2" xfId="2732"/>
    <cellStyle name="Normal 31" xfId="2327"/>
    <cellStyle name="Normal 32" xfId="2328"/>
    <cellStyle name="Normal 33" xfId="2329"/>
    <cellStyle name="Normal 34" xfId="2330"/>
    <cellStyle name="Normal 35" xfId="1161"/>
    <cellStyle name="Normal 35 2" xfId="2332"/>
    <cellStyle name="Normal 35 2 2" xfId="2333"/>
    <cellStyle name="Normal 35 2 2 2" xfId="2334"/>
    <cellStyle name="Normal 35 2 3" xfId="2335"/>
    <cellStyle name="Normal 35 3" xfId="2336"/>
    <cellStyle name="Normal 35 3 2" xfId="2337"/>
    <cellStyle name="Normal 35 3 2 2" xfId="2338"/>
    <cellStyle name="Normal 35 3 3" xfId="2339"/>
    <cellStyle name="Normal 35 4" xfId="2340"/>
    <cellStyle name="Normal 35 4 2" xfId="2341"/>
    <cellStyle name="Normal 35 5" xfId="2342"/>
    <cellStyle name="Normal 35 6" xfId="2331"/>
    <cellStyle name="Normal 36" xfId="2343"/>
    <cellStyle name="Normal 36 2" xfId="2344"/>
    <cellStyle name="Normal 37" xfId="1919"/>
    <cellStyle name="Normal 38" xfId="2566"/>
    <cellStyle name="Normal 39" xfId="2617"/>
    <cellStyle name="Normal 4" xfId="530"/>
    <cellStyle name="Normal 4 2" xfId="624"/>
    <cellStyle name="Normal 4 2 2" xfId="1162"/>
    <cellStyle name="Normal 4 2 3" xfId="2345"/>
    <cellStyle name="Normal 4 2 4" xfId="2895"/>
    <cellStyle name="Normal 4 3" xfId="1163"/>
    <cellStyle name="Normal 4 3 2" xfId="2346"/>
    <cellStyle name="Normal 4 3 2 2" xfId="2819"/>
    <cellStyle name="Normal 4 4" xfId="2347"/>
    <cellStyle name="Normal 4 5" xfId="2348"/>
    <cellStyle name="Normal 4 6" xfId="2594"/>
    <cellStyle name="Normal 4 7" xfId="2843"/>
    <cellStyle name="Normal 40" xfId="2629"/>
    <cellStyle name="Normal 41" xfId="2631"/>
    <cellStyle name="Normal 42" xfId="2647"/>
    <cellStyle name="Normal 43" xfId="2649"/>
    <cellStyle name="Normal 44" xfId="2661"/>
    <cellStyle name="Normal 45" xfId="2735"/>
    <cellStyle name="Normal 46" xfId="2753"/>
    <cellStyle name="Normal 47" xfId="2755"/>
    <cellStyle name="Normal 48" xfId="2757"/>
    <cellStyle name="Normal 49" xfId="2758"/>
    <cellStyle name="Normal 5" xfId="627"/>
    <cellStyle name="Normal 5 2" xfId="650"/>
    <cellStyle name="Normal 5 2 2" xfId="2349"/>
    <cellStyle name="Normal 5 3" xfId="1164"/>
    <cellStyle name="Normal 5 4" xfId="2852"/>
    <cellStyle name="Normal 5 5" xfId="2931"/>
    <cellStyle name="Normal 50" xfId="2771"/>
    <cellStyle name="Normal 51" xfId="2772"/>
    <cellStyle name="Normal 51 2" xfId="2832"/>
    <cellStyle name="Normal 52" xfId="2794"/>
    <cellStyle name="Normal 53" xfId="2797"/>
    <cellStyle name="Normal 54" xfId="2799"/>
    <cellStyle name="Normal 55" xfId="2795"/>
    <cellStyle name="Normal 56" xfId="2801"/>
    <cellStyle name="Normal 57" xfId="2802"/>
    <cellStyle name="Normal 57 2" xfId="2848"/>
    <cellStyle name="Normal 58" xfId="2808"/>
    <cellStyle name="Normal 58 5" xfId="2849"/>
    <cellStyle name="Normal 59" xfId="2810"/>
    <cellStyle name="Normal 6" xfId="631"/>
    <cellStyle name="Normal 6 10" xfId="2351"/>
    <cellStyle name="Normal 6 10 2" xfId="2352"/>
    <cellStyle name="Normal 6 10 2 2" xfId="2353"/>
    <cellStyle name="Normal 6 10 3" xfId="2354"/>
    <cellStyle name="Normal 6 11" xfId="2350"/>
    <cellStyle name="Normal 6 12" xfId="2595"/>
    <cellStyle name="Normal 6 13" xfId="2837"/>
    <cellStyle name="Normal 6 14" xfId="2936"/>
    <cellStyle name="Normal 6 2" xfId="651"/>
    <cellStyle name="Normal 6 2 2" xfId="2356"/>
    <cellStyle name="Normal 6 2 2 2" xfId="2357"/>
    <cellStyle name="Normal 6 2 2 2 2" xfId="2358"/>
    <cellStyle name="Normal 6 2 2 3" xfId="2359"/>
    <cellStyle name="Normal 6 2 3" xfId="2360"/>
    <cellStyle name="Normal 6 2 3 2" xfId="2361"/>
    <cellStyle name="Normal 6 2 3 2 2" xfId="2362"/>
    <cellStyle name="Normal 6 2 3 3" xfId="2363"/>
    <cellStyle name="Normal 6 2 4" xfId="2364"/>
    <cellStyle name="Normal 6 2 4 2" xfId="2365"/>
    <cellStyle name="Normal 6 2 5" xfId="2366"/>
    <cellStyle name="Normal 6 2 6" xfId="2355"/>
    <cellStyle name="Normal 6 3" xfId="1165"/>
    <cellStyle name="Normal 6 3 2" xfId="2368"/>
    <cellStyle name="Normal 6 3 2 2" xfId="2369"/>
    <cellStyle name="Normal 6 3 2 2 2" xfId="2370"/>
    <cellStyle name="Normal 6 3 2 3" xfId="2371"/>
    <cellStyle name="Normal 6 3 3" xfId="2372"/>
    <cellStyle name="Normal 6 3 3 2" xfId="2373"/>
    <cellStyle name="Normal 6 3 3 2 2" xfId="2374"/>
    <cellStyle name="Normal 6 3 3 3" xfId="2375"/>
    <cellStyle name="Normal 6 3 4" xfId="2376"/>
    <cellStyle name="Normal 6 3 4 2" xfId="2377"/>
    <cellStyle name="Normal 6 3 5" xfId="2378"/>
    <cellStyle name="Normal 6 3 6" xfId="2367"/>
    <cellStyle name="Normal 6 4" xfId="2379"/>
    <cellStyle name="Normal 6 4 2" xfId="2380"/>
    <cellStyle name="Normal 6 4 2 2" xfId="2381"/>
    <cellStyle name="Normal 6 4 2 2 2" xfId="2382"/>
    <cellStyle name="Normal 6 4 2 3" xfId="2383"/>
    <cellStyle name="Normal 6 4 3" xfId="2384"/>
    <cellStyle name="Normal 6 4 3 2" xfId="2385"/>
    <cellStyle name="Normal 6 4 3 2 2" xfId="2386"/>
    <cellStyle name="Normal 6 4 3 3" xfId="2387"/>
    <cellStyle name="Normal 6 4 4" xfId="2388"/>
    <cellStyle name="Normal 6 4 4 2" xfId="2389"/>
    <cellStyle name="Normal 6 4 5" xfId="2390"/>
    <cellStyle name="Normal 6 5" xfId="2391"/>
    <cellStyle name="Normal 6 5 2" xfId="2392"/>
    <cellStyle name="Normal 6 5 2 2" xfId="2393"/>
    <cellStyle name="Normal 6 5 2 2 2" xfId="2394"/>
    <cellStyle name="Normal 6 5 2 3" xfId="2395"/>
    <cellStyle name="Normal 6 5 3" xfId="2396"/>
    <cellStyle name="Normal 6 5 3 2" xfId="2397"/>
    <cellStyle name="Normal 6 5 3 2 2" xfId="2398"/>
    <cellStyle name="Normal 6 5 3 3" xfId="2399"/>
    <cellStyle name="Normal 6 5 4" xfId="2400"/>
    <cellStyle name="Normal 6 5 4 2" xfId="2401"/>
    <cellStyle name="Normal 6 5 5" xfId="2402"/>
    <cellStyle name="Normal 6 6" xfId="2403"/>
    <cellStyle name="Normal 6 6 2" xfId="2404"/>
    <cellStyle name="Normal 6 6 2 2" xfId="2405"/>
    <cellStyle name="Normal 6 6 2 2 2" xfId="2406"/>
    <cellStyle name="Normal 6 6 2 3" xfId="2407"/>
    <cellStyle name="Normal 6 6 3" xfId="2408"/>
    <cellStyle name="Normal 6 6 3 2" xfId="2409"/>
    <cellStyle name="Normal 6 6 3 2 2" xfId="2410"/>
    <cellStyle name="Normal 6 6 3 3" xfId="2411"/>
    <cellStyle name="Normal 6 6 4" xfId="2412"/>
    <cellStyle name="Normal 6 6 4 2" xfId="2413"/>
    <cellStyle name="Normal 6 6 5" xfId="2414"/>
    <cellStyle name="Normal 6 7" xfId="2415"/>
    <cellStyle name="Normal 6 7 2" xfId="2416"/>
    <cellStyle name="Normal 6 7 2 2" xfId="2417"/>
    <cellStyle name="Normal 6 7 2 2 2" xfId="2418"/>
    <cellStyle name="Normal 6 7 2 3" xfId="2419"/>
    <cellStyle name="Normal 6 7 3" xfId="2420"/>
    <cellStyle name="Normal 6 7 3 2" xfId="2421"/>
    <cellStyle name="Normal 6 7 3 2 2" xfId="2422"/>
    <cellStyle name="Normal 6 7 3 3" xfId="2423"/>
    <cellStyle name="Normal 6 7 4" xfId="2424"/>
    <cellStyle name="Normal 6 7 4 2" xfId="2425"/>
    <cellStyle name="Normal 6 7 5" xfId="2426"/>
    <cellStyle name="Normal 6 8" xfId="2427"/>
    <cellStyle name="Normal 6 8 2" xfId="2428"/>
    <cellStyle name="Normal 6 8 2 2" xfId="2429"/>
    <cellStyle name="Normal 6 8 2 2 2" xfId="2430"/>
    <cellStyle name="Normal 6 8 2 3" xfId="2431"/>
    <cellStyle name="Normal 6 8 3" xfId="2432"/>
    <cellStyle name="Normal 6 8 3 2" xfId="2433"/>
    <cellStyle name="Normal 6 8 3 2 2" xfId="2434"/>
    <cellStyle name="Normal 6 8 3 3" xfId="2435"/>
    <cellStyle name="Normal 6 8 4" xfId="2436"/>
    <cellStyle name="Normal 6 8 4 2" xfId="2437"/>
    <cellStyle name="Normal 6 8 5" xfId="2438"/>
    <cellStyle name="Normal 6 9" xfId="2439"/>
    <cellStyle name="Normal 60" xfId="2815"/>
    <cellStyle name="Normal 61" xfId="2917"/>
    <cellStyle name="Normal 7" xfId="1166"/>
    <cellStyle name="Normal 7 2" xfId="2440"/>
    <cellStyle name="Normal 7 3" xfId="2596"/>
    <cellStyle name="Normal 7 4" xfId="2897"/>
    <cellStyle name="Normal 7 5" xfId="2940"/>
    <cellStyle name="Normal 72 2" xfId="2880"/>
    <cellStyle name="Normal 8" xfId="1167"/>
    <cellStyle name="Normal 8 2" xfId="1168"/>
    <cellStyle name="Normal 8 3" xfId="1169"/>
    <cellStyle name="Normal 8 4" xfId="2441"/>
    <cellStyle name="Normal 8 5" xfId="2597"/>
    <cellStyle name="Normal 8 6" xfId="2899"/>
    <cellStyle name="Normal 9" xfId="1170"/>
    <cellStyle name="Normal 9 2" xfId="2442"/>
    <cellStyle name="Normal 9 3" xfId="2598"/>
    <cellStyle name="Normal 9 4" xfId="2909"/>
    <cellStyle name="Normal Bold" xfId="531"/>
    <cellStyle name="Normal Pct" xfId="532"/>
    <cellStyle name="Normal_RateReturn_AFUDC" xfId="533"/>
    <cellStyle name="normal5" xfId="534"/>
    <cellStyle name="Normale_All 2" xfId="1171"/>
    <cellStyle name="NormalGB" xfId="535"/>
    <cellStyle name="NOT" xfId="1172"/>
    <cellStyle name="Note" xfId="536" builtinId="10" customBuiltin="1"/>
    <cellStyle name="Note 10" xfId="2443"/>
    <cellStyle name="Note 11" xfId="2444"/>
    <cellStyle name="Note 2" xfId="537"/>
    <cellStyle name="Note 2 2" xfId="1173"/>
    <cellStyle name="Note 2 2 2" xfId="2446"/>
    <cellStyle name="Note 2 3" xfId="1886"/>
    <cellStyle name="Note 2 4" xfId="2445"/>
    <cellStyle name="Note 2_Allocators" xfId="2447"/>
    <cellStyle name="Note 3" xfId="625"/>
    <cellStyle name="Note 3 2" xfId="1174"/>
    <cellStyle name="Note 3 2 2" xfId="2449"/>
    <cellStyle name="Note 3 3" xfId="2450"/>
    <cellStyle name="Note 3 4" xfId="2448"/>
    <cellStyle name="Note 3_Allocators" xfId="2451"/>
    <cellStyle name="Note 4" xfId="2452"/>
    <cellStyle name="Note 4 2" xfId="2453"/>
    <cellStyle name="Note 4_Allocators" xfId="2454"/>
    <cellStyle name="Note 5" xfId="2455"/>
    <cellStyle name="Note 6" xfId="2456"/>
    <cellStyle name="Note 6 2" xfId="2457"/>
    <cellStyle name="Note 6_Allocators" xfId="2458"/>
    <cellStyle name="Note 7" xfId="2459"/>
    <cellStyle name="Note 7 2" xfId="2460"/>
    <cellStyle name="Note 8" xfId="2461"/>
    <cellStyle name="Note 9" xfId="2462"/>
    <cellStyle name="Notes" xfId="1175"/>
    <cellStyle name="nPlosion" xfId="538"/>
    <cellStyle name="NPPESalesPct" xfId="539"/>
    <cellStyle name="ntec" xfId="540"/>
    <cellStyle name="Number" xfId="1176"/>
    <cellStyle name="NumberFormat" xfId="1177"/>
    <cellStyle name="nvision" xfId="541"/>
    <cellStyle name="NWI%S" xfId="542"/>
    <cellStyle name="Œ…‹æØ‚è [0.00]_GE 3 MINIMUM" xfId="1178"/>
    <cellStyle name="Œ…‹æØ‚è_GE 3 MINIMUM" xfId="1179"/>
    <cellStyle name="Offsheet" xfId="2829"/>
    <cellStyle name="outh America" xfId="1180"/>
    <cellStyle name="outh America 2" xfId="1181"/>
    <cellStyle name="outh America 3" xfId="1182"/>
    <cellStyle name="outh America 4" xfId="1183"/>
    <cellStyle name="Outlined" xfId="543"/>
    <cellStyle name="Output" xfId="544" builtinId="21" customBuiltin="1"/>
    <cellStyle name="Output 2" xfId="545"/>
    <cellStyle name="Output 2 2" xfId="1184"/>
    <cellStyle name="Output 3" xfId="2463"/>
    <cellStyle name="Output 4" xfId="2464"/>
    <cellStyle name="Output 5" xfId="2465"/>
    <cellStyle name="Output 6" xfId="2466"/>
    <cellStyle name="p" xfId="1185"/>
    <cellStyle name="p_WACC benchmarking" xfId="1186"/>
    <cellStyle name="p1" xfId="1187"/>
    <cellStyle name="Page Heading Large" xfId="546"/>
    <cellStyle name="Page Heading Large 2" xfId="1189"/>
    <cellStyle name="Page Heading Large 3" xfId="1190"/>
    <cellStyle name="Page Heading Large 4" xfId="1191"/>
    <cellStyle name="Page Heading Large 5" xfId="1188"/>
    <cellStyle name="Page Heading Small" xfId="547"/>
    <cellStyle name="Page Heading Small 2" xfId="1193"/>
    <cellStyle name="Page Heading Small 3" xfId="1194"/>
    <cellStyle name="Page Heading Small 4" xfId="1195"/>
    <cellStyle name="Page Heading Small 5" xfId="1192"/>
    <cellStyle name="Page Number" xfId="548"/>
    <cellStyle name="Page Number 2" xfId="1197"/>
    <cellStyle name="Page Number 3" xfId="1196"/>
    <cellStyle name="Page Title" xfId="549"/>
    <cellStyle name="Parent row" xfId="2904"/>
    <cellStyle name="PctChg" xfId="1198"/>
    <cellStyle name="PctChgCol" xfId="1199"/>
    <cellStyle name="pd" xfId="1200"/>
    <cellStyle name="pe" xfId="1201"/>
    <cellStyle name="pe 2" xfId="1202"/>
    <cellStyle name="per" xfId="1203"/>
    <cellStyle name="per m3" xfId="550"/>
    <cellStyle name="per Ton" xfId="551"/>
    <cellStyle name="Percen - Style1" xfId="552"/>
    <cellStyle name="Percen - Style1 2" xfId="1204"/>
    <cellStyle name="Percent" xfId="553" builtinId="5"/>
    <cellStyle name="Percent [.00%]" xfId="554"/>
    <cellStyle name="Percent [0]" xfId="555"/>
    <cellStyle name="Percent [0] 2" xfId="1206"/>
    <cellStyle name="Percent [0] 3" xfId="1887"/>
    <cellStyle name="Percent [0] 4" xfId="2846"/>
    <cellStyle name="Percent [1]" xfId="556"/>
    <cellStyle name="Percent [1] 2" xfId="1207"/>
    <cellStyle name="Percent [2]" xfId="557"/>
    <cellStyle name="Percent [2] 2" xfId="1209"/>
    <cellStyle name="Percent [2] 3" xfId="1210"/>
    <cellStyle name="Percent [2] 4" xfId="1211"/>
    <cellStyle name="Percent [2] 5" xfId="1208"/>
    <cellStyle name="Percent [2] 6" xfId="1888"/>
    <cellStyle name="Percent 00" xfId="1212"/>
    <cellStyle name="Percent 10" xfId="634"/>
    <cellStyle name="Percent 10 2" xfId="1213"/>
    <cellStyle name="Percent 10 3" xfId="2468"/>
    <cellStyle name="Percent 10 4" xfId="2807"/>
    <cellStyle name="Percent 11" xfId="1214"/>
    <cellStyle name="Percent 12" xfId="1215"/>
    <cellStyle name="Percent 13" xfId="1216"/>
    <cellStyle name="Percent 13 2" xfId="2470"/>
    <cellStyle name="Percent 13 2 2" xfId="2471"/>
    <cellStyle name="Percent 13 2 2 2" xfId="2472"/>
    <cellStyle name="Percent 13 2 3" xfId="2473"/>
    <cellStyle name="Percent 13 3" xfId="2474"/>
    <cellStyle name="Percent 13 3 2" xfId="2475"/>
    <cellStyle name="Percent 13 3 2 2" xfId="2476"/>
    <cellStyle name="Percent 13 3 3" xfId="2477"/>
    <cellStyle name="Percent 13 4" xfId="2478"/>
    <cellStyle name="Percent 13 4 2" xfId="2479"/>
    <cellStyle name="Percent 13 5" xfId="2480"/>
    <cellStyle name="Percent 13 6" xfId="2469"/>
    <cellStyle name="Percent 14" xfId="1205"/>
    <cellStyle name="Percent 14 2" xfId="1639"/>
    <cellStyle name="Percent 15" xfId="1918"/>
    <cellStyle name="Percent 15 2" xfId="2708"/>
    <cellStyle name="Percent 16" xfId="2467"/>
    <cellStyle name="Percent 16 2" xfId="2709"/>
    <cellStyle name="Percent 17" xfId="2599"/>
    <cellStyle name="Percent 17 2" xfId="2710"/>
    <cellStyle name="Percent 18" xfId="2579"/>
    <cellStyle name="Percent 18 2" xfId="2711"/>
    <cellStyle name="Percent 19" xfId="2572"/>
    <cellStyle name="Percent 19 2" xfId="2712"/>
    <cellStyle name="Percent 2" xfId="558"/>
    <cellStyle name="Percent 2 2" xfId="630"/>
    <cellStyle name="Percent 2 2 2" xfId="2481"/>
    <cellStyle name="Percent 2 2 3" xfId="2884"/>
    <cellStyle name="Percent 2 2 4" xfId="2956"/>
    <cellStyle name="Percent 2 3" xfId="1217"/>
    <cellStyle name="Percent 2 3 2" xfId="2714"/>
    <cellStyle name="Percent 2 3 3" xfId="2713"/>
    <cellStyle name="Percent 2 4" xfId="2715"/>
    <cellStyle name="Percent 2 5" xfId="2930"/>
    <cellStyle name="Percent 20" xfId="2639"/>
    <cellStyle name="Percent 20 2" xfId="2716"/>
    <cellStyle name="Percent 21" xfId="2640"/>
    <cellStyle name="Percent 21 2" xfId="2717"/>
    <cellStyle name="Percent 22" xfId="2657"/>
    <cellStyle name="Percent 22 2" xfId="2718"/>
    <cellStyle name="Percent 23" xfId="2669"/>
    <cellStyle name="Percent 23 2" xfId="2719"/>
    <cellStyle name="Percent 24" xfId="2720"/>
    <cellStyle name="Percent 25" xfId="2721"/>
    <cellStyle name="Percent 26" xfId="2722"/>
    <cellStyle name="Percent 27" xfId="2723"/>
    <cellStyle name="Percent 28" xfId="2724"/>
    <cellStyle name="Percent 29" xfId="2725"/>
    <cellStyle name="Percent 3" xfId="626"/>
    <cellStyle name="Percent 3 2" xfId="1218"/>
    <cellStyle name="Percent 3 2 2" xfId="2483"/>
    <cellStyle name="Percent 3 2 3" xfId="2726"/>
    <cellStyle name="Percent 3 2 4" xfId="2839"/>
    <cellStyle name="Percent 3 3" xfId="2484"/>
    <cellStyle name="Percent 3 3 2" xfId="2727"/>
    <cellStyle name="Percent 3 3 3" xfId="2821"/>
    <cellStyle name="Percent 3 4" xfId="2485"/>
    <cellStyle name="Percent 3 5" xfId="2486"/>
    <cellStyle name="Percent 3 6" xfId="2487"/>
    <cellStyle name="Percent 3 7" xfId="2482"/>
    <cellStyle name="Percent 3 8" xfId="2933"/>
    <cellStyle name="Percent 30" xfId="2733"/>
    <cellStyle name="Percent 30 2" xfId="2831"/>
    <cellStyle name="Percent 31" xfId="2744"/>
    <cellStyle name="Percent 32" xfId="2745"/>
    <cellStyle name="Percent 33" xfId="2743"/>
    <cellStyle name="Percent 34" xfId="2748"/>
    <cellStyle name="Percent 35" xfId="2765"/>
    <cellStyle name="Percent 36" xfId="2768"/>
    <cellStyle name="Percent 37" xfId="2782"/>
    <cellStyle name="Percent 38" xfId="2786"/>
    <cellStyle name="Percent 39" xfId="2783"/>
    <cellStyle name="Percent 4" xfId="619"/>
    <cellStyle name="Percent 4 2" xfId="1219"/>
    <cellStyle name="Percent 4 2 2" xfId="2489"/>
    <cellStyle name="Percent 4 2 3" xfId="2825"/>
    <cellStyle name="Percent 4 3" xfId="2490"/>
    <cellStyle name="Percent 4 4" xfId="2491"/>
    <cellStyle name="Percent 4 5" xfId="2488"/>
    <cellStyle name="Percent 4 6" xfId="2898"/>
    <cellStyle name="Percent 4 7" xfId="2937"/>
    <cellStyle name="Percent 4 8" xfId="2960"/>
    <cellStyle name="Percent 40" xfId="2788"/>
    <cellStyle name="Percent 41" xfId="2787"/>
    <cellStyle name="Percent 42" xfId="2789"/>
    <cellStyle name="Percent 43" xfId="2806"/>
    <cellStyle name="Percent 44" xfId="2809"/>
    <cellStyle name="Percent 45" xfId="2814"/>
    <cellStyle name="Percent 46" xfId="2816"/>
    <cellStyle name="Percent 47" xfId="2918"/>
    <cellStyle name="Percent 5" xfId="649"/>
    <cellStyle name="Percent 5 10" xfId="2766"/>
    <cellStyle name="Percent 5 11" xfId="2784"/>
    <cellStyle name="Percent 5 12" xfId="2906"/>
    <cellStyle name="Percent 5 2" xfId="1221"/>
    <cellStyle name="Percent 5 2 2" xfId="2892"/>
    <cellStyle name="Percent 5 3" xfId="1222"/>
    <cellStyle name="Percent 5 4" xfId="1220"/>
    <cellStyle name="Percent 5 5" xfId="2600"/>
    <cellStyle name="Percent 5 6" xfId="2641"/>
    <cellStyle name="Percent 5 7" xfId="2658"/>
    <cellStyle name="Percent 5 8" xfId="2670"/>
    <cellStyle name="Percent 5 9" xfId="2746"/>
    <cellStyle name="Percent 6" xfId="632"/>
    <cellStyle name="Percent 6 10" xfId="2767"/>
    <cellStyle name="Percent 6 11" xfId="2785"/>
    <cellStyle name="Percent 6 12" xfId="2910"/>
    <cellStyle name="Percent 6 2" xfId="1224"/>
    <cellStyle name="Percent 6 3" xfId="1225"/>
    <cellStyle name="Percent 6 4" xfId="1223"/>
    <cellStyle name="Percent 6 5" xfId="2601"/>
    <cellStyle name="Percent 6 6" xfId="2642"/>
    <cellStyle name="Percent 6 7" xfId="2659"/>
    <cellStyle name="Percent 6 8" xfId="2671"/>
    <cellStyle name="Percent 6 9" xfId="2747"/>
    <cellStyle name="Percent 7" xfId="648"/>
    <cellStyle name="Percent 7 2" xfId="1226"/>
    <cellStyle name="Percent 7 3" xfId="2492"/>
    <cellStyle name="Percent 7 4" xfId="2911"/>
    <cellStyle name="Percent 8" xfId="633"/>
    <cellStyle name="Percent 8 2" xfId="1227"/>
    <cellStyle name="Percent 8 3" xfId="2493"/>
    <cellStyle name="Percent 9" xfId="647"/>
    <cellStyle name="Percent 9 2" xfId="1228"/>
    <cellStyle name="Percent 9 3" xfId="2494"/>
    <cellStyle name="Percent Hard" xfId="559"/>
    <cellStyle name="Percent Hard 2" xfId="1229"/>
    <cellStyle name="Percentage" xfId="1230"/>
    <cellStyle name="Percentage 2" xfId="1231"/>
    <cellStyle name="Percentage 3" xfId="1232"/>
    <cellStyle name="Percentage 4" xfId="1233"/>
    <cellStyle name="PercentSales" xfId="560"/>
    <cellStyle name="pf" xfId="1234"/>
    <cellStyle name="Pound" xfId="1235"/>
    <cellStyle name="Pound [1]" xfId="1236"/>
    <cellStyle name="Pound [2]" xfId="1237"/>
    <cellStyle name="Pourcentage 2" xfId="2944"/>
    <cellStyle name="Power Price" xfId="561"/>
    <cellStyle name="pp" xfId="1238"/>
    <cellStyle name="ppp" xfId="1239"/>
    <cellStyle name="Present Value" xfId="562"/>
    <cellStyle name="Price" xfId="1240"/>
    <cellStyle name="Price 2" xfId="1241"/>
    <cellStyle name="Product Title" xfId="1242"/>
    <cellStyle name="PSChar" xfId="563"/>
    <cellStyle name="PSChar 10" xfId="2922"/>
    <cellStyle name="PSChar 2" xfId="2495"/>
    <cellStyle name="PSChar 2 2" xfId="2496"/>
    <cellStyle name="PSChar 2 3" xfId="2497"/>
    <cellStyle name="PSChar 3" xfId="2498"/>
    <cellStyle name="PSChar 3 2" xfId="2499"/>
    <cellStyle name="PSChar 4" xfId="2500"/>
    <cellStyle name="PSChar 5" xfId="2501"/>
    <cellStyle name="PSChar 6" xfId="2502"/>
    <cellStyle name="PSChar 7" xfId="2603"/>
    <cellStyle name="PSChar 8" xfId="2604"/>
    <cellStyle name="PSChar 9" xfId="2605"/>
    <cellStyle name="PSDate" xfId="564"/>
    <cellStyle name="PSDate 10" xfId="2923"/>
    <cellStyle name="PSDate 2" xfId="2503"/>
    <cellStyle name="PSDate 2 2" xfId="2504"/>
    <cellStyle name="PSDate 2 3" xfId="2505"/>
    <cellStyle name="PSDate 3" xfId="2506"/>
    <cellStyle name="PSDate 3 2" xfId="2507"/>
    <cellStyle name="PSDate 4" xfId="2508"/>
    <cellStyle name="PSDate 5" xfId="2509"/>
    <cellStyle name="PSDate 6" xfId="2510"/>
    <cellStyle name="PSDate 7" xfId="2607"/>
    <cellStyle name="PSDate 8" xfId="2608"/>
    <cellStyle name="PSDate 9" xfId="2609"/>
    <cellStyle name="PSDec" xfId="565"/>
    <cellStyle name="PSDec 10" xfId="2924"/>
    <cellStyle name="PSDec 2" xfId="2511"/>
    <cellStyle name="PSDec 2 2" xfId="2512"/>
    <cellStyle name="PSDec 2 3" xfId="2513"/>
    <cellStyle name="PSDec 3" xfId="2514"/>
    <cellStyle name="PSDec 3 2" xfId="2515"/>
    <cellStyle name="PSDec 4" xfId="2516"/>
    <cellStyle name="PSDec 5" xfId="2517"/>
    <cellStyle name="PSDec 6" xfId="2518"/>
    <cellStyle name="PSDec 7" xfId="2610"/>
    <cellStyle name="PSDec 8" xfId="2611"/>
    <cellStyle name="PSDec 9" xfId="2612"/>
    <cellStyle name="PSHeading" xfId="566"/>
    <cellStyle name="PSHeading 10" xfId="2519"/>
    <cellStyle name="PSHeading 11" xfId="2520"/>
    <cellStyle name="PSHeading 12" xfId="2925"/>
    <cellStyle name="PSHeading 2" xfId="2521"/>
    <cellStyle name="PSHeading 2 2" xfId="2522"/>
    <cellStyle name="PSHeading 2 3" xfId="2523"/>
    <cellStyle name="PSHeading 2_108 Summary" xfId="2524"/>
    <cellStyle name="PSHeading 3" xfId="2525"/>
    <cellStyle name="PSHeading 3 2" xfId="2526"/>
    <cellStyle name="PSHeading 3_108 Summary" xfId="2527"/>
    <cellStyle name="PSHeading 4" xfId="2528"/>
    <cellStyle name="PSHeading 5" xfId="2529"/>
    <cellStyle name="PSHeading 6" xfId="2530"/>
    <cellStyle name="PSHeading 7" xfId="2531"/>
    <cellStyle name="PSHeading 8" xfId="2532"/>
    <cellStyle name="PSHeading 9" xfId="2533"/>
    <cellStyle name="PSHeading_101 check" xfId="2534"/>
    <cellStyle name="PSInt" xfId="567"/>
    <cellStyle name="PSInt 10" xfId="2926"/>
    <cellStyle name="PSInt 2" xfId="2535"/>
    <cellStyle name="PSInt 2 2" xfId="2536"/>
    <cellStyle name="PSInt 2 3" xfId="2537"/>
    <cellStyle name="PSInt 3" xfId="2538"/>
    <cellStyle name="PSInt 3 2" xfId="2539"/>
    <cellStyle name="PSInt 4" xfId="2540"/>
    <cellStyle name="PSInt 5" xfId="2541"/>
    <cellStyle name="PSInt 6" xfId="2542"/>
    <cellStyle name="PSInt 7" xfId="2613"/>
    <cellStyle name="PSInt 8" xfId="2614"/>
    <cellStyle name="PSInt 9" xfId="2615"/>
    <cellStyle name="PSSpacer" xfId="568"/>
    <cellStyle name="PSSpacer 2" xfId="2543"/>
    <cellStyle name="PSSpacer 2 2" xfId="2544"/>
    <cellStyle name="PSSpacer 2 3" xfId="2545"/>
    <cellStyle name="PSSpacer 3" xfId="2546"/>
    <cellStyle name="PSSpacer 3 2" xfId="2547"/>
    <cellStyle name="PSSpacer 4" xfId="2548"/>
    <cellStyle name="PSSpacer 5" xfId="2549"/>
    <cellStyle name="PSSpacer 6" xfId="2550"/>
    <cellStyle name="PSSpacer 7" xfId="2927"/>
    <cellStyle name="pt" xfId="1243"/>
    <cellStyle name="ptit" xfId="1244"/>
    <cellStyle name="r" xfId="1245"/>
    <cellStyle name="rat" xfId="1246"/>
    <cellStyle name="rat 2" xfId="1247"/>
    <cellStyle name="rate" xfId="1248"/>
    <cellStyle name="rate 2" xfId="1249"/>
    <cellStyle name="rate 3" xfId="1250"/>
    <cellStyle name="rate 4" xfId="1251"/>
    <cellStyle name="Ratio" xfId="1252"/>
    <cellStyle name="Red font" xfId="569"/>
    <cellStyle name="ReportHeader" xfId="1253"/>
    <cellStyle name="RISKbigPercent" xfId="1254"/>
    <cellStyle name="RISKblandrEdge" xfId="1255"/>
    <cellStyle name="RISKblCorner" xfId="1256"/>
    <cellStyle name="RISKbottomEdge" xfId="1257"/>
    <cellStyle name="RISKbrCorner" xfId="1258"/>
    <cellStyle name="RISKdarkBoxed" xfId="1259"/>
    <cellStyle name="RISKdarkShade" xfId="1260"/>
    <cellStyle name="RISKdbottomEdge" xfId="1261"/>
    <cellStyle name="RISKdrightEdge" xfId="1262"/>
    <cellStyle name="RISKdurationTime" xfId="1263"/>
    <cellStyle name="RISKinNumber" xfId="1264"/>
    <cellStyle name="RISKlandrEdge" xfId="1265"/>
    <cellStyle name="RISKleftEdge" xfId="1266"/>
    <cellStyle name="RISKlightBoxed" xfId="1267"/>
    <cellStyle name="RISKltandbEdge" xfId="1268"/>
    <cellStyle name="RISKnormBoxed" xfId="1269"/>
    <cellStyle name="RISKnormCenter" xfId="1270"/>
    <cellStyle name="RISKnormHeading" xfId="1271"/>
    <cellStyle name="RISKnormItal" xfId="1272"/>
    <cellStyle name="RISKnormLabel" xfId="1273"/>
    <cellStyle name="RISKnormShade" xfId="1274"/>
    <cellStyle name="RISKnormTitle" xfId="1275"/>
    <cellStyle name="RISKoutNumber" xfId="1276"/>
    <cellStyle name="RISKrightEdge" xfId="1277"/>
    <cellStyle name="RISKrtandbEdge" xfId="1278"/>
    <cellStyle name="RISKssTime" xfId="1279"/>
    <cellStyle name="RISKtandbEdge" xfId="1280"/>
    <cellStyle name="RISKtlandrEdge" xfId="1281"/>
    <cellStyle name="RISKtlCorner" xfId="1282"/>
    <cellStyle name="RISKtopEdge" xfId="1283"/>
    <cellStyle name="RISKtrCorner" xfId="1284"/>
    <cellStyle name="Row Heading" xfId="1285"/>
    <cellStyle name="Row Title 1" xfId="1286"/>
    <cellStyle name="Row Title 2" xfId="1287"/>
    <cellStyle name="Row Title 3" xfId="1288"/>
    <cellStyle name="Row Total" xfId="1289"/>
    <cellStyle name="s" xfId="1290"/>
    <cellStyle name="s_AcquisitionFinanceFrontSheet" xfId="1291"/>
    <cellStyle name="s_ad3" xfId="1292"/>
    <cellStyle name="s_ad3_1" xfId="1293"/>
    <cellStyle name="s_ad3_2" xfId="1294"/>
    <cellStyle name="s_ad5" xfId="1295"/>
    <cellStyle name="s_ad5_1" xfId="1296"/>
    <cellStyle name="s_asko1" xfId="1297"/>
    <cellStyle name="s_asko1_1" xfId="1298"/>
    <cellStyle name="s_Assumptions" xfId="1299"/>
    <cellStyle name="s_B_S_Ratios _B" xfId="1300"/>
    <cellStyle name="s_B_S_Ratios_T" xfId="1301"/>
    <cellStyle name="s_btr_2" xfId="1302"/>
    <cellStyle name="s_btr_2_1" xfId="1303"/>
    <cellStyle name="s_btr_2_2" xfId="1304"/>
    <cellStyle name="s_btr_3" xfId="1305"/>
    <cellStyle name="s_btr_3_1" xfId="1306"/>
    <cellStyle name="s_Bullet model 122" xfId="1307"/>
    <cellStyle name="s_Buy Back Model_adapted" xfId="1308"/>
    <cellStyle name="s_Cases (2)" xfId="1309"/>
    <cellStyle name="s_Cases (2)_1" xfId="1310"/>
    <cellStyle name="s_dccmod1" xfId="1311"/>
    <cellStyle name="s_dccmod1_1" xfId="1312"/>
    <cellStyle name="s_dccmod1_2" xfId="1313"/>
    <cellStyle name="s_dcf" xfId="1314"/>
    <cellStyle name="s_dcf_1" xfId="1315"/>
    <cellStyle name="s_DCFLBO Code" xfId="1316"/>
    <cellStyle name="s_DCFLBO Code_1" xfId="1317"/>
    <cellStyle name="s_Definc_dcf_Industries_270301_ma" xfId="1318"/>
    <cellStyle name="s_Dilution" xfId="1319"/>
    <cellStyle name="s_Earnings (2)" xfId="1320"/>
    <cellStyle name="s_Earnings (2)_1" xfId="1321"/>
    <cellStyle name="s_Earnings (2)_2" xfId="1322"/>
    <cellStyle name="s_Final Model2" xfId="1323"/>
    <cellStyle name="s_Final Model2_1" xfId="1324"/>
    <cellStyle name="s_FINALWOOLMODEL" xfId="1325"/>
    <cellStyle name="s_FINALWOOLMODEL_1" xfId="1326"/>
    <cellStyle name="s_Financials_B" xfId="1327"/>
    <cellStyle name="s_Financials_T" xfId="1328"/>
    <cellStyle name="s_Grandvision_LBO2" xfId="1329"/>
    <cellStyle name="s_Grouse+Pelican" xfId="1330"/>
    <cellStyle name="s_Grouse+Pelican 2" xfId="1331"/>
    <cellStyle name="s_LBO" xfId="1332"/>
    <cellStyle name="s_LBO_1" xfId="1333"/>
    <cellStyle name="s_LBO_2" xfId="1334"/>
    <cellStyle name="s_lbo1" xfId="1335"/>
    <cellStyle name="s_lbo1_1" xfId="1336"/>
    <cellStyle name="s_lbo1_2" xfId="1337"/>
    <cellStyle name="s_lbo3" xfId="1338"/>
    <cellStyle name="s_lbo3_1" xfId="1339"/>
    <cellStyle name="s_LBO5" xfId="1340"/>
    <cellStyle name="s_LBO5_1" xfId="1341"/>
    <cellStyle name="s_Matrix_B" xfId="1342"/>
    <cellStyle name="s_Matrix_T" xfId="1343"/>
    <cellStyle name="s_Merger" xfId="1344"/>
    <cellStyle name="s_model1" xfId="1345"/>
    <cellStyle name="s_model1_1" xfId="1346"/>
    <cellStyle name="s_model1_2" xfId="1347"/>
    <cellStyle name="s_model19" xfId="1348"/>
    <cellStyle name="s_model19_1" xfId="1349"/>
    <cellStyle name="s_model2" xfId="1350"/>
    <cellStyle name="s_model6" xfId="1351"/>
    <cellStyle name="s_model6_1" xfId="1352"/>
    <cellStyle name="s_model6_2" xfId="1353"/>
    <cellStyle name="s_P_L_Ratios" xfId="1354"/>
    <cellStyle name="s_P_L_Ratios_B" xfId="1355"/>
    <cellStyle name="s_Paint 18 - MC" xfId="1356"/>
    <cellStyle name="s_RECESSA" xfId="1357"/>
    <cellStyle name="s_RECESSA_1" xfId="1358"/>
    <cellStyle name="s_S_By_S" xfId="1359"/>
    <cellStyle name="s_saft_1" xfId="1360"/>
    <cellStyle name="s_saft_1_1" xfId="1361"/>
    <cellStyle name="s_saft_1_2" xfId="1362"/>
    <cellStyle name="s_Sheet5" xfId="1363"/>
    <cellStyle name="s_Valuation " xfId="1364"/>
    <cellStyle name="s_WACC benchmarking" xfId="1365"/>
    <cellStyle name="s_WACC benchmarking 2" xfId="1366"/>
    <cellStyle name="s_West Ham (2)" xfId="1367"/>
    <cellStyle name="s_West Ham (2)_1" xfId="1368"/>
    <cellStyle name="s_West Ham (2)_2" xfId="1369"/>
    <cellStyle name="s_Westham (2)" xfId="1370"/>
    <cellStyle name="s_Westham (2)_1" xfId="1371"/>
    <cellStyle name="s_Westham (2)_2" xfId="1372"/>
    <cellStyle name="s_Wool_01_07_12_1999" xfId="1373"/>
    <cellStyle name="s_Wool_01_07_12_1999_1" xfId="1374"/>
    <cellStyle name="s_Wool_01_07_12_1999_2" xfId="1375"/>
    <cellStyle name="s_Wool_14_12_1999_2" xfId="1376"/>
    <cellStyle name="s_Wool_14_12_1999_2_1" xfId="1377"/>
    <cellStyle name="s_Wool_14_12_1999_2_2" xfId="1378"/>
    <cellStyle name="s_Wool_15_02_2000" xfId="1379"/>
    <cellStyle name="s_Wool_15_02_2000_1" xfId="1380"/>
    <cellStyle name="s_Wool_15_02_2000_2" xfId="1381"/>
    <cellStyle name="s_Wool_28_01_2000_02" xfId="1382"/>
    <cellStyle name="s_Wool_28_01_2000_02_1" xfId="1383"/>
    <cellStyle name="s_Wool_28_01_2000_02_2" xfId="1384"/>
    <cellStyle name="s_WoolEuro_12_04_2000_02" xfId="1385"/>
    <cellStyle name="s_WoolEuro_12_04_2000_02_1" xfId="1386"/>
    <cellStyle name="s_WoolEuro_12_04_2000_02_2" xfId="1387"/>
    <cellStyle name="s_WoolEuro_17_03_2000" xfId="1388"/>
    <cellStyle name="s_WoolEuro_17_03_2000_1" xfId="1389"/>
    <cellStyle name="s_WoolEuro_20_03_2000_3" xfId="1390"/>
    <cellStyle name="s_WoolEuro_20_03_2000_3_1" xfId="1391"/>
    <cellStyle name="s_WoolEuroEx_14_04_2000_01" xfId="1392"/>
    <cellStyle name="s_WoolEuroEx_14_04_2000_01_1" xfId="1393"/>
    <cellStyle name="Salomon Logo" xfId="570"/>
    <cellStyle name="SAPBEXaggData" xfId="1394"/>
    <cellStyle name="SAPBEXaggData 2" xfId="1395"/>
    <cellStyle name="SAPBEXaggData 3" xfId="1396"/>
    <cellStyle name="SAPBEXaggDataEmph" xfId="1397"/>
    <cellStyle name="SAPBEXaggItem" xfId="1398"/>
    <cellStyle name="SAPBEXaggItem 2" xfId="1399"/>
    <cellStyle name="SAPBEXaggItem 3" xfId="1400"/>
    <cellStyle name="SAPBEXaggItemX" xfId="1401"/>
    <cellStyle name="SAPBEXaggItemX 2" xfId="1402"/>
    <cellStyle name="SAPBEXaggItemX 3" xfId="1403"/>
    <cellStyle name="SAPBEXchaText" xfId="1404"/>
    <cellStyle name="SAPBEXchaText 2" xfId="1405"/>
    <cellStyle name="SAPBEXchaText 3" xfId="1406"/>
    <cellStyle name="SAPBEXchaText 4" xfId="1407"/>
    <cellStyle name="SAPBEXexcBad7" xfId="1408"/>
    <cellStyle name="SAPBEXexcBad7 2" xfId="1409"/>
    <cellStyle name="SAPBEXexcBad7 3" xfId="1410"/>
    <cellStyle name="SAPBEXexcBad8" xfId="1411"/>
    <cellStyle name="SAPBEXexcBad8 2" xfId="1412"/>
    <cellStyle name="SAPBEXexcBad8 3" xfId="1413"/>
    <cellStyle name="SAPBEXexcBad9" xfId="1414"/>
    <cellStyle name="SAPBEXexcBad9 2" xfId="1415"/>
    <cellStyle name="SAPBEXexcBad9 3" xfId="1416"/>
    <cellStyle name="SAPBEXexcCritical4" xfId="1417"/>
    <cellStyle name="SAPBEXexcCritical4 2" xfId="1418"/>
    <cellStyle name="SAPBEXexcCritical4 3" xfId="1419"/>
    <cellStyle name="SAPBEXexcCritical5" xfId="1420"/>
    <cellStyle name="SAPBEXexcCritical5 2" xfId="1421"/>
    <cellStyle name="SAPBEXexcCritical5 3" xfId="1422"/>
    <cellStyle name="SAPBEXexcCritical6" xfId="1423"/>
    <cellStyle name="SAPBEXexcCritical6 2" xfId="1424"/>
    <cellStyle name="SAPBEXexcCritical6 3" xfId="1425"/>
    <cellStyle name="SAPBEXexcGood1" xfId="1426"/>
    <cellStyle name="SAPBEXexcGood1 2" xfId="1427"/>
    <cellStyle name="SAPBEXexcGood1 3" xfId="1428"/>
    <cellStyle name="SAPBEXexcGood2" xfId="1429"/>
    <cellStyle name="SAPBEXexcGood2 2" xfId="1430"/>
    <cellStyle name="SAPBEXexcGood2 3" xfId="1431"/>
    <cellStyle name="SAPBEXexcGood3" xfId="1432"/>
    <cellStyle name="SAPBEXexcGood3 2" xfId="1433"/>
    <cellStyle name="SAPBEXexcGood3 3" xfId="1434"/>
    <cellStyle name="SAPBEXfilterDrill" xfId="1435"/>
    <cellStyle name="SAPBEXfilterItem" xfId="1436"/>
    <cellStyle name="SAPBEXfilterItem 2" xfId="1437"/>
    <cellStyle name="SAPBEXfilterItem 3" xfId="1438"/>
    <cellStyle name="SAPBEXfilterText" xfId="1439"/>
    <cellStyle name="SAPBEXformats" xfId="1440"/>
    <cellStyle name="SAPBEXformats 2" xfId="1441"/>
    <cellStyle name="SAPBEXformats 3" xfId="1442"/>
    <cellStyle name="SAPBEXformats 4" xfId="1443"/>
    <cellStyle name="SAPBEXheaderItem" xfId="1444"/>
    <cellStyle name="SAPBEXheaderText" xfId="1445"/>
    <cellStyle name="SAPBEXHLevel0" xfId="1446"/>
    <cellStyle name="SAPBEXHLevel0 2" xfId="1447"/>
    <cellStyle name="SAPBEXHLevel0 3" xfId="1448"/>
    <cellStyle name="SAPBEXHLevel0 4" xfId="1449"/>
    <cellStyle name="SAPBEXHLevel0X" xfId="1450"/>
    <cellStyle name="SAPBEXHLevel0X 2" xfId="1451"/>
    <cellStyle name="SAPBEXHLevel0X 3" xfId="1452"/>
    <cellStyle name="SAPBEXHLevel0X 4" xfId="1453"/>
    <cellStyle name="SAPBEXHLevel1" xfId="1454"/>
    <cellStyle name="SAPBEXHLevel1 2" xfId="1455"/>
    <cellStyle name="SAPBEXHLevel1 3" xfId="1456"/>
    <cellStyle name="SAPBEXHLevel1 4" xfId="1457"/>
    <cellStyle name="SAPBEXHLevel1X" xfId="1458"/>
    <cellStyle name="SAPBEXHLevel1X 2" xfId="1459"/>
    <cellStyle name="SAPBEXHLevel1X 3" xfId="1460"/>
    <cellStyle name="SAPBEXHLevel1X 4" xfId="1461"/>
    <cellStyle name="SAPBEXHLevel2" xfId="1462"/>
    <cellStyle name="SAPBEXHLevel2 2" xfId="1463"/>
    <cellStyle name="SAPBEXHLevel2 3" xfId="1464"/>
    <cellStyle name="SAPBEXHLevel2 4" xfId="1465"/>
    <cellStyle name="SAPBEXHLevel2X" xfId="1466"/>
    <cellStyle name="SAPBEXHLevel2X 2" xfId="1467"/>
    <cellStyle name="SAPBEXHLevel2X 3" xfId="1468"/>
    <cellStyle name="SAPBEXHLevel2X 4" xfId="1469"/>
    <cellStyle name="SAPBEXHLevel3" xfId="1470"/>
    <cellStyle name="SAPBEXHLevel3 2" xfId="1471"/>
    <cellStyle name="SAPBEXHLevel3 3" xfId="1472"/>
    <cellStyle name="SAPBEXHLevel3 4" xfId="1473"/>
    <cellStyle name="SAPBEXHLevel3X" xfId="1474"/>
    <cellStyle name="SAPBEXHLevel3X 2" xfId="1475"/>
    <cellStyle name="SAPBEXHLevel3X 3" xfId="1476"/>
    <cellStyle name="SAPBEXHLevel3X 4" xfId="1477"/>
    <cellStyle name="SAPBEXresData" xfId="1478"/>
    <cellStyle name="SAPBEXresData 2" xfId="1479"/>
    <cellStyle name="SAPBEXresData 3" xfId="1480"/>
    <cellStyle name="SAPBEXresDataEmph" xfId="1481"/>
    <cellStyle name="SAPBEXresItem" xfId="1482"/>
    <cellStyle name="SAPBEXresItem 2" xfId="1483"/>
    <cellStyle name="SAPBEXresItem 3" xfId="1484"/>
    <cellStyle name="SAPBEXresItemX" xfId="1485"/>
    <cellStyle name="SAPBEXresItemX 2" xfId="1486"/>
    <cellStyle name="SAPBEXresItemX 3" xfId="1487"/>
    <cellStyle name="SAPBEXstdData" xfId="1488"/>
    <cellStyle name="SAPBEXstdData 2" xfId="1489"/>
    <cellStyle name="SAPBEXstdData 3" xfId="1490"/>
    <cellStyle name="SAPBEXstdDataEmph" xfId="1491"/>
    <cellStyle name="SAPBEXstdItem" xfId="1492"/>
    <cellStyle name="SAPBEXstdItem 2" xfId="1493"/>
    <cellStyle name="SAPBEXstdItem 3" xfId="1494"/>
    <cellStyle name="SAPBEXstdItem 4" xfId="1495"/>
    <cellStyle name="SAPBEXstdItemX" xfId="1496"/>
    <cellStyle name="SAPBEXstdItemX 2" xfId="1497"/>
    <cellStyle name="SAPBEXstdItemX 3" xfId="1498"/>
    <cellStyle name="SAPBEXstdItemX 4" xfId="1499"/>
    <cellStyle name="SAPBEXtitle" xfId="1500"/>
    <cellStyle name="SAPBEXundefined" xfId="1501"/>
    <cellStyle name="sd" xfId="1502"/>
    <cellStyle name="SecSubTitle" xfId="1503"/>
    <cellStyle name="Section Heading-Large" xfId="571"/>
    <cellStyle name="Section Heading-Small" xfId="572"/>
    <cellStyle name="Section Number" xfId="1504"/>
    <cellStyle name="Section Title" xfId="1505"/>
    <cellStyle name="SecTitle" xfId="1506"/>
    <cellStyle name="sf" xfId="1507"/>
    <cellStyle name="sff" xfId="1508"/>
    <cellStyle name="Shaded" xfId="573"/>
    <cellStyle name="Shaded 2" xfId="1509"/>
    <cellStyle name="Shading" xfId="1510"/>
    <cellStyle name="Shading 2" xfId="1511"/>
    <cellStyle name="Single Accounting" xfId="1512"/>
    <cellStyle name="Small Cost" xfId="1513"/>
    <cellStyle name="Small Cost 2" xfId="1514"/>
    <cellStyle name="Small Cost 3" xfId="1515"/>
    <cellStyle name="Small Cost 4" xfId="1516"/>
    <cellStyle name="Small Currency" xfId="1517"/>
    <cellStyle name="Small Currency 2" xfId="1518"/>
    <cellStyle name="Small Currency 3" xfId="1519"/>
    <cellStyle name="Small Currency 4" xfId="1520"/>
    <cellStyle name="Small Number" xfId="1521"/>
    <cellStyle name="Small Percentage" xfId="1522"/>
    <cellStyle name="Small Percentage 2" xfId="1523"/>
    <cellStyle name="Small Percentage 3" xfId="1524"/>
    <cellStyle name="Small Percentage 4" xfId="1525"/>
    <cellStyle name="ss" xfId="1526"/>
    <cellStyle name="ssp " xfId="1527"/>
    <cellStyle name="st" xfId="1528"/>
    <cellStyle name="st 2" xfId="1529"/>
    <cellStyle name="Standaard_Sheet1" xfId="1530"/>
    <cellStyle name="Standard_311299 freie Spitze" xfId="1531"/>
    <cellStyle name="Style 1" xfId="574"/>
    <cellStyle name="Style 1 2" xfId="1533"/>
    <cellStyle name="Style 1 3" xfId="1534"/>
    <cellStyle name="Style 1 4" xfId="1535"/>
    <cellStyle name="Style 1 5" xfId="1532"/>
    <cellStyle name="Style 1 6" xfId="1889"/>
    <cellStyle name="Style 2" xfId="575"/>
    <cellStyle name="Style 2 2" xfId="1890"/>
    <cellStyle name="Style 3" xfId="576"/>
    <cellStyle name="Style 3 2" xfId="1891"/>
    <cellStyle name="Style 4" xfId="577"/>
    <cellStyle name="Style 4 2" xfId="1892"/>
    <cellStyle name="STYLE1" xfId="1536"/>
    <cellStyle name="STYLE1 2" xfId="1537"/>
    <cellStyle name="STYLE2" xfId="1538"/>
    <cellStyle name="STYLE2 2" xfId="1539"/>
    <cellStyle name="STYLE2 2 2" xfId="1540"/>
    <cellStyle name="STYLE2 2 3" xfId="1541"/>
    <cellStyle name="STYLE2 3" xfId="1542"/>
    <cellStyle name="STYLE2 4" xfId="1543"/>
    <cellStyle name="STYLE3" xfId="1544"/>
    <cellStyle name="STYLE4" xfId="1545"/>
    <cellStyle name="STYLE4 2" xfId="1546"/>
    <cellStyle name="STYLE4 2 2" xfId="1547"/>
    <cellStyle name="STYLE4 2 3" xfId="1548"/>
    <cellStyle name="STYLE4 3" xfId="1549"/>
    <cellStyle name="STYLE4 4" xfId="1550"/>
    <cellStyle name="STYLE5" xfId="1551"/>
    <cellStyle name="STYLE6" xfId="1552"/>
    <cellStyle name="STYLE7" xfId="1553"/>
    <cellStyle name="STYLE8" xfId="1554"/>
    <cellStyle name="SubTot" xfId="1555"/>
    <cellStyle name="SubTot 2" xfId="1556"/>
    <cellStyle name="SubTotal" xfId="578"/>
    <cellStyle name="summation" xfId="579"/>
    <cellStyle name="t" xfId="1557"/>
    <cellStyle name="t 2" xfId="1558"/>
    <cellStyle name="t#" xfId="1559"/>
    <cellStyle name="t_Manager" xfId="1560"/>
    <cellStyle name="t_Manager 2" xfId="1561"/>
    <cellStyle name="t_Valuation" xfId="1562"/>
    <cellStyle name="t_Valuation 2" xfId="1563"/>
    <cellStyle name="t_WACC benchmarking" xfId="1564"/>
    <cellStyle name="t_WACC benchmarking 2" xfId="1565"/>
    <cellStyle name="t1" xfId="1566"/>
    <cellStyle name="t1 2" xfId="1567"/>
    <cellStyle name="Table body numbers" xfId="2618"/>
    <cellStyle name="Table body text" xfId="2619"/>
    <cellStyle name="Table Col Head" xfId="580"/>
    <cellStyle name="Table footer - notes" xfId="2620"/>
    <cellStyle name="Table footer - source-notes" xfId="2621"/>
    <cellStyle name="Table Head" xfId="581"/>
    <cellStyle name="Table Head 2" xfId="1569"/>
    <cellStyle name="Table Head 3" xfId="1568"/>
    <cellStyle name="Table Head Aligned" xfId="582"/>
    <cellStyle name="Table Head Blue" xfId="583"/>
    <cellStyle name="Table Head Green" xfId="584"/>
    <cellStyle name="Table Head_AccessGroup 012509 v3" xfId="1570"/>
    <cellStyle name="Table Heading" xfId="585"/>
    <cellStyle name="Table heading 10" xfId="2752"/>
    <cellStyle name="Table Heading 2" xfId="1572"/>
    <cellStyle name="Table heading 3" xfId="2622"/>
    <cellStyle name="Table heading 4" xfId="2628"/>
    <cellStyle name="Table heading 5" xfId="2630"/>
    <cellStyle name="Table heading 6" xfId="2646"/>
    <cellStyle name="Table heading 7" xfId="2648"/>
    <cellStyle name="Table heading 8" xfId="2660"/>
    <cellStyle name="Table heading 9" xfId="2672"/>
    <cellStyle name="Table number-column heading (right)" xfId="2623"/>
    <cellStyle name="Table Source" xfId="1573"/>
    <cellStyle name="Table Sub Head" xfId="586"/>
    <cellStyle name="Table Sub Head 2" xfId="1574"/>
    <cellStyle name="Table Text" xfId="587"/>
    <cellStyle name="Table Text 2" xfId="1575"/>
    <cellStyle name="Table text-column heading (left)" xfId="2624"/>
    <cellStyle name="Table Title" xfId="588"/>
    <cellStyle name="Table Title 2" xfId="1577"/>
    <cellStyle name="Table Title 3" xfId="1576"/>
    <cellStyle name="Table title 4" xfId="2905"/>
    <cellStyle name="Table Units" xfId="589"/>
    <cellStyle name="Table Units 2" xfId="1579"/>
    <cellStyle name="Table Units 3" xfId="1578"/>
    <cellStyle name="Table_Header" xfId="590"/>
    <cellStyle name="Text" xfId="1580"/>
    <cellStyle name="Text 1" xfId="591"/>
    <cellStyle name="Text 1 2" xfId="1581"/>
    <cellStyle name="Text 2" xfId="1582"/>
    <cellStyle name="Text Head 1" xfId="592"/>
    <cellStyle name="Text Head 1 2" xfId="1583"/>
    <cellStyle name="Text Head 2" xfId="1584"/>
    <cellStyle name="Text Indent 1" xfId="1585"/>
    <cellStyle name="Text Indent 2" xfId="1586"/>
    <cellStyle name="TFCF" xfId="593"/>
    <cellStyle name="Thousands" xfId="1587"/>
    <cellStyle name="Times 10" xfId="1588"/>
    <cellStyle name="Times 10 2" xfId="1589"/>
    <cellStyle name="Times 12" xfId="1590"/>
    <cellStyle name="Title" xfId="594" builtinId="15" customBuiltin="1"/>
    <cellStyle name="Title 2" xfId="595"/>
    <cellStyle name="Title 2 2" xfId="2551"/>
    <cellStyle name="Title 2 2 2" xfId="2731"/>
    <cellStyle name="Title 2 3" xfId="2853"/>
    <cellStyle name="Title 3" xfId="2552"/>
    <cellStyle name="Title 4" xfId="2553"/>
    <cellStyle name="Title 5" xfId="2554"/>
    <cellStyle name="Title 6" xfId="2946"/>
    <cellStyle name="Title Heading" xfId="1591"/>
    <cellStyle name="Title:Column" xfId="2955"/>
    <cellStyle name="To" xfId="1592"/>
    <cellStyle name="TOC 1" xfId="1593"/>
    <cellStyle name="TOC 2" xfId="1594"/>
    <cellStyle name="Top_Double_Bottom" xfId="1595"/>
    <cellStyle name="Total" xfId="596" builtinId="25" customBuiltin="1"/>
    <cellStyle name="Total 2" xfId="597"/>
    <cellStyle name="Total 2 2" xfId="1596"/>
    <cellStyle name="Total 2 3" xfId="2555"/>
    <cellStyle name="Total 3" xfId="2556"/>
    <cellStyle name="Total 4" xfId="2557"/>
    <cellStyle name="Total 5" xfId="2558"/>
    <cellStyle name="Total 6" xfId="2559"/>
    <cellStyle name="Total 7" xfId="2560"/>
    <cellStyle name="Total 8" xfId="2561"/>
    <cellStyle name="tt" xfId="1597"/>
    <cellStyle name="tt 2" xfId="1598"/>
    <cellStyle name="u" xfId="1599"/>
    <cellStyle name="uk" xfId="598"/>
    <cellStyle name="uk 2" xfId="1893"/>
    <cellStyle name="Un" xfId="599"/>
    <cellStyle name="Underline_Single" xfId="600"/>
    <cellStyle name="Unit" xfId="1600"/>
    <cellStyle name="Unit 2" xfId="1601"/>
    <cellStyle name="Unit 3" xfId="1602"/>
    <cellStyle name="Unit 4" xfId="1603"/>
    <cellStyle name="Unprot" xfId="601"/>
    <cellStyle name="Unprot$" xfId="602"/>
    <cellStyle name="Unprot_021112 Trent Wind_uden" xfId="603"/>
    <cellStyle name="Unprotect" xfId="604"/>
    <cellStyle name="unprotected" xfId="2920"/>
    <cellStyle name="Upload Only" xfId="1604"/>
    <cellStyle name="Upload Only 2" xfId="1605"/>
    <cellStyle name="Upload Only 3" xfId="1606"/>
    <cellStyle name="Upload Only 4" xfId="1607"/>
    <cellStyle name="UsedCell" xfId="2830"/>
    <cellStyle name="Valuta (0)_33RATEI 05" xfId="1608"/>
    <cellStyle name="Valuta [0]_Sheet1" xfId="1609"/>
    <cellStyle name="Valuta_All 2" xfId="1610"/>
    <cellStyle name="Version Number" xfId="1611"/>
    <cellStyle name="Version Number 2" xfId="1612"/>
    <cellStyle name="vil" xfId="1613"/>
    <cellStyle name="w" xfId="1614"/>
    <cellStyle name="Währung [0]_Compiling Utility Macros" xfId="605"/>
    <cellStyle name="Währung_Compiling Utility Macros" xfId="606"/>
    <cellStyle name="Warning Text" xfId="607" builtinId="11" customBuiltin="1"/>
    <cellStyle name="Warning Text 2" xfId="608"/>
    <cellStyle name="Warning Text 2 2" xfId="1615"/>
    <cellStyle name="Warning Text 3" xfId="2562"/>
    <cellStyle name="Warning Text 4" xfId="2563"/>
    <cellStyle name="Warning Text 5" xfId="2564"/>
    <cellStyle name="Warning Text 6" xfId="2565"/>
    <cellStyle name="Whole" xfId="1616"/>
    <cellStyle name="WideTotal" xfId="1617"/>
    <cellStyle name="WideTotalB" xfId="1618"/>
    <cellStyle name="WideTotalB 2" xfId="1619"/>
    <cellStyle name="WP Header" xfId="1620"/>
    <cellStyle name="Y2K Compliant Date Fmt" xfId="1621"/>
    <cellStyle name="Year" xfId="609"/>
    <cellStyle name="Year 2" xfId="1622"/>
    <cellStyle name="YEAR HEADER" xfId="610"/>
    <cellStyle name="Year_Quarterly Fin" xfId="611"/>
    <cellStyle name="Years" xfId="1623"/>
    <cellStyle name="Yen" xfId="1624"/>
    <cellStyle name="YesNo" xfId="612"/>
    <cellStyle name="YesNo 2" xfId="1894"/>
    <cellStyle name="yh" xfId="1625"/>
    <cellStyle name="yh 2" xfId="1626"/>
    <cellStyle name="Yield" xfId="1627"/>
    <cellStyle name="yt" xfId="1628"/>
    <cellStyle name="z" xfId="1629"/>
    <cellStyle name="z 2" xfId="1630"/>
    <cellStyle name="Обычный_Sheet1" xfId="1631"/>
    <cellStyle name="콤마 [0]_94하반기" xfId="613"/>
    <cellStyle name="콤마_94하반기" xfId="614"/>
    <cellStyle name="통화 [0]_94하반기" xfId="615"/>
    <cellStyle name="통화_94하반기" xfId="616"/>
    <cellStyle name="표준_Ⅰ.경영실적" xfId="617"/>
    <cellStyle name="一般_St503_2m(working)" xfId="1632"/>
    <cellStyle name="標準_Sheet1" xfId="1633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>
      <tableStyleElement type="wholeTable" dxfId="21"/>
      <tableStyleElement type="headerRow" dxfId="20"/>
      <tableStyleElement type="lastTotalCell" dxfId="19"/>
    </tableStyle>
    <tableStyle name="LazTable 2" pivot="0" count="2">
      <tableStyleElement type="wholeTable" dxfId="18"/>
      <tableStyleElement type="headerRow" dxfId="17"/>
    </tableStyle>
    <tableStyle name="LazTable 3" pivot="0" count="3">
      <tableStyleElement type="wholeTable" dxfId="16"/>
      <tableStyleElement type="headerRow" dxfId="15"/>
      <tableStyleElement type="firstRowStripe" dxfId="14"/>
    </tableStyle>
    <tableStyle name="LazTable 4" pivot="0" count="3">
      <tableStyleElement type="wholeTable" dxfId="13"/>
      <tableStyleElement type="headerRow" dxfId="12"/>
      <tableStyleElement type="firstRowStripe" dxfId="11"/>
    </tableStyle>
    <tableStyle name="LazTable 5" pivot="0" count="2">
      <tableStyleElement type="wholeTable" dxfId="10"/>
      <tableStyleElement type="headerRow" dxfId="9"/>
    </tableStyle>
    <tableStyle name="LazTable 6" pivot="0" count="2">
      <tableStyleElement type="wholeTable" dxfId="8"/>
      <tableStyleElement type="headerRow" dxfId="7"/>
    </tableStyle>
    <tableStyle name="LazTable 7" pivot="0" count="3">
      <tableStyleElement type="wholeTable" dxfId="6"/>
      <tableStyleElement type="headerRow" dxfId="5"/>
      <tableStyleElement type="firstColumn" dxfId="4"/>
    </tableStyle>
    <tableStyle name="Invisible" pivot="0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/>
  </sheetPr>
  <dimension ref="A1:AS56"/>
  <sheetViews>
    <sheetView zoomScaleNormal="100" workbookViewId="0">
      <selection activeCell="B11" sqref="B11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252</v>
      </c>
    </row>
    <row r="2" spans="1:45">
      <c r="A2" s="4" t="s">
        <v>106</v>
      </c>
      <c r="B2" s="149" t="s">
        <v>208</v>
      </c>
      <c r="D2" s="143"/>
      <c r="E2" s="144" t="s">
        <v>205</v>
      </c>
    </row>
    <row r="3" spans="1:45">
      <c r="A3" s="4" t="s">
        <v>183</v>
      </c>
      <c r="B3" s="149" t="s">
        <v>209</v>
      </c>
      <c r="D3" s="141"/>
      <c r="E3" s="145"/>
      <c r="F3" s="103"/>
      <c r="I3" s="103"/>
      <c r="J3" s="103" t="s">
        <v>256</v>
      </c>
      <c r="K3" s="203">
        <v>3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1" t="s">
        <v>120</v>
      </c>
      <c r="E4" s="148">
        <f>B8</f>
        <v>1560</v>
      </c>
      <c r="F4" s="84"/>
      <c r="K4" s="85"/>
      <c r="L4" s="199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99"/>
    </row>
    <row r="5" spans="1:45">
      <c r="A5" s="4" t="s">
        <v>121</v>
      </c>
      <c r="B5" s="85" t="s">
        <v>258</v>
      </c>
      <c r="D5" s="141"/>
      <c r="E5" s="145"/>
      <c r="K5" s="205"/>
    </row>
    <row r="6" spans="1:45">
      <c r="A6" s="4" t="s">
        <v>122</v>
      </c>
      <c r="B6" s="85" t="s">
        <v>254</v>
      </c>
      <c r="D6" s="141" t="s">
        <v>38</v>
      </c>
      <c r="E6" s="146">
        <f>B10</f>
        <v>164840000</v>
      </c>
      <c r="AS6" s="51"/>
    </row>
    <row r="7" spans="1:45">
      <c r="A7" s="4" t="s">
        <v>128</v>
      </c>
      <c r="B7" s="85">
        <v>2029</v>
      </c>
      <c r="D7" s="141" t="s">
        <v>101</v>
      </c>
      <c r="E7" s="146">
        <f>B17</f>
        <v>0</v>
      </c>
    </row>
    <row r="8" spans="1:45">
      <c r="A8" s="4" t="s">
        <v>120</v>
      </c>
      <c r="B8" s="86">
        <v>1560</v>
      </c>
      <c r="D8" s="141" t="s">
        <v>257</v>
      </c>
      <c r="E8" s="146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8"/>
    </row>
    <row r="9" spans="1:45">
      <c r="D9" s="142" t="s">
        <v>70</v>
      </c>
      <c r="E9" s="147">
        <f>B18</f>
        <v>164840000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06">
        <f>'Cash Flow of U2'!G4</f>
        <v>164840000</v>
      </c>
      <c r="C10" s="200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257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0">
        <f>GRCF!D25</f>
        <v>1.33849291</v>
      </c>
      <c r="F12" s="201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263</v>
      </c>
      <c r="E13" s="138">
        <f>Allocators!E7</f>
        <v>0.5</v>
      </c>
      <c r="F13" s="201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8">
        <f>'CAP Structure'!F18</f>
        <v>7.4090912000000009E-2</v>
      </c>
      <c r="F14" s="201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8"/>
    </row>
    <row r="15" spans="1:45">
      <c r="A15" s="102" t="s">
        <v>118</v>
      </c>
      <c r="B15" s="86"/>
      <c r="D15" s="4" t="s">
        <v>166</v>
      </c>
      <c r="E15" s="138">
        <f>'CAP Structure'!E16</f>
        <v>9.6500000000000002E-2</v>
      </c>
      <c r="F15" s="201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8">
        <f>AVERAGE(('CAP Structure'!F12+'CAP Structure'!F14))</f>
        <v>2.9573532E-2</v>
      </c>
      <c r="F16" s="201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8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8">
        <f>'CAP Structure'!D16</f>
        <v>0.46132000000000001</v>
      </c>
      <c r="F17" s="201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8"/>
    </row>
    <row r="18" spans="1:27" ht="12" customHeight="1">
      <c r="A18" s="4" t="s">
        <v>70</v>
      </c>
      <c r="B18" s="57">
        <f>B10+B17+B11</f>
        <v>164840000</v>
      </c>
      <c r="D18" s="4" t="s">
        <v>267</v>
      </c>
      <c r="E18" s="138">
        <v>5.8E-4</v>
      </c>
      <c r="F18" s="201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8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8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8"/>
    </row>
    <row r="21" spans="1:27" ht="12" customHeight="1">
      <c r="A21" s="102" t="s">
        <v>182</v>
      </c>
      <c r="B21" s="119">
        <v>12</v>
      </c>
      <c r="C21" s="199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8"/>
    </row>
    <row r="22" spans="1:27" ht="12" customHeight="1">
      <c r="A22" s="116" t="s">
        <v>199</v>
      </c>
      <c r="B22" s="120">
        <f>IF(B30&lt;&gt;0,(B30+E9)/B21/E9,1/B21)</f>
        <v>8.3333333333333329E-2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8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8"/>
    </row>
    <row r="24" spans="1:27">
      <c r="A24" s="139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8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1"/>
      <c r="E33" s="118"/>
      <c r="K33" s="83"/>
    </row>
    <row r="34" spans="1:45">
      <c r="A34" s="116" t="s">
        <v>51</v>
      </c>
      <c r="B34" s="138">
        <f>GRCF!C16</f>
        <v>5.0097000000000003E-2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04"/>
      <c r="AB36" s="104"/>
      <c r="AC36" s="104"/>
      <c r="AD36" s="104"/>
      <c r="AE36" s="104"/>
      <c r="AF36" s="104"/>
      <c r="AG36" s="104"/>
      <c r="AH36" s="104"/>
      <c r="AI36" s="104"/>
    </row>
    <row r="37" spans="1:45">
      <c r="A37" s="88" t="str">
        <f>IF(B5="","",B5)</f>
        <v>Option 3: New Mechanical Draft Cooling Tower</v>
      </c>
      <c r="B37" s="93">
        <f>B7</f>
        <v>2029</v>
      </c>
      <c r="C37" s="93">
        <f>B37+1</f>
        <v>2030</v>
      </c>
      <c r="D37" s="93">
        <f t="shared" ref="D37:Z37" si="0">C37+1</f>
        <v>2031</v>
      </c>
      <c r="E37" s="93">
        <f t="shared" si="0"/>
        <v>2032</v>
      </c>
      <c r="F37" s="93">
        <f t="shared" si="0"/>
        <v>2033</v>
      </c>
      <c r="G37" s="93">
        <f t="shared" si="0"/>
        <v>2034</v>
      </c>
      <c r="H37" s="93">
        <f t="shared" si="0"/>
        <v>2035</v>
      </c>
      <c r="I37" s="93">
        <f t="shared" si="0"/>
        <v>2036</v>
      </c>
      <c r="J37" s="93">
        <f t="shared" si="0"/>
        <v>2037</v>
      </c>
      <c r="K37" s="93">
        <f t="shared" si="0"/>
        <v>2038</v>
      </c>
      <c r="L37" s="93">
        <f t="shared" si="0"/>
        <v>2039</v>
      </c>
      <c r="M37" s="93">
        <f t="shared" si="0"/>
        <v>2040</v>
      </c>
      <c r="N37" s="93">
        <f t="shared" si="0"/>
        <v>2041</v>
      </c>
      <c r="O37" s="93">
        <f t="shared" si="0"/>
        <v>2042</v>
      </c>
      <c r="P37" s="93">
        <f t="shared" si="0"/>
        <v>2043</v>
      </c>
      <c r="Q37" s="93">
        <f t="shared" si="0"/>
        <v>2044</v>
      </c>
      <c r="R37" s="93">
        <f t="shared" si="0"/>
        <v>2045</v>
      </c>
      <c r="S37" s="93">
        <f t="shared" si="0"/>
        <v>2046</v>
      </c>
      <c r="T37" s="93">
        <f t="shared" si="0"/>
        <v>2047</v>
      </c>
      <c r="U37" s="93">
        <f t="shared" si="0"/>
        <v>2048</v>
      </c>
      <c r="V37" s="93">
        <f t="shared" si="0"/>
        <v>2049</v>
      </c>
      <c r="W37" s="93">
        <f t="shared" si="0"/>
        <v>2050</v>
      </c>
      <c r="X37" s="93">
        <f t="shared" si="0"/>
        <v>2051</v>
      </c>
      <c r="Y37" s="93">
        <f t="shared" si="0"/>
        <v>2052</v>
      </c>
      <c r="Z37" s="93">
        <f t="shared" si="0"/>
        <v>2053</v>
      </c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96"/>
      <c r="AO37" s="196"/>
      <c r="AP37" s="196"/>
      <c r="AQ37" s="196"/>
      <c r="AR37" s="196"/>
      <c r="AS37" s="84"/>
    </row>
    <row r="38" spans="1:45" s="186" customFormat="1">
      <c r="A38" s="143" t="s">
        <v>172</v>
      </c>
      <c r="B38" s="90">
        <v>28917000</v>
      </c>
      <c r="C38" s="90">
        <v>0</v>
      </c>
      <c r="D38" s="90">
        <v>0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90">
        <v>0</v>
      </c>
      <c r="K38" s="90">
        <v>0</v>
      </c>
      <c r="L38" s="90">
        <v>0</v>
      </c>
      <c r="M38" s="90">
        <v>5000000</v>
      </c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200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84"/>
    </row>
    <row r="39" spans="1:45">
      <c r="A39" s="141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7"/>
      <c r="AM39" s="197"/>
      <c r="AN39" s="197"/>
      <c r="AO39" s="197"/>
      <c r="AP39" s="197"/>
      <c r="AQ39" s="197"/>
      <c r="AR39" s="197"/>
      <c r="AS39" s="84"/>
    </row>
    <row r="40" spans="1:45">
      <c r="A40" s="141" t="s">
        <v>3</v>
      </c>
      <c r="B40" s="101">
        <f>B38+B39</f>
        <v>28917000</v>
      </c>
      <c r="C40" s="101">
        <f>C38+C39</f>
        <v>0</v>
      </c>
      <c r="D40" s="101">
        <f t="shared" ref="D40:M40" si="1">D38+D39</f>
        <v>0</v>
      </c>
      <c r="E40" s="101">
        <f t="shared" si="1"/>
        <v>0</v>
      </c>
      <c r="F40" s="101">
        <f t="shared" si="1"/>
        <v>0</v>
      </c>
      <c r="G40" s="101">
        <f t="shared" si="1"/>
        <v>0</v>
      </c>
      <c r="H40" s="101">
        <f t="shared" si="1"/>
        <v>0</v>
      </c>
      <c r="I40" s="101">
        <f t="shared" si="1"/>
        <v>0</v>
      </c>
      <c r="J40" s="101">
        <f t="shared" si="1"/>
        <v>0</v>
      </c>
      <c r="K40" s="101">
        <f t="shared" si="1"/>
        <v>0</v>
      </c>
      <c r="L40" s="101">
        <f t="shared" si="1"/>
        <v>0</v>
      </c>
      <c r="M40" s="101">
        <f t="shared" si="1"/>
        <v>5000000</v>
      </c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01"/>
      <c r="AO40" s="101"/>
      <c r="AP40" s="101"/>
      <c r="AQ40" s="101"/>
      <c r="AR40" s="101"/>
    </row>
    <row r="41" spans="1:45">
      <c r="A41" s="14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</row>
    <row r="42" spans="1:45" s="186" customFormat="1">
      <c r="A42" s="141" t="s">
        <v>171</v>
      </c>
      <c r="B42" s="90">
        <v>0</v>
      </c>
      <c r="C42" s="90">
        <v>0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4"/>
    </row>
    <row r="43" spans="1:45">
      <c r="A43" s="14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</row>
    <row r="44" spans="1:45">
      <c r="A44" s="14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84"/>
    </row>
    <row r="45" spans="1:45">
      <c r="A45" s="141" t="s">
        <v>114</v>
      </c>
      <c r="B45" s="101">
        <f t="shared" ref="B45" si="2">SUM(B42:B44)</f>
        <v>0</v>
      </c>
      <c r="C45" s="101">
        <f t="shared" ref="C45:M45" si="3">SUM(C42:C44)</f>
        <v>0</v>
      </c>
      <c r="D45" s="101">
        <f t="shared" si="3"/>
        <v>0</v>
      </c>
      <c r="E45" s="101">
        <f t="shared" si="3"/>
        <v>0</v>
      </c>
      <c r="F45" s="101">
        <f t="shared" si="3"/>
        <v>0</v>
      </c>
      <c r="G45" s="101">
        <f t="shared" si="3"/>
        <v>0</v>
      </c>
      <c r="H45" s="101">
        <f t="shared" si="3"/>
        <v>0</v>
      </c>
      <c r="I45" s="101">
        <f t="shared" si="3"/>
        <v>0</v>
      </c>
      <c r="J45" s="101">
        <f t="shared" si="3"/>
        <v>0</v>
      </c>
      <c r="K45" s="101">
        <f t="shared" si="3"/>
        <v>0</v>
      </c>
      <c r="L45" s="101">
        <f t="shared" si="3"/>
        <v>0</v>
      </c>
      <c r="M45" s="101">
        <f t="shared" si="3"/>
        <v>0</v>
      </c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01"/>
      <c r="AO45" s="101"/>
      <c r="AP45" s="101"/>
      <c r="AQ45" s="101"/>
      <c r="AR45" s="101"/>
    </row>
    <row r="46" spans="1:45">
      <c r="A46" s="204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</row>
    <row r="47" spans="1:45">
      <c r="A47" s="141" t="s">
        <v>115</v>
      </c>
      <c r="B47" s="90">
        <f>'Rate Base - coal'!C16*Input!$E$18*1000</f>
        <v>108637.10373836674</v>
      </c>
      <c r="C47" s="90">
        <f>'Rate Base - coal'!D16*Input!$E$18*1000</f>
        <v>103922.1905570196</v>
      </c>
      <c r="D47" s="90">
        <f>'Rate Base - coal'!E16*Input!$E$18*1000</f>
        <v>99359.293129631784</v>
      </c>
      <c r="E47" s="90">
        <f>'Rate Base - coal'!F16*Input!$E$18*1000</f>
        <v>94936.63163763081</v>
      </c>
      <c r="F47" s="90">
        <f>'Rate Base - coal'!G16*Input!$E$18*1000</f>
        <v>90644.109093668798</v>
      </c>
      <c r="G47" s="90">
        <f>'Rate Base - coal'!H16*Input!$E$18*1000</f>
        <v>86471.628510397961</v>
      </c>
      <c r="H47" s="90">
        <f>'Rate Base - coal'!I16*Input!$E$18*1000</f>
        <v>82410.495259824238</v>
      </c>
      <c r="I47" s="90">
        <f>'Rate Base - coal'!J16*Input!$E$18*1000</f>
        <v>78452.014713953715</v>
      </c>
      <c r="J47" s="90">
        <f>'Rate Base - coal'!K16*Input!$E$18*1000</f>
        <v>74510.362480329597</v>
      </c>
      <c r="K47" s="90">
        <f>'Rate Base - coal'!L16*Input!$E$18*1000</f>
        <v>70568.990718576257</v>
      </c>
      <c r="L47" s="90">
        <f>'Rate Base - coal'!M16*Input!$E$18*1000</f>
        <v>66627.338484952139</v>
      </c>
      <c r="M47" s="90">
        <f>'Rate Base - coal'!N16*Input!$E$18*1000</f>
        <v>65489.403598727607</v>
      </c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199"/>
      <c r="AB47" s="199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97"/>
      <c r="AN47" s="197"/>
      <c r="AO47" s="197"/>
      <c r="AP47" s="197"/>
      <c r="AQ47" s="197"/>
      <c r="AR47" s="197"/>
    </row>
    <row r="48" spans="1:45">
      <c r="A48" s="14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</row>
    <row r="49" spans="1:44">
      <c r="A49" s="141" t="s">
        <v>253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9"/>
      <c r="AB49" s="199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</row>
    <row r="50" spans="1:44">
      <c r="A50" s="14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197"/>
      <c r="AB50" s="197"/>
      <c r="AC50" s="197"/>
      <c r="AD50" s="197"/>
      <c r="AE50" s="197"/>
      <c r="AF50" s="197"/>
      <c r="AG50" s="197"/>
      <c r="AH50" s="197"/>
      <c r="AI50" s="197"/>
      <c r="AJ50" s="197"/>
      <c r="AK50" s="197"/>
      <c r="AL50" s="197"/>
      <c r="AM50" s="197"/>
      <c r="AN50" s="197"/>
      <c r="AO50" s="197"/>
      <c r="AP50" s="197"/>
      <c r="AQ50" s="197"/>
      <c r="AR50" s="197"/>
    </row>
    <row r="51" spans="1:44">
      <c r="A51" s="14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7"/>
      <c r="AB51" s="197"/>
      <c r="AC51" s="197"/>
      <c r="AD51" s="197"/>
      <c r="AE51" s="197"/>
      <c r="AF51" s="197"/>
      <c r="AG51" s="197"/>
      <c r="AH51" s="197"/>
      <c r="AI51" s="197"/>
      <c r="AJ51" s="197"/>
      <c r="AK51" s="197"/>
      <c r="AL51" s="197"/>
      <c r="AM51" s="197"/>
      <c r="AN51" s="197"/>
      <c r="AO51" s="197"/>
      <c r="AP51" s="197"/>
      <c r="AQ51" s="197"/>
      <c r="AR51" s="197"/>
    </row>
    <row r="52" spans="1:44">
      <c r="A52" s="142" t="s">
        <v>170</v>
      </c>
      <c r="B52" s="101">
        <f t="shared" ref="B52" si="4">SUM(B45:B51)</f>
        <v>108637.10373836674</v>
      </c>
      <c r="C52" s="101">
        <f t="shared" ref="C52:M52" si="5">SUM(C45:C51)</f>
        <v>103922.1905570196</v>
      </c>
      <c r="D52" s="101">
        <f t="shared" si="5"/>
        <v>99359.293129631784</v>
      </c>
      <c r="E52" s="101">
        <f t="shared" si="5"/>
        <v>94936.63163763081</v>
      </c>
      <c r="F52" s="101">
        <f t="shared" si="5"/>
        <v>90644.109093668798</v>
      </c>
      <c r="G52" s="101">
        <f t="shared" si="5"/>
        <v>86471.628510397961</v>
      </c>
      <c r="H52" s="101">
        <f t="shared" si="5"/>
        <v>82410.495259824238</v>
      </c>
      <c r="I52" s="101">
        <f t="shared" si="5"/>
        <v>78452.014713953715</v>
      </c>
      <c r="J52" s="101">
        <f t="shared" si="5"/>
        <v>74510.362480329597</v>
      </c>
      <c r="K52" s="101">
        <f t="shared" si="5"/>
        <v>70568.990718576257</v>
      </c>
      <c r="L52" s="101">
        <f t="shared" si="5"/>
        <v>66627.338484952139</v>
      </c>
      <c r="M52" s="101">
        <f t="shared" si="5"/>
        <v>65489.403598727607</v>
      </c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01"/>
      <c r="AO52" s="101"/>
      <c r="AP52" s="101"/>
      <c r="AQ52" s="101"/>
      <c r="AR52" s="101"/>
    </row>
    <row r="56" spans="1:44">
      <c r="A56"/>
    </row>
  </sheetData>
  <phoneticPr fontId="308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1-11 Attachment 4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>
          <x14:formula1>
            <xm:f>DropDowns!$E$2:$E$7</xm:f>
          </x14:formula1>
          <xm:sqref>B2</xm:sqref>
        </x14:dataValidation>
        <x14:dataValidation type="list" allowBlank="1" showInputMessage="1" showErrorMessage="1">
          <x14:formula1>
            <xm:f>DropDowns!$G$2:$G$11</xm:f>
          </x14:formula1>
          <xm:sqref>B3</xm:sqref>
        </x14:dataValidation>
        <x14:dataValidation type="list" allowBlank="1" showInputMessage="1" showErrorMessage="1">
          <x14:formula1>
            <xm:f>DropDowns!$C$2:$C$4</xm:f>
          </x14:formula1>
          <xm:sqref>F6</xm:sqref>
        </x14:dataValidation>
        <x14:dataValidation type="list" allowBlank="1" showInputMessage="1" showErrorMessage="1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AL31"/>
  <sheetViews>
    <sheetView zoomScaleNormal="100" workbookViewId="0">
      <selection activeCell="D22" sqref="D22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>
      <c r="A2" s="25" t="s">
        <v>41</v>
      </c>
      <c r="B2" s="25"/>
      <c r="C2" s="25"/>
      <c r="D2" s="128">
        <f>SIT!D3</f>
        <v>2029</v>
      </c>
      <c r="E2" s="128">
        <f>SIT!E3</f>
        <v>2030</v>
      </c>
      <c r="F2" s="128">
        <f>SIT!F3</f>
        <v>2031</v>
      </c>
      <c r="G2" s="128">
        <f>SIT!G3</f>
        <v>2032</v>
      </c>
      <c r="H2" s="128">
        <f>SIT!H3</f>
        <v>2033</v>
      </c>
      <c r="I2" s="128">
        <f>SIT!I3</f>
        <v>2034</v>
      </c>
      <c r="J2" s="128">
        <f>SIT!J3</f>
        <v>2035</v>
      </c>
      <c r="K2" s="128">
        <f>SIT!K3</f>
        <v>2036</v>
      </c>
      <c r="L2" s="128">
        <f>SIT!L3</f>
        <v>2037</v>
      </c>
      <c r="M2" s="128">
        <f>SIT!M3</f>
        <v>2038</v>
      </c>
      <c r="N2" s="128">
        <f>SIT!N3</f>
        <v>2039</v>
      </c>
      <c r="O2" s="128">
        <f>SIT!O3</f>
        <v>2040</v>
      </c>
      <c r="P2" s="128">
        <f>SIT!P3</f>
        <v>2041</v>
      </c>
      <c r="Q2" s="128">
        <f>SIT!Q3</f>
        <v>2042</v>
      </c>
      <c r="R2" s="128">
        <f>SIT!R3</f>
        <v>2043</v>
      </c>
      <c r="S2" s="128">
        <f>SIT!S3</f>
        <v>2044</v>
      </c>
      <c r="T2" s="128">
        <f>SIT!T3</f>
        <v>2045</v>
      </c>
      <c r="U2" s="128">
        <f>SIT!U3</f>
        <v>2046</v>
      </c>
      <c r="V2" s="128">
        <f>SIT!V3</f>
        <v>2047</v>
      </c>
      <c r="W2" s="128">
        <f>SIT!W3</f>
        <v>2048</v>
      </c>
      <c r="X2" s="128">
        <f>SIT!X3</f>
        <v>2049</v>
      </c>
      <c r="Y2" s="128">
        <f>SIT!Y3</f>
        <v>2050</v>
      </c>
      <c r="Z2" s="128">
        <f>SIT!Z3</f>
        <v>2051</v>
      </c>
      <c r="AA2" s="128">
        <f>SIT!AA3</f>
        <v>2052</v>
      </c>
      <c r="AB2" s="128">
        <f>SIT!AB3</f>
        <v>2053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'Total Rev Req'!B13</f>
        <v>108637.10373836674</v>
      </c>
      <c r="E6" s="28">
        <f>'Total Rev Req'!C13</f>
        <v>103922.1905570196</v>
      </c>
      <c r="F6" s="28">
        <f>'Total Rev Req'!D13</f>
        <v>99359.293129631784</v>
      </c>
      <c r="G6" s="28">
        <f>'Total Rev Req'!E13</f>
        <v>94936.63163763081</v>
      </c>
      <c r="H6" s="28">
        <f>'Total Rev Req'!F13</f>
        <v>90644.109093668798</v>
      </c>
      <c r="I6" s="28">
        <f>'Total Rev Req'!G13</f>
        <v>86471.628510397961</v>
      </c>
      <c r="J6" s="28">
        <f>'Total Rev Req'!H13</f>
        <v>82410.495259824238</v>
      </c>
      <c r="K6" s="28">
        <f>'Total Rev Req'!I13</f>
        <v>78452.014713953715</v>
      </c>
      <c r="L6" s="28">
        <f>'Total Rev Req'!J13</f>
        <v>74510.362480329597</v>
      </c>
      <c r="M6" s="28">
        <f>'Total Rev Req'!K13</f>
        <v>70568.990718576257</v>
      </c>
      <c r="N6" s="28">
        <f>'Total Rev Req'!L13</f>
        <v>66627.338484952139</v>
      </c>
      <c r="O6" s="28">
        <f>'Total Rev Req'!M13</f>
        <v>65489.403598727607</v>
      </c>
      <c r="P6" s="28">
        <f>'Total Rev Req'!N13</f>
        <v>0</v>
      </c>
      <c r="Q6" s="28">
        <f>'Total Rev Req'!O13</f>
        <v>0</v>
      </c>
      <c r="R6" s="28">
        <f>'Total Rev Req'!P13</f>
        <v>0</v>
      </c>
      <c r="S6" s="28">
        <f>'Total Rev Req'!Q13</f>
        <v>0</v>
      </c>
      <c r="T6" s="28">
        <f>'Total Rev Req'!R13</f>
        <v>0</v>
      </c>
      <c r="U6" s="28">
        <f>'Total Rev Req'!S13</f>
        <v>0</v>
      </c>
      <c r="V6" s="28">
        <f>'Total Rev Req'!T13</f>
        <v>0</v>
      </c>
      <c r="W6" s="28">
        <f>'Total Rev Req'!U13</f>
        <v>0</v>
      </c>
      <c r="X6" s="28">
        <f>'Total Rev Req'!V13</f>
        <v>0</v>
      </c>
      <c r="Y6" s="28">
        <f>'Total Rev Req'!W13</f>
        <v>0</v>
      </c>
      <c r="Z6" s="28">
        <f>'Total Rev Req'!X13</f>
        <v>0</v>
      </c>
      <c r="AA6" s="28">
        <f>'Total Rev Req'!Y13</f>
        <v>0</v>
      </c>
      <c r="AB6" s="28">
        <f>'Total Rev Req'!Z13</f>
        <v>0</v>
      </c>
      <c r="AC6" s="28">
        <f>'Total Rev Req'!AA13</f>
        <v>0</v>
      </c>
      <c r="AD6" s="28">
        <f>'Total Rev Req'!AB13</f>
        <v>0</v>
      </c>
      <c r="AE6" s="28">
        <f>'Total Rev Req'!AC13</f>
        <v>0</v>
      </c>
      <c r="AF6" s="28">
        <f>'Total Rev Req'!AD13</f>
        <v>0</v>
      </c>
      <c r="AG6" s="28">
        <f>'Total Rev Req'!AE13</f>
        <v>0</v>
      </c>
      <c r="AH6" s="28">
        <f>'Total Rev Req'!AF13</f>
        <v>0</v>
      </c>
      <c r="AI6" s="28">
        <f>'Total Rev Req'!AG13</f>
        <v>0</v>
      </c>
      <c r="AJ6" s="28">
        <f>'Total Rev Req'!AH13</f>
        <v>0</v>
      </c>
      <c r="AK6" s="28">
        <f>'Total Rev Req'!AI13</f>
        <v>0</v>
      </c>
      <c r="AL6" s="28">
        <f>'Total Rev Req'!AJ13</f>
        <v>0</v>
      </c>
    </row>
    <row r="7" spans="1:38">
      <c r="A7" s="27">
        <v>3</v>
      </c>
      <c r="B7" s="24"/>
      <c r="C7" s="24" t="s">
        <v>54</v>
      </c>
      <c r="D7" s="28">
        <f>'Total Rev Req'!B14</f>
        <v>6180848.2999999998</v>
      </c>
      <c r="E7" s="28">
        <f>'Total Rev Req'!C14</f>
        <v>6180848.2999999998</v>
      </c>
      <c r="F7" s="28">
        <f>'Total Rev Req'!D14</f>
        <v>6180848.2999999998</v>
      </c>
      <c r="G7" s="28">
        <f>'Total Rev Req'!E14</f>
        <v>6180848.2999999998</v>
      </c>
      <c r="H7" s="28">
        <f>'Total Rev Req'!F14</f>
        <v>6180848.2999999998</v>
      </c>
      <c r="I7" s="28">
        <f>'Total Rev Req'!G14</f>
        <v>6180848.2999999998</v>
      </c>
      <c r="J7" s="28">
        <f>'Total Rev Req'!H14</f>
        <v>6180848.2999999998</v>
      </c>
      <c r="K7" s="28">
        <f>'Total Rev Req'!I14</f>
        <v>6180848.2999999998</v>
      </c>
      <c r="L7" s="28">
        <f>'Total Rev Req'!J14</f>
        <v>6180848.2999999998</v>
      </c>
      <c r="M7" s="28">
        <f>'Total Rev Req'!K14</f>
        <v>6180848.2999999998</v>
      </c>
      <c r="N7" s="28">
        <f>'Total Rev Req'!L14</f>
        <v>6180848.2999999998</v>
      </c>
      <c r="O7" s="28">
        <f>'Total Rev Req'!M14</f>
        <v>6340348.2999999998</v>
      </c>
      <c r="P7" s="28">
        <f>'Total Rev Req'!N14</f>
        <v>0</v>
      </c>
      <c r="Q7" s="28">
        <f>'Total Rev Req'!O14</f>
        <v>0</v>
      </c>
      <c r="R7" s="28">
        <f>'Total Rev Req'!P14</f>
        <v>0</v>
      </c>
      <c r="S7" s="28">
        <f>'Total Rev Req'!Q14</f>
        <v>0</v>
      </c>
      <c r="T7" s="28">
        <f>'Total Rev Req'!R14</f>
        <v>0</v>
      </c>
      <c r="U7" s="28">
        <f>'Total Rev Req'!S14</f>
        <v>0</v>
      </c>
      <c r="V7" s="28">
        <f>'Total Rev Req'!T14</f>
        <v>0</v>
      </c>
      <c r="W7" s="28">
        <f>'Total Rev Req'!U14</f>
        <v>0</v>
      </c>
      <c r="X7" s="28">
        <f>'Total Rev Req'!V14</f>
        <v>0</v>
      </c>
      <c r="Y7" s="28">
        <f>'Total Rev Req'!W14</f>
        <v>0</v>
      </c>
      <c r="Z7" s="28">
        <f>'Total Rev Req'!X14</f>
        <v>0</v>
      </c>
      <c r="AA7" s="28">
        <f>'Total Rev Req'!Y14</f>
        <v>0</v>
      </c>
      <c r="AB7" s="28">
        <f>'Total Rev Req'!Z14</f>
        <v>0</v>
      </c>
      <c r="AC7" s="28">
        <f>'Total Rev Req'!AA14</f>
        <v>0</v>
      </c>
      <c r="AD7" s="28">
        <f>'Total Rev Req'!AB14</f>
        <v>0</v>
      </c>
      <c r="AE7" s="28">
        <f>'Total Rev Req'!AC14</f>
        <v>0</v>
      </c>
      <c r="AF7" s="28">
        <f>'Total Rev Req'!AD14</f>
        <v>0</v>
      </c>
      <c r="AG7" s="28">
        <f>'Total Rev Req'!AE14</f>
        <v>0</v>
      </c>
      <c r="AH7" s="28">
        <f>'Total Rev Req'!AF14</f>
        <v>0</v>
      </c>
      <c r="AI7" s="28">
        <f>'Total Rev Req'!AG14</f>
        <v>0</v>
      </c>
      <c r="AJ7" s="28">
        <f>'Total Rev Req'!AH14</f>
        <v>0</v>
      </c>
      <c r="AK7" s="28">
        <f>'Total Rev Req'!AI14</f>
        <v>0</v>
      </c>
      <c r="AL7" s="28">
        <f>'Total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-646942.90929327998</v>
      </c>
      <c r="E8" s="30">
        <f>SIT!E20</f>
        <v>-971386.4823124602</v>
      </c>
      <c r="F8" s="30">
        <f>SIT!F20</f>
        <v>-906892.470085882</v>
      </c>
      <c r="G8" s="30">
        <f>SIT!G20</f>
        <v>-846840.49095622869</v>
      </c>
      <c r="H8" s="30">
        <f>SIT!H20</f>
        <v>-790621.84880231461</v>
      </c>
      <c r="I8" s="30">
        <f>SIT!I20</f>
        <v>-738210.24616869446</v>
      </c>
      <c r="J8" s="30">
        <f>SIT!J20</f>
        <v>-689097.70580283948</v>
      </c>
      <c r="K8" s="30">
        <f>SIT!K20</f>
        <v>-643261.58267367212</v>
      </c>
      <c r="L8" s="30">
        <f>SIT!L20</f>
        <v>-627171.62058965419</v>
      </c>
      <c r="M8" s="30">
        <f>SIT!M20</f>
        <v>-616809.30920361937</v>
      </c>
      <c r="N8" s="30">
        <f>SIT!N20</f>
        <v>-606640.40022129146</v>
      </c>
      <c r="O8" s="30">
        <f>SIT!O20</f>
        <v>-612972.78655697219</v>
      </c>
      <c r="P8" s="30">
        <f>SIT!P20</f>
        <v>-615148.16162518924</v>
      </c>
      <c r="Q8" s="30">
        <f>SIT!Q20</f>
        <v>-610374.01001168357</v>
      </c>
      <c r="R8" s="30">
        <f>SIT!R20</f>
        <v>-605907.7225293424</v>
      </c>
      <c r="S8" s="30">
        <f>SIT!S20</f>
        <v>-601346.77160283469</v>
      </c>
      <c r="T8" s="30">
        <f>SIT!T20</f>
        <v>-597077.32457485283</v>
      </c>
      <c r="U8" s="30">
        <f>SIT!U20</f>
        <v>-592699.45115983183</v>
      </c>
      <c r="V8" s="30">
        <f>SIT!V20</f>
        <v>-588599.41114023095</v>
      </c>
      <c r="W8" s="30">
        <f>SIT!W20</f>
        <v>-585073.5480433231</v>
      </c>
      <c r="X8" s="30">
        <f>SIT!X20</f>
        <v>-366932.0332473797</v>
      </c>
      <c r="Y8" s="30">
        <f>SIT!Y20</f>
        <v>-150296.80763868793</v>
      </c>
      <c r="Z8" s="30">
        <f>SIT!Z20</f>
        <v>-150211.82802893943</v>
      </c>
      <c r="AA8" s="30">
        <f>SIT!AA20</f>
        <v>-150131.8396312377</v>
      </c>
      <c r="AB8" s="30">
        <f>SIT!AB20</f>
        <v>-150046.86002148926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5539280.7996446695</v>
      </c>
      <c r="E10" s="29">
        <f>SIT!E9</f>
        <v>5298872.806807098</v>
      </c>
      <c r="F10" s="29">
        <f>SIT!F9</f>
        <v>5066215.922183699</v>
      </c>
      <c r="G10" s="29">
        <f>SIT!G9</f>
        <v>4840709.5063925637</v>
      </c>
      <c r="H10" s="29">
        <f>SIT!H9</f>
        <v>4621838.7256777678</v>
      </c>
      <c r="I10" s="29">
        <f>SIT!I9</f>
        <v>4409088.7462833906</v>
      </c>
      <c r="J10" s="29">
        <f>SIT!J9</f>
        <v>4202016.2391418284</v>
      </c>
      <c r="K10" s="29">
        <f>SIT!K9</f>
        <v>4000177.875185485</v>
      </c>
      <c r="L10" s="29">
        <f>SIT!L9</f>
        <v>3799197.5674890112</v>
      </c>
      <c r="M10" s="29">
        <f>SIT!M9</f>
        <v>3598231.5607302031</v>
      </c>
      <c r="N10" s="29">
        <f>SIT!N9</f>
        <v>3397251.2530337302</v>
      </c>
      <c r="O10" s="29">
        <f>SIT!O9</f>
        <v>3339229.2637722166</v>
      </c>
      <c r="P10" s="29">
        <f>SIT!P9</f>
        <v>3272754.3576104166</v>
      </c>
      <c r="Q10" s="29">
        <f>SIT!Q9</f>
        <v>3206493.7737587783</v>
      </c>
      <c r="R10" s="29">
        <f>SIT!R9</f>
        <v>3140403.4105308191</v>
      </c>
      <c r="S10" s="29">
        <f>SIT!S9</f>
        <v>3074498.5842494522</v>
      </c>
      <c r="T10" s="29">
        <f>SIT!T9</f>
        <v>3008737.40748693</v>
      </c>
      <c r="U10" s="29">
        <f>SIT!U9</f>
        <v>2943137.0417817803</v>
      </c>
      <c r="V10" s="29">
        <f>SIT!V9</f>
        <v>2877657.4449218693</v>
      </c>
      <c r="W10" s="29">
        <f>SIT!W9</f>
        <v>2812214.2915869849</v>
      </c>
      <c r="X10" s="29">
        <f>SIT!X9</f>
        <v>2778662.5982871163</v>
      </c>
      <c r="Y10" s="29">
        <f>SIT!Y9</f>
        <v>2777015.9278736832</v>
      </c>
      <c r="Z10" s="29">
        <f>SIT!Z9</f>
        <v>2775369.6265033721</v>
      </c>
      <c r="AA10" s="29">
        <f>SIT!AA9</f>
        <v>2773722.9560899395</v>
      </c>
      <c r="AB10" s="29">
        <f>SIT!AB9</f>
        <v>2772076.6547196289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-11181823.294089757</v>
      </c>
      <c r="E12" s="31">
        <f t="shared" ref="E12:N12" si="0">E4-E6-E7-E8-E9-E10</f>
        <v>-10612256.815051656</v>
      </c>
      <c r="F12" s="31">
        <f t="shared" si="0"/>
        <v>-10439531.045227449</v>
      </c>
      <c r="G12" s="31">
        <f t="shared" si="0"/>
        <v>-10269653.947073966</v>
      </c>
      <c r="H12" s="31">
        <f t="shared" si="0"/>
        <v>-10102709.285969121</v>
      </c>
      <c r="I12" s="31">
        <f t="shared" si="0"/>
        <v>-9938198.4286250938</v>
      </c>
      <c r="J12" s="31">
        <f t="shared" si="0"/>
        <v>-9776177.3285988122</v>
      </c>
      <c r="K12" s="31">
        <f t="shared" si="0"/>
        <v>-9616216.6072257645</v>
      </c>
      <c r="L12" s="31">
        <f t="shared" si="0"/>
        <v>-9427384.6093796864</v>
      </c>
      <c r="M12" s="31">
        <f t="shared" si="0"/>
        <v>-9232839.5422451608</v>
      </c>
      <c r="N12" s="31">
        <f t="shared" si="0"/>
        <v>-9038086.4912973903</v>
      </c>
      <c r="O12" s="31">
        <f t="shared" ref="O12:X12" si="1">O4-O6-O7-O8-O9-O10</f>
        <v>-9132094.1808139719</v>
      </c>
      <c r="P12" s="31">
        <f t="shared" si="1"/>
        <v>-2657606.1959852274</v>
      </c>
      <c r="Q12" s="31">
        <f t="shared" si="1"/>
        <v>-2596119.7637470947</v>
      </c>
      <c r="R12" s="31">
        <f t="shared" si="1"/>
        <v>-2534495.6880014767</v>
      </c>
      <c r="S12" s="31">
        <f t="shared" si="1"/>
        <v>-2473151.8126466176</v>
      </c>
      <c r="T12" s="31">
        <f t="shared" si="1"/>
        <v>-2411660.0829120772</v>
      </c>
      <c r="U12" s="31">
        <f t="shared" si="1"/>
        <v>-2350437.5906219482</v>
      </c>
      <c r="V12" s="31">
        <f t="shared" si="1"/>
        <v>-2289058.0337816384</v>
      </c>
      <c r="W12" s="31">
        <f t="shared" si="1"/>
        <v>-2227140.7435436617</v>
      </c>
      <c r="X12" s="31">
        <f t="shared" si="1"/>
        <v>-2411730.5650397367</v>
      </c>
      <c r="Y12" s="31">
        <f t="shared" ref="Y12:AL12" si="2">Y4-Y6-Y7-Y8-Y9-Y10</f>
        <v>-2626719.1202349951</v>
      </c>
      <c r="Z12" s="31">
        <f t="shared" si="2"/>
        <v>-2625157.7984744329</v>
      </c>
      <c r="AA12" s="31">
        <f t="shared" si="2"/>
        <v>-2623591.1164587019</v>
      </c>
      <c r="AB12" s="31">
        <f t="shared" si="2"/>
        <v>-2622029.7946981397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-1085039.2000000002</v>
      </c>
      <c r="E15" s="34">
        <f>SIT!E14</f>
        <v>-7806469.5300000003</v>
      </c>
      <c r="F15" s="34">
        <f>SIT!F14</f>
        <v>-6756306.5899999999</v>
      </c>
      <c r="G15" s="34">
        <f>SIT!G14</f>
        <v>-5787521.5899999999</v>
      </c>
      <c r="H15" s="34">
        <f>SIT!H14</f>
        <v>-4888489.1100000003</v>
      </c>
      <c r="I15" s="34">
        <f>SIT!I14</f>
        <v>-4059209.1500000004</v>
      </c>
      <c r="J15" s="34">
        <f>SIT!J14</f>
        <v>-3289993.8600000003</v>
      </c>
      <c r="K15" s="34">
        <f>SIT!K14</f>
        <v>-2580843.2400000002</v>
      </c>
      <c r="L15" s="34">
        <f>SIT!L14</f>
        <v>-2464589.040000001</v>
      </c>
      <c r="M15" s="34">
        <f>SIT!M14</f>
        <v>-2462651.4699999988</v>
      </c>
      <c r="N15" s="34">
        <f>SIT!N14</f>
        <v>-2464589.040000001</v>
      </c>
      <c r="O15" s="34">
        <f>SIT!O14</f>
        <v>-2490651.4699999988</v>
      </c>
      <c r="P15" s="34">
        <f>SIT!P14</f>
        <v>-9006387.3400000017</v>
      </c>
      <c r="Q15" s="34">
        <f>SIT!Q14</f>
        <v>-8977349.7699999996</v>
      </c>
      <c r="R15" s="34">
        <f>SIT!R14</f>
        <v>-8954287.3399999999</v>
      </c>
      <c r="S15" s="34">
        <f>SIT!S14</f>
        <v>-8929149.7699999977</v>
      </c>
      <c r="T15" s="34">
        <f>SIT!T14</f>
        <v>-8909687.3399999999</v>
      </c>
      <c r="U15" s="34">
        <f>SIT!U14</f>
        <v>-8887899.7699999977</v>
      </c>
      <c r="V15" s="34">
        <f>SIT!V14</f>
        <v>-8871537.3399999999</v>
      </c>
      <c r="W15" s="34">
        <f>SIT!W14</f>
        <v>-8866599.7699999996</v>
      </c>
      <c r="X15" s="34">
        <f>SIT!X14</f>
        <v>-4545768.67</v>
      </c>
      <c r="Y15" s="34">
        <f>SIT!Y14</f>
        <v>-223100</v>
      </c>
      <c r="Z15" s="34">
        <f>SIT!Z14</f>
        <v>-223049.99999999997</v>
      </c>
      <c r="AA15" s="34">
        <f>SIT!AA14</f>
        <v>-223100</v>
      </c>
      <c r="AB15" s="34">
        <f>SIT!AB14</f>
        <v>-223049.99999999997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-12266862.494089756</v>
      </c>
      <c r="E17" s="35">
        <f t="shared" ref="E17:N17" si="3">SUM(E12:E15)</f>
        <v>-18418726.345051657</v>
      </c>
      <c r="F17" s="35">
        <f t="shared" si="3"/>
        <v>-17195837.635227449</v>
      </c>
      <c r="G17" s="35">
        <f t="shared" si="3"/>
        <v>-16057175.537073966</v>
      </c>
      <c r="H17" s="35">
        <f t="shared" si="3"/>
        <v>-14991198.395969123</v>
      </c>
      <c r="I17" s="35">
        <f t="shared" si="3"/>
        <v>-13997407.578625094</v>
      </c>
      <c r="J17" s="35">
        <f t="shared" si="3"/>
        <v>-13066171.188598812</v>
      </c>
      <c r="K17" s="35">
        <f t="shared" si="3"/>
        <v>-12197059.847225765</v>
      </c>
      <c r="L17" s="35">
        <f t="shared" si="3"/>
        <v>-11891973.649379687</v>
      </c>
      <c r="M17" s="35">
        <f t="shared" si="3"/>
        <v>-11695491.01224516</v>
      </c>
      <c r="N17" s="35">
        <f t="shared" si="3"/>
        <v>-11502675.531297391</v>
      </c>
      <c r="O17" s="35">
        <f t="shared" ref="O17:X17" si="4">SUM(O12:O15)</f>
        <v>-11622745.650813971</v>
      </c>
      <c r="P17" s="35">
        <f t="shared" si="4"/>
        <v>-11663993.53598523</v>
      </c>
      <c r="Q17" s="35">
        <f t="shared" si="4"/>
        <v>-11573469.533747094</v>
      </c>
      <c r="R17" s="35">
        <f t="shared" si="4"/>
        <v>-11488783.028001476</v>
      </c>
      <c r="S17" s="35">
        <f t="shared" si="4"/>
        <v>-11402301.582646616</v>
      </c>
      <c r="T17" s="35">
        <f t="shared" si="4"/>
        <v>-11321347.422912076</v>
      </c>
      <c r="U17" s="35">
        <f t="shared" si="4"/>
        <v>-11238337.360621946</v>
      </c>
      <c r="V17" s="35">
        <f t="shared" si="4"/>
        <v>-11160595.373781638</v>
      </c>
      <c r="W17" s="35">
        <f t="shared" si="4"/>
        <v>-11093740.513543662</v>
      </c>
      <c r="X17" s="35">
        <f t="shared" si="4"/>
        <v>-6957499.2350397371</v>
      </c>
      <c r="Y17" s="35">
        <f t="shared" ref="Y17:AL17" si="5">SUM(Y12:Y15)</f>
        <v>-2849819.1202349951</v>
      </c>
      <c r="Z17" s="35">
        <f t="shared" si="5"/>
        <v>-2848207.7984744329</v>
      </c>
      <c r="AA17" s="35">
        <f t="shared" si="5"/>
        <v>-2846691.1164587019</v>
      </c>
      <c r="AB17" s="35">
        <f t="shared" si="5"/>
        <v>-2845079.7946981397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-2576041.1237588488</v>
      </c>
      <c r="E21" s="35">
        <f t="shared" ref="E21:N21" si="6">E19*E17</f>
        <v>-3867932.5324608479</v>
      </c>
      <c r="F21" s="35">
        <f t="shared" si="6"/>
        <v>-3611125.9033977641</v>
      </c>
      <c r="G21" s="35">
        <f t="shared" si="6"/>
        <v>-3372006.8627855326</v>
      </c>
      <c r="H21" s="35">
        <f t="shared" si="6"/>
        <v>-3148151.6631535157</v>
      </c>
      <c r="I21" s="35">
        <f t="shared" si="6"/>
        <v>-2939455.5915112696</v>
      </c>
      <c r="J21" s="35">
        <f t="shared" si="6"/>
        <v>-2743895.9496057504</v>
      </c>
      <c r="K21" s="35">
        <f t="shared" si="6"/>
        <v>-2561382.5679174103</v>
      </c>
      <c r="L21" s="35">
        <f t="shared" si="6"/>
        <v>-2497314.4663697341</v>
      </c>
      <c r="M21" s="35">
        <f t="shared" si="6"/>
        <v>-2456053.1125714835</v>
      </c>
      <c r="N21" s="35">
        <f t="shared" si="6"/>
        <v>-2415561.8615724519</v>
      </c>
      <c r="O21" s="35">
        <f t="shared" ref="O21:X21" si="7">O19*O17</f>
        <v>-2440776.5866709338</v>
      </c>
      <c r="P21" s="35">
        <f t="shared" si="7"/>
        <v>-2449438.6425568983</v>
      </c>
      <c r="Q21" s="35">
        <f t="shared" si="7"/>
        <v>-2430428.6020868896</v>
      </c>
      <c r="R21" s="35">
        <f t="shared" si="7"/>
        <v>-2412644.4358803099</v>
      </c>
      <c r="S21" s="35">
        <f t="shared" si="7"/>
        <v>-2394483.3323557894</v>
      </c>
      <c r="T21" s="35">
        <f t="shared" si="7"/>
        <v>-2377482.958811536</v>
      </c>
      <c r="U21" s="35">
        <f t="shared" si="7"/>
        <v>-2360050.8457306083</v>
      </c>
      <c r="V21" s="35">
        <f t="shared" si="7"/>
        <v>-2343725.0284941439</v>
      </c>
      <c r="W21" s="35">
        <f t="shared" si="7"/>
        <v>-2329685.5078441687</v>
      </c>
      <c r="X21" s="35">
        <f t="shared" si="7"/>
        <v>-1461074.8393583447</v>
      </c>
      <c r="Y21" s="35">
        <f t="shared" ref="Y21:AL21" si="8">Y19*Y17</f>
        <v>-598462.01524934894</v>
      </c>
      <c r="Z21" s="35">
        <f t="shared" si="8"/>
        <v>-598123.63767963089</v>
      </c>
      <c r="AA21" s="35">
        <f t="shared" si="8"/>
        <v>-597805.13445632742</v>
      </c>
      <c r="AB21" s="35">
        <f t="shared" si="8"/>
        <v>-597466.75688660925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-2576041.1237588488</v>
      </c>
      <c r="E25" s="132">
        <f t="shared" ref="E25:N25" si="9">E21</f>
        <v>-3867932.5324608479</v>
      </c>
      <c r="F25" s="132">
        <f t="shared" si="9"/>
        <v>-3611125.9033977641</v>
      </c>
      <c r="G25" s="132">
        <f t="shared" si="9"/>
        <v>-3372006.8627855326</v>
      </c>
      <c r="H25" s="132">
        <f t="shared" si="9"/>
        <v>-3148151.6631535157</v>
      </c>
      <c r="I25" s="132">
        <f t="shared" si="9"/>
        <v>-2939455.5915112696</v>
      </c>
      <c r="J25" s="132">
        <f t="shared" si="9"/>
        <v>-2743895.9496057504</v>
      </c>
      <c r="K25" s="132">
        <f t="shared" si="9"/>
        <v>-2561382.5679174103</v>
      </c>
      <c r="L25" s="132">
        <f t="shared" si="9"/>
        <v>-2497314.4663697341</v>
      </c>
      <c r="M25" s="132">
        <f t="shared" si="9"/>
        <v>-2456053.1125714835</v>
      </c>
      <c r="N25" s="132">
        <f t="shared" si="9"/>
        <v>-2415561.8615724519</v>
      </c>
      <c r="O25" s="132">
        <f t="shared" ref="O25:X25" si="10">O21</f>
        <v>-2440776.5866709338</v>
      </c>
      <c r="P25" s="132">
        <f t="shared" si="10"/>
        <v>-2449438.6425568983</v>
      </c>
      <c r="Q25" s="132">
        <f t="shared" si="10"/>
        <v>-2430428.6020868896</v>
      </c>
      <c r="R25" s="132">
        <f t="shared" si="10"/>
        <v>-2412644.4358803099</v>
      </c>
      <c r="S25" s="132">
        <f t="shared" si="10"/>
        <v>-2394483.3323557894</v>
      </c>
      <c r="T25" s="132">
        <f t="shared" si="10"/>
        <v>-2377482.958811536</v>
      </c>
      <c r="U25" s="132">
        <f t="shared" si="10"/>
        <v>-2360050.8457306083</v>
      </c>
      <c r="V25" s="132">
        <f t="shared" si="10"/>
        <v>-2343725.0284941439</v>
      </c>
      <c r="W25" s="132">
        <f t="shared" si="10"/>
        <v>-2329685.5078441687</v>
      </c>
      <c r="X25" s="132">
        <f t="shared" si="10"/>
        <v>-1461074.8393583447</v>
      </c>
      <c r="Y25" s="132">
        <f t="shared" ref="Y25:AL25" si="11">Y21</f>
        <v>-598462.01524934894</v>
      </c>
      <c r="Z25" s="132">
        <f t="shared" si="11"/>
        <v>-598123.63767963089</v>
      </c>
      <c r="AA25" s="132">
        <f t="shared" si="11"/>
        <v>-597805.13445632742</v>
      </c>
      <c r="AB25" s="132">
        <f t="shared" si="11"/>
        <v>-597466.75688660925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'Total Rev Req'!B28</f>
        <v>23042056.525590315</v>
      </c>
      <c r="E27" s="124">
        <f>'Total Rev Req'!C28</f>
        <v>22311460.393595241</v>
      </c>
      <c r="F27" s="124">
        <f>'Total Rev Req'!D28</f>
        <v>21604419.7582919</v>
      </c>
      <c r="G27" s="124">
        <f>'Total Rev Req'!E28</f>
        <v>20919109.285988301</v>
      </c>
      <c r="H27" s="124">
        <f>'Total Rev Req'!F28</f>
        <v>20253964.404948469</v>
      </c>
      <c r="I27" s="124">
        <f>'Total Rev Req'!G28</f>
        <v>19607420.543436423</v>
      </c>
      <c r="J27" s="124">
        <f>'Total Rev Req'!H28</f>
        <v>18978130.431346178</v>
      </c>
      <c r="K27" s="124">
        <f>'Total Rev Req'!I28</f>
        <v>18364746.798571747</v>
      </c>
      <c r="L27" s="124">
        <f>'Total Rev Req'!J28</f>
        <v>17753970.785357285</v>
      </c>
      <c r="M27" s="124">
        <f>'Total Rev Req'!K28</f>
        <v>17143238.232468825</v>
      </c>
      <c r="N27" s="124">
        <f>'Total Rev Req'!L28</f>
        <v>16532462.219254365</v>
      </c>
      <c r="O27" s="124">
        <f>'Total Rev Req'!M28</f>
        <v>16516341.900390748</v>
      </c>
      <c r="P27" s="124">
        <f>'Total Rev Req'!N28</f>
        <v>9881378.8907907475</v>
      </c>
      <c r="Q27" s="124">
        <f>'Total Rev Req'!O28</f>
        <v>9681319.2886881605</v>
      </c>
      <c r="R27" s="124">
        <f>'Total Rev Req'!P28</f>
        <v>9481773.6312003564</v>
      </c>
      <c r="S27" s="124">
        <f>'Total Rev Req'!Q28</f>
        <v>9282788.1626748722</v>
      </c>
      <c r="T27" s="124">
        <f>'Total Rev Req'!R28</f>
        <v>9084236.4130198192</v>
      </c>
      <c r="U27" s="124">
        <f>'Total Rev Req'!S28</f>
        <v>8886170.1978149861</v>
      </c>
      <c r="V27" s="124">
        <f>'Total Rev Req'!T28</f>
        <v>8688468.6182007324</v>
      </c>
      <c r="W27" s="124">
        <f>'Total Rev Req'!U28</f>
        <v>8490877.0719832908</v>
      </c>
      <c r="X27" s="124">
        <f>'Total Rev Req'!V28</f>
        <v>8389574.9399877582</v>
      </c>
      <c r="Y27" s="124">
        <f>'Total Rev Req'!W28</f>
        <v>8384603.1723310892</v>
      </c>
      <c r="Z27" s="124">
        <f>'Total Rev Req'!X28</f>
        <v>8379632.5189208696</v>
      </c>
      <c r="AA27" s="124">
        <f>'Total Rev Req'!Y28</f>
        <v>8374660.7512642024</v>
      </c>
      <c r="AB27" s="124">
        <f>'Total Rev Req'!Z28</f>
        <v>8369690.0978539819</v>
      </c>
      <c r="AC27" s="124">
        <f>'Total Rev Req'!AA28</f>
        <v>0</v>
      </c>
      <c r="AD27" s="124">
        <f>'Total Rev Req'!AB28</f>
        <v>0</v>
      </c>
      <c r="AE27" s="124">
        <f>'Total Rev Req'!AC28</f>
        <v>0</v>
      </c>
      <c r="AF27" s="124">
        <f>'Total Rev Req'!AD28</f>
        <v>0</v>
      </c>
      <c r="AG27" s="124">
        <f>'Total Rev Req'!AE28</f>
        <v>0</v>
      </c>
      <c r="AH27" s="124">
        <f>'Total Rev Req'!AF28</f>
        <v>0</v>
      </c>
      <c r="AI27" s="124">
        <f>'Total Rev Req'!AG28</f>
        <v>0</v>
      </c>
      <c r="AJ27" s="124">
        <f>'Total Rev Req'!AH28</f>
        <v>0</v>
      </c>
      <c r="AK27" s="124">
        <f>'Total Rev Req'!AI28</f>
        <v>0</v>
      </c>
      <c r="AL27" s="124">
        <f>'Total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10775194.031500559</v>
      </c>
      <c r="E29" s="127">
        <f t="shared" ref="E29:X29" si="12">E27+E17</f>
        <v>3892734.0485435836</v>
      </c>
      <c r="F29" s="127">
        <f t="shared" si="12"/>
        <v>4408582.1230644509</v>
      </c>
      <c r="G29" s="127">
        <f t="shared" si="12"/>
        <v>4861933.7489143349</v>
      </c>
      <c r="H29" s="127">
        <f t="shared" si="12"/>
        <v>5262766.0089793466</v>
      </c>
      <c r="I29" s="127">
        <f t="shared" si="12"/>
        <v>5610012.9648113288</v>
      </c>
      <c r="J29" s="127">
        <f t="shared" si="12"/>
        <v>5911959.2427473664</v>
      </c>
      <c r="K29" s="127">
        <f t="shared" si="12"/>
        <v>6167686.951345982</v>
      </c>
      <c r="L29" s="127">
        <f t="shared" si="12"/>
        <v>5861997.1359775979</v>
      </c>
      <c r="M29" s="127">
        <f t="shared" si="12"/>
        <v>5447747.2202236652</v>
      </c>
      <c r="N29" s="127">
        <f t="shared" si="12"/>
        <v>5029786.6879569739</v>
      </c>
      <c r="O29" s="127">
        <f t="shared" si="12"/>
        <v>4893596.2495767772</v>
      </c>
      <c r="P29" s="127">
        <f t="shared" si="12"/>
        <v>-1782614.6451944821</v>
      </c>
      <c r="Q29" s="127">
        <f t="shared" si="12"/>
        <v>-1892150.2450589333</v>
      </c>
      <c r="R29" s="127">
        <f t="shared" si="12"/>
        <v>-2007009.3968011197</v>
      </c>
      <c r="S29" s="127">
        <f t="shared" si="12"/>
        <v>-2119513.4199717436</v>
      </c>
      <c r="T29" s="127">
        <f t="shared" si="12"/>
        <v>-2237111.0098922569</v>
      </c>
      <c r="U29" s="127">
        <f t="shared" si="12"/>
        <v>-2352167.1628069598</v>
      </c>
      <c r="V29" s="127">
        <f t="shared" si="12"/>
        <v>-2472126.7555809058</v>
      </c>
      <c r="W29" s="127">
        <f t="shared" si="12"/>
        <v>-2602863.4415603708</v>
      </c>
      <c r="X29" s="127">
        <f t="shared" si="12"/>
        <v>1432075.7049480211</v>
      </c>
      <c r="Y29" s="127">
        <f t="shared" ref="Y29:AL29" si="13">Y27+Y17</f>
        <v>5534784.052096094</v>
      </c>
      <c r="Z29" s="127">
        <f t="shared" si="13"/>
        <v>5531424.7204464367</v>
      </c>
      <c r="AA29" s="127">
        <f t="shared" si="13"/>
        <v>5527969.6348055005</v>
      </c>
      <c r="AB29" s="127">
        <f t="shared" si="13"/>
        <v>5524610.3031558422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2262790.7466151174</v>
      </c>
      <c r="E31" s="132">
        <f t="shared" ref="E31:X31" si="14">E29*E19</f>
        <v>817474.15019415249</v>
      </c>
      <c r="F31" s="132">
        <f t="shared" si="14"/>
        <v>925802.24584353471</v>
      </c>
      <c r="G31" s="132">
        <f t="shared" si="14"/>
        <v>1021006.0872720103</v>
      </c>
      <c r="H31" s="132">
        <f t="shared" si="14"/>
        <v>1105180.8618856627</v>
      </c>
      <c r="I31" s="132">
        <f t="shared" si="14"/>
        <v>1178102.7226103791</v>
      </c>
      <c r="J31" s="132">
        <f t="shared" si="14"/>
        <v>1241511.4409769468</v>
      </c>
      <c r="K31" s="132">
        <f t="shared" si="14"/>
        <v>1295214.2597826561</v>
      </c>
      <c r="L31" s="132">
        <f t="shared" si="14"/>
        <v>1231019.3985552955</v>
      </c>
      <c r="M31" s="132">
        <f t="shared" si="14"/>
        <v>1144026.9162469697</v>
      </c>
      <c r="N31" s="132">
        <f t="shared" si="14"/>
        <v>1056255.2044709644</v>
      </c>
      <c r="O31" s="132">
        <f t="shared" si="14"/>
        <v>1027655.2124111232</v>
      </c>
      <c r="P31" s="132">
        <f t="shared" si="14"/>
        <v>-374349.07549084123</v>
      </c>
      <c r="Q31" s="132">
        <f t="shared" si="14"/>
        <v>-397351.55146237597</v>
      </c>
      <c r="R31" s="132">
        <f t="shared" si="14"/>
        <v>-421471.97332823509</v>
      </c>
      <c r="S31" s="132">
        <f t="shared" si="14"/>
        <v>-445097.81819406612</v>
      </c>
      <c r="T31" s="132">
        <f t="shared" si="14"/>
        <v>-469793.31207737396</v>
      </c>
      <c r="U31" s="132">
        <f t="shared" si="14"/>
        <v>-493955.10418946156</v>
      </c>
      <c r="V31" s="132">
        <f t="shared" si="14"/>
        <v>-519146.61867199023</v>
      </c>
      <c r="W31" s="132">
        <f t="shared" si="14"/>
        <v>-546601.32272767788</v>
      </c>
      <c r="X31" s="132">
        <f t="shared" si="14"/>
        <v>300735.89803908439</v>
      </c>
      <c r="Y31" s="132">
        <f t="shared" ref="Y31:AL31" si="15">Y29*Y19</f>
        <v>1162304.6509401796</v>
      </c>
      <c r="Z31" s="132">
        <f t="shared" si="15"/>
        <v>1161599.1912937516</v>
      </c>
      <c r="AA31" s="132">
        <f t="shared" si="15"/>
        <v>1160873.623309155</v>
      </c>
      <c r="AB31" s="132">
        <f t="shared" si="15"/>
        <v>1160168.1636627268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1-11 Attachment 4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1"/>
  <sheetViews>
    <sheetView zoomScaleNormal="100" workbookViewId="0">
      <selection activeCell="F23" sqref="F23"/>
    </sheetView>
  </sheetViews>
  <sheetFormatPr defaultRowHeight="12.75"/>
  <cols>
    <col min="2" max="2" width="23.5703125" bestFit="1" customWidth="1"/>
    <col min="3" max="5" width="14.85546875" bestFit="1" customWidth="1"/>
    <col min="6" max="6" width="14.85546875" customWidth="1"/>
    <col min="7" max="7" width="13.28515625" bestFit="1" customWidth="1"/>
  </cols>
  <sheetData>
    <row r="3" spans="2:7">
      <c r="C3">
        <v>2026</v>
      </c>
      <c r="D3">
        <v>2027</v>
      </c>
      <c r="E3">
        <v>2028</v>
      </c>
      <c r="F3">
        <v>2029</v>
      </c>
    </row>
    <row r="4" spans="2:7">
      <c r="B4" t="s">
        <v>4</v>
      </c>
      <c r="C4" s="152">
        <v>26844000</v>
      </c>
      <c r="D4" s="152">
        <v>107991000</v>
      </c>
      <c r="E4" s="152">
        <v>30005000</v>
      </c>
      <c r="F4" s="152">
        <v>0</v>
      </c>
      <c r="G4" s="211">
        <v>164840000</v>
      </c>
    </row>
    <row r="5" spans="2:7">
      <c r="B5" t="s">
        <v>269</v>
      </c>
      <c r="C5" s="125">
        <v>576000</v>
      </c>
      <c r="D5" s="125">
        <v>3626000</v>
      </c>
      <c r="E5" s="125">
        <v>3352000</v>
      </c>
      <c r="G5" s="152">
        <f>SUM(C5:E5)</f>
        <v>7554000</v>
      </c>
    </row>
    <row r="6" spans="2:7">
      <c r="B6" t="s">
        <v>270</v>
      </c>
      <c r="C6" s="127">
        <f>C4-C5</f>
        <v>26268000</v>
      </c>
      <c r="D6" s="127">
        <f t="shared" ref="D6" si="0">D4-D5</f>
        <v>104365000</v>
      </c>
      <c r="E6" s="127">
        <f>E4-E5</f>
        <v>26653000</v>
      </c>
      <c r="G6" s="152">
        <f>G4-G5</f>
        <v>157286000</v>
      </c>
    </row>
    <row r="7" spans="2:7">
      <c r="B7" t="s">
        <v>265</v>
      </c>
      <c r="C7" s="202">
        <f>'CAP Structure'!$H$18</f>
        <v>8.9290168670800002E-2</v>
      </c>
      <c r="D7" s="202">
        <f>'CAP Structure'!$H$18</f>
        <v>8.9290168670800002E-2</v>
      </c>
      <c r="E7" s="202">
        <f>'CAP Structure'!$H$18</f>
        <v>8.9290168670800002E-2</v>
      </c>
    </row>
    <row r="8" spans="2:7">
      <c r="B8" t="s">
        <v>271</v>
      </c>
      <c r="C8" s="127">
        <f>C6*C7</f>
        <v>2345474.1506445743</v>
      </c>
      <c r="D8" s="127">
        <f>(D6+C6)*D7</f>
        <v>11664242.603972618</v>
      </c>
      <c r="E8" s="127">
        <f>(C6+D6+E6)*E7</f>
        <v>14044093.469555449</v>
      </c>
    </row>
    <row r="9" spans="2:7">
      <c r="B9" t="s">
        <v>266</v>
      </c>
      <c r="C9" s="127">
        <f>C4*0.0040614</f>
        <v>109024.22159999999</v>
      </c>
      <c r="D9" s="127">
        <f t="shared" ref="D9:E9" si="1">D4*0.0040614</f>
        <v>438594.64739999996</v>
      </c>
      <c r="E9" s="127">
        <f t="shared" si="1"/>
        <v>121862.30699999999</v>
      </c>
    </row>
    <row r="11" spans="2:7">
      <c r="B11" t="s">
        <v>272</v>
      </c>
      <c r="C11" s="127">
        <f>C8*0.5</f>
        <v>1172737.0753222872</v>
      </c>
      <c r="D11" s="127">
        <f t="shared" ref="D11:E11" si="2">D8*0.5</f>
        <v>5832121.3019863088</v>
      </c>
      <c r="E11" s="127">
        <f t="shared" si="2"/>
        <v>7022046.7347777244</v>
      </c>
    </row>
  </sheetData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5"/>
  <sheetViews>
    <sheetView zoomScaleNormal="100" workbookViewId="0">
      <selection activeCell="F23" sqref="F23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12" t="s">
        <v>210</v>
      </c>
      <c r="C1" s="213"/>
      <c r="D1" s="154"/>
    </row>
    <row r="2" spans="1:4">
      <c r="A2" s="51"/>
      <c r="B2" s="212" t="s">
        <v>233</v>
      </c>
      <c r="C2" s="213"/>
      <c r="D2" s="154"/>
    </row>
    <row r="3" spans="1:4">
      <c r="A3" s="51"/>
      <c r="B3" s="212" t="s">
        <v>234</v>
      </c>
      <c r="C3" s="213"/>
      <c r="D3" s="154"/>
    </row>
    <row r="4" spans="1:4">
      <c r="A4" s="51"/>
      <c r="B4" s="212" t="s">
        <v>273</v>
      </c>
      <c r="C4" s="213"/>
    </row>
    <row r="5" spans="1:4">
      <c r="A5" s="51"/>
    </row>
    <row r="6" spans="1:4" ht="38.25">
      <c r="A6" s="156" t="s">
        <v>235</v>
      </c>
      <c r="B6" s="51" t="s">
        <v>43</v>
      </c>
      <c r="C6" s="156"/>
      <c r="D6" s="156" t="s">
        <v>236</v>
      </c>
    </row>
    <row r="7" spans="1:4">
      <c r="A7" s="157">
        <v>-1</v>
      </c>
      <c r="B7" s="158">
        <v>-2</v>
      </c>
      <c r="C7" s="158"/>
      <c r="D7" s="158">
        <f>+B7-1</f>
        <v>-3</v>
      </c>
    </row>
    <row r="8" spans="1:4">
      <c r="A8" s="158"/>
    </row>
    <row r="9" spans="1:4">
      <c r="A9" s="158">
        <v>1</v>
      </c>
      <c r="B9" s="4" t="s">
        <v>237</v>
      </c>
      <c r="C9" s="159"/>
      <c r="D9" s="160">
        <v>1</v>
      </c>
    </row>
    <row r="10" spans="1:4">
      <c r="A10" s="158"/>
      <c r="C10" s="159"/>
      <c r="D10" s="160"/>
    </row>
    <row r="11" spans="1:4">
      <c r="A11" s="158">
        <f>+A9+1</f>
        <v>2</v>
      </c>
      <c r="B11" s="4" t="s">
        <v>238</v>
      </c>
      <c r="C11" s="159"/>
      <c r="D11" s="178">
        <v>2.8220746511276396E-3</v>
      </c>
    </row>
    <row r="12" spans="1:4">
      <c r="A12" s="158">
        <f>+A11+1</f>
        <v>3</v>
      </c>
      <c r="B12" s="4" t="s">
        <v>239</v>
      </c>
      <c r="C12" s="159"/>
      <c r="D12" s="178">
        <v>1.5950000000000001E-3</v>
      </c>
    </row>
    <row r="13" spans="1:4">
      <c r="A13" s="158"/>
      <c r="C13" s="159"/>
      <c r="D13" s="179" t="s">
        <v>240</v>
      </c>
    </row>
    <row r="14" spans="1:4">
      <c r="A14" s="158">
        <f>+A12+1</f>
        <v>4</v>
      </c>
      <c r="B14" s="4" t="s">
        <v>241</v>
      </c>
      <c r="C14" s="159"/>
      <c r="D14" s="178">
        <f>+D9-D11-D12</f>
        <v>0.99558292534887238</v>
      </c>
    </row>
    <row r="15" spans="1:4">
      <c r="A15" s="158"/>
      <c r="C15" s="180"/>
      <c r="D15" s="179"/>
    </row>
    <row r="16" spans="1:4">
      <c r="A16" s="158">
        <f>+A14+1</f>
        <v>5</v>
      </c>
      <c r="B16" s="4" t="s">
        <v>242</v>
      </c>
      <c r="C16" s="178">
        <v>5.0097000000000003E-2</v>
      </c>
      <c r="D16" s="178">
        <f>ROUND(D14*C16,6)</f>
        <v>4.9875999999999997E-2</v>
      </c>
    </row>
    <row r="17" spans="1:4">
      <c r="A17" s="158"/>
      <c r="C17" s="180"/>
      <c r="D17" s="179" t="s">
        <v>240</v>
      </c>
    </row>
    <row r="18" spans="1:4">
      <c r="A18" s="158"/>
      <c r="C18" s="180"/>
      <c r="D18" s="179"/>
    </row>
    <row r="19" spans="1:4">
      <c r="A19" s="158">
        <f>+A16+1</f>
        <v>6</v>
      </c>
      <c r="B19" s="4" t="s">
        <v>243</v>
      </c>
      <c r="C19" s="159"/>
      <c r="D19" s="178">
        <f>+D14-D16</f>
        <v>0.94570692534887235</v>
      </c>
    </row>
    <row r="20" spans="1:4">
      <c r="A20" s="158"/>
      <c r="C20" s="180"/>
      <c r="D20" s="179"/>
    </row>
    <row r="21" spans="1:4">
      <c r="A21" s="158">
        <f>+A19+1</f>
        <v>7</v>
      </c>
      <c r="B21" s="4" t="s">
        <v>244</v>
      </c>
      <c r="C21" s="160">
        <v>0.21</v>
      </c>
      <c r="D21" s="178">
        <f>ROUND(D19*C21,6)</f>
        <v>0.198598</v>
      </c>
    </row>
    <row r="22" spans="1:4">
      <c r="A22" s="158"/>
      <c r="C22" s="159"/>
      <c r="D22" s="160"/>
    </row>
    <row r="23" spans="1:4">
      <c r="A23" s="158">
        <f>+A21+1</f>
        <v>8</v>
      </c>
      <c r="B23" s="4" t="s">
        <v>245</v>
      </c>
      <c r="C23" s="159"/>
      <c r="D23" s="178">
        <f>+D19-D21</f>
        <v>0.7471089253488723</v>
      </c>
    </row>
    <row r="24" spans="1:4">
      <c r="A24" s="158"/>
      <c r="C24" s="159"/>
      <c r="D24" s="179" t="s">
        <v>240</v>
      </c>
    </row>
    <row r="25" spans="1:4">
      <c r="A25" s="158">
        <f>+A23+1</f>
        <v>9</v>
      </c>
      <c r="B25" s="4" t="s">
        <v>246</v>
      </c>
      <c r="C25" s="159"/>
      <c r="D25" s="181">
        <f>ROUND(1/D23,8)</f>
        <v>1.33849291</v>
      </c>
    </row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62"/>
  <sheetViews>
    <sheetView zoomScaleNormal="100" workbookViewId="0">
      <selection activeCell="D22" sqref="D22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/>
      <c r="I1" s="154"/>
      <c r="Q1" s="57"/>
    </row>
    <row r="2" spans="1:17" s="4" customFormat="1">
      <c r="D2" s="51"/>
      <c r="I2" s="154"/>
      <c r="Q2" s="57"/>
    </row>
    <row r="3" spans="1:17" s="4" customFormat="1">
      <c r="D3" s="155"/>
      <c r="Q3" s="57"/>
    </row>
    <row r="5" spans="1:17">
      <c r="A5" s="214"/>
      <c r="B5" s="215"/>
      <c r="C5" s="215"/>
      <c r="D5" s="215"/>
      <c r="E5" s="215"/>
      <c r="F5" s="215"/>
      <c r="G5" s="215"/>
      <c r="H5" s="215"/>
      <c r="I5" s="215"/>
      <c r="J5" s="161"/>
      <c r="K5" s="161"/>
      <c r="L5" s="161"/>
      <c r="M5" s="161"/>
    </row>
    <row r="6" spans="1:17">
      <c r="C6" t="s">
        <v>261</v>
      </c>
      <c r="E6">
        <v>0.5</v>
      </c>
    </row>
    <row r="7" spans="1:17">
      <c r="A7" s="162"/>
      <c r="B7" s="161"/>
      <c r="C7" t="s">
        <v>262</v>
      </c>
      <c r="E7">
        <v>0.5</v>
      </c>
      <c r="F7" s="161"/>
      <c r="G7" s="163"/>
      <c r="H7" s="161"/>
      <c r="I7" s="163"/>
      <c r="J7" s="161"/>
      <c r="K7" s="161"/>
      <c r="L7" s="161"/>
      <c r="M7" s="161"/>
    </row>
    <row r="8" spans="1:17">
      <c r="A8" s="164"/>
      <c r="B8" s="164"/>
      <c r="C8" s="165"/>
      <c r="D8" s="164"/>
      <c r="E8" s="165"/>
      <c r="F8" s="164"/>
      <c r="G8" s="165"/>
      <c r="H8" s="164"/>
      <c r="I8" s="165"/>
      <c r="J8" s="164"/>
      <c r="K8" s="164"/>
      <c r="L8" s="164"/>
      <c r="M8" s="164"/>
    </row>
    <row r="9" spans="1:17">
      <c r="A9" s="161"/>
      <c r="B9" s="161"/>
      <c r="C9" s="166"/>
      <c r="D9" s="161"/>
      <c r="E9" s="161"/>
      <c r="F9" s="161"/>
      <c r="G9" s="161"/>
      <c r="H9" s="161"/>
      <c r="I9" s="161"/>
      <c r="J9" s="161"/>
      <c r="K9" s="161"/>
      <c r="L9" s="161"/>
      <c r="M9" s="161"/>
    </row>
    <row r="10" spans="1:17">
      <c r="A10" s="167"/>
      <c r="B10" s="161"/>
      <c r="C10" s="166"/>
      <c r="D10" s="161"/>
      <c r="E10" s="161"/>
      <c r="F10" s="161"/>
      <c r="G10" s="168"/>
      <c r="H10" s="161"/>
      <c r="I10" s="169"/>
      <c r="J10" s="161"/>
      <c r="K10" s="161"/>
      <c r="L10" s="170"/>
      <c r="M10" s="171"/>
    </row>
    <row r="11" spans="1:17">
      <c r="A11" s="167"/>
      <c r="B11" s="161"/>
      <c r="C11" s="166"/>
      <c r="D11" s="161"/>
      <c r="E11" s="161"/>
      <c r="F11" s="161"/>
      <c r="G11" s="168"/>
      <c r="H11" s="161"/>
      <c r="I11" s="169"/>
      <c r="J11" s="161"/>
      <c r="K11" s="161"/>
      <c r="L11" s="170"/>
      <c r="M11" s="171"/>
    </row>
    <row r="12" spans="1:17">
      <c r="A12" s="167"/>
      <c r="B12" s="161"/>
      <c r="C12" s="166"/>
      <c r="D12" s="161"/>
      <c r="E12" s="161"/>
      <c r="F12" s="161"/>
      <c r="G12" s="168"/>
      <c r="H12" s="161"/>
      <c r="I12" s="169"/>
      <c r="J12" s="161"/>
      <c r="K12" s="161"/>
      <c r="L12" s="170"/>
      <c r="M12" s="171"/>
    </row>
    <row r="13" spans="1:17">
      <c r="A13" s="167"/>
      <c r="B13" s="161"/>
      <c r="C13" s="166"/>
      <c r="D13" s="161"/>
      <c r="E13" s="161"/>
      <c r="F13" s="161"/>
      <c r="G13" s="168"/>
      <c r="H13" s="161"/>
      <c r="I13" s="169"/>
      <c r="J13" s="161"/>
      <c r="K13" s="161"/>
      <c r="L13" s="170"/>
      <c r="M13" s="171"/>
    </row>
    <row r="14" spans="1:17">
      <c r="A14" s="167"/>
      <c r="B14" s="161"/>
      <c r="C14" s="166"/>
      <c r="D14" s="161"/>
      <c r="E14" s="161"/>
      <c r="F14" s="161"/>
      <c r="G14" s="168"/>
      <c r="H14" s="161"/>
      <c r="I14" s="169"/>
      <c r="J14" s="161"/>
      <c r="K14" s="161"/>
      <c r="L14" s="170"/>
      <c r="M14" s="171"/>
    </row>
    <row r="15" spans="1:17">
      <c r="A15" s="167"/>
      <c r="B15" s="161"/>
      <c r="C15" s="166"/>
      <c r="D15" s="161"/>
      <c r="E15" s="161"/>
      <c r="F15" s="161"/>
      <c r="G15" s="168"/>
      <c r="H15" s="161"/>
      <c r="I15" s="169"/>
      <c r="J15" s="161"/>
      <c r="K15" s="161"/>
      <c r="L15" s="170"/>
      <c r="M15" s="171"/>
    </row>
    <row r="16" spans="1:17">
      <c r="A16" s="167"/>
      <c r="B16" s="161"/>
      <c r="C16" s="166"/>
      <c r="D16" s="161"/>
      <c r="E16" s="161"/>
      <c r="F16" s="161"/>
      <c r="G16" s="168"/>
      <c r="H16" s="161"/>
      <c r="I16" s="169"/>
      <c r="J16" s="161"/>
      <c r="K16" s="161"/>
      <c r="L16" s="170"/>
      <c r="M16" s="171"/>
    </row>
    <row r="17" spans="1:16">
      <c r="A17" s="167"/>
      <c r="B17" s="161"/>
      <c r="C17" s="166"/>
      <c r="D17" s="161"/>
      <c r="E17" s="161"/>
      <c r="F17" s="161"/>
      <c r="G17" s="168"/>
      <c r="H17" s="161"/>
      <c r="I17" s="161"/>
      <c r="L17" s="172"/>
      <c r="M17" s="171"/>
    </row>
    <row r="18" spans="1:16">
      <c r="A18" s="167"/>
      <c r="B18" s="161"/>
      <c r="C18" s="166"/>
      <c r="D18" s="161"/>
      <c r="E18" s="161"/>
      <c r="F18" s="161"/>
      <c r="G18" s="168"/>
      <c r="H18" s="161"/>
      <c r="I18" s="169"/>
      <c r="L18" s="172"/>
      <c r="M18" s="171"/>
    </row>
    <row r="19" spans="1:16">
      <c r="A19" s="167"/>
      <c r="B19" s="161"/>
      <c r="C19" s="166"/>
      <c r="D19" s="161"/>
      <c r="E19" s="161"/>
      <c r="F19" s="161"/>
      <c r="G19" s="168"/>
      <c r="H19" s="161"/>
      <c r="I19" s="161"/>
      <c r="L19" s="172"/>
      <c r="M19" s="171"/>
    </row>
    <row r="20" spans="1:16">
      <c r="A20" s="167"/>
      <c r="B20" s="161"/>
      <c r="C20" s="166"/>
      <c r="D20" s="161"/>
      <c r="E20" s="161"/>
      <c r="F20" s="161"/>
      <c r="G20" s="168"/>
      <c r="H20" s="161"/>
      <c r="I20" s="169"/>
      <c r="L20" s="172"/>
      <c r="M20" s="171"/>
    </row>
    <row r="21" spans="1:16">
      <c r="A21" s="167"/>
      <c r="B21" s="161"/>
      <c r="C21" s="166"/>
      <c r="D21" s="161"/>
      <c r="E21" s="161"/>
      <c r="F21" s="161"/>
      <c r="G21" s="168"/>
      <c r="H21" s="161"/>
      <c r="I21" s="161"/>
      <c r="L21" s="172"/>
      <c r="M21" s="171"/>
    </row>
    <row r="22" spans="1:16">
      <c r="A22" s="167"/>
      <c r="B22" s="161"/>
      <c r="C22" s="166"/>
      <c r="D22" s="161"/>
      <c r="E22" s="161"/>
      <c r="F22" s="161"/>
      <c r="G22" s="168"/>
      <c r="H22" s="161"/>
      <c r="I22" s="169"/>
      <c r="K22" s="124"/>
      <c r="L22" s="172"/>
      <c r="M22" s="171"/>
    </row>
    <row r="23" spans="1:16">
      <c r="A23" s="167"/>
      <c r="B23" s="161"/>
      <c r="C23" s="166"/>
      <c r="D23" s="161"/>
      <c r="E23" s="161"/>
      <c r="F23" s="161"/>
      <c r="G23" s="168"/>
      <c r="H23" s="161"/>
      <c r="I23" s="161"/>
      <c r="L23" s="172"/>
      <c r="M23" s="171"/>
    </row>
    <row r="24" spans="1:16">
      <c r="A24" s="167"/>
      <c r="B24" s="161"/>
      <c r="C24" s="166"/>
      <c r="D24" s="161"/>
      <c r="E24" s="161"/>
      <c r="F24" s="161"/>
      <c r="G24" s="168"/>
      <c r="H24" s="161"/>
      <c r="I24" s="169"/>
      <c r="K24" s="173"/>
      <c r="L24" s="172"/>
      <c r="M24" s="171"/>
    </row>
    <row r="25" spans="1:16">
      <c r="A25" s="167"/>
      <c r="B25" s="161"/>
      <c r="C25" s="166"/>
      <c r="D25" s="161"/>
      <c r="E25" s="161"/>
      <c r="F25" s="161"/>
      <c r="G25" s="168"/>
      <c r="H25" s="161"/>
      <c r="I25" s="161"/>
      <c r="L25" s="172"/>
      <c r="M25" s="171"/>
    </row>
    <row r="26" spans="1:16">
      <c r="A26" s="167"/>
      <c r="B26" s="161"/>
      <c r="C26" s="166"/>
      <c r="D26" s="161"/>
      <c r="E26" s="161"/>
      <c r="F26" s="161"/>
      <c r="G26" s="168"/>
      <c r="H26" s="161"/>
      <c r="I26" s="169"/>
      <c r="K26" s="124"/>
      <c r="L26" s="172"/>
      <c r="M26" s="171"/>
      <c r="P26" s="124"/>
    </row>
    <row r="27" spans="1:16">
      <c r="A27" s="167"/>
      <c r="B27" s="161"/>
      <c r="C27" s="166"/>
      <c r="D27" s="161"/>
      <c r="E27" s="161"/>
      <c r="F27" s="161"/>
      <c r="G27" s="168"/>
      <c r="H27" s="161"/>
      <c r="I27" s="161"/>
      <c r="K27" s="124"/>
      <c r="L27" s="172"/>
      <c r="M27" s="171"/>
      <c r="P27" s="153"/>
    </row>
    <row r="28" spans="1:16">
      <c r="A28" s="167"/>
      <c r="B28" s="161"/>
      <c r="C28" s="166"/>
      <c r="D28" s="161"/>
      <c r="E28" s="161"/>
      <c r="F28" s="161"/>
      <c r="G28" s="168"/>
      <c r="H28" s="161"/>
      <c r="I28" s="169"/>
      <c r="K28" s="124"/>
      <c r="L28" s="172"/>
      <c r="M28" s="171"/>
    </row>
    <row r="29" spans="1:16">
      <c r="A29" s="167"/>
      <c r="B29" s="161"/>
      <c r="C29" s="166"/>
      <c r="D29" s="161"/>
      <c r="E29" s="161"/>
      <c r="F29" s="161"/>
      <c r="G29" s="168"/>
      <c r="H29" s="161"/>
      <c r="I29" s="161"/>
      <c r="K29" s="174"/>
      <c r="L29" s="175"/>
      <c r="M29" s="171"/>
    </row>
    <row r="30" spans="1:16">
      <c r="A30" s="167"/>
      <c r="B30" s="161"/>
      <c r="C30" s="166"/>
      <c r="D30" s="161"/>
      <c r="E30" s="161"/>
      <c r="F30" s="161"/>
      <c r="G30" s="168"/>
      <c r="H30" s="161"/>
      <c r="I30" s="169"/>
      <c r="K30" s="174"/>
      <c r="L30" s="175"/>
      <c r="M30" s="171"/>
    </row>
    <row r="31" spans="1:16">
      <c r="A31" s="167"/>
      <c r="B31" s="161"/>
      <c r="C31" s="166"/>
      <c r="D31" s="161"/>
      <c r="E31" s="161"/>
      <c r="F31" s="161"/>
      <c r="G31" s="168"/>
      <c r="H31" s="161"/>
      <c r="I31" s="161"/>
      <c r="K31" s="176"/>
      <c r="L31" s="175"/>
      <c r="M31" s="171"/>
    </row>
    <row r="32" spans="1:16">
      <c r="A32" s="167"/>
      <c r="B32" s="161"/>
      <c r="C32" s="166"/>
      <c r="D32" s="161"/>
      <c r="E32" s="161"/>
      <c r="F32" s="161"/>
      <c r="G32" s="168"/>
      <c r="H32" s="161"/>
      <c r="I32" s="169"/>
      <c r="K32" s="174"/>
      <c r="L32" s="175"/>
      <c r="M32" s="171"/>
    </row>
    <row r="33" spans="1:16">
      <c r="A33" s="167"/>
      <c r="B33" s="161"/>
      <c r="C33" s="166"/>
      <c r="D33" s="161"/>
      <c r="E33" s="161"/>
      <c r="F33" s="161"/>
      <c r="G33" s="177"/>
      <c r="H33" s="161"/>
      <c r="I33" s="161"/>
      <c r="K33" s="174"/>
      <c r="L33" s="175"/>
      <c r="M33" s="171"/>
    </row>
    <row r="34" spans="1:16" ht="12.75" customHeight="1">
      <c r="A34" s="167"/>
      <c r="B34" s="161"/>
      <c r="C34" s="166"/>
      <c r="D34" s="161"/>
      <c r="E34" s="166"/>
      <c r="F34" s="161"/>
      <c r="G34" s="177"/>
      <c r="H34" s="161"/>
      <c r="I34" s="169"/>
      <c r="K34" s="174"/>
      <c r="L34" s="175"/>
      <c r="M34" s="171"/>
    </row>
    <row r="35" spans="1:16">
      <c r="A35" s="167"/>
      <c r="B35" s="161"/>
      <c r="C35" s="166"/>
      <c r="D35" s="161"/>
      <c r="E35" s="161"/>
      <c r="F35" s="161"/>
      <c r="G35" s="168"/>
      <c r="H35" s="161"/>
      <c r="I35" s="169"/>
      <c r="K35" s="174"/>
      <c r="L35" s="175"/>
      <c r="M35" s="171"/>
      <c r="P35" s="153"/>
    </row>
    <row r="36" spans="1:16">
      <c r="A36" s="167"/>
      <c r="B36" s="161"/>
      <c r="C36" s="166"/>
      <c r="D36" s="161"/>
      <c r="E36" s="161"/>
      <c r="F36" s="161"/>
      <c r="G36" s="168"/>
      <c r="H36" s="161"/>
      <c r="I36" s="169"/>
      <c r="K36" s="174"/>
      <c r="L36" s="175"/>
      <c r="M36" s="171"/>
    </row>
    <row r="37" spans="1:16">
      <c r="A37" s="167"/>
      <c r="B37" s="161"/>
      <c r="C37" s="166"/>
      <c r="D37" s="161"/>
      <c r="E37" s="161"/>
      <c r="F37" s="161"/>
      <c r="G37" s="168"/>
      <c r="H37" s="161"/>
      <c r="I37" s="169"/>
      <c r="K37" s="174"/>
      <c r="L37" s="175"/>
      <c r="M37" s="171"/>
    </row>
    <row r="38" spans="1:16">
      <c r="A38" s="167"/>
      <c r="B38" s="161"/>
      <c r="C38" s="166"/>
      <c r="D38" s="161"/>
      <c r="E38" s="161"/>
      <c r="F38" s="161"/>
      <c r="G38" s="168"/>
      <c r="H38" s="161"/>
      <c r="I38" s="169"/>
      <c r="K38" s="174"/>
      <c r="L38" s="175"/>
      <c r="M38" s="171"/>
    </row>
    <row r="39" spans="1:16">
      <c r="A39" s="167"/>
      <c r="B39" s="161"/>
      <c r="C39" s="166"/>
      <c r="D39" s="161"/>
      <c r="E39" s="161"/>
      <c r="F39" s="161"/>
      <c r="G39" s="168"/>
      <c r="H39" s="161"/>
      <c r="I39" s="169"/>
      <c r="L39" s="174"/>
    </row>
    <row r="40" spans="1:16">
      <c r="A40" s="167"/>
      <c r="B40" s="161"/>
      <c r="C40" s="166"/>
      <c r="D40" s="161"/>
      <c r="E40" s="169"/>
      <c r="F40" s="161"/>
      <c r="G40" s="168"/>
      <c r="H40" s="161"/>
      <c r="I40" s="169"/>
      <c r="L40" s="174"/>
    </row>
    <row r="41" spans="1:16">
      <c r="A41" s="167"/>
      <c r="B41" s="161"/>
      <c r="C41" s="166"/>
      <c r="D41" s="161"/>
      <c r="E41" s="161"/>
      <c r="F41" s="161"/>
      <c r="G41" s="168"/>
      <c r="H41" s="161"/>
      <c r="I41" s="169"/>
      <c r="L41" s="174"/>
    </row>
    <row r="42" spans="1:16">
      <c r="A42" s="167"/>
      <c r="B42" s="161"/>
      <c r="C42" s="166"/>
      <c r="D42" s="161"/>
      <c r="E42" s="161"/>
      <c r="F42" s="161"/>
      <c r="G42" s="168"/>
      <c r="H42" s="161"/>
      <c r="I42" s="169"/>
      <c r="K42" s="153"/>
      <c r="M42" s="153"/>
    </row>
    <row r="43" spans="1:16">
      <c r="A43" s="167"/>
      <c r="B43" s="161"/>
      <c r="C43" s="166"/>
      <c r="D43" s="161"/>
      <c r="E43" s="161"/>
      <c r="F43" s="161"/>
      <c r="G43" s="168"/>
      <c r="H43" s="161"/>
      <c r="I43" s="169"/>
    </row>
    <row r="44" spans="1:16">
      <c r="A44" s="167"/>
      <c r="B44" s="161"/>
      <c r="C44" s="166"/>
      <c r="D44" s="161"/>
      <c r="E44" s="161"/>
      <c r="F44" s="161"/>
      <c r="G44" s="168"/>
      <c r="H44" s="161"/>
      <c r="I44" s="169"/>
      <c r="K44" s="153"/>
      <c r="M44" s="153"/>
    </row>
    <row r="45" spans="1:16">
      <c r="A45" s="167"/>
      <c r="B45" s="161"/>
      <c r="C45" s="166"/>
      <c r="D45" s="161"/>
      <c r="E45" s="161"/>
      <c r="F45" s="161"/>
      <c r="G45" s="168"/>
      <c r="H45" s="161"/>
      <c r="I45" s="169"/>
      <c r="M45" s="153"/>
    </row>
    <row r="46" spans="1:16">
      <c r="A46" s="167"/>
      <c r="B46" s="161"/>
      <c r="C46" s="166"/>
      <c r="D46" s="161"/>
      <c r="E46" s="161"/>
      <c r="F46" s="161"/>
      <c r="G46" s="168"/>
      <c r="H46" s="161"/>
      <c r="I46" s="169"/>
      <c r="M46" s="153"/>
    </row>
    <row r="47" spans="1:16">
      <c r="A47" s="167"/>
      <c r="B47" s="161"/>
      <c r="C47" s="166"/>
      <c r="D47" s="161"/>
      <c r="E47" s="161"/>
      <c r="F47" s="161"/>
      <c r="G47" s="168"/>
      <c r="H47" s="161"/>
      <c r="I47" s="169"/>
      <c r="K47" s="124"/>
      <c r="M47" s="153"/>
    </row>
    <row r="48" spans="1:16">
      <c r="A48" s="167"/>
      <c r="B48" s="161"/>
      <c r="C48" s="166"/>
      <c r="D48" s="161"/>
      <c r="E48" s="161"/>
      <c r="F48" s="161"/>
      <c r="G48" s="168"/>
      <c r="H48" s="161"/>
      <c r="I48" s="169"/>
      <c r="K48" s="124"/>
      <c r="M48" s="153"/>
    </row>
    <row r="49" spans="1:13">
      <c r="A49" s="167"/>
      <c r="B49" s="161"/>
      <c r="C49" s="166"/>
      <c r="D49" s="161"/>
      <c r="E49" s="161"/>
      <c r="F49" s="161"/>
      <c r="G49" s="168"/>
      <c r="H49" s="161"/>
      <c r="I49" s="169"/>
      <c r="K49" s="124"/>
      <c r="M49" s="153"/>
    </row>
    <row r="50" spans="1:13">
      <c r="A50" s="167"/>
      <c r="B50" s="161"/>
      <c r="C50" s="166"/>
      <c r="D50" s="161"/>
      <c r="E50" s="161"/>
      <c r="F50" s="161"/>
      <c r="G50" s="168"/>
      <c r="H50" s="161"/>
      <c r="I50" s="169"/>
      <c r="K50" s="124"/>
      <c r="M50" s="153"/>
    </row>
    <row r="51" spans="1:13">
      <c r="G51" s="168"/>
      <c r="H51" s="161"/>
      <c r="I51" s="169"/>
      <c r="K51" s="124"/>
      <c r="M51" s="153"/>
    </row>
    <row r="52" spans="1:13">
      <c r="G52" s="168"/>
      <c r="H52" s="161"/>
      <c r="I52" s="169"/>
      <c r="K52" s="174"/>
      <c r="M52" s="174"/>
    </row>
    <row r="53" spans="1:13">
      <c r="G53" s="168"/>
      <c r="H53" s="161"/>
      <c r="I53" s="169"/>
      <c r="K53" s="174"/>
      <c r="M53" s="174"/>
    </row>
    <row r="54" spans="1:13">
      <c r="G54" s="168"/>
      <c r="H54" s="161"/>
      <c r="I54" s="169"/>
      <c r="K54" s="174"/>
      <c r="M54" s="174"/>
    </row>
    <row r="55" spans="1:13">
      <c r="K55" s="153"/>
      <c r="M55" s="153"/>
    </row>
    <row r="57" spans="1:13">
      <c r="G57" s="168"/>
      <c r="K57" s="124"/>
      <c r="M57" s="124"/>
    </row>
    <row r="59" spans="1:13">
      <c r="M59" s="124"/>
    </row>
    <row r="60" spans="1:13">
      <c r="M60" s="124"/>
    </row>
    <row r="62" spans="1:13">
      <c r="K62" s="153"/>
      <c r="M62" s="153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L20"/>
  <sheetViews>
    <sheetView zoomScaleNormal="100" workbookViewId="0">
      <selection activeCell="D22" sqref="D22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16" t="s">
        <v>210</v>
      </c>
      <c r="B2" s="216"/>
      <c r="C2" s="216"/>
      <c r="D2" s="216"/>
    </row>
    <row r="3" spans="1:12">
      <c r="A3" s="216" t="s">
        <v>211</v>
      </c>
      <c r="B3" s="216"/>
      <c r="C3" s="216"/>
      <c r="D3" s="216"/>
      <c r="E3" s="217"/>
      <c r="F3" s="217"/>
      <c r="G3" s="217"/>
      <c r="H3" s="217"/>
      <c r="I3" s="217"/>
      <c r="J3" s="217"/>
      <c r="K3" s="217"/>
      <c r="L3" s="217"/>
    </row>
    <row r="4" spans="1:12">
      <c r="A4" s="216" t="s">
        <v>273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</row>
    <row r="6" spans="1:12">
      <c r="C6" t="s">
        <v>212</v>
      </c>
      <c r="E6" t="s">
        <v>213</v>
      </c>
      <c r="F6" t="s">
        <v>175</v>
      </c>
      <c r="H6" t="s">
        <v>214</v>
      </c>
    </row>
    <row r="7" spans="1:12">
      <c r="C7" t="s">
        <v>215</v>
      </c>
      <c r="D7" t="s">
        <v>216</v>
      </c>
      <c r="E7" t="s">
        <v>217</v>
      </c>
      <c r="F7" t="s">
        <v>177</v>
      </c>
      <c r="H7" t="s">
        <v>177</v>
      </c>
    </row>
    <row r="8" spans="1:12">
      <c r="A8" t="s">
        <v>41</v>
      </c>
      <c r="C8" t="s">
        <v>218</v>
      </c>
      <c r="D8" t="s">
        <v>219</v>
      </c>
      <c r="E8" t="s">
        <v>216</v>
      </c>
      <c r="F8" t="s">
        <v>217</v>
      </c>
      <c r="H8" t="s">
        <v>217</v>
      </c>
    </row>
    <row r="9" spans="1:12">
      <c r="A9" t="s">
        <v>220</v>
      </c>
      <c r="B9" t="s">
        <v>43</v>
      </c>
      <c r="C9" t="s">
        <v>176</v>
      </c>
      <c r="D9" t="s">
        <v>4</v>
      </c>
      <c r="E9" t="s">
        <v>179</v>
      </c>
      <c r="F9" t="s">
        <v>221</v>
      </c>
      <c r="G9" t="s">
        <v>222</v>
      </c>
      <c r="H9" t="s">
        <v>221</v>
      </c>
    </row>
    <row r="10" spans="1:12">
      <c r="A10" s="150" t="s">
        <v>173</v>
      </c>
      <c r="B10" s="150" t="s">
        <v>231</v>
      </c>
      <c r="C10" s="150" t="s">
        <v>232</v>
      </c>
      <c r="D10" t="s">
        <v>223</v>
      </c>
      <c r="E10" t="s">
        <v>224</v>
      </c>
      <c r="F10" t="s">
        <v>225</v>
      </c>
      <c r="G10" t="s">
        <v>174</v>
      </c>
      <c r="H10" t="s">
        <v>226</v>
      </c>
    </row>
    <row r="12" spans="1:12">
      <c r="A12">
        <v>1</v>
      </c>
      <c r="B12" t="s">
        <v>227</v>
      </c>
      <c r="C12" s="152">
        <v>990515425</v>
      </c>
      <c r="D12" s="151">
        <f>ROUND(C12/$C$18,5)</f>
        <v>0.53868000000000005</v>
      </c>
      <c r="E12" s="151">
        <v>5.4899999999999997E-2</v>
      </c>
      <c r="F12" s="151">
        <f>D12*E12</f>
        <v>2.9573532E-2</v>
      </c>
      <c r="G12">
        <v>1.0044</v>
      </c>
      <c r="H12" s="151">
        <f>F12*G12</f>
        <v>2.9703655540799997E-2</v>
      </c>
    </row>
    <row r="13" spans="1:12">
      <c r="C13" s="152"/>
      <c r="D13" s="151"/>
      <c r="E13" s="151"/>
      <c r="F13" s="151"/>
      <c r="H13" s="151"/>
    </row>
    <row r="14" spans="1:12">
      <c r="A14">
        <v>2</v>
      </c>
      <c r="B14" t="s">
        <v>228</v>
      </c>
      <c r="C14" s="152">
        <v>0</v>
      </c>
      <c r="D14" s="151">
        <f>ROUND(C14/$C$18,5)</f>
        <v>0</v>
      </c>
      <c r="E14" s="151">
        <v>5.5E-2</v>
      </c>
      <c r="F14" s="151">
        <f>D14*E14</f>
        <v>0</v>
      </c>
      <c r="G14">
        <v>1.0044</v>
      </c>
      <c r="H14" s="151">
        <f>F14*G14</f>
        <v>0</v>
      </c>
    </row>
    <row r="15" spans="1:12">
      <c r="C15" s="152"/>
      <c r="D15" s="151"/>
      <c r="E15" s="151"/>
      <c r="F15" s="151"/>
      <c r="H15" s="151"/>
    </row>
    <row r="16" spans="1:12">
      <c r="A16">
        <v>4</v>
      </c>
      <c r="B16" t="s">
        <v>229</v>
      </c>
      <c r="C16" s="152">
        <v>848272359</v>
      </c>
      <c r="D16" s="151">
        <f>ROUND(C16/$C$18,5)</f>
        <v>0.46132000000000001</v>
      </c>
      <c r="E16" s="207">
        <v>9.6500000000000002E-2</v>
      </c>
      <c r="F16" s="151">
        <f>D16*E16</f>
        <v>4.4517380000000002E-2</v>
      </c>
      <c r="G16">
        <v>1.3385</v>
      </c>
      <c r="H16" s="151">
        <f>F16*G16</f>
        <v>5.9586513130000004E-2</v>
      </c>
    </row>
    <row r="17" spans="1:8">
      <c r="C17" s="152" t="s">
        <v>230</v>
      </c>
      <c r="D17" s="151" t="s">
        <v>230</v>
      </c>
      <c r="E17" s="151"/>
      <c r="F17" s="151" t="s">
        <v>230</v>
      </c>
      <c r="H17" s="151"/>
    </row>
    <row r="18" spans="1:8">
      <c r="A18">
        <v>5</v>
      </c>
      <c r="B18" t="s">
        <v>4</v>
      </c>
      <c r="C18" s="152">
        <f>SUM(C12,C14,C16)</f>
        <v>1838787784</v>
      </c>
      <c r="D18" s="151">
        <f>SUM(D12:D17)</f>
        <v>1</v>
      </c>
      <c r="F18" s="151">
        <f>SUM(F12:F17)</f>
        <v>7.4090912000000009E-2</v>
      </c>
      <c r="H18" s="151">
        <f>SUM(H12:H17)</f>
        <v>8.9290168670800002E-2</v>
      </c>
    </row>
    <row r="19" spans="1:8">
      <c r="C19" s="152"/>
      <c r="F19" s="151"/>
    </row>
    <row r="20" spans="1:8">
      <c r="C20" s="15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K70"/>
  <sheetViews>
    <sheetView showGridLines="0" zoomScale="85" zoomScaleNormal="85" zoomScaleSheetLayoutView="85" workbookViewId="0">
      <selection activeCell="C19" sqref="C19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18" t="s">
        <v>255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247</v>
      </c>
      <c r="Y2" s="11" t="s">
        <v>248</v>
      </c>
      <c r="Z2" s="11" t="s">
        <v>249</v>
      </c>
      <c r="AA2" s="11" t="s">
        <v>250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Input!B37</f>
        <v>2029</v>
      </c>
      <c r="D3" s="13">
        <f t="shared" ref="D3:N3" si="0">+C3+1</f>
        <v>2030</v>
      </c>
      <c r="E3" s="13">
        <f t="shared" si="0"/>
        <v>2031</v>
      </c>
      <c r="F3" s="13">
        <f t="shared" si="0"/>
        <v>2032</v>
      </c>
      <c r="G3" s="13">
        <f t="shared" si="0"/>
        <v>2033</v>
      </c>
      <c r="H3" s="13">
        <f t="shared" si="0"/>
        <v>2034</v>
      </c>
      <c r="I3" s="13">
        <f t="shared" si="0"/>
        <v>2035</v>
      </c>
      <c r="J3" s="13">
        <f t="shared" si="0"/>
        <v>2036</v>
      </c>
      <c r="K3" s="13">
        <f t="shared" si="0"/>
        <v>2037</v>
      </c>
      <c r="L3" s="13">
        <f t="shared" si="0"/>
        <v>2038</v>
      </c>
      <c r="M3" s="13">
        <f t="shared" si="0"/>
        <v>2039</v>
      </c>
      <c r="N3" s="13">
        <f t="shared" si="0"/>
        <v>2040</v>
      </c>
      <c r="O3" s="13">
        <f t="shared" ref="O3" si="1">+N3+1</f>
        <v>2041</v>
      </c>
      <c r="P3" s="13">
        <f t="shared" ref="P3" si="2">+O3+1</f>
        <v>2042</v>
      </c>
      <c r="Q3" s="13">
        <f t="shared" ref="Q3" si="3">+P3+1</f>
        <v>2043</v>
      </c>
      <c r="R3" s="13">
        <f t="shared" ref="R3" si="4">+Q3+1</f>
        <v>2044</v>
      </c>
      <c r="S3" s="13">
        <f t="shared" ref="S3" si="5">+R3+1</f>
        <v>2045</v>
      </c>
      <c r="T3" s="13">
        <f t="shared" ref="T3" si="6">+S3+1</f>
        <v>2046</v>
      </c>
      <c r="U3" s="13">
        <f t="shared" ref="U3" si="7">+T3+1</f>
        <v>2047</v>
      </c>
      <c r="V3" s="13">
        <f t="shared" ref="V3" si="8">+U3+1</f>
        <v>2048</v>
      </c>
      <c r="W3" s="13">
        <f t="shared" ref="W3" si="9">+V3+1</f>
        <v>2049</v>
      </c>
      <c r="X3" s="13">
        <f t="shared" ref="X3" si="10">+W3+1</f>
        <v>2050</v>
      </c>
      <c r="Y3" s="13">
        <f t="shared" ref="Y3" si="11">+X3+1</f>
        <v>2051</v>
      </c>
      <c r="Z3" s="13">
        <f t="shared" ref="Z3" si="12">+Y3+1</f>
        <v>2052</v>
      </c>
      <c r="AA3" s="13">
        <f t="shared" ref="AA3" si="13">+Z3+1</f>
        <v>2053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Input!B40/1000</f>
        <v>28917</v>
      </c>
      <c r="D4" s="92">
        <f>Input!C40/1000</f>
        <v>0</v>
      </c>
      <c r="E4" s="92">
        <f>Input!D40/1000</f>
        <v>0</v>
      </c>
      <c r="F4" s="92">
        <f>Input!E40/1000</f>
        <v>0</v>
      </c>
      <c r="G4" s="92">
        <f>Input!F40/1000</f>
        <v>0</v>
      </c>
      <c r="H4" s="92">
        <f>Input!G40/1000</f>
        <v>0</v>
      </c>
      <c r="I4" s="92">
        <f>Input!H40/1000</f>
        <v>0</v>
      </c>
      <c r="J4" s="92">
        <f>Input!I40/1000</f>
        <v>0</v>
      </c>
      <c r="K4" s="92">
        <f>Input!J40/1000</f>
        <v>0</v>
      </c>
      <c r="L4" s="92">
        <f>Input!K40/1000</f>
        <v>0</v>
      </c>
      <c r="M4" s="92">
        <f>Input!L40/1000</f>
        <v>0</v>
      </c>
      <c r="N4" s="92">
        <f>Input!M40/1000</f>
        <v>5000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210">
        <f>Input!E9/1000</f>
        <v>164840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164840</v>
      </c>
      <c r="C6" s="91">
        <f t="shared" ref="C6:N6" si="14">B6+C4</f>
        <v>193757</v>
      </c>
      <c r="D6" s="91">
        <f t="shared" si="14"/>
        <v>193757</v>
      </c>
      <c r="E6" s="91">
        <f t="shared" si="14"/>
        <v>193757</v>
      </c>
      <c r="F6" s="91">
        <f t="shared" si="14"/>
        <v>193757</v>
      </c>
      <c r="G6" s="91">
        <f t="shared" si="14"/>
        <v>193757</v>
      </c>
      <c r="H6" s="91">
        <f t="shared" si="14"/>
        <v>193757</v>
      </c>
      <c r="I6" s="91">
        <f t="shared" si="14"/>
        <v>193757</v>
      </c>
      <c r="J6" s="91">
        <f t="shared" si="14"/>
        <v>193757</v>
      </c>
      <c r="K6" s="91">
        <f t="shared" si="14"/>
        <v>193757</v>
      </c>
      <c r="L6" s="91">
        <f t="shared" si="14"/>
        <v>193757</v>
      </c>
      <c r="M6" s="91">
        <f t="shared" si="14"/>
        <v>193757</v>
      </c>
      <c r="N6" s="91">
        <f t="shared" si="14"/>
        <v>198757</v>
      </c>
      <c r="O6" s="91">
        <f t="shared" ref="O6" si="15">N6+O4</f>
        <v>198757</v>
      </c>
      <c r="P6" s="91">
        <f t="shared" ref="P6" si="16">O6+P4</f>
        <v>198757</v>
      </c>
      <c r="Q6" s="91">
        <f t="shared" ref="Q6" si="17">P6+Q4</f>
        <v>198757</v>
      </c>
      <c r="R6" s="91">
        <f t="shared" ref="R6" si="18">Q6+R4</f>
        <v>198757</v>
      </c>
      <c r="S6" s="91">
        <f t="shared" ref="S6" si="19">R6+S4</f>
        <v>198757</v>
      </c>
      <c r="T6" s="91">
        <f t="shared" ref="T6" si="20">S6+T4</f>
        <v>198757</v>
      </c>
      <c r="U6" s="91">
        <f t="shared" ref="U6" si="21">T6+U4</f>
        <v>198757</v>
      </c>
      <c r="V6" s="91">
        <f t="shared" ref="V6" si="22">U6+V4</f>
        <v>198757</v>
      </c>
      <c r="W6" s="91">
        <f t="shared" ref="W6" si="23">V6+W4</f>
        <v>198757</v>
      </c>
      <c r="X6" s="91">
        <f t="shared" ref="X6" si="24">W6+X4</f>
        <v>198757</v>
      </c>
      <c r="Y6" s="91">
        <f t="shared" ref="Y6" si="25">X6+Y4</f>
        <v>198757</v>
      </c>
      <c r="Z6" s="91">
        <f t="shared" ref="Z6" si="26">Y6+Z4</f>
        <v>198757</v>
      </c>
      <c r="AA6" s="91">
        <f t="shared" ref="AA6" si="27">Z6+AA4</f>
        <v>198757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193757</v>
      </c>
      <c r="D10" s="66">
        <f t="shared" ref="D10:I10" si="28">D6</f>
        <v>193757</v>
      </c>
      <c r="E10" s="66">
        <f t="shared" si="28"/>
        <v>193757</v>
      </c>
      <c r="F10" s="66">
        <f t="shared" si="28"/>
        <v>193757</v>
      </c>
      <c r="G10" s="66">
        <f t="shared" si="28"/>
        <v>193757</v>
      </c>
      <c r="H10" s="66">
        <f t="shared" si="28"/>
        <v>193757</v>
      </c>
      <c r="I10" s="66">
        <f t="shared" si="28"/>
        <v>193757</v>
      </c>
      <c r="J10" s="66">
        <f t="shared" ref="J10:N10" si="29">J6</f>
        <v>193757</v>
      </c>
      <c r="K10" s="66">
        <f t="shared" si="29"/>
        <v>193757</v>
      </c>
      <c r="L10" s="66">
        <f t="shared" si="29"/>
        <v>193757</v>
      </c>
      <c r="M10" s="66">
        <f t="shared" si="29"/>
        <v>193757</v>
      </c>
      <c r="N10" s="66">
        <f t="shared" si="29"/>
        <v>198757</v>
      </c>
      <c r="O10" s="66">
        <f t="shared" ref="O10:AA10" si="30">O6</f>
        <v>198757</v>
      </c>
      <c r="P10" s="66">
        <f t="shared" si="30"/>
        <v>198757</v>
      </c>
      <c r="Q10" s="66">
        <f t="shared" si="30"/>
        <v>198757</v>
      </c>
      <c r="R10" s="66">
        <f t="shared" si="30"/>
        <v>198757</v>
      </c>
      <c r="S10" s="66">
        <f t="shared" si="30"/>
        <v>198757</v>
      </c>
      <c r="T10" s="66">
        <f t="shared" si="30"/>
        <v>198757</v>
      </c>
      <c r="U10" s="66">
        <f t="shared" si="30"/>
        <v>198757</v>
      </c>
      <c r="V10" s="66">
        <f t="shared" si="30"/>
        <v>198757</v>
      </c>
      <c r="W10" s="66">
        <f t="shared" si="30"/>
        <v>198757</v>
      </c>
      <c r="X10" s="66">
        <f t="shared" si="30"/>
        <v>198757</v>
      </c>
      <c r="Y10" s="66">
        <f t="shared" si="30"/>
        <v>198757</v>
      </c>
      <c r="Z10" s="66">
        <f t="shared" si="30"/>
        <v>198757</v>
      </c>
      <c r="AA10" s="66">
        <f t="shared" si="30"/>
        <v>198757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6180.8482999999997</v>
      </c>
      <c r="D11" s="66">
        <f t="shared" ref="D11:I11" si="31">D20</f>
        <v>12361.696599999999</v>
      </c>
      <c r="E11" s="66">
        <f t="shared" si="31"/>
        <v>18542.544900000001</v>
      </c>
      <c r="F11" s="66">
        <f t="shared" si="31"/>
        <v>24723.393199999999</v>
      </c>
      <c r="G11" s="66">
        <f t="shared" si="31"/>
        <v>30904.241499999996</v>
      </c>
      <c r="H11" s="66">
        <f t="shared" si="31"/>
        <v>37085.089799999994</v>
      </c>
      <c r="I11" s="66">
        <f t="shared" si="31"/>
        <v>43265.938099999992</v>
      </c>
      <c r="J11" s="66">
        <f t="shared" ref="J11:N11" si="32">J20</f>
        <v>49446.78639999999</v>
      </c>
      <c r="K11" s="66">
        <f t="shared" si="32"/>
        <v>55627.634699999988</v>
      </c>
      <c r="L11" s="66">
        <f t="shared" si="32"/>
        <v>61808.482999999986</v>
      </c>
      <c r="M11" s="66">
        <f t="shared" si="32"/>
        <v>67989.331299999991</v>
      </c>
      <c r="N11" s="66">
        <f t="shared" si="32"/>
        <v>74329.679599999989</v>
      </c>
      <c r="O11" s="66">
        <f t="shared" ref="O11:AA11" si="33">O20</f>
        <v>74329.679599999989</v>
      </c>
      <c r="P11" s="66">
        <f t="shared" si="33"/>
        <v>74329.679599999989</v>
      </c>
      <c r="Q11" s="66">
        <f t="shared" si="33"/>
        <v>74329.679599999989</v>
      </c>
      <c r="R11" s="66">
        <f t="shared" si="33"/>
        <v>74329.679599999989</v>
      </c>
      <c r="S11" s="66">
        <f t="shared" si="33"/>
        <v>74329.679599999989</v>
      </c>
      <c r="T11" s="66">
        <f t="shared" si="33"/>
        <v>74329.679599999989</v>
      </c>
      <c r="U11" s="66">
        <f t="shared" si="33"/>
        <v>74329.679599999989</v>
      </c>
      <c r="V11" s="66">
        <f t="shared" si="33"/>
        <v>74329.679599999989</v>
      </c>
      <c r="W11" s="66">
        <f t="shared" si="33"/>
        <v>74329.679599999989</v>
      </c>
      <c r="X11" s="66">
        <f t="shared" si="33"/>
        <v>74329.679599999989</v>
      </c>
      <c r="Y11" s="66">
        <f t="shared" si="33"/>
        <v>74329.679599999989</v>
      </c>
      <c r="Z11" s="66">
        <f t="shared" si="33"/>
        <v>74329.679599999989</v>
      </c>
      <c r="AA11" s="66">
        <f t="shared" si="33"/>
        <v>74329.679599999989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216.44321815149601</v>
      </c>
      <c r="D12" s="66">
        <f t="shared" si="34"/>
        <v>1773.6748716021698</v>
      </c>
      <c r="E12" s="66">
        <f t="shared" si="34"/>
        <v>3121.4204103419311</v>
      </c>
      <c r="F12" s="66">
        <f t="shared" si="34"/>
        <v>4275.9130757321427</v>
      </c>
      <c r="G12" s="66">
        <f t="shared" si="34"/>
        <v>5251.0670746539718</v>
      </c>
      <c r="H12" s="66">
        <f t="shared" si="34"/>
        <v>6060.7966139885866</v>
      </c>
      <c r="I12" s="66">
        <f t="shared" si="34"/>
        <v>6717.0833718836584</v>
      </c>
      <c r="J12" s="66">
        <f t="shared" ref="J12:N12" si="35">J64+J68</f>
        <v>7231.9090264868591</v>
      </c>
      <c r="K12" s="66">
        <f t="shared" si="35"/>
        <v>7723.5443362881151</v>
      </c>
      <c r="L12" s="66">
        <f t="shared" si="35"/>
        <v>8214.7931403426719</v>
      </c>
      <c r="M12" s="66">
        <f t="shared" si="35"/>
        <v>8706.428450143927</v>
      </c>
      <c r="N12" s="66">
        <f t="shared" si="35"/>
        <v>9203.2626838384822</v>
      </c>
      <c r="O12" s="66">
        <f t="shared" ref="O12:AA12" si="36">O64+O68</f>
        <v>10999.853498058368</v>
      </c>
      <c r="P12" s="66">
        <f t="shared" si="36"/>
        <v>12790.651908558553</v>
      </c>
      <c r="Q12" s="66">
        <f t="shared" si="36"/>
        <v>14576.849834055436</v>
      </c>
      <c r="R12" s="66">
        <f t="shared" si="36"/>
        <v>16358.033326389621</v>
      </c>
      <c r="S12" s="66">
        <f t="shared" si="36"/>
        <v>18135.334460388505</v>
      </c>
      <c r="T12" s="66">
        <f t="shared" si="36"/>
        <v>19908.28941798519</v>
      </c>
      <c r="U12" s="66">
        <f t="shared" si="36"/>
        <v>21677.980404099577</v>
      </c>
      <c r="V12" s="66">
        <f t="shared" si="36"/>
        <v>23446.686445577263</v>
      </c>
      <c r="W12" s="66">
        <f t="shared" si="36"/>
        <v>24353.474697934453</v>
      </c>
      <c r="X12" s="66">
        <f t="shared" si="36"/>
        <v>24397.978603387452</v>
      </c>
      <c r="Y12" s="66">
        <f t="shared" si="36"/>
        <v>24442.472534858949</v>
      </c>
      <c r="Z12" s="66">
        <f t="shared" si="36"/>
        <v>24486.976440311948</v>
      </c>
      <c r="AA12" s="66">
        <f t="shared" si="36"/>
        <v>24531.470371783445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54.35720880240001</v>
      </c>
      <c r="D13" s="66">
        <f t="shared" ref="D13:I13" si="37">D66</f>
        <v>445.43791284681004</v>
      </c>
      <c r="E13" s="66">
        <f t="shared" si="37"/>
        <v>783.90860408603999</v>
      </c>
      <c r="F13" s="66">
        <f t="shared" si="37"/>
        <v>1073.84607318027</v>
      </c>
      <c r="G13" s="66">
        <f t="shared" si="37"/>
        <v>1318.74471212394</v>
      </c>
      <c r="H13" s="66">
        <f t="shared" si="37"/>
        <v>1522.0989129114901</v>
      </c>
      <c r="I13" s="66">
        <f t="shared" si="37"/>
        <v>1686.91773531591</v>
      </c>
      <c r="J13" s="66">
        <f t="shared" ref="J13:N13" si="38">J66</f>
        <v>1816.2102391101901</v>
      </c>
      <c r="K13" s="66">
        <f t="shared" si="38"/>
        <v>1939.6787562470702</v>
      </c>
      <c r="L13" s="66">
        <f t="shared" si="38"/>
        <v>2063.0502069396603</v>
      </c>
      <c r="M13" s="66">
        <f t="shared" si="38"/>
        <v>2186.5187240765404</v>
      </c>
      <c r="N13" s="66">
        <f t="shared" si="38"/>
        <v>2311.2928907691303</v>
      </c>
      <c r="O13" s="66">
        <f t="shared" ref="O13:AA13" si="39">O66</f>
        <v>2762.4858773411106</v>
      </c>
      <c r="P13" s="66">
        <f t="shared" si="39"/>
        <v>3212.2241687688006</v>
      </c>
      <c r="Q13" s="66">
        <f t="shared" si="39"/>
        <v>3660.8071016407807</v>
      </c>
      <c r="R13" s="66">
        <f t="shared" si="39"/>
        <v>4108.1307176684704</v>
      </c>
      <c r="S13" s="66">
        <f t="shared" si="39"/>
        <v>4554.4793243404501</v>
      </c>
      <c r="T13" s="66">
        <f t="shared" si="39"/>
        <v>4999.73643911814</v>
      </c>
      <c r="U13" s="66">
        <f t="shared" si="39"/>
        <v>5444.1738452401205</v>
      </c>
      <c r="V13" s="66">
        <f t="shared" si="39"/>
        <v>5888.3638939178109</v>
      </c>
      <c r="W13" s="66">
        <f t="shared" si="39"/>
        <v>6116.0932669788008</v>
      </c>
      <c r="X13" s="66">
        <f t="shared" si="39"/>
        <v>6127.2699076788003</v>
      </c>
      <c r="Y13" s="66">
        <f t="shared" si="39"/>
        <v>6138.4440435288006</v>
      </c>
      <c r="Z13" s="66">
        <f t="shared" si="39"/>
        <v>6149.6206842288002</v>
      </c>
      <c r="AA13" s="66">
        <f t="shared" si="39"/>
        <v>6160.7948200788005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187305.35127304611</v>
      </c>
      <c r="D16" s="134">
        <f t="shared" ref="D16:I16" si="40">D10-D11-D12-D13+D14</f>
        <v>179176.19061555102</v>
      </c>
      <c r="E16" s="134">
        <f t="shared" si="40"/>
        <v>171309.12608557203</v>
      </c>
      <c r="F16" s="134">
        <f t="shared" si="40"/>
        <v>163683.84765108759</v>
      </c>
      <c r="G16" s="134">
        <f t="shared" si="40"/>
        <v>156282.94671322207</v>
      </c>
      <c r="H16" s="134">
        <f>H10-H11-H12-H13+H14</f>
        <v>149089.01467309994</v>
      </c>
      <c r="I16" s="134">
        <f t="shared" si="40"/>
        <v>142087.06079280042</v>
      </c>
      <c r="J16" s="134">
        <f t="shared" ref="J16:N16" si="41">J10-J11-J12-J13+J14</f>
        <v>135262.09433440297</v>
      </c>
      <c r="K16" s="134">
        <f t="shared" si="41"/>
        <v>128466.14220746481</v>
      </c>
      <c r="L16" s="134">
        <f t="shared" si="41"/>
        <v>121670.67365271768</v>
      </c>
      <c r="M16" s="134">
        <f>M10-M11-M12-M13+M14</f>
        <v>114874.72152577955</v>
      </c>
      <c r="N16" s="134">
        <f t="shared" si="41"/>
        <v>112912.76482539241</v>
      </c>
      <c r="O16" s="134">
        <f t="shared" ref="O16:AA16" si="42">O10-O11-O12-O13+O14</f>
        <v>110664.98102460054</v>
      </c>
      <c r="P16" s="134">
        <f t="shared" si="42"/>
        <v>108424.44432267266</v>
      </c>
      <c r="Q16" s="134">
        <f t="shared" si="42"/>
        <v>106189.6634643038</v>
      </c>
      <c r="R16" s="134">
        <f t="shared" si="42"/>
        <v>103961.15635594193</v>
      </c>
      <c r="S16" s="134">
        <f t="shared" si="42"/>
        <v>101737.50661527105</v>
      </c>
      <c r="T16" s="134">
        <f t="shared" si="42"/>
        <v>99519.294542896678</v>
      </c>
      <c r="U16" s="134">
        <f t="shared" si="42"/>
        <v>97305.166150660312</v>
      </c>
      <c r="V16" s="134">
        <f t="shared" si="42"/>
        <v>95092.270060504947</v>
      </c>
      <c r="W16" s="134">
        <f t="shared" si="42"/>
        <v>93957.752435086761</v>
      </c>
      <c r="X16" s="134">
        <f t="shared" si="42"/>
        <v>93902.071888933759</v>
      </c>
      <c r="Y16" s="134">
        <f t="shared" si="42"/>
        <v>93846.403821612257</v>
      </c>
      <c r="Z16" s="134">
        <f t="shared" si="42"/>
        <v>93790.72327545927</v>
      </c>
      <c r="AA16" s="134">
        <f t="shared" si="42"/>
        <v>93735.055208137768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209">
        <v>3.1899999999999998E-2</v>
      </c>
      <c r="C19" s="72">
        <f>IF(C3-$C$3&lt;Input!$B$21,C6*$B$19,0)</f>
        <v>6180.8482999999997</v>
      </c>
      <c r="D19" s="72">
        <f>IF(D3-$C$3&lt;Input!$B$21,D6*$B$19,0)</f>
        <v>6180.8482999999997</v>
      </c>
      <c r="E19" s="72">
        <f>IF(E3-$C$3&lt;Input!$B$21,E6*$B$19,0)</f>
        <v>6180.8482999999997</v>
      </c>
      <c r="F19" s="72">
        <f>IF(F3-$C$3&lt;Input!$B$21,F6*$B$19,0)</f>
        <v>6180.8482999999997</v>
      </c>
      <c r="G19" s="72">
        <f>IF(G3-$C$3&lt;Input!$B$21,G6*$B$19,0)</f>
        <v>6180.8482999999997</v>
      </c>
      <c r="H19" s="72">
        <f>IF(H3-$C$3&lt;Input!$B$21,H6*$B$19,0)</f>
        <v>6180.8482999999997</v>
      </c>
      <c r="I19" s="72">
        <f>IF(I3-$C$3&lt;Input!$B$21,I6*$B$19,0)</f>
        <v>6180.8482999999997</v>
      </c>
      <c r="J19" s="72">
        <f>IF(J3-$C$3&lt;Input!$B$21,J6*$B$19,0)</f>
        <v>6180.8482999999997</v>
      </c>
      <c r="K19" s="72">
        <f>IF(K3-$C$3&lt;Input!$B$21,K6*$B$19,0)</f>
        <v>6180.8482999999997</v>
      </c>
      <c r="L19" s="72">
        <f>IF(L3-$C$3&lt;Input!$B$21,L6*$B$19,0)</f>
        <v>6180.8482999999997</v>
      </c>
      <c r="M19" s="72">
        <f>IF(M3-$C$3&lt;Input!$B$21,M6*$B$19,0)</f>
        <v>6180.8482999999997</v>
      </c>
      <c r="N19" s="72">
        <f>IF(N3-$C$3&lt;Input!$B$21,N6*$B$19,0)</f>
        <v>6340.3482999999997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6180.8482999999997</v>
      </c>
      <c r="D20" s="69">
        <f t="shared" ref="D20:N20" si="43">C20+D19</f>
        <v>12361.696599999999</v>
      </c>
      <c r="E20" s="69">
        <f t="shared" si="43"/>
        <v>18542.544900000001</v>
      </c>
      <c r="F20" s="69">
        <f t="shared" si="43"/>
        <v>24723.393199999999</v>
      </c>
      <c r="G20" s="69">
        <f t="shared" si="43"/>
        <v>30904.241499999996</v>
      </c>
      <c r="H20" s="69">
        <f t="shared" si="43"/>
        <v>37085.089799999994</v>
      </c>
      <c r="I20" s="69">
        <f t="shared" si="43"/>
        <v>43265.938099999992</v>
      </c>
      <c r="J20" s="69">
        <f t="shared" si="43"/>
        <v>49446.78639999999</v>
      </c>
      <c r="K20" s="69">
        <f t="shared" si="43"/>
        <v>55627.634699999988</v>
      </c>
      <c r="L20" s="69">
        <f t="shared" si="43"/>
        <v>61808.482999999986</v>
      </c>
      <c r="M20" s="69">
        <f t="shared" si="43"/>
        <v>67989.331299999991</v>
      </c>
      <c r="N20" s="69">
        <f t="shared" si="43"/>
        <v>74329.679599999989</v>
      </c>
      <c r="O20" s="69">
        <f t="shared" ref="O20" si="44">N20+O19</f>
        <v>74329.679599999989</v>
      </c>
      <c r="P20" s="69">
        <f t="shared" ref="P20" si="45">O20+P19</f>
        <v>74329.679599999989</v>
      </c>
      <c r="Q20" s="69">
        <f t="shared" ref="Q20" si="46">P20+Q19</f>
        <v>74329.679599999989</v>
      </c>
      <c r="R20" s="69">
        <f t="shared" ref="R20" si="47">Q20+R19</f>
        <v>74329.679599999989</v>
      </c>
      <c r="S20" s="69">
        <f t="shared" ref="S20" si="48">R20+S19</f>
        <v>74329.679599999989</v>
      </c>
      <c r="T20" s="69">
        <f t="shared" ref="T20" si="49">S20+T19</f>
        <v>74329.679599999989</v>
      </c>
      <c r="U20" s="69">
        <f t="shared" ref="U20" si="50">T20+U19</f>
        <v>74329.679599999989</v>
      </c>
      <c r="V20" s="69">
        <f t="shared" ref="V20" si="51">U20+V19</f>
        <v>74329.679599999989</v>
      </c>
      <c r="W20" s="69">
        <f t="shared" ref="W20" si="52">V20+W19</f>
        <v>74329.679599999989</v>
      </c>
      <c r="X20" s="69">
        <f t="shared" ref="X20" si="53">W20+X19</f>
        <v>74329.679599999989</v>
      </c>
      <c r="Y20" s="69">
        <f t="shared" ref="Y20" si="54">X20+Y19</f>
        <v>74329.679599999989</v>
      </c>
      <c r="Z20" s="69">
        <f t="shared" ref="Z20" si="55">Y20+Z19</f>
        <v>74329.679599999989</v>
      </c>
      <c r="AA20" s="69">
        <f t="shared" ref="AA20" si="56">Z20+AA19</f>
        <v>74329.679599999989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28917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5000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164840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5" cm="1">
        <f t="array" ref="N27">_xlfn.XLOOKUP($B$27,MACRS!$B$1:$G$1,_xlfn.XLOOKUP('Rate Base - coal'!N26,MACRS!$A$2:$A$22,MACRS!$B$2:$G$22))</f>
        <v>4.4609999999999997E-2</v>
      </c>
      <c r="O27" s="195" cm="1">
        <f t="array" ref="O27">_xlfn.XLOOKUP($B$27,MACRS!$B$1:$G$1,_xlfn.XLOOKUP('Rate Base - coal'!O26,MACRS!$A$2:$A$22,MACRS!$B$2:$G$22))</f>
        <v>4.462E-2</v>
      </c>
      <c r="P27" s="195" cm="1">
        <f t="array" ref="P27">_xlfn.XLOOKUP($B$27,MACRS!$B$1:$G$1,_xlfn.XLOOKUP('Rate Base - coal'!P26,MACRS!$A$2:$A$22,MACRS!$B$2:$G$22))</f>
        <v>4.4609999999999997E-2</v>
      </c>
      <c r="Q27" s="195" cm="1">
        <f t="array" ref="Q27">_xlfn.XLOOKUP($B$27,MACRS!$B$1:$G$1,_xlfn.XLOOKUP('Rate Base - coal'!Q26,MACRS!$A$2:$A$22,MACRS!$B$2:$G$22))</f>
        <v>4.462E-2</v>
      </c>
      <c r="R27" s="195" cm="1">
        <f t="array" ref="R27">_xlfn.XLOOKUP($B$27,MACRS!$B$1:$G$1,_xlfn.XLOOKUP('Rate Base - coal'!R26,MACRS!$A$2:$A$22,MACRS!$B$2:$G$22))</f>
        <v>4.4609999999999997E-2</v>
      </c>
      <c r="S27" s="195" cm="1">
        <f t="array" ref="S27">_xlfn.XLOOKUP($B$27,MACRS!$B$1:$G$1,_xlfn.XLOOKUP('Rate Base - coal'!S26,MACRS!$A$2:$A$22,MACRS!$B$2:$G$22))</f>
        <v>4.462E-2</v>
      </c>
      <c r="T27" s="195" cm="1">
        <f t="array" ref="T27">_xlfn.XLOOKUP($B$27,MACRS!$B$1:$G$1,_xlfn.XLOOKUP('Rate Base - coal'!T26,MACRS!$A$2:$A$22,MACRS!$B$2:$G$22))</f>
        <v>4.4609999999999997E-2</v>
      </c>
      <c r="U27" s="195" cm="1">
        <f t="array" ref="U27">_xlfn.XLOOKUP($B$27,MACRS!$B$1:$G$1,_xlfn.XLOOKUP('Rate Base - coal'!U26,MACRS!$A$2:$A$22,MACRS!$B$2:$G$22))</f>
        <v>4.462E-2</v>
      </c>
      <c r="V27" s="195" cm="1">
        <f t="array" ref="V27">_xlfn.XLOOKUP($B$27,MACRS!$B$1:$G$1,_xlfn.XLOOKUP('Rate Base - coal'!V26,MACRS!$A$2:$A$22,MACRS!$B$2:$G$22))</f>
        <v>4.4609999999999997E-2</v>
      </c>
      <c r="W27" s="195" cm="1">
        <f t="array" ref="W27">_xlfn.XLOOKUP($B$27,MACRS!$B$1:$G$1,_xlfn.XLOOKUP('Rate Base - coal'!W26,MACRS!$A$2:$A$22,MACRS!$B$2:$G$22))</f>
        <v>2.231E-2</v>
      </c>
      <c r="X27" s="195">
        <v>0</v>
      </c>
      <c r="Y27" s="195">
        <v>0</v>
      </c>
      <c r="Z27" s="195">
        <v>0</v>
      </c>
      <c r="AA27" s="195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7265.8874999999998</v>
      </c>
      <c r="D28" s="69">
        <f t="shared" ref="D28:AA28" si="61">($C$25+$C$24)*D$27</f>
        <v>13987.31783</v>
      </c>
      <c r="E28" s="69">
        <f t="shared" si="61"/>
        <v>12937.15489</v>
      </c>
      <c r="F28" s="69">
        <f t="shared" si="61"/>
        <v>11968.36989</v>
      </c>
      <c r="G28" s="69">
        <f t="shared" si="61"/>
        <v>11069.33741</v>
      </c>
      <c r="H28" s="69">
        <f t="shared" si="61"/>
        <v>10240.05745</v>
      </c>
      <c r="I28" s="69">
        <f t="shared" si="61"/>
        <v>9470.8421600000001</v>
      </c>
      <c r="J28" s="69">
        <f t="shared" si="61"/>
        <v>8761.6915399999998</v>
      </c>
      <c r="K28" s="69">
        <f t="shared" si="61"/>
        <v>8645.4373400000004</v>
      </c>
      <c r="L28" s="69">
        <f t="shared" si="61"/>
        <v>8643.4997699999985</v>
      </c>
      <c r="M28" s="69">
        <f t="shared" si="61"/>
        <v>8645.4373400000004</v>
      </c>
      <c r="N28" s="69">
        <f t="shared" si="61"/>
        <v>8643.4997699999985</v>
      </c>
      <c r="O28" s="69">
        <f t="shared" si="61"/>
        <v>8645.4373400000004</v>
      </c>
      <c r="P28" s="69">
        <f t="shared" si="61"/>
        <v>8643.4997699999985</v>
      </c>
      <c r="Q28" s="69">
        <f t="shared" si="61"/>
        <v>8645.4373400000004</v>
      </c>
      <c r="R28" s="69">
        <f t="shared" si="61"/>
        <v>8643.4997699999985</v>
      </c>
      <c r="S28" s="69">
        <f t="shared" si="61"/>
        <v>8645.4373400000004</v>
      </c>
      <c r="T28" s="69">
        <f t="shared" si="61"/>
        <v>8643.4997699999985</v>
      </c>
      <c r="U28" s="69">
        <f t="shared" si="61"/>
        <v>8645.4373400000004</v>
      </c>
      <c r="V28" s="69">
        <f t="shared" si="61"/>
        <v>8643.4997699999985</v>
      </c>
      <c r="W28" s="69">
        <f t="shared" si="61"/>
        <v>4322.7186700000002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62">($D$24*D$27)</f>
        <v>0</v>
      </c>
      <c r="F29" s="69">
        <f t="shared" si="62"/>
        <v>0</v>
      </c>
      <c r="G29" s="69">
        <f t="shared" si="62"/>
        <v>0</v>
      </c>
      <c r="H29" s="69">
        <f t="shared" si="62"/>
        <v>0</v>
      </c>
      <c r="I29" s="69">
        <f t="shared" si="62"/>
        <v>0</v>
      </c>
      <c r="J29" s="69">
        <f t="shared" si="62"/>
        <v>0</v>
      </c>
      <c r="K29" s="69">
        <f t="shared" si="62"/>
        <v>0</v>
      </c>
      <c r="L29" s="69">
        <f t="shared" si="62"/>
        <v>0</v>
      </c>
      <c r="M29" s="69">
        <f t="shared" si="62"/>
        <v>0</v>
      </c>
      <c r="N29" s="69">
        <f t="shared" si="62"/>
        <v>0</v>
      </c>
      <c r="O29" s="69">
        <f t="shared" ref="O29" si="63">($D$24*N$27)</f>
        <v>0</v>
      </c>
      <c r="P29" s="69">
        <f t="shared" ref="P29" si="64">($D$24*O$27)</f>
        <v>0</v>
      </c>
      <c r="Q29" s="69">
        <f t="shared" ref="Q29" si="65">($D$24*P$27)</f>
        <v>0</v>
      </c>
      <c r="R29" s="69">
        <f t="shared" ref="R29" si="66">($D$24*Q$27)</f>
        <v>0</v>
      </c>
      <c r="S29" s="69">
        <f t="shared" ref="S29" si="67">($D$24*R$27)</f>
        <v>0</v>
      </c>
      <c r="T29" s="69">
        <f t="shared" ref="T29" si="68">($D$24*S$27)</f>
        <v>0</v>
      </c>
      <c r="U29" s="69">
        <f t="shared" ref="U29" si="69">($D$24*T$27)</f>
        <v>0</v>
      </c>
      <c r="V29" s="69">
        <f t="shared" ref="V29" si="70">($D$24*U$27)</f>
        <v>0</v>
      </c>
      <c r="W29" s="69">
        <f t="shared" ref="W29" si="71">($D$24*V$27)</f>
        <v>0</v>
      </c>
      <c r="X29" s="69">
        <f t="shared" ref="X29" si="72">($D$24*W$27)</f>
        <v>0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187.5</v>
      </c>
      <c r="O39" s="69">
        <f t="shared" ref="O39:Z39" si="189">$N$24*D$27</f>
        <v>360.95000000000005</v>
      </c>
      <c r="P39" s="69">
        <f t="shared" si="189"/>
        <v>333.84999999999997</v>
      </c>
      <c r="Q39" s="69">
        <f t="shared" si="189"/>
        <v>308.84999999999997</v>
      </c>
      <c r="R39" s="69">
        <f t="shared" si="189"/>
        <v>285.64999999999998</v>
      </c>
      <c r="S39" s="69">
        <f t="shared" si="189"/>
        <v>264.25</v>
      </c>
      <c r="T39" s="69">
        <f t="shared" si="189"/>
        <v>244.4</v>
      </c>
      <c r="U39" s="69">
        <f t="shared" si="189"/>
        <v>226.10000000000002</v>
      </c>
      <c r="V39" s="69">
        <f t="shared" si="189"/>
        <v>223.1</v>
      </c>
      <c r="W39" s="69">
        <f t="shared" si="189"/>
        <v>223.04999999999998</v>
      </c>
      <c r="X39" s="69">
        <f t="shared" si="189"/>
        <v>223.1</v>
      </c>
      <c r="Y39" s="69">
        <f t="shared" si="189"/>
        <v>223.04999999999998</v>
      </c>
      <c r="Z39" s="69">
        <f t="shared" si="189"/>
        <v>223.1</v>
      </c>
      <c r="AA39" s="69">
        <f>$N$24*P$27</f>
        <v>223.04999999999998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7265.8874999999998</v>
      </c>
      <c r="D59" s="69">
        <f t="shared" si="201"/>
        <v>13987.31783</v>
      </c>
      <c r="E59" s="69">
        <f t="shared" si="201"/>
        <v>12937.15489</v>
      </c>
      <c r="F59" s="69">
        <f t="shared" si="201"/>
        <v>11968.36989</v>
      </c>
      <c r="G59" s="69">
        <f t="shared" si="201"/>
        <v>11069.33741</v>
      </c>
      <c r="H59" s="69">
        <f t="shared" si="201"/>
        <v>10240.05745</v>
      </c>
      <c r="I59" s="69">
        <f t="shared" si="201"/>
        <v>9470.8421600000001</v>
      </c>
      <c r="J59" s="69">
        <f t="shared" ref="J59:N59" si="202">SUM(J28:J57)</f>
        <v>8761.6915399999998</v>
      </c>
      <c r="K59" s="69">
        <f t="shared" si="202"/>
        <v>8645.4373400000004</v>
      </c>
      <c r="L59" s="69">
        <f t="shared" si="202"/>
        <v>8643.4997699999985</v>
      </c>
      <c r="M59" s="69">
        <f t="shared" si="202"/>
        <v>8645.4373400000004</v>
      </c>
      <c r="N59" s="69">
        <f t="shared" si="202"/>
        <v>8830.9997699999985</v>
      </c>
      <c r="O59" s="69">
        <f t="shared" ref="O59:AA59" si="203">SUM(O28:O57)</f>
        <v>9006.3873400000011</v>
      </c>
      <c r="P59" s="69">
        <f t="shared" si="203"/>
        <v>8977.3497699999989</v>
      </c>
      <c r="Q59" s="69">
        <f t="shared" si="203"/>
        <v>8954.2873400000008</v>
      </c>
      <c r="R59" s="69">
        <f t="shared" si="203"/>
        <v>8929.1497699999982</v>
      </c>
      <c r="S59" s="69">
        <f t="shared" si="203"/>
        <v>8909.6873400000004</v>
      </c>
      <c r="T59" s="69">
        <f t="shared" si="203"/>
        <v>8887.8997699999982</v>
      </c>
      <c r="U59" s="69">
        <f t="shared" si="203"/>
        <v>8871.5373400000008</v>
      </c>
      <c r="V59" s="69">
        <f t="shared" si="203"/>
        <v>8866.5997699999989</v>
      </c>
      <c r="W59" s="69">
        <f t="shared" si="203"/>
        <v>4545.7686700000004</v>
      </c>
      <c r="X59" s="69">
        <f t="shared" si="203"/>
        <v>223.1</v>
      </c>
      <c r="Y59" s="69">
        <f t="shared" si="203"/>
        <v>223.04999999999998</v>
      </c>
      <c r="Z59" s="69">
        <f t="shared" si="203"/>
        <v>223.1</v>
      </c>
      <c r="AA59" s="69">
        <f t="shared" si="203"/>
        <v>223.04999999999998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7265.8874999999998</v>
      </c>
      <c r="D60" s="69">
        <f t="shared" ref="D60:N60" si="204">D59+C60</f>
        <v>21253.205330000001</v>
      </c>
      <c r="E60" s="69">
        <f t="shared" si="204"/>
        <v>34190.360220000002</v>
      </c>
      <c r="F60" s="69">
        <f t="shared" si="204"/>
        <v>46158.730110000004</v>
      </c>
      <c r="G60" s="69">
        <f t="shared" si="204"/>
        <v>57228.067520000004</v>
      </c>
      <c r="H60" s="69">
        <f t="shared" si="204"/>
        <v>67468.124970000004</v>
      </c>
      <c r="I60" s="69">
        <f t="shared" si="204"/>
        <v>76938.967130000005</v>
      </c>
      <c r="J60" s="69">
        <f t="shared" si="204"/>
        <v>85700.658670000004</v>
      </c>
      <c r="K60" s="69">
        <f t="shared" si="204"/>
        <v>94346.096010000008</v>
      </c>
      <c r="L60" s="69">
        <f t="shared" si="204"/>
        <v>102989.59578</v>
      </c>
      <c r="M60" s="69">
        <f t="shared" si="204"/>
        <v>111635.03312000001</v>
      </c>
      <c r="N60" s="69">
        <f t="shared" si="204"/>
        <v>120466.03289</v>
      </c>
      <c r="O60" s="69">
        <f t="shared" ref="O60" si="205">O59+N60</f>
        <v>129472.42023</v>
      </c>
      <c r="P60" s="69">
        <f t="shared" ref="P60" si="206">P59+O60</f>
        <v>138449.76999999999</v>
      </c>
      <c r="Q60" s="69">
        <f t="shared" ref="Q60" si="207">Q59+P60</f>
        <v>147404.05734</v>
      </c>
      <c r="R60" s="69">
        <f t="shared" ref="R60" si="208">R59+Q60</f>
        <v>156333.20710999999</v>
      </c>
      <c r="S60" s="69">
        <f t="shared" ref="S60" si="209">S59+R60</f>
        <v>165242.89444999999</v>
      </c>
      <c r="T60" s="69">
        <f t="shared" ref="T60" si="210">T59+S60</f>
        <v>174130.79421999998</v>
      </c>
      <c r="U60" s="69">
        <f t="shared" ref="U60" si="211">U59+T60</f>
        <v>183002.33155999999</v>
      </c>
      <c r="V60" s="69">
        <f t="shared" ref="V60" si="212">V59+U60</f>
        <v>191868.93132999999</v>
      </c>
      <c r="W60" s="69">
        <f t="shared" ref="W60" si="213">W59+V60</f>
        <v>196414.69999999998</v>
      </c>
      <c r="X60" s="69">
        <f t="shared" ref="X60" si="214">X59+W60</f>
        <v>196637.8</v>
      </c>
      <c r="Y60" s="69">
        <f t="shared" ref="Y60" si="215">Y59+X60</f>
        <v>196860.84999999998</v>
      </c>
      <c r="Z60" s="69">
        <f t="shared" ref="Z60" si="216">Z59+Y60</f>
        <v>197083.94999999998</v>
      </c>
      <c r="AA60" s="69">
        <f t="shared" ref="AA60" si="217">AA59+Z60</f>
        <v>197306.99999999997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227.85823200000002</v>
      </c>
      <c r="D63" s="79">
        <f>+(D59-D19)*Input!$B$35</f>
        <v>1639.3586012999999</v>
      </c>
      <c r="E63" s="79">
        <f>+(E59-E19)*Input!$B$35</f>
        <v>1418.8243838999999</v>
      </c>
      <c r="F63" s="79">
        <f>+(F59-F19)*Input!$B$35</f>
        <v>1215.3795339000001</v>
      </c>
      <c r="G63" s="79">
        <f>+(G59-G19)*Input!$B$35</f>
        <v>1026.5827131000001</v>
      </c>
      <c r="H63" s="79">
        <f>+(H59-H19)*Input!$B$35</f>
        <v>852.43392150000011</v>
      </c>
      <c r="I63" s="79">
        <f>+(I59-I19)*Input!$B$35</f>
        <v>690.89871060000007</v>
      </c>
      <c r="J63" s="79">
        <f>+(J59-J19)*Input!$B$35</f>
        <v>541.97708039999998</v>
      </c>
      <c r="K63" s="79">
        <f>+(K59-K19)*Input!$B$35</f>
        <v>517.56369840000013</v>
      </c>
      <c r="L63" s="79">
        <f>+(L59-L19)*Input!$B$35</f>
        <v>517.15680869999971</v>
      </c>
      <c r="M63" s="79">
        <f>+(M59-M19)*Input!$B$35</f>
        <v>517.56369840000013</v>
      </c>
      <c r="N63" s="79">
        <f>+(N59-N19)*Input!$B$35</f>
        <v>523.03680869999971</v>
      </c>
      <c r="O63" s="79">
        <f>+(O59-O19)*Input!$B$35</f>
        <v>1891.3413414000001</v>
      </c>
      <c r="P63" s="79">
        <f>+(P59-P19)*Input!$B$35</f>
        <v>1885.2434516999997</v>
      </c>
      <c r="Q63" s="79">
        <f>+(Q59-Q19)*Input!$B$35</f>
        <v>1880.4003414000001</v>
      </c>
      <c r="R63" s="79">
        <f>+(R59-R19)*Input!$B$35</f>
        <v>1875.1214516999996</v>
      </c>
      <c r="S63" s="79">
        <f>+(S59-S19)*Input!$B$35</f>
        <v>1871.0343413999999</v>
      </c>
      <c r="T63" s="79">
        <f>+(T59-T19)*Input!$B$35</f>
        <v>1866.4589516999995</v>
      </c>
      <c r="U63" s="79">
        <f>+(U59-U19)*Input!$B$35</f>
        <v>1863.0228414000001</v>
      </c>
      <c r="V63" s="79">
        <f>+(V59-V19)*Input!$B$35</f>
        <v>1861.9859516999998</v>
      </c>
      <c r="W63" s="79">
        <f>+(W59-W19)*Input!$B$35</f>
        <v>954.61142070000005</v>
      </c>
      <c r="X63" s="79">
        <f>+(X59-X19)*Input!$B$35</f>
        <v>46.850999999999999</v>
      </c>
      <c r="Y63" s="79">
        <f>+(Y59-Y19)*Input!$B$35</f>
        <v>46.840499999999992</v>
      </c>
      <c r="Z63" s="79">
        <f>+(Z59-Z19)*Input!$B$35</f>
        <v>46.850999999999999</v>
      </c>
      <c r="AA63" s="79">
        <f>+(AA59-AA19)*Input!$B$35</f>
        <v>46.840499999999992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227.85823200000002</v>
      </c>
      <c r="D64" s="94">
        <f t="shared" ref="D64:N64" si="218">C64+D63</f>
        <v>1867.2168333</v>
      </c>
      <c r="E64" s="94">
        <f t="shared" si="218"/>
        <v>3286.0412171999997</v>
      </c>
      <c r="F64" s="94">
        <f t="shared" si="218"/>
        <v>4501.4207510999995</v>
      </c>
      <c r="G64" s="94">
        <f t="shared" si="218"/>
        <v>5528.0034641999991</v>
      </c>
      <c r="H64" s="94">
        <f>G64+H63</f>
        <v>6380.4373856999991</v>
      </c>
      <c r="I64" s="94">
        <f t="shared" si="218"/>
        <v>7071.3360962999996</v>
      </c>
      <c r="J64" s="94">
        <f t="shared" si="218"/>
        <v>7613.3131766999995</v>
      </c>
      <c r="K64" s="94">
        <f t="shared" si="218"/>
        <v>8130.8768750999998</v>
      </c>
      <c r="L64" s="94">
        <f t="shared" si="218"/>
        <v>8648.0336838000003</v>
      </c>
      <c r="M64" s="94">
        <f t="shared" si="218"/>
        <v>9165.5973821999996</v>
      </c>
      <c r="N64" s="69">
        <f t="shared" si="218"/>
        <v>9688.6341909000002</v>
      </c>
      <c r="O64" s="69">
        <f t="shared" ref="O64" si="219">N64+O63</f>
        <v>11579.975532300001</v>
      </c>
      <c r="P64" s="69">
        <f t="shared" ref="P64" si="220">O64+P63</f>
        <v>13465.218984000001</v>
      </c>
      <c r="Q64" s="69">
        <f t="shared" ref="Q64" si="221">P64+Q63</f>
        <v>15345.619325400001</v>
      </c>
      <c r="R64" s="69">
        <f t="shared" ref="R64" si="222">Q64+R63</f>
        <v>17220.7407771</v>
      </c>
      <c r="S64" s="69">
        <f t="shared" ref="S64" si="223">R64+S63</f>
        <v>19091.775118500002</v>
      </c>
      <c r="T64" s="69">
        <f t="shared" ref="T64" si="224">S64+T63</f>
        <v>20958.2340702</v>
      </c>
      <c r="U64" s="69">
        <f t="shared" ref="U64" si="225">T64+U63</f>
        <v>22821.256911600001</v>
      </c>
      <c r="V64" s="69">
        <f t="shared" ref="V64" si="226">U64+V63</f>
        <v>24683.242863300002</v>
      </c>
      <c r="W64" s="69">
        <f t="shared" ref="W64" si="227">V64+W63</f>
        <v>25637.854284000001</v>
      </c>
      <c r="X64" s="69">
        <f t="shared" ref="X64" si="228">W64+X63</f>
        <v>25684.705284</v>
      </c>
      <c r="Y64" s="69">
        <f t="shared" ref="Y64" si="229">X64+Y63</f>
        <v>25731.545783999998</v>
      </c>
      <c r="Z64" s="69">
        <f t="shared" ref="Z64" si="230">Y64+Z63</f>
        <v>25778.396783999997</v>
      </c>
      <c r="AA64" s="69">
        <f t="shared" ref="AA64" si="231">Z64+AA63</f>
        <v>25825.237283999995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54.35720880240001</v>
      </c>
      <c r="D65" s="69">
        <f>+(D59-D19)*Input!$B$34</f>
        <v>391.08070404441003</v>
      </c>
      <c r="E65" s="69">
        <f>+(E59-E19)*Input!$B$34</f>
        <v>338.47069123923001</v>
      </c>
      <c r="F65" s="69">
        <f>+(F59-F19)*Input!$B$34</f>
        <v>289.93746909423004</v>
      </c>
      <c r="G65" s="69">
        <f>+(G59-G19)*Input!$B$34</f>
        <v>244.89863894367002</v>
      </c>
      <c r="H65" s="69">
        <f>+(H59-H19)*Input!$B$34</f>
        <v>203.35420078755004</v>
      </c>
      <c r="I65" s="69">
        <f>+(I59-I19)*Input!$B$34</f>
        <v>164.81882240442005</v>
      </c>
      <c r="J65" s="69">
        <f>+(J59-J19)*Input!$B$34</f>
        <v>129.29250379428001</v>
      </c>
      <c r="K65" s="69">
        <f>+(K59-K19)*Input!$B$34</f>
        <v>123.46851713688004</v>
      </c>
      <c r="L65" s="69">
        <f>+(L59-L19)*Input!$B$34</f>
        <v>123.37145069258995</v>
      </c>
      <c r="M65" s="69">
        <f>+(M59-M19)*Input!$B$34</f>
        <v>123.46851713688004</v>
      </c>
      <c r="N65" s="69">
        <f>+(N59-N19)*Input!$B$34</f>
        <v>124.77416669258994</v>
      </c>
      <c r="O65" s="69">
        <f>+(O59-O19)*Input!$B$34</f>
        <v>451.1929865719801</v>
      </c>
      <c r="P65" s="69">
        <f>+(P59-P19)*Input!$B$34</f>
        <v>449.73829142768994</v>
      </c>
      <c r="Q65" s="69">
        <f>+(Q59-Q19)*Input!$B$34</f>
        <v>448.58293287198006</v>
      </c>
      <c r="R65" s="69">
        <f>+(R59-R19)*Input!$B$34</f>
        <v>447.32361602768992</v>
      </c>
      <c r="S65" s="69">
        <f>+(S59-S19)*Input!$B$34</f>
        <v>446.34860667198006</v>
      </c>
      <c r="T65" s="69">
        <f>+(T59-T19)*Input!$B$34</f>
        <v>445.25711477768994</v>
      </c>
      <c r="U65" s="69">
        <f>+(U59-U19)*Input!$B$34</f>
        <v>444.43740612198008</v>
      </c>
      <c r="V65" s="69">
        <f>+(V59-V19)*Input!$B$34</f>
        <v>444.19004867768996</v>
      </c>
      <c r="W65" s="69">
        <f>+(W59-W19)*Input!$B$34</f>
        <v>227.72937306099004</v>
      </c>
      <c r="X65" s="69">
        <f>+(X59-X19)*Input!$B$34</f>
        <v>11.1766407</v>
      </c>
      <c r="Y65" s="69">
        <f>+(Y59-Y19)*Input!$B$34</f>
        <v>11.174135849999999</v>
      </c>
      <c r="Z65" s="69">
        <f>+(Z59-Z19)*Input!$B$34</f>
        <v>11.1766407</v>
      </c>
      <c r="AA65" s="69">
        <f>+(AA59-AA19)*Input!$B$34</f>
        <v>11.174135849999999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54.35720880240001</v>
      </c>
      <c r="D66" s="69">
        <f>+C66+D65</f>
        <v>445.43791284681004</v>
      </c>
      <c r="E66" s="69">
        <f t="shared" ref="E66:N66" si="232">D66+E65</f>
        <v>783.90860408603999</v>
      </c>
      <c r="F66" s="69">
        <f t="shared" si="232"/>
        <v>1073.84607318027</v>
      </c>
      <c r="G66" s="69">
        <f t="shared" si="232"/>
        <v>1318.74471212394</v>
      </c>
      <c r="H66" s="69">
        <f t="shared" si="232"/>
        <v>1522.0989129114901</v>
      </c>
      <c r="I66" s="69">
        <f t="shared" si="232"/>
        <v>1686.91773531591</v>
      </c>
      <c r="J66" s="69">
        <f t="shared" si="232"/>
        <v>1816.2102391101901</v>
      </c>
      <c r="K66" s="69">
        <f t="shared" si="232"/>
        <v>1939.6787562470702</v>
      </c>
      <c r="L66" s="69">
        <f t="shared" si="232"/>
        <v>2063.0502069396603</v>
      </c>
      <c r="M66" s="69">
        <f t="shared" si="232"/>
        <v>2186.5187240765404</v>
      </c>
      <c r="N66" s="69">
        <f t="shared" si="232"/>
        <v>2311.2928907691303</v>
      </c>
      <c r="O66" s="69">
        <f t="shared" ref="O66" si="233">N66+O65</f>
        <v>2762.4858773411106</v>
      </c>
      <c r="P66" s="69">
        <f t="shared" ref="P66" si="234">O66+P65</f>
        <v>3212.2241687688006</v>
      </c>
      <c r="Q66" s="69">
        <f t="shared" ref="Q66" si="235">P66+Q65</f>
        <v>3660.8071016407807</v>
      </c>
      <c r="R66" s="69">
        <f t="shared" ref="R66" si="236">Q66+R65</f>
        <v>4108.1307176684704</v>
      </c>
      <c r="S66" s="69">
        <f t="shared" ref="S66" si="237">R66+S65</f>
        <v>4554.4793243404501</v>
      </c>
      <c r="T66" s="69">
        <f t="shared" ref="T66" si="238">S66+T65</f>
        <v>4999.73643911814</v>
      </c>
      <c r="U66" s="69">
        <f t="shared" ref="U66" si="239">T66+U65</f>
        <v>5444.1738452401205</v>
      </c>
      <c r="V66" s="69">
        <f t="shared" ref="V66" si="240">U66+V65</f>
        <v>5888.3638939178109</v>
      </c>
      <c r="W66" s="69">
        <f t="shared" ref="W66" si="241">V66+W65</f>
        <v>6116.0932669788008</v>
      </c>
      <c r="X66" s="69">
        <f t="shared" ref="X66" si="242">W66+X65</f>
        <v>6127.2699076788003</v>
      </c>
      <c r="Y66" s="69">
        <f t="shared" ref="Y66" si="243">X66+Y65</f>
        <v>6138.4440435288006</v>
      </c>
      <c r="Z66" s="69">
        <f t="shared" ref="Z66" si="244">Y66+Z65</f>
        <v>6149.6206842288002</v>
      </c>
      <c r="AA66" s="69">
        <f t="shared" ref="AA66" si="245">Z66+AA65</f>
        <v>6160.7948200788005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-11.415013848504001</v>
      </c>
      <c r="D67" s="94">
        <f>-D65*Input!$B$35</f>
        <v>-82.1269478493261</v>
      </c>
      <c r="E67" s="69">
        <f>-E65*Input!$B$35</f>
        <v>-71.078845160238302</v>
      </c>
      <c r="F67" s="69">
        <f>-F65*Input!$B$35</f>
        <v>-60.886868509788307</v>
      </c>
      <c r="G67" s="69">
        <f>-G65*Input!$B$35</f>
        <v>-51.428714178170701</v>
      </c>
      <c r="H67" s="69">
        <f>-H65*Input!$B$35</f>
        <v>-42.70438216538551</v>
      </c>
      <c r="I67" s="69">
        <f>-I65*Input!$B$35</f>
        <v>-34.611952704928207</v>
      </c>
      <c r="J67" s="69">
        <f>-J65*Input!$B$35</f>
        <v>-27.151425796798801</v>
      </c>
      <c r="K67" s="69">
        <f>-K65*Input!$B$35</f>
        <v>-25.928388598744807</v>
      </c>
      <c r="L67" s="69">
        <f>-L65*Input!$B$35</f>
        <v>-25.908004645443889</v>
      </c>
      <c r="M67" s="69">
        <f>-M65*Input!$B$35</f>
        <v>-25.928388598744807</v>
      </c>
      <c r="N67" s="69">
        <f>-N65*Input!$B$35</f>
        <v>-26.202575005443887</v>
      </c>
      <c r="O67" s="69">
        <f>-O65*Input!$B$35</f>
        <v>-94.750527180115824</v>
      </c>
      <c r="P67" s="69">
        <f>-P65*Input!$B$35</f>
        <v>-94.445041199814881</v>
      </c>
      <c r="Q67" s="69">
        <f>-Q65*Input!$B$35</f>
        <v>-94.202415903115806</v>
      </c>
      <c r="R67" s="69">
        <f>-R65*Input!$B$35</f>
        <v>-93.937959365814876</v>
      </c>
      <c r="S67" s="69">
        <f>-S65*Input!$B$35</f>
        <v>-93.733207401115806</v>
      </c>
      <c r="T67" s="69">
        <f>-T65*Input!$B$35</f>
        <v>-93.503994103314881</v>
      </c>
      <c r="U67" s="69">
        <f>-U65*Input!$B$35</f>
        <v>-93.331855285615816</v>
      </c>
      <c r="V67" s="69">
        <f>-V65*Input!$B$35</f>
        <v>-93.279910222314882</v>
      </c>
      <c r="W67" s="69">
        <f>-W65*Input!$B$35</f>
        <v>-47.823168342807904</v>
      </c>
      <c r="X67" s="69">
        <f>-X65*Input!$B$35</f>
        <v>-2.3470945469999998</v>
      </c>
      <c r="Y67" s="69">
        <f>-Y65*Input!$B$35</f>
        <v>-2.3465685284999998</v>
      </c>
      <c r="Z67" s="69">
        <f>-Z65*Input!$B$35</f>
        <v>-2.3470945469999998</v>
      </c>
      <c r="AA67" s="69">
        <f>-AA65*Input!$B$35</f>
        <v>-2.3465685284999998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-11.415013848504001</v>
      </c>
      <c r="D68" s="69">
        <f>+C68+D67</f>
        <v>-93.541961697830104</v>
      </c>
      <c r="E68" s="69">
        <f t="shared" ref="E68:N68" si="246">D68+E67</f>
        <v>-164.62080685806842</v>
      </c>
      <c r="F68" s="69">
        <f t="shared" si="246"/>
        <v>-225.50767536785673</v>
      </c>
      <c r="G68" s="69">
        <f t="shared" si="246"/>
        <v>-276.93638954602744</v>
      </c>
      <c r="H68" s="69">
        <f t="shared" si="246"/>
        <v>-319.64077171141298</v>
      </c>
      <c r="I68" s="69">
        <f t="shared" si="246"/>
        <v>-354.25272441634121</v>
      </c>
      <c r="J68" s="69">
        <f t="shared" si="246"/>
        <v>-381.40415021313999</v>
      </c>
      <c r="K68" s="69">
        <f t="shared" si="246"/>
        <v>-407.33253881188477</v>
      </c>
      <c r="L68" s="69">
        <f t="shared" si="246"/>
        <v>-433.24054345732867</v>
      </c>
      <c r="M68" s="69">
        <f t="shared" si="246"/>
        <v>-459.16893205607346</v>
      </c>
      <c r="N68" s="69">
        <f t="shared" si="246"/>
        <v>-485.37150706151732</v>
      </c>
      <c r="O68" s="69">
        <f t="shared" ref="O68" si="247">N68+O67</f>
        <v>-580.12203424163317</v>
      </c>
      <c r="P68" s="69">
        <f t="shared" ref="P68" si="248">O68+P67</f>
        <v>-674.56707544144808</v>
      </c>
      <c r="Q68" s="69">
        <f t="shared" ref="Q68" si="249">P68+Q67</f>
        <v>-768.7694913445639</v>
      </c>
      <c r="R68" s="69">
        <f t="shared" ref="R68" si="250">Q68+R67</f>
        <v>-862.70745071037879</v>
      </c>
      <c r="S68" s="69">
        <f t="shared" ref="S68" si="251">R68+S67</f>
        <v>-956.4406581114946</v>
      </c>
      <c r="T68" s="69">
        <f t="shared" ref="T68" si="252">S68+T67</f>
        <v>-1049.9446522148096</v>
      </c>
      <c r="U68" s="69">
        <f t="shared" ref="U68" si="253">T68+U67</f>
        <v>-1143.2765075004254</v>
      </c>
      <c r="V68" s="69">
        <f t="shared" ref="V68" si="254">U68+V67</f>
        <v>-1236.5564177227402</v>
      </c>
      <c r="W68" s="69">
        <f t="shared" ref="W68" si="255">V68+W67</f>
        <v>-1284.3795860655482</v>
      </c>
      <c r="X68" s="69">
        <f t="shared" ref="X68" si="256">W68+X67</f>
        <v>-1286.7266806125483</v>
      </c>
      <c r="Y68" s="69">
        <f t="shared" ref="Y68" si="257">X68+Y67</f>
        <v>-1289.0732491410483</v>
      </c>
      <c r="Z68" s="69">
        <f t="shared" ref="Z68" si="258">Y68+Z67</f>
        <v>-1291.4203436880484</v>
      </c>
      <c r="AA68" s="69">
        <f t="shared" ref="AA68" si="259">Z68+AA67</f>
        <v>-1293.7669122165485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19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1-11 Attachment 4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K64"/>
  <sheetViews>
    <sheetView tabSelected="1" zoomScaleNormal="100" zoomScaleSheetLayoutView="50" workbookViewId="0">
      <selection activeCell="B14" sqref="B14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19" t="s">
        <v>264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37" ht="14.25">
      <c r="A2" s="219" t="s">
        <v>13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247</v>
      </c>
      <c r="X4" s="96" t="s">
        <v>248</v>
      </c>
      <c r="Y4" s="96" t="s">
        <v>249</v>
      </c>
      <c r="Z4" s="96" t="s">
        <v>250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2029</v>
      </c>
      <c r="C5" s="95">
        <f>B5+1</f>
        <v>2030</v>
      </c>
      <c r="D5" s="95">
        <f t="shared" ref="D5:L5" si="0">C5+1</f>
        <v>2031</v>
      </c>
      <c r="E5" s="95">
        <f t="shared" si="0"/>
        <v>2032</v>
      </c>
      <c r="F5" s="95">
        <f t="shared" si="0"/>
        <v>2033</v>
      </c>
      <c r="G5" s="95">
        <f t="shared" si="0"/>
        <v>2034</v>
      </c>
      <c r="H5" s="95">
        <f t="shared" si="0"/>
        <v>2035</v>
      </c>
      <c r="I5" s="95">
        <f t="shared" si="0"/>
        <v>2036</v>
      </c>
      <c r="J5" s="95">
        <f t="shared" si="0"/>
        <v>2037</v>
      </c>
      <c r="K5" s="95">
        <f t="shared" si="0"/>
        <v>2038</v>
      </c>
      <c r="L5" s="95">
        <f t="shared" si="0"/>
        <v>2039</v>
      </c>
      <c r="M5" s="95">
        <f t="shared" ref="M5" si="1">L5+1</f>
        <v>2040</v>
      </c>
      <c r="N5" s="95">
        <f t="shared" ref="N5" si="2">M5+1</f>
        <v>2041</v>
      </c>
      <c r="O5" s="95">
        <f t="shared" ref="O5" si="3">N5+1</f>
        <v>2042</v>
      </c>
      <c r="P5" s="95">
        <f t="shared" ref="P5" si="4">O5+1</f>
        <v>2043</v>
      </c>
      <c r="Q5" s="95">
        <f t="shared" ref="Q5" si="5">P5+1</f>
        <v>2044</v>
      </c>
      <c r="R5" s="95">
        <f t="shared" ref="R5" si="6">Q5+1</f>
        <v>2045</v>
      </c>
      <c r="S5" s="95">
        <f t="shared" ref="S5" si="7">R5+1</f>
        <v>2046</v>
      </c>
      <c r="T5" s="95">
        <f t="shared" ref="T5" si="8">S5+1</f>
        <v>2047</v>
      </c>
      <c r="U5" s="95">
        <f t="shared" ref="U5" si="9">T5+1</f>
        <v>2048</v>
      </c>
      <c r="V5" s="95">
        <f t="shared" ref="V5" si="10">U5+1</f>
        <v>2049</v>
      </c>
      <c r="W5" s="95">
        <f t="shared" ref="W5" si="11">V5+1</f>
        <v>2050</v>
      </c>
      <c r="X5" s="95">
        <f t="shared" ref="X5" si="12">W5+1</f>
        <v>2051</v>
      </c>
      <c r="Y5" s="95">
        <f t="shared" ref="Y5" si="13">X5+1</f>
        <v>2052</v>
      </c>
      <c r="Z5" s="95">
        <f t="shared" ref="Z5" si="14">Y5+1</f>
        <v>2053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Input!B45</f>
        <v>0</v>
      </c>
      <c r="C6" s="3">
        <f>Input!C45</f>
        <v>0</v>
      </c>
      <c r="D6" s="3">
        <f>Input!D45</f>
        <v>0</v>
      </c>
      <c r="E6" s="3">
        <f>Input!E45</f>
        <v>0</v>
      </c>
      <c r="F6" s="3">
        <f>Input!F45</f>
        <v>0</v>
      </c>
      <c r="G6" s="3">
        <f>Input!G45</f>
        <v>0</v>
      </c>
      <c r="H6" s="3">
        <f>Input!H45</f>
        <v>0</v>
      </c>
      <c r="I6" s="3">
        <f>Input!I45</f>
        <v>0</v>
      </c>
      <c r="J6" s="3">
        <f>Input!J45</f>
        <v>0</v>
      </c>
      <c r="K6" s="3">
        <f>Input!K45</f>
        <v>0</v>
      </c>
      <c r="L6" s="3">
        <f>Input!L45</f>
        <v>0</v>
      </c>
      <c r="M6" s="3">
        <f>Input!M45</f>
        <v>0</v>
      </c>
      <c r="N6" s="3">
        <f>Input!N45</f>
        <v>0</v>
      </c>
      <c r="O6" s="3">
        <f>Input!O45</f>
        <v>0</v>
      </c>
      <c r="P6" s="3">
        <f>Input!P45</f>
        <v>0</v>
      </c>
      <c r="Q6" s="3">
        <f>Input!Q45</f>
        <v>0</v>
      </c>
      <c r="R6" s="3">
        <f>Input!R45</f>
        <v>0</v>
      </c>
      <c r="S6" s="3">
        <f>Input!S45</f>
        <v>0</v>
      </c>
      <c r="T6" s="3">
        <f>Input!T45</f>
        <v>0</v>
      </c>
      <c r="U6" s="3">
        <f>Input!U45</f>
        <v>0</v>
      </c>
      <c r="V6" s="3">
        <f>Input!V45</f>
        <v>0</v>
      </c>
      <c r="W6" s="3">
        <f>Input!W45</f>
        <v>0</v>
      </c>
      <c r="X6" s="3">
        <f>Input!X45</f>
        <v>0</v>
      </c>
      <c r="Y6" s="3">
        <f>Input!Y45</f>
        <v>0</v>
      </c>
      <c r="Z6" s="3">
        <f>Input!Z45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Input!B47</f>
        <v>108637.10373836674</v>
      </c>
      <c r="C7" s="3">
        <f>Input!C47</f>
        <v>103922.1905570196</v>
      </c>
      <c r="D7" s="3">
        <f>Input!D47</f>
        <v>99359.293129631784</v>
      </c>
      <c r="E7" s="3">
        <f>Input!E47</f>
        <v>94936.63163763081</v>
      </c>
      <c r="F7" s="3">
        <f>Input!F47</f>
        <v>90644.109093668798</v>
      </c>
      <c r="G7" s="3">
        <f>Input!G47</f>
        <v>86471.628510397961</v>
      </c>
      <c r="H7" s="3">
        <f>Input!H47</f>
        <v>82410.495259824238</v>
      </c>
      <c r="I7" s="3">
        <f>Input!I47</f>
        <v>78452.014713953715</v>
      </c>
      <c r="J7" s="3">
        <f>Input!J47</f>
        <v>74510.362480329597</v>
      </c>
      <c r="K7" s="3">
        <f>Input!K47</f>
        <v>70568.990718576257</v>
      </c>
      <c r="L7" s="3">
        <f>Input!L47</f>
        <v>66627.338484952139</v>
      </c>
      <c r="M7" s="3">
        <f>Input!M47</f>
        <v>65489.403598727607</v>
      </c>
      <c r="N7" s="3">
        <f>Input!N47</f>
        <v>0</v>
      </c>
      <c r="O7" s="3">
        <f>Input!O47</f>
        <v>0</v>
      </c>
      <c r="P7" s="3">
        <f>Input!P47</f>
        <v>0</v>
      </c>
      <c r="Q7" s="3">
        <f>Input!Q47</f>
        <v>0</v>
      </c>
      <c r="R7" s="3">
        <f>Input!R47</f>
        <v>0</v>
      </c>
      <c r="S7" s="3">
        <f>Input!S47</f>
        <v>0</v>
      </c>
      <c r="T7" s="3">
        <f>Input!T47</f>
        <v>0</v>
      </c>
      <c r="U7" s="3">
        <f>Input!U47</f>
        <v>0</v>
      </c>
      <c r="V7" s="3">
        <f>Input!V47</f>
        <v>0</v>
      </c>
      <c r="W7" s="3">
        <f>Input!W47</f>
        <v>0</v>
      </c>
      <c r="X7" s="3">
        <f>Input!X47</f>
        <v>0</v>
      </c>
      <c r="Y7" s="3">
        <f>Input!Y47</f>
        <v>0</v>
      </c>
      <c r="Z7" s="3">
        <f>Input!Z47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Input!B48</f>
        <v>0</v>
      </c>
      <c r="C9" s="3">
        <f>Input!C48</f>
        <v>0</v>
      </c>
      <c r="D9" s="3">
        <f>Input!D48</f>
        <v>0</v>
      </c>
      <c r="E9" s="3">
        <f>Input!E48</f>
        <v>0</v>
      </c>
      <c r="F9" s="3">
        <f>Input!F48</f>
        <v>0</v>
      </c>
      <c r="G9" s="3">
        <f>Input!G48</f>
        <v>0</v>
      </c>
      <c r="H9" s="3">
        <f>Input!H48</f>
        <v>0</v>
      </c>
      <c r="I9" s="3">
        <f>Input!I48</f>
        <v>0</v>
      </c>
      <c r="J9" s="3">
        <f>Input!J48</f>
        <v>0</v>
      </c>
      <c r="K9" s="3">
        <f>Input!K48</f>
        <v>0</v>
      </c>
      <c r="L9" s="3">
        <f>Input!L48</f>
        <v>0</v>
      </c>
      <c r="M9" s="3">
        <f>Input!M48</f>
        <v>0</v>
      </c>
      <c r="N9" s="3">
        <f>Input!N48</f>
        <v>0</v>
      </c>
      <c r="O9" s="3">
        <f>Input!O48</f>
        <v>0</v>
      </c>
      <c r="P9" s="3">
        <f>Input!P48</f>
        <v>0</v>
      </c>
      <c r="Q9" s="3">
        <f>Input!Q48</f>
        <v>0</v>
      </c>
      <c r="R9" s="3">
        <f>Input!R48</f>
        <v>0</v>
      </c>
      <c r="S9" s="3">
        <f>Input!S48</f>
        <v>0</v>
      </c>
      <c r="T9" s="3">
        <f>Input!T48</f>
        <v>0</v>
      </c>
      <c r="U9" s="3">
        <f>Input!U48</f>
        <v>0</v>
      </c>
      <c r="V9" s="3">
        <f>Input!V48</f>
        <v>0</v>
      </c>
      <c r="W9" s="3">
        <f>Input!W48</f>
        <v>0</v>
      </c>
      <c r="X9" s="3">
        <f>Input!X48</f>
        <v>0</v>
      </c>
      <c r="Y9" s="3">
        <f>Input!Y48</f>
        <v>0</v>
      </c>
      <c r="Z9" s="3">
        <f>Input!Z48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Input!A49</f>
        <v>WV B&amp;O Tax</v>
      </c>
      <c r="B10" s="3">
        <f>Input!B49</f>
        <v>0</v>
      </c>
      <c r="C10" s="3">
        <f>Input!C49</f>
        <v>0</v>
      </c>
      <c r="D10" s="3">
        <f>Input!D49</f>
        <v>0</v>
      </c>
      <c r="E10" s="3">
        <f>Input!E49</f>
        <v>0</v>
      </c>
      <c r="F10" s="3">
        <f>Input!F49</f>
        <v>0</v>
      </c>
      <c r="G10" s="3">
        <f>Input!G49</f>
        <v>0</v>
      </c>
      <c r="H10" s="3">
        <f>Input!H49</f>
        <v>0</v>
      </c>
      <c r="I10" s="3">
        <f>Input!I49</f>
        <v>0</v>
      </c>
      <c r="J10" s="3">
        <f>Input!J49</f>
        <v>0</v>
      </c>
      <c r="K10" s="3">
        <f>Input!K49</f>
        <v>0</v>
      </c>
      <c r="L10" s="3">
        <f>Input!L49</f>
        <v>0</v>
      </c>
      <c r="M10" s="3">
        <f>Input!M49</f>
        <v>0</v>
      </c>
      <c r="N10" s="3">
        <f>Input!N49</f>
        <v>0</v>
      </c>
      <c r="O10" s="3">
        <f>Input!O49</f>
        <v>0</v>
      </c>
      <c r="P10" s="3">
        <f>Input!P49</f>
        <v>0</v>
      </c>
      <c r="Q10" s="3">
        <f>Input!Q49</f>
        <v>0</v>
      </c>
      <c r="R10" s="3">
        <f>Input!R49</f>
        <v>0</v>
      </c>
      <c r="S10" s="3">
        <f>Input!S49</f>
        <v>0</v>
      </c>
      <c r="T10" s="3">
        <f>Input!T49</f>
        <v>0</v>
      </c>
      <c r="U10" s="3">
        <f>Input!U49</f>
        <v>0</v>
      </c>
      <c r="V10" s="3">
        <f>Input!V49</f>
        <v>0</v>
      </c>
      <c r="W10" s="3">
        <f>Input!W49</f>
        <v>0</v>
      </c>
      <c r="X10" s="3">
        <f>Input!X49</f>
        <v>0</v>
      </c>
      <c r="Y10" s="3">
        <f>Input!Y49</f>
        <v>0</v>
      </c>
      <c r="Z10" s="3">
        <f>Input!Z49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Input!B50</f>
        <v>0</v>
      </c>
      <c r="C11" s="3">
        <f>Input!C50</f>
        <v>0</v>
      </c>
      <c r="D11" s="3">
        <f>Input!D50</f>
        <v>0</v>
      </c>
      <c r="E11" s="3">
        <f>Input!E50</f>
        <v>0</v>
      </c>
      <c r="F11" s="3">
        <f>Input!F50</f>
        <v>0</v>
      </c>
      <c r="G11" s="3">
        <f>Input!G50</f>
        <v>0</v>
      </c>
      <c r="H11" s="3">
        <f>Input!H50</f>
        <v>0</v>
      </c>
      <c r="I11" s="3">
        <f>Input!I50</f>
        <v>0</v>
      </c>
      <c r="J11" s="3">
        <f>Input!J50</f>
        <v>0</v>
      </c>
      <c r="K11" s="3">
        <f>Input!K50</f>
        <v>0</v>
      </c>
      <c r="L11" s="3">
        <f>Input!L50</f>
        <v>0</v>
      </c>
      <c r="M11" s="3">
        <f>Input!M50</f>
        <v>0</v>
      </c>
      <c r="N11" s="3">
        <f>Input!N50</f>
        <v>0</v>
      </c>
      <c r="O11" s="3">
        <f>Input!O50</f>
        <v>0</v>
      </c>
      <c r="P11" s="3">
        <f>Input!P50</f>
        <v>0</v>
      </c>
      <c r="Q11" s="3">
        <f>Input!Q50</f>
        <v>0</v>
      </c>
      <c r="R11" s="3">
        <f>Input!R50</f>
        <v>0</v>
      </c>
      <c r="S11" s="3">
        <f>Input!S50</f>
        <v>0</v>
      </c>
      <c r="T11" s="3">
        <f>Input!T50</f>
        <v>0</v>
      </c>
      <c r="U11" s="3">
        <f>Input!U50</f>
        <v>0</v>
      </c>
      <c r="V11" s="3">
        <f>Input!V50</f>
        <v>0</v>
      </c>
      <c r="W11" s="3">
        <f>Input!W50</f>
        <v>0</v>
      </c>
      <c r="X11" s="3">
        <f>Input!X50</f>
        <v>0</v>
      </c>
      <c r="Y11" s="3">
        <f>Input!Y50</f>
        <v>0</v>
      </c>
      <c r="Z11" s="3">
        <f>Input!Z50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Input!B51</f>
        <v>0</v>
      </c>
      <c r="C12" s="3">
        <f>Input!C51</f>
        <v>0</v>
      </c>
      <c r="D12" s="3">
        <f>Input!D51</f>
        <v>0</v>
      </c>
      <c r="E12" s="3">
        <f>Input!E51</f>
        <v>0</v>
      </c>
      <c r="F12" s="3">
        <f>Input!F51</f>
        <v>0</v>
      </c>
      <c r="G12" s="3">
        <f>Input!G51</f>
        <v>0</v>
      </c>
      <c r="H12" s="3">
        <f>Input!H51</f>
        <v>0</v>
      </c>
      <c r="I12" s="3">
        <f>Input!I51</f>
        <v>0</v>
      </c>
      <c r="J12" s="3">
        <f>Input!J51</f>
        <v>0</v>
      </c>
      <c r="K12" s="3">
        <f>Input!K51</f>
        <v>0</v>
      </c>
      <c r="L12" s="3">
        <f>Input!L51</f>
        <v>0</v>
      </c>
      <c r="M12" s="3">
        <f>Input!M51</f>
        <v>0</v>
      </c>
      <c r="N12" s="3">
        <f>Input!N51</f>
        <v>0</v>
      </c>
      <c r="O12" s="3">
        <f>Input!O51</f>
        <v>0</v>
      </c>
      <c r="P12" s="3">
        <f>Input!P51</f>
        <v>0</v>
      </c>
      <c r="Q12" s="3">
        <f>Input!Q51</f>
        <v>0</v>
      </c>
      <c r="R12" s="3">
        <f>Input!R51</f>
        <v>0</v>
      </c>
      <c r="S12" s="3">
        <f>Input!S51</f>
        <v>0</v>
      </c>
      <c r="T12" s="3">
        <f>Input!T51</f>
        <v>0</v>
      </c>
      <c r="U12" s="3">
        <f>Input!U51</f>
        <v>0</v>
      </c>
      <c r="V12" s="3">
        <f>Input!V51</f>
        <v>0</v>
      </c>
      <c r="W12" s="3">
        <f>Input!W51</f>
        <v>0</v>
      </c>
      <c r="X12" s="3">
        <f>Input!X51</f>
        <v>0</v>
      </c>
      <c r="Y12" s="3">
        <f>Input!Y51</f>
        <v>0</v>
      </c>
      <c r="Z12" s="3">
        <f>Input!Z51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108637.10373836674</v>
      </c>
      <c r="C13" s="54">
        <f>SUM(C6:C12)</f>
        <v>103922.1905570196</v>
      </c>
      <c r="D13" s="54">
        <f>SUM(D6:D12)</f>
        <v>99359.293129631784</v>
      </c>
      <c r="E13" s="54">
        <f>SUM(E6:E12)</f>
        <v>94936.63163763081</v>
      </c>
      <c r="F13" s="54">
        <f>SUM(F6:F12)</f>
        <v>90644.109093668798</v>
      </c>
      <c r="G13" s="54">
        <f t="shared" ref="G13:L13" si="15">SUM(G6:G12)</f>
        <v>86471.628510397961</v>
      </c>
      <c r="H13" s="54">
        <f t="shared" si="15"/>
        <v>82410.495259824238</v>
      </c>
      <c r="I13" s="54">
        <f t="shared" si="15"/>
        <v>78452.014713953715</v>
      </c>
      <c r="J13" s="54">
        <f t="shared" si="15"/>
        <v>74510.362480329597</v>
      </c>
      <c r="K13" s="54">
        <f t="shared" si="15"/>
        <v>70568.990718576257</v>
      </c>
      <c r="L13" s="54">
        <f t="shared" si="15"/>
        <v>66627.338484952139</v>
      </c>
      <c r="M13" s="54">
        <f t="shared" ref="M13" si="16">SUM(M6:M12)</f>
        <v>65489.403598727607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6180848.2999999998</v>
      </c>
      <c r="C14" s="3">
        <f>'Rate Base - coal'!D19*1000</f>
        <v>6180848.2999999998</v>
      </c>
      <c r="D14" s="3">
        <f>'Rate Base - coal'!E19*1000</f>
        <v>6180848.2999999998</v>
      </c>
      <c r="E14" s="3">
        <f>'Rate Base - coal'!F19*1000</f>
        <v>6180848.2999999998</v>
      </c>
      <c r="F14" s="3">
        <f>'Rate Base - coal'!G19*1000</f>
        <v>6180848.2999999998</v>
      </c>
      <c r="G14" s="3">
        <f>'Rate Base - coal'!H19*1000</f>
        <v>6180848.2999999998</v>
      </c>
      <c r="H14" s="3">
        <f>'Rate Base - coal'!I19*1000</f>
        <v>6180848.2999999998</v>
      </c>
      <c r="I14" s="3">
        <f>'Rate Base - coal'!J19*1000</f>
        <v>6180848.2999999998</v>
      </c>
      <c r="J14" s="3">
        <f>'Rate Base - coal'!K19*1000</f>
        <v>6180848.2999999998</v>
      </c>
      <c r="K14" s="3">
        <f>'Rate Base - coal'!L19*1000</f>
        <v>6180848.2999999998</v>
      </c>
      <c r="L14" s="3">
        <f>'Rate Base - coal'!M19*1000</f>
        <v>6180848.2999999998</v>
      </c>
      <c r="M14" s="3">
        <f>'Rate Base - coal'!N19*1000</f>
        <v>6340348.2999999998</v>
      </c>
      <c r="N14" s="3">
        <f>'Rate Base - coal'!O19*1000</f>
        <v>0</v>
      </c>
      <c r="O14" s="3">
        <f>'Rate Base - coal'!P19*1000</f>
        <v>0</v>
      </c>
      <c r="P14" s="3">
        <f>'Rate Base - coal'!Q19*1000</f>
        <v>0</v>
      </c>
      <c r="Q14" s="3">
        <f>'Rate Base - coal'!R19*1000</f>
        <v>0</v>
      </c>
      <c r="R14" s="3">
        <f>'Rate Base - coal'!S19*1000</f>
        <v>0</v>
      </c>
      <c r="S14" s="3">
        <f>'Rate Base - coal'!T19*1000</f>
        <v>0</v>
      </c>
      <c r="T14" s="3">
        <f>'Rate Base - coal'!U19*1000</f>
        <v>0</v>
      </c>
      <c r="U14" s="3">
        <f>'Rate Base - coal'!V19*1000</f>
        <v>0</v>
      </c>
      <c r="V14" s="3">
        <f>'Rate Base - coal'!W19*1000</f>
        <v>0</v>
      </c>
      <c r="W14" s="3">
        <f>'Rate Base - coal'!X19*1000</f>
        <v>0</v>
      </c>
      <c r="X14" s="3">
        <f>'Rate Base - coal'!Y19*1000</f>
        <v>0</v>
      </c>
      <c r="Y14" s="3">
        <f>'Rate Base - coal'!Z19*1000</f>
        <v>0</v>
      </c>
      <c r="Z14" s="3">
        <f>'Rate Base - coal'!AA19*1000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-646942.90929327998</v>
      </c>
      <c r="C15" s="3">
        <f>SIT!E20</f>
        <v>-971386.4823124602</v>
      </c>
      <c r="D15" s="3">
        <f>SIT!F20</f>
        <v>-906892.470085882</v>
      </c>
      <c r="E15" s="3">
        <f>SIT!G20</f>
        <v>-846840.49095622869</v>
      </c>
      <c r="F15" s="3">
        <f>SIT!H20</f>
        <v>-790621.84880231461</v>
      </c>
      <c r="G15" s="3">
        <f>SIT!I20</f>
        <v>-738210.24616869446</v>
      </c>
      <c r="H15" s="3">
        <f>SIT!J20</f>
        <v>-689097.70580283948</v>
      </c>
      <c r="I15" s="3">
        <f>SIT!K20</f>
        <v>-643261.58267367212</v>
      </c>
      <c r="J15" s="3">
        <f>SIT!L20</f>
        <v>-627171.62058965419</v>
      </c>
      <c r="K15" s="3">
        <f>SIT!M20</f>
        <v>-616809.30920361937</v>
      </c>
      <c r="L15" s="3">
        <f>SIT!N20</f>
        <v>-606640.40022129146</v>
      </c>
      <c r="M15" s="3">
        <f>SIT!O20</f>
        <v>-612972.78655697219</v>
      </c>
      <c r="N15" s="3">
        <f>SIT!P20</f>
        <v>-615148.16162518924</v>
      </c>
      <c r="O15" s="3">
        <f>SIT!Q20</f>
        <v>-610374.01001168357</v>
      </c>
      <c r="P15" s="3">
        <f>SIT!R20</f>
        <v>-605907.7225293424</v>
      </c>
      <c r="Q15" s="3">
        <f>SIT!S20</f>
        <v>-601346.77160283469</v>
      </c>
      <c r="R15" s="3">
        <f>SIT!T20</f>
        <v>-597077.32457485283</v>
      </c>
      <c r="S15" s="3">
        <f>SIT!U20</f>
        <v>-592699.45115983183</v>
      </c>
      <c r="T15" s="3">
        <f>SIT!V20</f>
        <v>-588599.41114023095</v>
      </c>
      <c r="U15" s="3">
        <f>SIT!W20</f>
        <v>-585073.5480433231</v>
      </c>
      <c r="V15" s="3">
        <f>SIT!X20</f>
        <v>-366932.0332473797</v>
      </c>
      <c r="W15" s="3">
        <f>SIT!Y20</f>
        <v>-150296.80763868793</v>
      </c>
      <c r="X15" s="3">
        <f>SIT!Z20</f>
        <v>-150211.82802893943</v>
      </c>
      <c r="Y15" s="3">
        <f>SIT!AA20</f>
        <v>-150131.8396312377</v>
      </c>
      <c r="Z15" s="3">
        <f>SIT!AB20</f>
        <v>-150046.86002148926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54357.208802400011</v>
      </c>
      <c r="C16" s="3">
        <f>('Rate Base - coal'!D65)*1000</f>
        <v>391080.70404441003</v>
      </c>
      <c r="D16" s="3">
        <f>('Rate Base - coal'!E65)*1000</f>
        <v>338470.69123922999</v>
      </c>
      <c r="E16" s="3">
        <f>('Rate Base - coal'!F65)*1000</f>
        <v>289937.46909423004</v>
      </c>
      <c r="F16" s="3">
        <f>('Rate Base - coal'!G65)*1000</f>
        <v>244898.63894367003</v>
      </c>
      <c r="G16" s="3">
        <f>('Rate Base - coal'!H65)*1000</f>
        <v>203354.20078755004</v>
      </c>
      <c r="H16" s="3">
        <f>('Rate Base - coal'!I65)*1000</f>
        <v>164818.82240442003</v>
      </c>
      <c r="I16" s="3">
        <f>('Rate Base - coal'!J65)*1000</f>
        <v>129292.50379428001</v>
      </c>
      <c r="J16" s="3">
        <f>('Rate Base - coal'!K65)*1000</f>
        <v>123468.51713688004</v>
      </c>
      <c r="K16" s="3">
        <f>('Rate Base - coal'!L65)*1000</f>
        <v>123371.45069258995</v>
      </c>
      <c r="L16" s="3">
        <f>('Rate Base - coal'!M65)*1000</f>
        <v>123468.51713688004</v>
      </c>
      <c r="M16" s="3">
        <f>('Rate Base - coal'!N65)*1000</f>
        <v>124774.16669258995</v>
      </c>
      <c r="N16" s="3">
        <f>('Rate Base - coal'!O65)*1000</f>
        <v>451192.98657198012</v>
      </c>
      <c r="O16" s="3">
        <f>('Rate Base - coal'!P65)*1000</f>
        <v>449738.29142768995</v>
      </c>
      <c r="P16" s="3">
        <f>('Rate Base - coal'!Q65)*1000</f>
        <v>448582.93287198007</v>
      </c>
      <c r="Q16" s="3">
        <f>('Rate Base - coal'!R65)*1000</f>
        <v>447323.61602768995</v>
      </c>
      <c r="R16" s="3">
        <f>('Rate Base - coal'!S65)*1000</f>
        <v>446348.60667198006</v>
      </c>
      <c r="S16" s="3">
        <f>('Rate Base - coal'!T65)*1000</f>
        <v>445257.11477768992</v>
      </c>
      <c r="T16" s="3">
        <f>('Rate Base - coal'!U65)*1000</f>
        <v>444437.40612198005</v>
      </c>
      <c r="U16" s="3">
        <f>('Rate Base - coal'!V65)*1000</f>
        <v>444190.04867768998</v>
      </c>
      <c r="V16" s="3">
        <f>('Rate Base - coal'!W65)*1000</f>
        <v>227729.37306099004</v>
      </c>
      <c r="W16" s="3">
        <f>('Rate Base - coal'!X65)*1000</f>
        <v>11176.6407</v>
      </c>
      <c r="X16" s="3">
        <f>('Rate Base - coal'!Y65)*1000</f>
        <v>11174.135849999999</v>
      </c>
      <c r="Y16" s="3">
        <f>('Rate Base - coal'!Z65)*1000</f>
        <v>11176.6407</v>
      </c>
      <c r="Z16" s="3">
        <f>('Rate Base - coal'!AA65)*1000</f>
        <v>11174.135849999999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-2576041.1237588488</v>
      </c>
      <c r="C17" s="3">
        <f>FIT!E25</f>
        <v>-3867932.5324608479</v>
      </c>
      <c r="D17" s="3">
        <f>FIT!F25</f>
        <v>-3611125.9033977641</v>
      </c>
      <c r="E17" s="3">
        <f>FIT!G25</f>
        <v>-3372006.8627855326</v>
      </c>
      <c r="F17" s="3">
        <f>FIT!H25</f>
        <v>-3148151.6631535157</v>
      </c>
      <c r="G17" s="3">
        <f>FIT!I25</f>
        <v>-2939455.5915112696</v>
      </c>
      <c r="H17" s="3">
        <f>FIT!J25</f>
        <v>-2743895.9496057504</v>
      </c>
      <c r="I17" s="3">
        <f>FIT!K25</f>
        <v>-2561382.5679174103</v>
      </c>
      <c r="J17" s="3">
        <f>FIT!L25</f>
        <v>-2497314.4663697341</v>
      </c>
      <c r="K17" s="3">
        <f>FIT!M25</f>
        <v>-2456053.1125714835</v>
      </c>
      <c r="L17" s="3">
        <f>FIT!N25</f>
        <v>-2415561.8615724519</v>
      </c>
      <c r="M17" s="3">
        <f>FIT!O25</f>
        <v>-2440776.5866709338</v>
      </c>
      <c r="N17" s="3">
        <f>FIT!P25</f>
        <v>-2449438.6425568983</v>
      </c>
      <c r="O17" s="3">
        <f>FIT!Q25</f>
        <v>-2430428.6020868896</v>
      </c>
      <c r="P17" s="3">
        <f>FIT!R25</f>
        <v>-2412644.4358803099</v>
      </c>
      <c r="Q17" s="3">
        <f>FIT!S25</f>
        <v>-2394483.3323557894</v>
      </c>
      <c r="R17" s="3">
        <f>FIT!T25</f>
        <v>-2377482.958811536</v>
      </c>
      <c r="S17" s="3">
        <f>FIT!U25</f>
        <v>-2360050.8457306083</v>
      </c>
      <c r="T17" s="3">
        <f>FIT!V25</f>
        <v>-2343725.0284941439</v>
      </c>
      <c r="U17" s="3">
        <f>FIT!W25</f>
        <v>-2329685.5078441687</v>
      </c>
      <c r="V17" s="3">
        <f>FIT!X25</f>
        <v>-1461074.8393583447</v>
      </c>
      <c r="W17" s="3">
        <f>FIT!Y25</f>
        <v>-598462.01524934894</v>
      </c>
      <c r="X17" s="3">
        <f>FIT!Z25</f>
        <v>-598123.63767963089</v>
      </c>
      <c r="Y17" s="3">
        <f>FIT!AA25</f>
        <v>-597805.13445632742</v>
      </c>
      <c r="Z17" s="3">
        <f>FIT!AB25</f>
        <v>-597466.75688660925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216443.21815149602</v>
      </c>
      <c r="C18" s="3">
        <f>('Rate Base - coal'!D63+'Rate Base - coal'!D67)*1000</f>
        <v>1557231.6534506737</v>
      </c>
      <c r="D18" s="3">
        <f>('Rate Base - coal'!E63+'Rate Base - coal'!E67)*1000</f>
        <v>1347745.5387397618</v>
      </c>
      <c r="E18" s="3">
        <f>('Rate Base - coal'!F63+'Rate Base - coal'!F67)*1000</f>
        <v>1154492.6653902119</v>
      </c>
      <c r="F18" s="3">
        <f>('Rate Base - coal'!G63+'Rate Base - coal'!G67)*1000</f>
        <v>975153.99892182939</v>
      </c>
      <c r="G18" s="3">
        <f>('Rate Base - coal'!H63+'Rate Base - coal'!H67)*1000</f>
        <v>809729.53933461464</v>
      </c>
      <c r="H18" s="3">
        <f>('Rate Base - coal'!I63+'Rate Base - coal'!I67)*1000</f>
        <v>656286.75789507187</v>
      </c>
      <c r="I18" s="3">
        <f>('Rate Base - coal'!J63+'Rate Base - coal'!J67)*1000</f>
        <v>514825.6546032012</v>
      </c>
      <c r="J18" s="3">
        <f>('Rate Base - coal'!K63+'Rate Base - coal'!K67)*1000</f>
        <v>491635.30980125535</v>
      </c>
      <c r="K18" s="3">
        <f>('Rate Base - coal'!L63+'Rate Base - coal'!L67)*1000</f>
        <v>491248.80405455583</v>
      </c>
      <c r="L18" s="3">
        <f>('Rate Base - coal'!M63+'Rate Base - coal'!M67)*1000</f>
        <v>491635.30980125535</v>
      </c>
      <c r="M18" s="3">
        <f>('Rate Base - coal'!N63+'Rate Base - coal'!N67)*1000</f>
        <v>496834.23369455582</v>
      </c>
      <c r="N18" s="3">
        <f>('Rate Base - coal'!O63+'Rate Base - coal'!O67)*1000</f>
        <v>1796590.8142198843</v>
      </c>
      <c r="O18" s="3">
        <f>('Rate Base - coal'!P63+'Rate Base - coal'!P67)*1000</f>
        <v>1790798.4105001849</v>
      </c>
      <c r="P18" s="3">
        <f>('Rate Base - coal'!Q63+'Rate Base - coal'!Q67)*1000</f>
        <v>1786197.9254968844</v>
      </c>
      <c r="Q18" s="3">
        <f>('Rate Base - coal'!R63+'Rate Base - coal'!R67)*1000</f>
        <v>1781183.4923341849</v>
      </c>
      <c r="R18" s="3">
        <f>('Rate Base - coal'!S63+'Rate Base - coal'!S67)*1000</f>
        <v>1777301.1339988841</v>
      </c>
      <c r="S18" s="3">
        <f>('Rate Base - coal'!T63+'Rate Base - coal'!T67)*1000</f>
        <v>1772954.9575966846</v>
      </c>
      <c r="T18" s="3">
        <f>('Rate Base - coal'!U63+'Rate Base - coal'!U67)*1000</f>
        <v>1769690.9861143844</v>
      </c>
      <c r="U18" s="3">
        <f>('Rate Base - coal'!V63+'Rate Base - coal'!V67)*1000</f>
        <v>1768706.0414776849</v>
      </c>
      <c r="V18" s="3">
        <f>('Rate Base - coal'!W63+'Rate Base - coal'!W67)*1000</f>
        <v>906788.25235719222</v>
      </c>
      <c r="W18" s="3">
        <f>('Rate Base - coal'!X63+'Rate Base - coal'!X67)*1000</f>
        <v>44503.905452999999</v>
      </c>
      <c r="X18" s="3">
        <f>('Rate Base - coal'!Y63+'Rate Base - coal'!Y67)*1000</f>
        <v>44493.931471499993</v>
      </c>
      <c r="Y18" s="3">
        <f>('Rate Base - coal'!Z63+'Rate Base - coal'!Z67)*1000</f>
        <v>44503.905452999999</v>
      </c>
      <c r="Z18" s="3">
        <f>('Rate Base - coal'!AA63+'Rate Base - coal'!AA67)*1000</f>
        <v>44493.931471499993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3337301.7976401336</v>
      </c>
      <c r="C19" s="22">
        <f>SUM(C13:C18)</f>
        <v>3393763.8332787948</v>
      </c>
      <c r="D19" s="22">
        <f>SUM(D13:D18)</f>
        <v>3448405.4496249775</v>
      </c>
      <c r="E19" s="22">
        <f>SUM(E13:E18)</f>
        <v>3501367.7123803105</v>
      </c>
      <c r="F19" s="22">
        <f>SUM(F13:F18)</f>
        <v>3552771.5350033375</v>
      </c>
      <c r="G19" s="22">
        <f t="shared" ref="G19:L19" si="18">SUM(G13:G18)</f>
        <v>3602737.8309525982</v>
      </c>
      <c r="H19" s="22">
        <f t="shared" si="18"/>
        <v>3651370.7201507264</v>
      </c>
      <c r="I19" s="22">
        <f t="shared" si="18"/>
        <v>3698774.322520351</v>
      </c>
      <c r="J19" s="22">
        <f t="shared" si="18"/>
        <v>3745976.4024590766</v>
      </c>
      <c r="K19" s="22">
        <f t="shared" si="18"/>
        <v>3793175.1236906196</v>
      </c>
      <c r="L19" s="22">
        <f t="shared" si="18"/>
        <v>3840377.2036293447</v>
      </c>
      <c r="M19" s="22">
        <f t="shared" ref="M19:Z19" si="19">SUM(M13:M18)</f>
        <v>3973696.7307579676</v>
      </c>
      <c r="N19" s="22">
        <f t="shared" si="19"/>
        <v>-816803.00339022302</v>
      </c>
      <c r="O19" s="22">
        <f t="shared" si="19"/>
        <v>-800265.91017069831</v>
      </c>
      <c r="P19" s="22">
        <f t="shared" si="19"/>
        <v>-783771.30004078778</v>
      </c>
      <c r="Q19" s="22">
        <f t="shared" si="19"/>
        <v>-767322.99559674901</v>
      </c>
      <c r="R19" s="22">
        <f t="shared" si="19"/>
        <v>-750910.54271552456</v>
      </c>
      <c r="S19" s="22">
        <f t="shared" si="19"/>
        <v>-734538.22451606556</v>
      </c>
      <c r="T19" s="22">
        <f t="shared" si="19"/>
        <v>-718196.0473980105</v>
      </c>
      <c r="U19" s="22">
        <f t="shared" si="19"/>
        <v>-701862.96573211718</v>
      </c>
      <c r="V19" s="22">
        <f t="shared" si="19"/>
        <v>-693489.24718754215</v>
      </c>
      <c r="W19" s="22">
        <f t="shared" si="19"/>
        <v>-693078.27673503687</v>
      </c>
      <c r="X19" s="22">
        <f t="shared" si="19"/>
        <v>-692667.3983870704</v>
      </c>
      <c r="Y19" s="22">
        <f t="shared" si="19"/>
        <v>-692256.42793456512</v>
      </c>
      <c r="Z19" s="22">
        <f t="shared" si="19"/>
        <v>-691845.54958659853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7.4090912000000009E-2</v>
      </c>
      <c r="C21" s="53">
        <f t="shared" si="20"/>
        <v>7.4090912000000009E-2</v>
      </c>
      <c r="D21" s="53">
        <f t="shared" si="20"/>
        <v>7.4090912000000009E-2</v>
      </c>
      <c r="E21" s="53">
        <f t="shared" si="20"/>
        <v>7.4090912000000009E-2</v>
      </c>
      <c r="F21" s="53">
        <f t="shared" si="20"/>
        <v>7.4090912000000009E-2</v>
      </c>
      <c r="G21" s="53">
        <f t="shared" si="20"/>
        <v>7.4090912000000009E-2</v>
      </c>
      <c r="H21" s="53">
        <f t="shared" si="20"/>
        <v>7.4090912000000009E-2</v>
      </c>
      <c r="I21" s="53">
        <f t="shared" si="20"/>
        <v>7.4090912000000009E-2</v>
      </c>
      <c r="J21" s="53">
        <f t="shared" si="20"/>
        <v>7.4090912000000009E-2</v>
      </c>
      <c r="K21" s="53">
        <f t="shared" si="20"/>
        <v>7.4090912000000009E-2</v>
      </c>
      <c r="L21" s="53">
        <f t="shared" si="20"/>
        <v>7.4090912000000009E-2</v>
      </c>
      <c r="M21" s="53">
        <f t="shared" si="20"/>
        <v>7.4090912000000009E-2</v>
      </c>
      <c r="N21" s="53">
        <f t="shared" si="20"/>
        <v>7.4090912000000009E-2</v>
      </c>
      <c r="O21" s="53">
        <f t="shared" si="20"/>
        <v>7.4090912000000009E-2</v>
      </c>
      <c r="P21" s="53">
        <f t="shared" si="20"/>
        <v>7.4090912000000009E-2</v>
      </c>
      <c r="Q21" s="53">
        <f t="shared" si="20"/>
        <v>7.4090912000000009E-2</v>
      </c>
      <c r="R21" s="53">
        <f t="shared" si="20"/>
        <v>7.4090912000000009E-2</v>
      </c>
      <c r="S21" s="53">
        <f t="shared" si="20"/>
        <v>7.4090912000000009E-2</v>
      </c>
      <c r="T21" s="53">
        <f t="shared" si="20"/>
        <v>7.4090912000000009E-2</v>
      </c>
      <c r="U21" s="53">
        <f t="shared" si="20"/>
        <v>7.4090912000000009E-2</v>
      </c>
      <c r="V21" s="53">
        <f t="shared" si="20"/>
        <v>7.4090912000000009E-2</v>
      </c>
      <c r="W21" s="53">
        <f t="shared" si="20"/>
        <v>7.4090912000000009E-2</v>
      </c>
      <c r="X21" s="53">
        <f t="shared" si="20"/>
        <v>7.4090912000000009E-2</v>
      </c>
      <c r="Y21" s="53">
        <f t="shared" si="20"/>
        <v>7.4090912000000009E-2</v>
      </c>
      <c r="Z21" s="53">
        <f t="shared" si="20"/>
        <v>7.4090912000000009E-2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187305351.27304611</v>
      </c>
      <c r="C23" s="7">
        <f>('Rate Base - coal'!D16)*1000</f>
        <v>179176190.61555102</v>
      </c>
      <c r="D23" s="7">
        <f>('Rate Base - coal'!E16)*1000</f>
        <v>171309126.08557203</v>
      </c>
      <c r="E23" s="7">
        <f>('Rate Base - coal'!F16)*1000</f>
        <v>163683847.65108758</v>
      </c>
      <c r="F23" s="7">
        <f>('Rate Base - coal'!G16)*1000</f>
        <v>156282946.71322209</v>
      </c>
      <c r="G23" s="7">
        <f>('Rate Base - coal'!H16)*1000</f>
        <v>149089014.67309994</v>
      </c>
      <c r="H23" s="7">
        <f>('Rate Base - coal'!I16)*1000</f>
        <v>142087060.79280043</v>
      </c>
      <c r="I23" s="7">
        <f>('Rate Base - coal'!J16)*1000</f>
        <v>135262094.33440298</v>
      </c>
      <c r="J23" s="7">
        <f>('Rate Base - coal'!K16)*1000</f>
        <v>128466142.20746481</v>
      </c>
      <c r="K23" s="7">
        <f>('Rate Base - coal'!L16)*1000</f>
        <v>121670673.65271768</v>
      </c>
      <c r="L23" s="7">
        <f>('Rate Base - coal'!M16)*1000</f>
        <v>114874721.52577955</v>
      </c>
      <c r="M23" s="7">
        <f>('Rate Base - coal'!N16)*1000</f>
        <v>112912764.82539241</v>
      </c>
      <c r="N23" s="7">
        <f>('Rate Base - coal'!O16)*1000</f>
        <v>110664981.02460054</v>
      </c>
      <c r="O23" s="7">
        <f>('Rate Base - coal'!P16)*1000</f>
        <v>108424444.32267267</v>
      </c>
      <c r="P23" s="7">
        <f>('Rate Base - coal'!Q16)*1000</f>
        <v>106189663.46430379</v>
      </c>
      <c r="Q23" s="7">
        <f>('Rate Base - coal'!R16)*1000</f>
        <v>103961156.35594194</v>
      </c>
      <c r="R23" s="7">
        <f>('Rate Base - coal'!S16)*1000</f>
        <v>101737506.61527105</v>
      </c>
      <c r="S23" s="7">
        <f>('Rate Base - coal'!T16)*1000</f>
        <v>99519294.542896673</v>
      </c>
      <c r="T23" s="7">
        <f>('Rate Base - coal'!U16)*1000</f>
        <v>97305166.150660306</v>
      </c>
      <c r="U23" s="7">
        <f>('Rate Base - coal'!V16)*1000</f>
        <v>95092270.060504943</v>
      </c>
      <c r="V23" s="7">
        <f>('Rate Base - coal'!W16)*1000</f>
        <v>93957752.435086757</v>
      </c>
      <c r="W23" s="7">
        <f>('Rate Base - coal'!X16)*1000</f>
        <v>93902071.888933763</v>
      </c>
      <c r="X23" s="7">
        <f>('Rate Base - coal'!Y16)*1000</f>
        <v>93846403.821612254</v>
      </c>
      <c r="Y23" s="7">
        <f>('Rate Base - coal'!Z16)*1000</f>
        <v>93790723.275459275</v>
      </c>
      <c r="Z23" s="7">
        <f>('Rate Base - coal'!AA16)*1000</f>
        <v>93735055.208137766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13877624.298300348</v>
      </c>
      <c r="C24" s="7">
        <f>C23*C21</f>
        <v>13275327.371392019</v>
      </c>
      <c r="D24" s="7">
        <f>D23*D21</f>
        <v>12692449.385603024</v>
      </c>
      <c r="E24" s="7">
        <f>E23*E21</f>
        <v>12127485.552138139</v>
      </c>
      <c r="F24" s="7">
        <f>F23*F21</f>
        <v>11579146.052030029</v>
      </c>
      <c r="G24" s="7">
        <f t="shared" ref="G24:L24" si="21">G23*G21</f>
        <v>11046141.066311358</v>
      </c>
      <c r="H24" s="7">
        <f t="shared" si="21"/>
        <v>10527359.917538028</v>
      </c>
      <c r="I24" s="7">
        <f t="shared" si="21"/>
        <v>10021691.928265952</v>
      </c>
      <c r="J24" s="7">
        <f t="shared" si="21"/>
        <v>9518173.6372727621</v>
      </c>
      <c r="K24" s="7">
        <f t="shared" si="21"/>
        <v>9014691.1745842248</v>
      </c>
      <c r="L24" s="7">
        <f t="shared" si="21"/>
        <v>8511172.8835910391</v>
      </c>
      <c r="M24" s="7">
        <f t="shared" ref="M24:Z24" si="22">M23*M21</f>
        <v>8365809.7223548451</v>
      </c>
      <c r="N24" s="7">
        <f t="shared" si="22"/>
        <v>8199269.3705753488</v>
      </c>
      <c r="O24" s="7">
        <f t="shared" si="22"/>
        <v>8033265.9629600411</v>
      </c>
      <c r="P24" s="7">
        <f t="shared" si="22"/>
        <v>7867689.0110433483</v>
      </c>
      <c r="Q24" s="7">
        <f t="shared" si="22"/>
        <v>7702576.8869863357</v>
      </c>
      <c r="R24" s="7">
        <f t="shared" si="22"/>
        <v>7537824.6497314656</v>
      </c>
      <c r="S24" s="7">
        <f t="shared" si="22"/>
        <v>7373475.2942798389</v>
      </c>
      <c r="T24" s="7">
        <f t="shared" si="22"/>
        <v>7209428.5024139527</v>
      </c>
      <c r="U24" s="7">
        <f t="shared" si="22"/>
        <v>7045473.0129331071</v>
      </c>
      <c r="V24" s="7">
        <f t="shared" si="22"/>
        <v>6961415.5673857993</v>
      </c>
      <c r="W24" s="7">
        <f t="shared" si="22"/>
        <v>6957290.1449406659</v>
      </c>
      <c r="X24" s="7">
        <f t="shared" si="22"/>
        <v>6953165.6470635384</v>
      </c>
      <c r="Y24" s="7">
        <f t="shared" si="22"/>
        <v>6949040.224618406</v>
      </c>
      <c r="Z24" s="7">
        <f t="shared" si="22"/>
        <v>6944915.7267412776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17214926.095940482</v>
      </c>
      <c r="C26" s="38">
        <f>C24+C19</f>
        <v>16669091.204670813</v>
      </c>
      <c r="D26" s="38">
        <f>D24+D19</f>
        <v>16140854.835228002</v>
      </c>
      <c r="E26" s="38">
        <f>E24+E19</f>
        <v>15628853.264518449</v>
      </c>
      <c r="F26" s="38">
        <f>F24+F19</f>
        <v>15131917.587033367</v>
      </c>
      <c r="G26" s="38">
        <f t="shared" ref="G26:L26" si="23">G24+G19</f>
        <v>14648878.897263955</v>
      </c>
      <c r="H26" s="38">
        <f t="shared" si="23"/>
        <v>14178730.637688754</v>
      </c>
      <c r="I26" s="38">
        <f t="shared" si="23"/>
        <v>13720466.250786303</v>
      </c>
      <c r="J26" s="38">
        <f t="shared" si="23"/>
        <v>13264150.039731838</v>
      </c>
      <c r="K26" s="38">
        <f t="shared" si="23"/>
        <v>12807866.298274845</v>
      </c>
      <c r="L26" s="38">
        <f t="shared" si="23"/>
        <v>12351550.087220384</v>
      </c>
      <c r="M26" s="38">
        <f t="shared" ref="M26:Z26" si="24">M24+M19</f>
        <v>12339506.453112813</v>
      </c>
      <c r="N26" s="38">
        <f t="shared" si="24"/>
        <v>7382466.3671851261</v>
      </c>
      <c r="O26" s="38">
        <f t="shared" si="24"/>
        <v>7233000.0527893426</v>
      </c>
      <c r="P26" s="38">
        <f t="shared" si="24"/>
        <v>7083917.7110025603</v>
      </c>
      <c r="Q26" s="38">
        <f t="shared" si="24"/>
        <v>6935253.891389587</v>
      </c>
      <c r="R26" s="38">
        <f t="shared" si="24"/>
        <v>6786914.1070159413</v>
      </c>
      <c r="S26" s="38">
        <f t="shared" si="24"/>
        <v>6638937.0697637731</v>
      </c>
      <c r="T26" s="38">
        <f t="shared" si="24"/>
        <v>6491232.4550159425</v>
      </c>
      <c r="U26" s="38">
        <f t="shared" si="24"/>
        <v>6343610.0472009899</v>
      </c>
      <c r="V26" s="38">
        <f t="shared" si="24"/>
        <v>6267926.3201982575</v>
      </c>
      <c r="W26" s="38">
        <f t="shared" si="24"/>
        <v>6264211.8682056293</v>
      </c>
      <c r="X26" s="38">
        <f t="shared" si="24"/>
        <v>6260498.2486764677</v>
      </c>
      <c r="Y26" s="38">
        <f t="shared" si="24"/>
        <v>6256783.7966838405</v>
      </c>
      <c r="Z26" s="38">
        <f t="shared" si="24"/>
        <v>6253070.1771546789</v>
      </c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</row>
    <row r="27" spans="1:37" s="47" customFormat="1">
      <c r="A27" s="47" t="s">
        <v>62</v>
      </c>
      <c r="B27" s="122">
        <f t="shared" ref="B27:Z27" si="25">GRCF</f>
        <v>1.33849291</v>
      </c>
      <c r="C27" s="122">
        <f t="shared" si="25"/>
        <v>1.33849291</v>
      </c>
      <c r="D27" s="122">
        <f t="shared" si="25"/>
        <v>1.33849291</v>
      </c>
      <c r="E27" s="122">
        <f t="shared" si="25"/>
        <v>1.33849291</v>
      </c>
      <c r="F27" s="122">
        <f t="shared" si="25"/>
        <v>1.33849291</v>
      </c>
      <c r="G27" s="122">
        <f t="shared" si="25"/>
        <v>1.33849291</v>
      </c>
      <c r="H27" s="122">
        <f t="shared" si="25"/>
        <v>1.33849291</v>
      </c>
      <c r="I27" s="122">
        <f t="shared" si="25"/>
        <v>1.33849291</v>
      </c>
      <c r="J27" s="122">
        <f t="shared" si="25"/>
        <v>1.33849291</v>
      </c>
      <c r="K27" s="122">
        <f t="shared" si="25"/>
        <v>1.33849291</v>
      </c>
      <c r="L27" s="122">
        <f t="shared" si="25"/>
        <v>1.33849291</v>
      </c>
      <c r="M27" s="122">
        <f t="shared" si="25"/>
        <v>1.33849291</v>
      </c>
      <c r="N27" s="122">
        <f t="shared" si="25"/>
        <v>1.33849291</v>
      </c>
      <c r="O27" s="122">
        <f t="shared" si="25"/>
        <v>1.33849291</v>
      </c>
      <c r="P27" s="122">
        <f t="shared" si="25"/>
        <v>1.33849291</v>
      </c>
      <c r="Q27" s="122">
        <f t="shared" si="25"/>
        <v>1.33849291</v>
      </c>
      <c r="R27" s="122">
        <f t="shared" si="25"/>
        <v>1.33849291</v>
      </c>
      <c r="S27" s="122">
        <f t="shared" si="25"/>
        <v>1.33849291</v>
      </c>
      <c r="T27" s="122">
        <f t="shared" si="25"/>
        <v>1.33849291</v>
      </c>
      <c r="U27" s="122">
        <f t="shared" si="25"/>
        <v>1.33849291</v>
      </c>
      <c r="V27" s="122">
        <f t="shared" si="25"/>
        <v>1.33849291</v>
      </c>
      <c r="W27" s="122">
        <f t="shared" si="25"/>
        <v>1.33849291</v>
      </c>
      <c r="X27" s="122">
        <f t="shared" si="25"/>
        <v>1.33849291</v>
      </c>
      <c r="Y27" s="122">
        <f t="shared" si="25"/>
        <v>1.33849291</v>
      </c>
      <c r="Z27" s="122">
        <f t="shared" si="25"/>
        <v>1.33849291</v>
      </c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</row>
    <row r="28" spans="1:37" ht="15.75" thickBot="1">
      <c r="A28" s="23" t="s">
        <v>63</v>
      </c>
      <c r="B28" s="5">
        <f>B26*B27</f>
        <v>23042056.525590315</v>
      </c>
      <c r="C28" s="5">
        <f>C26*C27</f>
        <v>22311460.393595241</v>
      </c>
      <c r="D28" s="5">
        <f>D26*D27</f>
        <v>21604419.7582919</v>
      </c>
      <c r="E28" s="5">
        <f>E26*E27</f>
        <v>20919109.285988301</v>
      </c>
      <c r="F28" s="5">
        <f>F26*F27</f>
        <v>20253964.404948469</v>
      </c>
      <c r="G28" s="5">
        <f t="shared" ref="G28:L28" si="26">G26*G27</f>
        <v>19607420.543436423</v>
      </c>
      <c r="H28" s="5">
        <f t="shared" si="26"/>
        <v>18978130.431346178</v>
      </c>
      <c r="I28" s="5">
        <f t="shared" si="26"/>
        <v>18364746.798571747</v>
      </c>
      <c r="J28" s="5">
        <f t="shared" si="26"/>
        <v>17753970.785357285</v>
      </c>
      <c r="K28" s="5">
        <f t="shared" si="26"/>
        <v>17143238.232468825</v>
      </c>
      <c r="L28" s="5">
        <f t="shared" si="26"/>
        <v>16532462.219254365</v>
      </c>
      <c r="M28" s="5">
        <f t="shared" ref="M28:Z28" si="27">M26*M27</f>
        <v>16516341.900390748</v>
      </c>
      <c r="N28" s="5">
        <f t="shared" si="27"/>
        <v>9881378.8907907475</v>
      </c>
      <c r="O28" s="5">
        <f t="shared" si="27"/>
        <v>9681319.2886881605</v>
      </c>
      <c r="P28" s="5">
        <f t="shared" si="27"/>
        <v>9481773.6312003564</v>
      </c>
      <c r="Q28" s="5">
        <f t="shared" si="27"/>
        <v>9282788.1626748722</v>
      </c>
      <c r="R28" s="5">
        <f t="shared" si="27"/>
        <v>9084236.4130198192</v>
      </c>
      <c r="S28" s="5">
        <f t="shared" si="27"/>
        <v>8886170.1978149861</v>
      </c>
      <c r="T28" s="5">
        <f t="shared" si="27"/>
        <v>8688468.6182007324</v>
      </c>
      <c r="U28" s="5">
        <f t="shared" si="27"/>
        <v>8490877.0719832908</v>
      </c>
      <c r="V28" s="5">
        <f t="shared" si="27"/>
        <v>8389574.9399877582</v>
      </c>
      <c r="W28" s="5">
        <f t="shared" si="27"/>
        <v>8384603.1723310892</v>
      </c>
      <c r="X28" s="5">
        <f t="shared" si="27"/>
        <v>8379632.5189208696</v>
      </c>
      <c r="Y28" s="5">
        <f t="shared" si="27"/>
        <v>8374660.7512642024</v>
      </c>
      <c r="Z28" s="5">
        <f t="shared" si="27"/>
        <v>8369690.0978539819</v>
      </c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</row>
    <row r="31" spans="1:3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</row>
    <row r="32" spans="1:37">
      <c r="A32" s="7" t="s">
        <v>251</v>
      </c>
      <c r="B32" s="38">
        <f>B28</f>
        <v>23042056.525590315</v>
      </c>
      <c r="C32" s="38">
        <f t="shared" ref="C32:Z32" si="28">C28</f>
        <v>22311460.393595241</v>
      </c>
      <c r="D32" s="38">
        <f t="shared" si="28"/>
        <v>21604419.7582919</v>
      </c>
      <c r="E32" s="38">
        <f t="shared" si="28"/>
        <v>20919109.285988301</v>
      </c>
      <c r="F32" s="38">
        <f t="shared" si="28"/>
        <v>20253964.404948469</v>
      </c>
      <c r="G32" s="38">
        <f t="shared" si="28"/>
        <v>19607420.543436423</v>
      </c>
      <c r="H32" s="38">
        <f t="shared" si="28"/>
        <v>18978130.431346178</v>
      </c>
      <c r="I32" s="38">
        <f t="shared" si="28"/>
        <v>18364746.798571747</v>
      </c>
      <c r="J32" s="38">
        <f t="shared" si="28"/>
        <v>17753970.785357285</v>
      </c>
      <c r="K32" s="38">
        <f t="shared" si="28"/>
        <v>17143238.232468825</v>
      </c>
      <c r="L32" s="38">
        <f t="shared" si="28"/>
        <v>16532462.219254365</v>
      </c>
      <c r="M32" s="38">
        <f t="shared" si="28"/>
        <v>16516341.900390748</v>
      </c>
      <c r="N32" s="38">
        <f t="shared" si="28"/>
        <v>9881378.8907907475</v>
      </c>
      <c r="O32" s="38">
        <f t="shared" si="28"/>
        <v>9681319.2886881605</v>
      </c>
      <c r="P32" s="38">
        <f t="shared" si="28"/>
        <v>9481773.6312003564</v>
      </c>
      <c r="Q32" s="38">
        <f t="shared" si="28"/>
        <v>9282788.1626748722</v>
      </c>
      <c r="R32" s="38">
        <f t="shared" si="28"/>
        <v>9084236.4130198192</v>
      </c>
      <c r="S32" s="38">
        <f t="shared" si="28"/>
        <v>8886170.1978149861</v>
      </c>
      <c r="T32" s="38">
        <f t="shared" si="28"/>
        <v>8688468.6182007324</v>
      </c>
      <c r="U32" s="38">
        <f t="shared" si="28"/>
        <v>8490877.0719832908</v>
      </c>
      <c r="V32" s="38">
        <f t="shared" si="28"/>
        <v>8389574.9399877582</v>
      </c>
      <c r="W32" s="38">
        <f t="shared" si="28"/>
        <v>8384603.1723310892</v>
      </c>
      <c r="X32" s="38">
        <f t="shared" si="28"/>
        <v>8379632.5189208696</v>
      </c>
      <c r="Y32" s="38">
        <f t="shared" si="28"/>
        <v>8374660.7512642024</v>
      </c>
      <c r="Z32" s="38">
        <f t="shared" si="28"/>
        <v>8369690.0978539819</v>
      </c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</row>
    <row r="33" spans="1:37" s="183" customFormat="1">
      <c r="A33" s="185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97" t="s">
        <v>259</v>
      </c>
      <c r="B34" s="38">
        <f>NPV(B21,B32:K32)</f>
        <v>140475380.63147283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</row>
    <row r="35" spans="1:37">
      <c r="A35" s="97" t="s">
        <v>260</v>
      </c>
      <c r="B35" s="38">
        <f>AVERAGE(B32:K32)</f>
        <v>19997851.715959467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</row>
    <row r="36" spans="1:37">
      <c r="A36" s="97"/>
      <c r="B36" s="38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</row>
    <row r="37" spans="1:37">
      <c r="A37" s="7"/>
      <c r="B37" s="3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</row>
    <row r="38" spans="1:37">
      <c r="A38" s="52" t="s">
        <v>112</v>
      </c>
      <c r="B38" s="39"/>
    </row>
    <row r="39" spans="1:37">
      <c r="A39" s="1" t="s">
        <v>66</v>
      </c>
      <c r="B39" s="100">
        <f t="shared" ref="B39:Z39" si="29">B28</f>
        <v>23042056.525590315</v>
      </c>
      <c r="C39" s="100">
        <f t="shared" si="29"/>
        <v>22311460.393595241</v>
      </c>
      <c r="D39" s="100">
        <f t="shared" si="29"/>
        <v>21604419.7582919</v>
      </c>
      <c r="E39" s="100">
        <f t="shared" si="29"/>
        <v>20919109.285988301</v>
      </c>
      <c r="F39" s="100">
        <f t="shared" si="29"/>
        <v>20253964.404948469</v>
      </c>
      <c r="G39" s="100">
        <f t="shared" si="29"/>
        <v>19607420.543436423</v>
      </c>
      <c r="H39" s="100">
        <f t="shared" si="29"/>
        <v>18978130.431346178</v>
      </c>
      <c r="I39" s="100">
        <f t="shared" si="29"/>
        <v>18364746.798571747</v>
      </c>
      <c r="J39" s="100">
        <f t="shared" si="29"/>
        <v>17753970.785357285</v>
      </c>
      <c r="K39" s="100">
        <f t="shared" si="29"/>
        <v>17143238.232468825</v>
      </c>
      <c r="L39" s="100">
        <f t="shared" si="29"/>
        <v>16532462.219254365</v>
      </c>
      <c r="M39" s="100">
        <f t="shared" si="29"/>
        <v>16516341.900390748</v>
      </c>
      <c r="N39" s="100">
        <f t="shared" si="29"/>
        <v>9881378.8907907475</v>
      </c>
      <c r="O39" s="100">
        <f t="shared" si="29"/>
        <v>9681319.2886881605</v>
      </c>
      <c r="P39" s="100">
        <f t="shared" si="29"/>
        <v>9481773.6312003564</v>
      </c>
      <c r="Q39" s="100">
        <f t="shared" si="29"/>
        <v>9282788.1626748722</v>
      </c>
      <c r="R39" s="100">
        <f t="shared" si="29"/>
        <v>9084236.4130198192</v>
      </c>
      <c r="S39" s="100">
        <f t="shared" si="29"/>
        <v>8886170.1978149861</v>
      </c>
      <c r="T39" s="100">
        <f t="shared" si="29"/>
        <v>8688468.6182007324</v>
      </c>
      <c r="U39" s="100">
        <f t="shared" si="29"/>
        <v>8490877.0719832908</v>
      </c>
      <c r="V39" s="100">
        <f t="shared" si="29"/>
        <v>8389574.9399877582</v>
      </c>
      <c r="W39" s="100">
        <f t="shared" si="29"/>
        <v>8384603.1723310892</v>
      </c>
      <c r="X39" s="100">
        <f t="shared" si="29"/>
        <v>8379632.5189208696</v>
      </c>
      <c r="Y39" s="100">
        <f t="shared" si="29"/>
        <v>8374660.7512642024</v>
      </c>
      <c r="Z39" s="100">
        <f t="shared" si="29"/>
        <v>8369690.0978539819</v>
      </c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</row>
    <row r="40" spans="1:37">
      <c r="A40" s="1" t="s">
        <v>104</v>
      </c>
      <c r="B40" s="3">
        <f t="shared" ref="B40:Z40" si="30">B13+B14</f>
        <v>6289485.4037383664</v>
      </c>
      <c r="C40" s="3">
        <f t="shared" si="30"/>
        <v>6284770.4905570196</v>
      </c>
      <c r="D40" s="3">
        <f t="shared" si="30"/>
        <v>6280207.5931296311</v>
      </c>
      <c r="E40" s="3">
        <f t="shared" si="30"/>
        <v>6275784.9316376308</v>
      </c>
      <c r="F40" s="3">
        <f t="shared" si="30"/>
        <v>6271492.4090936687</v>
      </c>
      <c r="G40" s="3">
        <f t="shared" si="30"/>
        <v>6267319.9285103977</v>
      </c>
      <c r="H40" s="3">
        <f t="shared" si="30"/>
        <v>6263258.795259824</v>
      </c>
      <c r="I40" s="3">
        <f t="shared" si="30"/>
        <v>6259300.3147139531</v>
      </c>
      <c r="J40" s="3">
        <f t="shared" si="30"/>
        <v>6255358.6624803292</v>
      </c>
      <c r="K40" s="3">
        <f t="shared" si="30"/>
        <v>6251417.2907185759</v>
      </c>
      <c r="L40" s="3">
        <f t="shared" si="30"/>
        <v>6247475.638484952</v>
      </c>
      <c r="M40" s="3">
        <f t="shared" si="30"/>
        <v>6405837.7035987275</v>
      </c>
      <c r="N40" s="3">
        <f t="shared" si="30"/>
        <v>0</v>
      </c>
      <c r="O40" s="3">
        <f t="shared" si="30"/>
        <v>0</v>
      </c>
      <c r="P40" s="3">
        <f t="shared" si="30"/>
        <v>0</v>
      </c>
      <c r="Q40" s="3">
        <f t="shared" si="30"/>
        <v>0</v>
      </c>
      <c r="R40" s="3">
        <f t="shared" si="30"/>
        <v>0</v>
      </c>
      <c r="S40" s="3">
        <f t="shared" si="30"/>
        <v>0</v>
      </c>
      <c r="T40" s="3">
        <f t="shared" si="30"/>
        <v>0</v>
      </c>
      <c r="U40" s="3">
        <f t="shared" si="30"/>
        <v>0</v>
      </c>
      <c r="V40" s="3">
        <f t="shared" si="30"/>
        <v>0</v>
      </c>
      <c r="W40" s="3">
        <f t="shared" si="30"/>
        <v>0</v>
      </c>
      <c r="X40" s="3">
        <f t="shared" si="30"/>
        <v>0</v>
      </c>
      <c r="Y40" s="3">
        <f t="shared" si="30"/>
        <v>0</v>
      </c>
      <c r="Z40" s="3">
        <f t="shared" si="30"/>
        <v>0</v>
      </c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spans="1:37">
      <c r="A41" s="1" t="s">
        <v>67</v>
      </c>
      <c r="B41" s="38">
        <f t="shared" ref="B41:Z41" si="31">(B28-B26)+B15+B16+B17+B18</f>
        <v>2874946.8235516008</v>
      </c>
      <c r="C41" s="38">
        <f t="shared" si="31"/>
        <v>2751362.5316462032</v>
      </c>
      <c r="D41" s="38">
        <f t="shared" si="31"/>
        <v>2631762.7795592449</v>
      </c>
      <c r="E41" s="38">
        <f t="shared" si="31"/>
        <v>2515838.8022125326</v>
      </c>
      <c r="F41" s="38">
        <f t="shared" si="31"/>
        <v>2403325.9438247713</v>
      </c>
      <c r="G41" s="38">
        <f t="shared" si="31"/>
        <v>2293959.5486146682</v>
      </c>
      <c r="H41" s="38">
        <f t="shared" si="31"/>
        <v>2187511.7185483263</v>
      </c>
      <c r="I41" s="38">
        <f t="shared" si="31"/>
        <v>2083754.5555918429</v>
      </c>
      <c r="J41" s="38">
        <f t="shared" si="31"/>
        <v>1980438.4856041949</v>
      </c>
      <c r="K41" s="38">
        <f t="shared" si="31"/>
        <v>1877129.7671660231</v>
      </c>
      <c r="L41" s="38">
        <f t="shared" si="31"/>
        <v>1773813.6971783736</v>
      </c>
      <c r="M41" s="38">
        <f t="shared" si="31"/>
        <v>1744694.4744371749</v>
      </c>
      <c r="N41" s="38">
        <f t="shared" si="31"/>
        <v>1682109.5202153984</v>
      </c>
      <c r="O41" s="38">
        <f t="shared" si="31"/>
        <v>1648053.3257281196</v>
      </c>
      <c r="P41" s="38">
        <f t="shared" si="31"/>
        <v>1614084.6201570083</v>
      </c>
      <c r="Q41" s="38">
        <f t="shared" si="31"/>
        <v>1580211.2756885362</v>
      </c>
      <c r="R41" s="38">
        <f t="shared" si="31"/>
        <v>1546411.7632883533</v>
      </c>
      <c r="S41" s="38">
        <f t="shared" si="31"/>
        <v>1512694.9035351474</v>
      </c>
      <c r="T41" s="38">
        <f t="shared" si="31"/>
        <v>1479040.1157867794</v>
      </c>
      <c r="U41" s="38">
        <f t="shared" si="31"/>
        <v>1445404.0590501837</v>
      </c>
      <c r="V41" s="38">
        <f t="shared" si="31"/>
        <v>1428159.3726019589</v>
      </c>
      <c r="W41" s="38">
        <f t="shared" si="31"/>
        <v>1427313.027390423</v>
      </c>
      <c r="X41" s="38">
        <f t="shared" si="31"/>
        <v>1426466.8718573316</v>
      </c>
      <c r="Y41" s="38">
        <f t="shared" si="31"/>
        <v>1425620.5266457968</v>
      </c>
      <c r="Z41" s="38">
        <f t="shared" si="31"/>
        <v>1424774.3711127047</v>
      </c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</row>
    <row r="42" spans="1:37">
      <c r="A42" s="45" t="s">
        <v>7</v>
      </c>
      <c r="B42" s="46">
        <f>B40+B41</f>
        <v>9164432.2272899672</v>
      </c>
      <c r="C42" s="46">
        <f>C40+C41</f>
        <v>9036133.0222032219</v>
      </c>
      <c r="D42" s="46">
        <f>D40+D41</f>
        <v>8911970.3726888765</v>
      </c>
      <c r="E42" s="46">
        <f>E40+E41</f>
        <v>8791623.7338501625</v>
      </c>
      <c r="F42" s="46">
        <f>F40+F41</f>
        <v>8674818.3529184405</v>
      </c>
      <c r="G42" s="46">
        <f t="shared" ref="G42:L42" si="32">G40+G41</f>
        <v>8561279.4771250654</v>
      </c>
      <c r="H42" s="46">
        <f t="shared" si="32"/>
        <v>8450770.5138081498</v>
      </c>
      <c r="I42" s="46">
        <f t="shared" si="32"/>
        <v>8343054.8703057962</v>
      </c>
      <c r="J42" s="46">
        <f t="shared" si="32"/>
        <v>8235797.1480845241</v>
      </c>
      <c r="K42" s="46">
        <f t="shared" si="32"/>
        <v>8128547.0578845991</v>
      </c>
      <c r="L42" s="46">
        <f t="shared" si="32"/>
        <v>8021289.3356633261</v>
      </c>
      <c r="M42" s="46">
        <f t="shared" ref="M42:Z42" si="33">M40+M41</f>
        <v>8150532.1780359019</v>
      </c>
      <c r="N42" s="46">
        <f t="shared" si="33"/>
        <v>1682109.5202153984</v>
      </c>
      <c r="O42" s="46">
        <f t="shared" si="33"/>
        <v>1648053.3257281196</v>
      </c>
      <c r="P42" s="46">
        <f t="shared" si="33"/>
        <v>1614084.6201570083</v>
      </c>
      <c r="Q42" s="46">
        <f t="shared" si="33"/>
        <v>1580211.2756885362</v>
      </c>
      <c r="R42" s="46">
        <f t="shared" si="33"/>
        <v>1546411.7632883533</v>
      </c>
      <c r="S42" s="46">
        <f t="shared" si="33"/>
        <v>1512694.9035351474</v>
      </c>
      <c r="T42" s="46">
        <f t="shared" si="33"/>
        <v>1479040.1157867794</v>
      </c>
      <c r="U42" s="46">
        <f t="shared" si="33"/>
        <v>1445404.0590501837</v>
      </c>
      <c r="V42" s="46">
        <f t="shared" si="33"/>
        <v>1428159.3726019589</v>
      </c>
      <c r="W42" s="46">
        <f t="shared" si="33"/>
        <v>1427313.027390423</v>
      </c>
      <c r="X42" s="46">
        <f t="shared" si="33"/>
        <v>1426466.8718573316</v>
      </c>
      <c r="Y42" s="46">
        <f t="shared" si="33"/>
        <v>1425620.5266457968</v>
      </c>
      <c r="Z42" s="46">
        <f t="shared" si="33"/>
        <v>1424774.3711127047</v>
      </c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</row>
    <row r="43" spans="1:37">
      <c r="A43" s="4" t="s">
        <v>103</v>
      </c>
      <c r="B43" s="39">
        <f>B39-B42</f>
        <v>13877624.298300348</v>
      </c>
      <c r="C43" s="39">
        <f t="shared" ref="C43:Z43" si="34">C39-C42</f>
        <v>13275327.371392019</v>
      </c>
      <c r="D43" s="39">
        <f t="shared" si="34"/>
        <v>12692449.385603024</v>
      </c>
      <c r="E43" s="39">
        <f t="shared" si="34"/>
        <v>12127485.552138139</v>
      </c>
      <c r="F43" s="39">
        <f t="shared" si="34"/>
        <v>11579146.052030029</v>
      </c>
      <c r="G43" s="39">
        <f t="shared" si="34"/>
        <v>11046141.066311358</v>
      </c>
      <c r="H43" s="39">
        <f t="shared" si="34"/>
        <v>10527359.917538028</v>
      </c>
      <c r="I43" s="39">
        <f t="shared" si="34"/>
        <v>10021691.928265952</v>
      </c>
      <c r="J43" s="39">
        <f t="shared" si="34"/>
        <v>9518173.6372727603</v>
      </c>
      <c r="K43" s="39">
        <f t="shared" si="34"/>
        <v>9014691.1745842248</v>
      </c>
      <c r="L43" s="39">
        <f t="shared" si="34"/>
        <v>8511172.8835910391</v>
      </c>
      <c r="M43" s="39">
        <f t="shared" si="34"/>
        <v>8365809.7223548461</v>
      </c>
      <c r="N43" s="39">
        <f t="shared" si="34"/>
        <v>8199269.3705753488</v>
      </c>
      <c r="O43" s="39">
        <f t="shared" si="34"/>
        <v>8033265.9629600411</v>
      </c>
      <c r="P43" s="39">
        <f t="shared" si="34"/>
        <v>7867689.0110433483</v>
      </c>
      <c r="Q43" s="39">
        <f t="shared" si="34"/>
        <v>7702576.8869863357</v>
      </c>
      <c r="R43" s="39">
        <f t="shared" si="34"/>
        <v>7537824.6497314656</v>
      </c>
      <c r="S43" s="39">
        <f t="shared" si="34"/>
        <v>7373475.2942798389</v>
      </c>
      <c r="T43" s="39">
        <f t="shared" si="34"/>
        <v>7209428.5024139527</v>
      </c>
      <c r="U43" s="39">
        <f t="shared" si="34"/>
        <v>7045473.0129331071</v>
      </c>
      <c r="V43" s="39">
        <f t="shared" si="34"/>
        <v>6961415.5673857993</v>
      </c>
      <c r="W43" s="39">
        <f t="shared" si="34"/>
        <v>6957290.1449406659</v>
      </c>
      <c r="X43" s="39">
        <f t="shared" si="34"/>
        <v>6953165.6470635384</v>
      </c>
      <c r="Y43" s="39">
        <f t="shared" si="34"/>
        <v>6949040.2246184051</v>
      </c>
      <c r="Z43" s="39">
        <f t="shared" si="34"/>
        <v>6944915.7267412767</v>
      </c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</row>
    <row r="44" spans="1:37">
      <c r="A44" s="42" t="s">
        <v>47</v>
      </c>
      <c r="B44" s="44">
        <f t="shared" ref="B44:Z44" si="35">B23*WACD</f>
        <v>5539280.7996446695</v>
      </c>
      <c r="C44" s="44">
        <f t="shared" si="35"/>
        <v>5298872.806807098</v>
      </c>
      <c r="D44" s="44">
        <f t="shared" si="35"/>
        <v>5066215.922183699</v>
      </c>
      <c r="E44" s="44">
        <f t="shared" si="35"/>
        <v>4840709.5063925637</v>
      </c>
      <c r="F44" s="44">
        <f t="shared" si="35"/>
        <v>4621838.7256777678</v>
      </c>
      <c r="G44" s="44">
        <f t="shared" si="35"/>
        <v>4409088.7462833906</v>
      </c>
      <c r="H44" s="44">
        <f t="shared" si="35"/>
        <v>4202016.2391418284</v>
      </c>
      <c r="I44" s="44">
        <f t="shared" si="35"/>
        <v>4000177.875185485</v>
      </c>
      <c r="J44" s="44">
        <f t="shared" si="35"/>
        <v>3799197.5674890112</v>
      </c>
      <c r="K44" s="44">
        <f t="shared" si="35"/>
        <v>3598231.5607302031</v>
      </c>
      <c r="L44" s="44">
        <f t="shared" si="35"/>
        <v>3397251.2530337302</v>
      </c>
      <c r="M44" s="44">
        <f t="shared" si="35"/>
        <v>3339229.2637722166</v>
      </c>
      <c r="N44" s="44">
        <f t="shared" si="35"/>
        <v>3272754.3576104166</v>
      </c>
      <c r="O44" s="44">
        <f t="shared" si="35"/>
        <v>3206493.7737587783</v>
      </c>
      <c r="P44" s="44">
        <f t="shared" si="35"/>
        <v>3140403.4105308191</v>
      </c>
      <c r="Q44" s="44">
        <f t="shared" si="35"/>
        <v>3074498.5842494522</v>
      </c>
      <c r="R44" s="44">
        <f t="shared" si="35"/>
        <v>3008737.40748693</v>
      </c>
      <c r="S44" s="44">
        <f t="shared" si="35"/>
        <v>2943137.0417817803</v>
      </c>
      <c r="T44" s="44">
        <f t="shared" si="35"/>
        <v>2877657.4449218693</v>
      </c>
      <c r="U44" s="44">
        <f t="shared" si="35"/>
        <v>2812214.2915869849</v>
      </c>
      <c r="V44" s="44">
        <f t="shared" si="35"/>
        <v>2778662.5982871163</v>
      </c>
      <c r="W44" s="44">
        <f t="shared" si="35"/>
        <v>2777015.9278736832</v>
      </c>
      <c r="X44" s="44">
        <f t="shared" si="35"/>
        <v>2775369.6265033721</v>
      </c>
      <c r="Y44" s="44">
        <f t="shared" si="35"/>
        <v>2773722.9560899395</v>
      </c>
      <c r="Z44" s="44">
        <f t="shared" si="35"/>
        <v>2772076.6547196289</v>
      </c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</row>
    <row r="45" spans="1:37">
      <c r="A45" s="4" t="s">
        <v>69</v>
      </c>
      <c r="B45" s="39">
        <f>B43-B44</f>
        <v>8338343.4986556787</v>
      </c>
      <c r="C45" s="39">
        <f>C43-C44</f>
        <v>7976454.5645849211</v>
      </c>
      <c r="D45" s="39">
        <f>D43-D44</f>
        <v>7626233.4634193247</v>
      </c>
      <c r="E45" s="39">
        <f>E43-E44</f>
        <v>7286776.0457455749</v>
      </c>
      <c r="F45" s="39">
        <f>F43-F44</f>
        <v>6957307.326352261</v>
      </c>
      <c r="G45" s="39">
        <f t="shared" ref="G45:L45" si="36">G43-G44</f>
        <v>6637052.320027967</v>
      </c>
      <c r="H45" s="39">
        <f t="shared" si="36"/>
        <v>6325343.6783961998</v>
      </c>
      <c r="I45" s="39">
        <f t="shared" si="36"/>
        <v>6021514.0530804666</v>
      </c>
      <c r="J45" s="39">
        <f t="shared" si="36"/>
        <v>5718976.0697837491</v>
      </c>
      <c r="K45" s="39">
        <f t="shared" si="36"/>
        <v>5416459.6138540218</v>
      </c>
      <c r="L45" s="39">
        <f t="shared" si="36"/>
        <v>5113921.6305573089</v>
      </c>
      <c r="M45" s="39">
        <f t="shared" ref="M45:Z45" si="37">M43-M44</f>
        <v>5026580.4585826294</v>
      </c>
      <c r="N45" s="39">
        <f t="shared" si="37"/>
        <v>4926515.0129649322</v>
      </c>
      <c r="O45" s="39">
        <f t="shared" si="37"/>
        <v>4826772.1892012628</v>
      </c>
      <c r="P45" s="39">
        <f t="shared" si="37"/>
        <v>4727285.6005125288</v>
      </c>
      <c r="Q45" s="39">
        <f t="shared" si="37"/>
        <v>4628078.302736884</v>
      </c>
      <c r="R45" s="39">
        <f t="shared" si="37"/>
        <v>4529087.2422445361</v>
      </c>
      <c r="S45" s="39">
        <f t="shared" si="37"/>
        <v>4430338.2524980586</v>
      </c>
      <c r="T45" s="39">
        <f t="shared" si="37"/>
        <v>4331771.0574920829</v>
      </c>
      <c r="U45" s="39">
        <f t="shared" si="37"/>
        <v>4233258.7213461222</v>
      </c>
      <c r="V45" s="39">
        <f t="shared" si="37"/>
        <v>4182752.969098683</v>
      </c>
      <c r="W45" s="39">
        <f t="shared" si="37"/>
        <v>4180274.2170669828</v>
      </c>
      <c r="X45" s="39">
        <f t="shared" si="37"/>
        <v>4177796.0205601663</v>
      </c>
      <c r="Y45" s="39">
        <f t="shared" si="37"/>
        <v>4175317.2685284656</v>
      </c>
      <c r="Z45" s="39">
        <f t="shared" si="37"/>
        <v>4172839.0720216478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68</v>
      </c>
      <c r="B46" s="43">
        <f t="shared" ref="B46:Z46" si="38">B23*EquityWeighting</f>
        <v>86407704.649281636</v>
      </c>
      <c r="C46" s="43">
        <f t="shared" si="38"/>
        <v>82657560.254766002</v>
      </c>
      <c r="D46" s="43">
        <f t="shared" si="38"/>
        <v>79028326.045796096</v>
      </c>
      <c r="E46" s="43">
        <f t="shared" si="38"/>
        <v>75510632.598399729</v>
      </c>
      <c r="F46" s="43">
        <f t="shared" si="38"/>
        <v>72096448.977743611</v>
      </c>
      <c r="G46" s="43">
        <f t="shared" si="38"/>
        <v>68777744.24899447</v>
      </c>
      <c r="H46" s="43">
        <f t="shared" si="38"/>
        <v>65547602.884934694</v>
      </c>
      <c r="I46" s="43">
        <f t="shared" si="38"/>
        <v>62399109.358346783</v>
      </c>
      <c r="J46" s="43">
        <f t="shared" si="38"/>
        <v>59264000.723147668</v>
      </c>
      <c r="K46" s="43">
        <f t="shared" si="38"/>
        <v>56129115.169471718</v>
      </c>
      <c r="L46" s="43">
        <f t="shared" si="38"/>
        <v>52994006.534272619</v>
      </c>
      <c r="M46" s="43">
        <f t="shared" si="38"/>
        <v>52088916.669250026</v>
      </c>
      <c r="N46" s="43">
        <f t="shared" si="38"/>
        <v>51051969.046268716</v>
      </c>
      <c r="O46" s="43">
        <f t="shared" si="38"/>
        <v>50018364.654935353</v>
      </c>
      <c r="P46" s="43">
        <f t="shared" si="38"/>
        <v>48987415.549352624</v>
      </c>
      <c r="Q46" s="43">
        <f t="shared" si="38"/>
        <v>47959360.650123134</v>
      </c>
      <c r="R46" s="43">
        <f t="shared" si="38"/>
        <v>46933546.551756836</v>
      </c>
      <c r="S46" s="43">
        <f t="shared" si="38"/>
        <v>45910240.958529092</v>
      </c>
      <c r="T46" s="43">
        <f t="shared" si="38"/>
        <v>44888819.248622611</v>
      </c>
      <c r="U46" s="43">
        <f t="shared" si="38"/>
        <v>43867966.024312139</v>
      </c>
      <c r="V46" s="43">
        <f t="shared" si="38"/>
        <v>43344590.353354223</v>
      </c>
      <c r="W46" s="43">
        <f t="shared" si="38"/>
        <v>43318903.803802922</v>
      </c>
      <c r="X46" s="43">
        <f t="shared" si="38"/>
        <v>43293223.010986164</v>
      </c>
      <c r="Y46" s="43">
        <f t="shared" si="38"/>
        <v>43267536.461434871</v>
      </c>
      <c r="Z46" s="43">
        <f t="shared" si="38"/>
        <v>43241855.668618113</v>
      </c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</row>
    <row r="47" spans="1:37">
      <c r="A47" s="4" t="s">
        <v>102</v>
      </c>
      <c r="B47" s="182">
        <f>ROUND(B45/B46,4)</f>
        <v>9.6500000000000002E-2</v>
      </c>
      <c r="C47" s="182">
        <f t="shared" ref="C47:Z47" si="39">ROUND(C45/C46,4)</f>
        <v>9.6500000000000002E-2</v>
      </c>
      <c r="D47" s="182">
        <f t="shared" si="39"/>
        <v>9.6500000000000002E-2</v>
      </c>
      <c r="E47" s="182">
        <f t="shared" si="39"/>
        <v>9.6500000000000002E-2</v>
      </c>
      <c r="F47" s="182">
        <f t="shared" si="39"/>
        <v>9.6500000000000002E-2</v>
      </c>
      <c r="G47" s="182">
        <f t="shared" si="39"/>
        <v>9.6500000000000002E-2</v>
      </c>
      <c r="H47" s="182">
        <f t="shared" si="39"/>
        <v>9.6500000000000002E-2</v>
      </c>
      <c r="I47" s="182">
        <f t="shared" si="39"/>
        <v>9.6500000000000002E-2</v>
      </c>
      <c r="J47" s="182">
        <f t="shared" si="39"/>
        <v>9.6500000000000002E-2</v>
      </c>
      <c r="K47" s="182">
        <f t="shared" si="39"/>
        <v>9.6500000000000002E-2</v>
      </c>
      <c r="L47" s="182">
        <f t="shared" si="39"/>
        <v>9.6500000000000002E-2</v>
      </c>
      <c r="M47" s="182">
        <f t="shared" si="39"/>
        <v>9.6500000000000002E-2</v>
      </c>
      <c r="N47" s="182">
        <f t="shared" si="39"/>
        <v>9.6500000000000002E-2</v>
      </c>
      <c r="O47" s="182">
        <f t="shared" si="39"/>
        <v>9.6500000000000002E-2</v>
      </c>
      <c r="P47" s="182">
        <f t="shared" si="39"/>
        <v>9.6500000000000002E-2</v>
      </c>
      <c r="Q47" s="182">
        <f t="shared" si="39"/>
        <v>9.6500000000000002E-2</v>
      </c>
      <c r="R47" s="182">
        <f t="shared" si="39"/>
        <v>9.6500000000000002E-2</v>
      </c>
      <c r="S47" s="182">
        <f t="shared" si="39"/>
        <v>9.6500000000000002E-2</v>
      </c>
      <c r="T47" s="182">
        <f t="shared" si="39"/>
        <v>9.6500000000000002E-2</v>
      </c>
      <c r="U47" s="182">
        <f t="shared" si="39"/>
        <v>9.6500000000000002E-2</v>
      </c>
      <c r="V47" s="182">
        <f t="shared" si="39"/>
        <v>9.6500000000000002E-2</v>
      </c>
      <c r="W47" s="182">
        <f t="shared" si="39"/>
        <v>9.6500000000000002E-2</v>
      </c>
      <c r="X47" s="182">
        <f t="shared" si="39"/>
        <v>9.6500000000000002E-2</v>
      </c>
      <c r="Y47" s="182">
        <f t="shared" si="39"/>
        <v>9.6500000000000002E-2</v>
      </c>
      <c r="Z47" s="182">
        <f t="shared" si="39"/>
        <v>9.6500000000000002E-2</v>
      </c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</row>
    <row r="48" spans="1:37">
      <c r="B48" s="1" t="b">
        <f>B47=ROE</f>
        <v>1</v>
      </c>
      <c r="C48" s="1" t="b">
        <f>C47=ROE</f>
        <v>1</v>
      </c>
      <c r="D48" s="1" t="b">
        <f>D47=ROE</f>
        <v>1</v>
      </c>
      <c r="E48" s="1" t="b">
        <f>E47=ROE</f>
        <v>1</v>
      </c>
      <c r="F48" s="1" t="b">
        <f>F47=ROE</f>
        <v>1</v>
      </c>
      <c r="G48" s="1" t="b">
        <f t="shared" ref="G48:L48" si="40">G47=ROE</f>
        <v>1</v>
      </c>
      <c r="H48" s="1" t="b">
        <f t="shared" si="40"/>
        <v>1</v>
      </c>
      <c r="I48" s="1" t="b">
        <f t="shared" si="40"/>
        <v>1</v>
      </c>
      <c r="J48" s="1" t="b">
        <f t="shared" si="40"/>
        <v>1</v>
      </c>
      <c r="K48" s="1" t="b">
        <f t="shared" si="40"/>
        <v>1</v>
      </c>
      <c r="L48" s="1" t="b">
        <f t="shared" si="40"/>
        <v>1</v>
      </c>
      <c r="M48" s="1" t="b">
        <f t="shared" ref="M48:Z48" si="41">M47=ROE</f>
        <v>1</v>
      </c>
      <c r="N48" s="1" t="b">
        <f t="shared" si="41"/>
        <v>1</v>
      </c>
      <c r="O48" s="1" t="b">
        <f t="shared" si="41"/>
        <v>1</v>
      </c>
      <c r="P48" s="1" t="b">
        <f t="shared" si="41"/>
        <v>1</v>
      </c>
      <c r="Q48" s="1" t="b">
        <f t="shared" si="41"/>
        <v>1</v>
      </c>
      <c r="R48" s="1" t="b">
        <f t="shared" si="41"/>
        <v>1</v>
      </c>
      <c r="S48" s="1" t="b">
        <f t="shared" si="41"/>
        <v>1</v>
      </c>
      <c r="T48" s="1" t="b">
        <f t="shared" si="41"/>
        <v>1</v>
      </c>
      <c r="U48" s="1" t="b">
        <f t="shared" si="41"/>
        <v>1</v>
      </c>
      <c r="V48" s="1" t="b">
        <f t="shared" si="41"/>
        <v>1</v>
      </c>
      <c r="W48" s="1" t="b">
        <f t="shared" si="41"/>
        <v>1</v>
      </c>
      <c r="X48" s="1" t="b">
        <f t="shared" si="41"/>
        <v>1</v>
      </c>
      <c r="Y48" s="1" t="b">
        <f t="shared" si="41"/>
        <v>1</v>
      </c>
      <c r="Z48" s="1" t="b">
        <f t="shared" si="41"/>
        <v>1</v>
      </c>
    </row>
    <row r="49" spans="1:37">
      <c r="A49" s="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</row>
    <row r="50" spans="1:37">
      <c r="A50" s="4" t="s">
        <v>108</v>
      </c>
      <c r="B50" s="38">
        <f t="shared" ref="B50:Z50" si="42">B13</f>
        <v>108637.10373836674</v>
      </c>
      <c r="C50" s="38">
        <f t="shared" si="42"/>
        <v>103922.1905570196</v>
      </c>
      <c r="D50" s="38">
        <f t="shared" si="42"/>
        <v>99359.293129631784</v>
      </c>
      <c r="E50" s="38">
        <f t="shared" si="42"/>
        <v>94936.63163763081</v>
      </c>
      <c r="F50" s="38">
        <f t="shared" si="42"/>
        <v>90644.109093668798</v>
      </c>
      <c r="G50" s="38">
        <f t="shared" si="42"/>
        <v>86471.628510397961</v>
      </c>
      <c r="H50" s="38">
        <f t="shared" si="42"/>
        <v>82410.495259824238</v>
      </c>
      <c r="I50" s="38">
        <f t="shared" si="42"/>
        <v>78452.014713953715</v>
      </c>
      <c r="J50" s="38">
        <f t="shared" si="42"/>
        <v>74510.362480329597</v>
      </c>
      <c r="K50" s="38">
        <f t="shared" si="42"/>
        <v>70568.990718576257</v>
      </c>
      <c r="L50" s="38">
        <f t="shared" si="42"/>
        <v>66627.338484952139</v>
      </c>
      <c r="M50" s="38">
        <f t="shared" si="42"/>
        <v>65489.403598727607</v>
      </c>
      <c r="N50" s="38">
        <f t="shared" si="42"/>
        <v>0</v>
      </c>
      <c r="O50" s="38">
        <f t="shared" si="42"/>
        <v>0</v>
      </c>
      <c r="P50" s="38">
        <f t="shared" si="42"/>
        <v>0</v>
      </c>
      <c r="Q50" s="38">
        <f t="shared" si="42"/>
        <v>0</v>
      </c>
      <c r="R50" s="38">
        <f t="shared" si="42"/>
        <v>0</v>
      </c>
      <c r="S50" s="38">
        <f t="shared" si="42"/>
        <v>0</v>
      </c>
      <c r="T50" s="38">
        <f t="shared" si="42"/>
        <v>0</v>
      </c>
      <c r="U50" s="38">
        <f t="shared" si="42"/>
        <v>0</v>
      </c>
      <c r="V50" s="38">
        <f t="shared" si="42"/>
        <v>0</v>
      </c>
      <c r="W50" s="38">
        <f t="shared" si="42"/>
        <v>0</v>
      </c>
      <c r="X50" s="38">
        <f t="shared" si="42"/>
        <v>0</v>
      </c>
      <c r="Y50" s="38">
        <f t="shared" si="42"/>
        <v>0</v>
      </c>
      <c r="Z50" s="38">
        <f t="shared" si="42"/>
        <v>0</v>
      </c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  <c r="AK50" s="188"/>
    </row>
    <row r="51" spans="1:37">
      <c r="A51" s="4" t="s">
        <v>109</v>
      </c>
      <c r="B51" s="38">
        <f t="shared" ref="B51:Z51" si="43">B14</f>
        <v>6180848.2999999998</v>
      </c>
      <c r="C51" s="38">
        <f t="shared" si="43"/>
        <v>6180848.2999999998</v>
      </c>
      <c r="D51" s="38">
        <f t="shared" si="43"/>
        <v>6180848.2999999998</v>
      </c>
      <c r="E51" s="38">
        <f t="shared" si="43"/>
        <v>6180848.2999999998</v>
      </c>
      <c r="F51" s="38">
        <f t="shared" si="43"/>
        <v>6180848.2999999998</v>
      </c>
      <c r="G51" s="38">
        <f t="shared" si="43"/>
        <v>6180848.2999999998</v>
      </c>
      <c r="H51" s="38">
        <f t="shared" si="43"/>
        <v>6180848.2999999998</v>
      </c>
      <c r="I51" s="38">
        <f t="shared" si="43"/>
        <v>6180848.2999999998</v>
      </c>
      <c r="J51" s="38">
        <f t="shared" si="43"/>
        <v>6180848.2999999998</v>
      </c>
      <c r="K51" s="38">
        <f t="shared" si="43"/>
        <v>6180848.2999999998</v>
      </c>
      <c r="L51" s="38">
        <f t="shared" si="43"/>
        <v>6180848.2999999998</v>
      </c>
      <c r="M51" s="38">
        <f t="shared" si="43"/>
        <v>6340348.2999999998</v>
      </c>
      <c r="N51" s="38">
        <f t="shared" si="43"/>
        <v>0</v>
      </c>
      <c r="O51" s="38">
        <f t="shared" si="43"/>
        <v>0</v>
      </c>
      <c r="P51" s="38">
        <f t="shared" si="43"/>
        <v>0</v>
      </c>
      <c r="Q51" s="38">
        <f t="shared" si="43"/>
        <v>0</v>
      </c>
      <c r="R51" s="38">
        <f t="shared" si="43"/>
        <v>0</v>
      </c>
      <c r="S51" s="38">
        <f t="shared" si="43"/>
        <v>0</v>
      </c>
      <c r="T51" s="38">
        <f t="shared" si="43"/>
        <v>0</v>
      </c>
      <c r="U51" s="38">
        <f t="shared" si="43"/>
        <v>0</v>
      </c>
      <c r="V51" s="38">
        <f t="shared" si="43"/>
        <v>0</v>
      </c>
      <c r="W51" s="38">
        <f t="shared" si="43"/>
        <v>0</v>
      </c>
      <c r="X51" s="38">
        <f t="shared" si="43"/>
        <v>0</v>
      </c>
      <c r="Y51" s="38">
        <f t="shared" si="43"/>
        <v>0</v>
      </c>
      <c r="Z51" s="38">
        <f t="shared" si="43"/>
        <v>0</v>
      </c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88"/>
    </row>
    <row r="52" spans="1:37">
      <c r="A52" s="4" t="s">
        <v>111</v>
      </c>
      <c r="B52" s="3">
        <f t="shared" ref="B52:Z52" si="44">B28-SUM(B50:B51,B53)</f>
        <v>2874946.8235516027</v>
      </c>
      <c r="C52" s="3">
        <f t="shared" si="44"/>
        <v>2751362.5316462032</v>
      </c>
      <c r="D52" s="3">
        <f t="shared" si="44"/>
        <v>2631762.7795592472</v>
      </c>
      <c r="E52" s="3">
        <f t="shared" si="44"/>
        <v>2515838.8022125326</v>
      </c>
      <c r="F52" s="3">
        <f t="shared" si="44"/>
        <v>2403325.9438247718</v>
      </c>
      <c r="G52" s="3">
        <f t="shared" si="44"/>
        <v>2293959.5486146659</v>
      </c>
      <c r="H52" s="3">
        <f t="shared" si="44"/>
        <v>2187511.7185483277</v>
      </c>
      <c r="I52" s="3">
        <f t="shared" si="44"/>
        <v>2083754.5555918422</v>
      </c>
      <c r="J52" s="3">
        <f t="shared" si="44"/>
        <v>1980438.4856041931</v>
      </c>
      <c r="K52" s="3">
        <f t="shared" si="44"/>
        <v>1877129.7671660241</v>
      </c>
      <c r="L52" s="3">
        <f t="shared" si="44"/>
        <v>1773813.6971783731</v>
      </c>
      <c r="M52" s="3">
        <f t="shared" si="44"/>
        <v>1744694.4744371753</v>
      </c>
      <c r="N52" s="3">
        <f t="shared" si="44"/>
        <v>1682109.5202153986</v>
      </c>
      <c r="O52" s="3">
        <f t="shared" si="44"/>
        <v>1648053.3257281194</v>
      </c>
      <c r="P52" s="3">
        <f t="shared" si="44"/>
        <v>1614084.6201570081</v>
      </c>
      <c r="Q52" s="3">
        <f t="shared" si="44"/>
        <v>1580211.2756885365</v>
      </c>
      <c r="R52" s="3">
        <f t="shared" si="44"/>
        <v>1546411.7632883536</v>
      </c>
      <c r="S52" s="3">
        <f t="shared" si="44"/>
        <v>1512694.9035351472</v>
      </c>
      <c r="T52" s="3">
        <f t="shared" si="44"/>
        <v>1479040.1157867797</v>
      </c>
      <c r="U52" s="3">
        <f t="shared" si="44"/>
        <v>1445404.0590501837</v>
      </c>
      <c r="V52" s="3">
        <f t="shared" si="44"/>
        <v>1428159.3726019589</v>
      </c>
      <c r="W52" s="3">
        <f t="shared" si="44"/>
        <v>1427313.0273904232</v>
      </c>
      <c r="X52" s="3">
        <f t="shared" si="44"/>
        <v>1426466.8718573311</v>
      </c>
      <c r="Y52" s="3">
        <f t="shared" si="44"/>
        <v>1425620.5266457964</v>
      </c>
      <c r="Z52" s="3">
        <f t="shared" si="44"/>
        <v>1424774.3711127043</v>
      </c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37">
      <c r="A53" s="4" t="s">
        <v>110</v>
      </c>
      <c r="B53" s="48">
        <f t="shared" ref="B53:Z53" si="45">B24</f>
        <v>13877624.298300348</v>
      </c>
      <c r="C53" s="48">
        <f t="shared" si="45"/>
        <v>13275327.371392019</v>
      </c>
      <c r="D53" s="48">
        <f t="shared" si="45"/>
        <v>12692449.385603024</v>
      </c>
      <c r="E53" s="48">
        <f t="shared" si="45"/>
        <v>12127485.552138139</v>
      </c>
      <c r="F53" s="48">
        <f t="shared" si="45"/>
        <v>11579146.052030029</v>
      </c>
      <c r="G53" s="48">
        <f t="shared" si="45"/>
        <v>11046141.066311358</v>
      </c>
      <c r="H53" s="48">
        <f t="shared" si="45"/>
        <v>10527359.917538028</v>
      </c>
      <c r="I53" s="48">
        <f t="shared" si="45"/>
        <v>10021691.928265952</v>
      </c>
      <c r="J53" s="48">
        <f t="shared" si="45"/>
        <v>9518173.6372727621</v>
      </c>
      <c r="K53" s="48">
        <f t="shared" si="45"/>
        <v>9014691.1745842248</v>
      </c>
      <c r="L53" s="48">
        <f t="shared" si="45"/>
        <v>8511172.8835910391</v>
      </c>
      <c r="M53" s="48">
        <f t="shared" si="45"/>
        <v>8365809.7223548451</v>
      </c>
      <c r="N53" s="48">
        <f t="shared" si="45"/>
        <v>8199269.3705753488</v>
      </c>
      <c r="O53" s="48">
        <f t="shared" si="45"/>
        <v>8033265.9629600411</v>
      </c>
      <c r="P53" s="48">
        <f t="shared" si="45"/>
        <v>7867689.0110433483</v>
      </c>
      <c r="Q53" s="48">
        <f t="shared" si="45"/>
        <v>7702576.8869863357</v>
      </c>
      <c r="R53" s="48">
        <f t="shared" si="45"/>
        <v>7537824.6497314656</v>
      </c>
      <c r="S53" s="48">
        <f t="shared" si="45"/>
        <v>7373475.2942798389</v>
      </c>
      <c r="T53" s="48">
        <f t="shared" si="45"/>
        <v>7209428.5024139527</v>
      </c>
      <c r="U53" s="48">
        <f t="shared" si="45"/>
        <v>7045473.0129331071</v>
      </c>
      <c r="V53" s="48">
        <f t="shared" si="45"/>
        <v>6961415.5673857993</v>
      </c>
      <c r="W53" s="48">
        <f t="shared" si="45"/>
        <v>6957290.1449406659</v>
      </c>
      <c r="X53" s="48">
        <f t="shared" si="45"/>
        <v>6953165.6470635384</v>
      </c>
      <c r="Y53" s="48">
        <f t="shared" si="45"/>
        <v>6949040.224618406</v>
      </c>
      <c r="Z53" s="48">
        <f t="shared" si="45"/>
        <v>6944915.7267412776</v>
      </c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</row>
    <row r="54" spans="1:37">
      <c r="B54" s="39">
        <f t="shared" ref="B54:Z54" si="46">SUM(B50:B53)-B28</f>
        <v>0</v>
      </c>
      <c r="C54" s="39">
        <f t="shared" si="46"/>
        <v>0</v>
      </c>
      <c r="D54" s="39">
        <f t="shared" si="46"/>
        <v>0</v>
      </c>
      <c r="E54" s="39">
        <f t="shared" si="46"/>
        <v>0</v>
      </c>
      <c r="F54" s="39">
        <f t="shared" si="46"/>
        <v>0</v>
      </c>
      <c r="G54" s="39">
        <f t="shared" si="46"/>
        <v>0</v>
      </c>
      <c r="H54" s="39">
        <f t="shared" si="46"/>
        <v>0</v>
      </c>
      <c r="I54" s="39">
        <f t="shared" si="46"/>
        <v>0</v>
      </c>
      <c r="J54" s="39">
        <f t="shared" si="46"/>
        <v>0</v>
      </c>
      <c r="K54" s="39">
        <f t="shared" si="46"/>
        <v>0</v>
      </c>
      <c r="L54" s="39">
        <f t="shared" si="46"/>
        <v>0</v>
      </c>
      <c r="M54" s="39">
        <f t="shared" si="46"/>
        <v>0</v>
      </c>
      <c r="N54" s="39">
        <f t="shared" si="46"/>
        <v>0</v>
      </c>
      <c r="O54" s="39">
        <f t="shared" si="46"/>
        <v>0</v>
      </c>
      <c r="P54" s="39">
        <f t="shared" si="46"/>
        <v>0</v>
      </c>
      <c r="Q54" s="39">
        <f t="shared" si="46"/>
        <v>0</v>
      </c>
      <c r="R54" s="39">
        <f t="shared" si="46"/>
        <v>0</v>
      </c>
      <c r="S54" s="39">
        <f t="shared" si="46"/>
        <v>0</v>
      </c>
      <c r="T54" s="39">
        <f t="shared" si="46"/>
        <v>0</v>
      </c>
      <c r="U54" s="39">
        <f t="shared" si="46"/>
        <v>0</v>
      </c>
      <c r="V54" s="39">
        <f t="shared" si="46"/>
        <v>0</v>
      </c>
      <c r="W54" s="39">
        <f t="shared" si="46"/>
        <v>0</v>
      </c>
      <c r="X54" s="39">
        <f t="shared" si="46"/>
        <v>0</v>
      </c>
      <c r="Y54" s="39">
        <f t="shared" si="46"/>
        <v>0</v>
      </c>
      <c r="Z54" s="39">
        <f t="shared" si="46"/>
        <v>0</v>
      </c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</row>
    <row r="55" spans="1:37"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</row>
    <row r="56" spans="1:37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7" type="noConversion"/>
  <pageMargins left="0.7" right="0.7" top="0.75" bottom="0.75" header="0.3" footer="0.3"/>
  <pageSetup fitToHeight="0" orientation="landscape" r:id="rId2"/>
  <headerFooter>
    <oddHeader>&amp;RCase No. 2026-00001
KPSC 1-11 Attachment 4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Z52"/>
  <sheetViews>
    <sheetView zoomScaleNormal="100" workbookViewId="0">
      <selection activeCell="B13" sqref="B13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16384" width="9.140625" style="1"/>
  </cols>
  <sheetData>
    <row r="1" spans="1:26" ht="14.25">
      <c r="A1" s="219" t="str">
        <f>Input!B2&amp;" "&amp;Input!B3</f>
        <v>KPCO KY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26" ht="14.25">
      <c r="A2" s="219" t="s">
        <v>13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2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247</v>
      </c>
      <c r="X3" s="51" t="s">
        <v>248</v>
      </c>
      <c r="Y3" s="51" t="s">
        <v>249</v>
      </c>
      <c r="Z3" s="51" t="s">
        <v>250</v>
      </c>
    </row>
    <row r="4" spans="1:26">
      <c r="A4" s="7"/>
      <c r="B4" s="115">
        <f>'Total Rev Req'!B5</f>
        <v>2029</v>
      </c>
      <c r="C4" s="115">
        <f>'Total Rev Req'!C5</f>
        <v>2030</v>
      </c>
      <c r="D4" s="115">
        <f>'Total Rev Req'!D5</f>
        <v>2031</v>
      </c>
      <c r="E4" s="115">
        <f>'Total Rev Req'!E5</f>
        <v>2032</v>
      </c>
      <c r="F4" s="115">
        <f>'Total Rev Req'!F5</f>
        <v>2033</v>
      </c>
      <c r="G4" s="115">
        <f>'Total Rev Req'!G5</f>
        <v>2034</v>
      </c>
      <c r="H4" s="115">
        <f>'Total Rev Req'!H5</f>
        <v>2035</v>
      </c>
      <c r="I4" s="115">
        <f>'Total Rev Req'!I5</f>
        <v>2036</v>
      </c>
      <c r="J4" s="115">
        <f>'Total Rev Req'!J5</f>
        <v>2037</v>
      </c>
      <c r="K4" s="115">
        <f>'Total Rev Req'!K5</f>
        <v>2038</v>
      </c>
      <c r="L4" s="115">
        <f>'Total Rev Req'!L5</f>
        <v>2039</v>
      </c>
      <c r="M4" s="115">
        <f>'Total Rev Req'!M5</f>
        <v>2040</v>
      </c>
      <c r="N4" s="115">
        <f>'Total Rev Req'!N5</f>
        <v>2041</v>
      </c>
      <c r="O4" s="115">
        <f>'Total Rev Req'!O5</f>
        <v>2042</v>
      </c>
      <c r="P4" s="115">
        <f>'Total Rev Req'!P5</f>
        <v>2043</v>
      </c>
      <c r="Q4" s="115">
        <f>'Total Rev Req'!Q5</f>
        <v>2044</v>
      </c>
      <c r="R4" s="115">
        <f>'Total Rev Req'!R5</f>
        <v>2045</v>
      </c>
      <c r="S4" s="115">
        <f>'Total Rev Req'!S5</f>
        <v>2046</v>
      </c>
      <c r="T4" s="115">
        <f>'Total Rev Req'!T5</f>
        <v>2047</v>
      </c>
      <c r="U4" s="115">
        <f>'Total Rev Req'!U5</f>
        <v>2048</v>
      </c>
      <c r="V4" s="115">
        <f>'Total Rev Req'!V5</f>
        <v>2049</v>
      </c>
      <c r="W4" s="115">
        <f>'Total Rev Req'!W5</f>
        <v>2050</v>
      </c>
      <c r="X4" s="115">
        <f>'Total Rev Req'!X5</f>
        <v>2051</v>
      </c>
      <c r="Y4" s="115">
        <f>'Total Rev Req'!Y5</f>
        <v>2052</v>
      </c>
      <c r="Z4" s="115">
        <f>'Total Rev Req'!Z5</f>
        <v>2053</v>
      </c>
    </row>
    <row r="5" spans="1:26">
      <c r="A5" s="7" t="str">
        <f>'Total Rev Req'!A6</f>
        <v>Operations and Maint Expense - Account 549</v>
      </c>
      <c r="B5" s="55" cm="1">
        <f t="array" ref="B5">'Total Rev Req'!B6*Allocator</f>
        <v>0</v>
      </c>
      <c r="C5" s="55" cm="1">
        <f t="array" ref="C5">'Total Rev Req'!C6*Allocator</f>
        <v>0</v>
      </c>
      <c r="D5" s="55" cm="1">
        <f t="array" ref="D5">'Total Rev Req'!D6*Allocator</f>
        <v>0</v>
      </c>
      <c r="E5" s="55" cm="1">
        <f t="array" ref="E5">'Total Rev Req'!E6*Allocator</f>
        <v>0</v>
      </c>
      <c r="F5" s="55" cm="1">
        <f t="array" ref="F5">'Total Rev Req'!F6*Allocator</f>
        <v>0</v>
      </c>
      <c r="G5" s="55" cm="1">
        <f t="array" ref="G5">'Total Rev Req'!G6*Allocator</f>
        <v>0</v>
      </c>
      <c r="H5" s="55" cm="1">
        <f t="array" ref="H5">'Total Rev Req'!H6*Allocator</f>
        <v>0</v>
      </c>
      <c r="I5" s="55" cm="1">
        <f t="array" ref="I5">'Total Rev Req'!I6*Allocator</f>
        <v>0</v>
      </c>
      <c r="J5" s="55" cm="1">
        <f t="array" ref="J5">'Total Rev Req'!J6*Allocator</f>
        <v>0</v>
      </c>
      <c r="K5" s="55" cm="1">
        <f t="array" ref="K5">'Total Rev Req'!K6*Allocator</f>
        <v>0</v>
      </c>
      <c r="L5" s="55" cm="1">
        <f t="array" ref="L5">'Total Rev Req'!L6*Allocator</f>
        <v>0</v>
      </c>
      <c r="M5" s="55" cm="1">
        <f t="array" ref="M5">'Total Rev Req'!M6*Allocator</f>
        <v>0</v>
      </c>
      <c r="N5" s="55" cm="1">
        <f t="array" ref="N5">'Total Rev Req'!N6*Allocator</f>
        <v>0</v>
      </c>
      <c r="O5" s="55" cm="1">
        <f t="array" ref="O5">'Total Rev Req'!O6*Allocator</f>
        <v>0</v>
      </c>
      <c r="P5" s="55" cm="1">
        <f t="array" ref="P5">'Total Rev Req'!P6*Allocator</f>
        <v>0</v>
      </c>
      <c r="Q5" s="55" cm="1">
        <f t="array" ref="Q5">'Total Rev Req'!Q6*Allocator</f>
        <v>0</v>
      </c>
      <c r="R5" s="55" cm="1">
        <f t="array" ref="R5">'Total Rev Req'!R6*Allocator</f>
        <v>0</v>
      </c>
      <c r="S5" s="55" cm="1">
        <f t="array" ref="S5">'Total Rev Req'!S6*Allocator</f>
        <v>0</v>
      </c>
      <c r="T5" s="55" cm="1">
        <f t="array" ref="T5">'Total Rev Req'!T6*Allocator</f>
        <v>0</v>
      </c>
      <c r="U5" s="55" cm="1">
        <f t="array" ref="U5">'Total Rev Req'!U6*Allocator</f>
        <v>0</v>
      </c>
      <c r="V5" s="55" cm="1">
        <f t="array" ref="V5">'Total Rev Req'!V6*Allocator</f>
        <v>0</v>
      </c>
      <c r="W5" s="55" cm="1">
        <f t="array" ref="W5">'Total Rev Req'!W6*Allocator</f>
        <v>0</v>
      </c>
      <c r="X5" s="55" cm="1">
        <f t="array" ref="X5">'Total Rev Req'!X6*Allocator</f>
        <v>0</v>
      </c>
      <c r="Y5" s="55" cm="1">
        <f t="array" ref="Y5">'Total Rev Req'!Y6*Allocator</f>
        <v>0</v>
      </c>
      <c r="Z5" s="55" cm="1">
        <f t="array" ref="Z5">'Total Rev Req'!Z6*Allocator</f>
        <v>0</v>
      </c>
    </row>
    <row r="6" spans="1:26">
      <c r="A6" s="7" t="str">
        <f>'Total Rev Req'!A7</f>
        <v>Property Tax Expense - Account 408</v>
      </c>
      <c r="B6" s="55" cm="1">
        <f t="array" ref="B6">'Total Rev Req'!B7*Allocator</f>
        <v>54318.551869183371</v>
      </c>
      <c r="C6" s="55" cm="1">
        <f t="array" ref="C6">'Total Rev Req'!C7*Allocator</f>
        <v>51961.095278509798</v>
      </c>
      <c r="D6" s="55" cm="1">
        <f t="array" ref="D6">'Total Rev Req'!D7*Allocator</f>
        <v>49679.646564815892</v>
      </c>
      <c r="E6" s="55" cm="1">
        <f t="array" ref="E6">'Total Rev Req'!E7*Allocator</f>
        <v>47468.315818815405</v>
      </c>
      <c r="F6" s="55" cm="1">
        <f t="array" ref="F6">'Total Rev Req'!F7*Allocator</f>
        <v>45322.054546834399</v>
      </c>
      <c r="G6" s="55" cm="1">
        <f t="array" ref="G6">'Total Rev Req'!G7*Allocator</f>
        <v>43235.81425519898</v>
      </c>
      <c r="H6" s="55" cm="1">
        <f t="array" ref="H6">'Total Rev Req'!H7*Allocator</f>
        <v>41205.247629912119</v>
      </c>
      <c r="I6" s="55" cm="1">
        <f t="array" ref="I6">'Total Rev Req'!I7*Allocator</f>
        <v>39226.007356976857</v>
      </c>
      <c r="J6" s="55" cm="1">
        <f t="array" ref="J6">'Total Rev Req'!J7*Allocator</f>
        <v>37255.181240164799</v>
      </c>
      <c r="K6" s="55" cm="1">
        <f t="array" ref="K6">'Total Rev Req'!K7*Allocator</f>
        <v>35284.495359288128</v>
      </c>
      <c r="L6" s="55" cm="1">
        <f t="array" ref="L6">'Total Rev Req'!L7*Allocator</f>
        <v>33313.669242476069</v>
      </c>
      <c r="M6" s="55" cm="1">
        <f t="array" ref="M6">'Total Rev Req'!M7*Allocator</f>
        <v>32744.701799363804</v>
      </c>
      <c r="N6" s="55" cm="1">
        <f t="array" ref="N6">'Total Rev Req'!N7*Allocator</f>
        <v>0</v>
      </c>
      <c r="O6" s="55" cm="1">
        <f t="array" ref="O6">'Total Rev Req'!O7*Allocator</f>
        <v>0</v>
      </c>
      <c r="P6" s="55" cm="1">
        <f t="array" ref="P6">'Total Rev Req'!P7*Allocator</f>
        <v>0</v>
      </c>
      <c r="Q6" s="55" cm="1">
        <f t="array" ref="Q6">'Total Rev Req'!Q7*Allocator</f>
        <v>0</v>
      </c>
      <c r="R6" s="55" cm="1">
        <f t="array" ref="R6">'Total Rev Req'!R7*Allocator</f>
        <v>0</v>
      </c>
      <c r="S6" s="55" cm="1">
        <f t="array" ref="S6">'Total Rev Req'!S7*Allocator</f>
        <v>0</v>
      </c>
      <c r="T6" s="55" cm="1">
        <f t="array" ref="T6">'Total Rev Req'!T7*Allocator</f>
        <v>0</v>
      </c>
      <c r="U6" s="55" cm="1">
        <f t="array" ref="U6">'Total Rev Req'!U7*Allocator</f>
        <v>0</v>
      </c>
      <c r="V6" s="55" cm="1">
        <f t="array" ref="V6">'Total Rev Req'!V7*Allocator</f>
        <v>0</v>
      </c>
      <c r="W6" s="55" cm="1">
        <f t="array" ref="W6">'Total Rev Req'!W7*Allocator</f>
        <v>0</v>
      </c>
      <c r="X6" s="55" cm="1">
        <f t="array" ref="X6">'Total Rev Req'!X7*Allocator</f>
        <v>0</v>
      </c>
      <c r="Y6" s="55" cm="1">
        <f t="array" ref="Y6">'Total Rev Req'!Y7*Allocator</f>
        <v>0</v>
      </c>
      <c r="Z6" s="55" cm="1">
        <f t="array" ref="Z6">'Total Rev Req'!Z7*Allocator</f>
        <v>0</v>
      </c>
    </row>
    <row r="7" spans="1:2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spans="1:26">
      <c r="A8" s="7">
        <f>'Total Rev Req'!A9</f>
        <v>0</v>
      </c>
      <c r="B8" s="55" cm="1">
        <f t="array" ref="B8">'Total Rev Req'!B9*Allocator</f>
        <v>0</v>
      </c>
      <c r="C8" s="55" cm="1">
        <f t="array" ref="C8">'Total Rev Req'!C9*Allocator</f>
        <v>0</v>
      </c>
      <c r="D8" s="55" cm="1">
        <f t="array" ref="D8">'Total Rev Req'!D9*Allocator</f>
        <v>0</v>
      </c>
      <c r="E8" s="55" cm="1">
        <f t="array" ref="E8">'Total Rev Req'!E9*Allocator</f>
        <v>0</v>
      </c>
      <c r="F8" s="55" cm="1">
        <f t="array" ref="F8">'Total Rev Req'!F9*Allocator</f>
        <v>0</v>
      </c>
      <c r="G8" s="55" cm="1">
        <f t="array" ref="G8">'Total Rev Req'!G9*Allocator</f>
        <v>0</v>
      </c>
      <c r="H8" s="55" cm="1">
        <f t="array" ref="H8">'Total Rev Req'!H9*Allocator</f>
        <v>0</v>
      </c>
      <c r="I8" s="55" cm="1">
        <f t="array" ref="I8">'Total Rev Req'!I9*Allocator</f>
        <v>0</v>
      </c>
      <c r="J8" s="55" cm="1">
        <f t="array" ref="J8">'Total Rev Req'!J9*Allocator</f>
        <v>0</v>
      </c>
      <c r="K8" s="55" cm="1">
        <f t="array" ref="K8">'Total Rev Req'!K9*Allocator</f>
        <v>0</v>
      </c>
      <c r="L8" s="55" cm="1">
        <f t="array" ref="L8">'Total Rev Req'!L9*Allocator</f>
        <v>0</v>
      </c>
      <c r="M8" s="55" cm="1">
        <f t="array" ref="M8">'Total Rev Req'!M9*Allocator</f>
        <v>0</v>
      </c>
      <c r="N8" s="55" cm="1">
        <f t="array" ref="N8">'Total Rev Req'!N9*Allocator</f>
        <v>0</v>
      </c>
      <c r="O8" s="55" cm="1">
        <f t="array" ref="O8">'Total Rev Req'!O9*Allocator</f>
        <v>0</v>
      </c>
      <c r="P8" s="55" cm="1">
        <f t="array" ref="P8">'Total Rev Req'!P9*Allocator</f>
        <v>0</v>
      </c>
      <c r="Q8" s="55" cm="1">
        <f t="array" ref="Q8">'Total Rev Req'!Q9*Allocator</f>
        <v>0</v>
      </c>
      <c r="R8" s="55" cm="1">
        <f t="array" ref="R8">'Total Rev Req'!R9*Allocator</f>
        <v>0</v>
      </c>
      <c r="S8" s="55" cm="1">
        <f t="array" ref="S8">'Total Rev Req'!S9*Allocator</f>
        <v>0</v>
      </c>
      <c r="T8" s="55" cm="1">
        <f t="array" ref="T8">'Total Rev Req'!T9*Allocator</f>
        <v>0</v>
      </c>
      <c r="U8" s="55" cm="1">
        <f t="array" ref="U8">'Total Rev Req'!U9*Allocator</f>
        <v>0</v>
      </c>
      <c r="V8" s="55" cm="1">
        <f t="array" ref="V8">'Total Rev Req'!V9*Allocator</f>
        <v>0</v>
      </c>
      <c r="W8" s="55" cm="1">
        <f t="array" ref="W8">'Total Rev Req'!W9*Allocator</f>
        <v>0</v>
      </c>
      <c r="X8" s="55" cm="1">
        <f t="array" ref="X8">'Total Rev Req'!X9*Allocator</f>
        <v>0</v>
      </c>
      <c r="Y8" s="55" cm="1">
        <f t="array" ref="Y8">'Total Rev Req'!Y9*Allocator</f>
        <v>0</v>
      </c>
      <c r="Z8" s="55" cm="1">
        <f t="array" ref="Z8">'Total Rev Req'!Z9*Allocator</f>
        <v>0</v>
      </c>
    </row>
    <row r="9" spans="1:26">
      <c r="A9" s="7" t="str">
        <f>'Total Rev Req'!A10</f>
        <v>WV B&amp;O Tax</v>
      </c>
      <c r="B9" s="55" cm="1">
        <f t="array" ref="B9">'Total Rev Req'!B10*Allocator</f>
        <v>0</v>
      </c>
      <c r="C9" s="55" cm="1">
        <f t="array" ref="C9">'Total Rev Req'!C10*Allocator</f>
        <v>0</v>
      </c>
      <c r="D9" s="55" cm="1">
        <f t="array" ref="D9">'Total Rev Req'!D10*Allocator</f>
        <v>0</v>
      </c>
      <c r="E9" s="55" cm="1">
        <f t="array" ref="E9">'Total Rev Req'!E10*Allocator</f>
        <v>0</v>
      </c>
      <c r="F9" s="55" cm="1">
        <f t="array" ref="F9">'Total Rev Req'!F10*Allocator</f>
        <v>0</v>
      </c>
      <c r="G9" s="55" cm="1">
        <f t="array" ref="G9">'Total Rev Req'!G10*Allocator</f>
        <v>0</v>
      </c>
      <c r="H9" s="55" cm="1">
        <f t="array" ref="H9">'Total Rev Req'!H10*Allocator</f>
        <v>0</v>
      </c>
      <c r="I9" s="55" cm="1">
        <f t="array" ref="I9">'Total Rev Req'!I10*Allocator</f>
        <v>0</v>
      </c>
      <c r="J9" s="55" cm="1">
        <f t="array" ref="J9">'Total Rev Req'!J10*Allocator</f>
        <v>0</v>
      </c>
      <c r="K9" s="55" cm="1">
        <f t="array" ref="K9">'Total Rev Req'!K10*Allocator</f>
        <v>0</v>
      </c>
      <c r="L9" s="55" cm="1">
        <f t="array" ref="L9">'Total Rev Req'!L10*Allocator</f>
        <v>0</v>
      </c>
      <c r="M9" s="55" cm="1">
        <f t="array" ref="M9">'Total Rev Req'!M10*Allocator</f>
        <v>0</v>
      </c>
      <c r="N9" s="55" cm="1">
        <f t="array" ref="N9">'Total Rev Req'!N10*Allocator</f>
        <v>0</v>
      </c>
      <c r="O9" s="55" cm="1">
        <f t="array" ref="O9">'Total Rev Req'!O10*Allocator</f>
        <v>0</v>
      </c>
      <c r="P9" s="55" cm="1">
        <f t="array" ref="P9">'Total Rev Req'!P10*Allocator</f>
        <v>0</v>
      </c>
      <c r="Q9" s="55" cm="1">
        <f t="array" ref="Q9">'Total Rev Req'!Q10*Allocator</f>
        <v>0</v>
      </c>
      <c r="R9" s="55" cm="1">
        <f t="array" ref="R9">'Total Rev Req'!R10*Allocator</f>
        <v>0</v>
      </c>
      <c r="S9" s="55" cm="1">
        <f t="array" ref="S9">'Total Rev Req'!S10*Allocator</f>
        <v>0</v>
      </c>
      <c r="T9" s="55" cm="1">
        <f t="array" ref="T9">'Total Rev Req'!T10*Allocator</f>
        <v>0</v>
      </c>
      <c r="U9" s="55" cm="1">
        <f t="array" ref="U9">'Total Rev Req'!U10*Allocator</f>
        <v>0</v>
      </c>
      <c r="V9" s="55" cm="1">
        <f t="array" ref="V9">'Total Rev Req'!V10*Allocator</f>
        <v>0</v>
      </c>
      <c r="W9" s="55" cm="1">
        <f t="array" ref="W9">'Total Rev Req'!W10*Allocator</f>
        <v>0</v>
      </c>
      <c r="X9" s="55" cm="1">
        <f t="array" ref="X9">'Total Rev Req'!X10*Allocator</f>
        <v>0</v>
      </c>
      <c r="Y9" s="55" cm="1">
        <f t="array" ref="Y9">'Total Rev Req'!Y10*Allocator</f>
        <v>0</v>
      </c>
      <c r="Z9" s="55" cm="1">
        <f t="array" ref="Z9">'Total Rev Req'!Z10*Allocator</f>
        <v>0</v>
      </c>
    </row>
    <row r="10" spans="1:26">
      <c r="A10" s="7">
        <f>'Total Rev Req'!A11</f>
        <v>0</v>
      </c>
      <c r="B10" s="55" cm="1">
        <f t="array" ref="B10">'Total Rev Req'!B11*Allocator</f>
        <v>0</v>
      </c>
      <c r="C10" s="55" cm="1">
        <f t="array" ref="C10">'Total Rev Req'!C11*Allocator</f>
        <v>0</v>
      </c>
      <c r="D10" s="55" cm="1">
        <f t="array" ref="D10">'Total Rev Req'!D11*Allocator</f>
        <v>0</v>
      </c>
      <c r="E10" s="55" cm="1">
        <f t="array" ref="E10">'Total Rev Req'!E11*Allocator</f>
        <v>0</v>
      </c>
      <c r="F10" s="55" cm="1">
        <f t="array" ref="F10">'Total Rev Req'!F11*Allocator</f>
        <v>0</v>
      </c>
      <c r="G10" s="55" cm="1">
        <f t="array" ref="G10">'Total Rev Req'!G11*Allocator</f>
        <v>0</v>
      </c>
      <c r="H10" s="55" cm="1">
        <f t="array" ref="H10">'Total Rev Req'!H11*Allocator</f>
        <v>0</v>
      </c>
      <c r="I10" s="55" cm="1">
        <f t="array" ref="I10">'Total Rev Req'!I11*Allocator</f>
        <v>0</v>
      </c>
      <c r="J10" s="55" cm="1">
        <f t="array" ref="J10">'Total Rev Req'!J11*Allocator</f>
        <v>0</v>
      </c>
      <c r="K10" s="55" cm="1">
        <f t="array" ref="K10">'Total Rev Req'!K11*Allocator</f>
        <v>0</v>
      </c>
      <c r="L10" s="55" cm="1">
        <f t="array" ref="L10">'Total Rev Req'!L11*Allocator</f>
        <v>0</v>
      </c>
      <c r="M10" s="55" cm="1">
        <f t="array" ref="M10">'Total Rev Req'!M11*Allocator</f>
        <v>0</v>
      </c>
      <c r="N10" s="55" cm="1">
        <f t="array" ref="N10">'Total Rev Req'!N11*Allocator</f>
        <v>0</v>
      </c>
      <c r="O10" s="55" cm="1">
        <f t="array" ref="O10">'Total Rev Req'!O11*Allocator</f>
        <v>0</v>
      </c>
      <c r="P10" s="55" cm="1">
        <f t="array" ref="P10">'Total Rev Req'!P11*Allocator</f>
        <v>0</v>
      </c>
      <c r="Q10" s="55" cm="1">
        <f t="array" ref="Q10">'Total Rev Req'!Q11*Allocator</f>
        <v>0</v>
      </c>
      <c r="R10" s="55" cm="1">
        <f t="array" ref="R10">'Total Rev Req'!R11*Allocator</f>
        <v>0</v>
      </c>
      <c r="S10" s="55" cm="1">
        <f t="array" ref="S10">'Total Rev Req'!S11*Allocator</f>
        <v>0</v>
      </c>
      <c r="T10" s="55" cm="1">
        <f t="array" ref="T10">'Total Rev Req'!T11*Allocator</f>
        <v>0</v>
      </c>
      <c r="U10" s="55" cm="1">
        <f t="array" ref="U10">'Total Rev Req'!U11*Allocator</f>
        <v>0</v>
      </c>
      <c r="V10" s="55" cm="1">
        <f t="array" ref="V10">'Total Rev Req'!V11*Allocator</f>
        <v>0</v>
      </c>
      <c r="W10" s="55" cm="1">
        <f t="array" ref="W10">'Total Rev Req'!W11*Allocator</f>
        <v>0</v>
      </c>
      <c r="X10" s="55" cm="1">
        <f t="array" ref="X10">'Total Rev Req'!X11*Allocator</f>
        <v>0</v>
      </c>
      <c r="Y10" s="55" cm="1">
        <f t="array" ref="Y10">'Total Rev Req'!Y11*Allocator</f>
        <v>0</v>
      </c>
      <c r="Z10" s="55" cm="1">
        <f t="array" ref="Z10">'Total Rev Req'!Z11*Allocator</f>
        <v>0</v>
      </c>
    </row>
    <row r="11" spans="1:26">
      <c r="A11" s="7">
        <f>'Total Rev Req'!A12</f>
        <v>0</v>
      </c>
      <c r="B11" s="55" cm="1">
        <f t="array" ref="B11">'Total Rev Req'!B12*Allocator</f>
        <v>0</v>
      </c>
      <c r="C11" s="55" cm="1">
        <f t="array" ref="C11">'Total Rev Req'!C12*Allocator</f>
        <v>0</v>
      </c>
      <c r="D11" s="55" cm="1">
        <f t="array" ref="D11">'Total Rev Req'!D12*Allocator</f>
        <v>0</v>
      </c>
      <c r="E11" s="55" cm="1">
        <f t="array" ref="E11">'Total Rev Req'!E12*Allocator</f>
        <v>0</v>
      </c>
      <c r="F11" s="55" cm="1">
        <f t="array" ref="F11">'Total Rev Req'!F12*Allocator</f>
        <v>0</v>
      </c>
      <c r="G11" s="55" cm="1">
        <f t="array" ref="G11">'Total Rev Req'!G12*Allocator</f>
        <v>0</v>
      </c>
      <c r="H11" s="55" cm="1">
        <f t="array" ref="H11">'Total Rev Req'!H12*Allocator</f>
        <v>0</v>
      </c>
      <c r="I11" s="55" cm="1">
        <f t="array" ref="I11">'Total Rev Req'!I12*Allocator</f>
        <v>0</v>
      </c>
      <c r="J11" s="55" cm="1">
        <f t="array" ref="J11">'Total Rev Req'!J12*Allocator</f>
        <v>0</v>
      </c>
      <c r="K11" s="55" cm="1">
        <f t="array" ref="K11">'Total Rev Req'!K12*Allocator</f>
        <v>0</v>
      </c>
      <c r="L11" s="55" cm="1">
        <f t="array" ref="L11">'Total Rev Req'!L12*Allocator</f>
        <v>0</v>
      </c>
      <c r="M11" s="55" cm="1">
        <f t="array" ref="M11">'Total Rev Req'!M12*Allocator</f>
        <v>0</v>
      </c>
      <c r="N11" s="55" cm="1">
        <f t="array" ref="N11">'Total Rev Req'!N12*Allocator</f>
        <v>0</v>
      </c>
      <c r="O11" s="55" cm="1">
        <f t="array" ref="O11">'Total Rev Req'!O12*Allocator</f>
        <v>0</v>
      </c>
      <c r="P11" s="55" cm="1">
        <f t="array" ref="P11">'Total Rev Req'!P12*Allocator</f>
        <v>0</v>
      </c>
      <c r="Q11" s="55" cm="1">
        <f t="array" ref="Q11">'Total Rev Req'!Q12*Allocator</f>
        <v>0</v>
      </c>
      <c r="R11" s="55" cm="1">
        <f t="array" ref="R11">'Total Rev Req'!R12*Allocator</f>
        <v>0</v>
      </c>
      <c r="S11" s="55" cm="1">
        <f t="array" ref="S11">'Total Rev Req'!S12*Allocator</f>
        <v>0</v>
      </c>
      <c r="T11" s="55" cm="1">
        <f t="array" ref="T11">'Total Rev Req'!T12*Allocator</f>
        <v>0</v>
      </c>
      <c r="U11" s="55" cm="1">
        <f t="array" ref="U11">'Total Rev Req'!U12*Allocator</f>
        <v>0</v>
      </c>
      <c r="V11" s="55" cm="1">
        <f t="array" ref="V11">'Total Rev Req'!V12*Allocator</f>
        <v>0</v>
      </c>
      <c r="W11" s="55" cm="1">
        <f t="array" ref="W11">'Total Rev Req'!W12*Allocator</f>
        <v>0</v>
      </c>
      <c r="X11" s="55" cm="1">
        <f t="array" ref="X11">'Total Rev Req'!X12*Allocator</f>
        <v>0</v>
      </c>
      <c r="Y11" s="55" cm="1">
        <f t="array" ref="Y11">'Total Rev Req'!Y12*Allocator</f>
        <v>0</v>
      </c>
      <c r="Z11" s="55" cm="1">
        <f t="array" ref="Z11">'Total Rev Req'!Z12*Allocator</f>
        <v>0</v>
      </c>
    </row>
    <row r="12" spans="1:26">
      <c r="A12" s="7" t="str">
        <f>'Total Rev Req'!A13</f>
        <v>Total O&amp;M Expenses</v>
      </c>
      <c r="B12" s="54">
        <f>'Total Rev Req'!B13*Allocator</f>
        <v>54318.551869183371</v>
      </c>
      <c r="C12" s="54" cm="1">
        <f t="array" ref="C12">'Total Rev Req'!C13*Allocator</f>
        <v>51961.095278509798</v>
      </c>
      <c r="D12" s="54" cm="1">
        <f t="array" ref="D12">'Total Rev Req'!D13*Allocator</f>
        <v>49679.646564815892</v>
      </c>
      <c r="E12" s="54" cm="1">
        <f t="array" ref="E12">'Total Rev Req'!E13*Allocator</f>
        <v>47468.315818815405</v>
      </c>
      <c r="F12" s="54" cm="1">
        <f t="array" ref="F12">'Total Rev Req'!F13*Allocator</f>
        <v>45322.054546834399</v>
      </c>
      <c r="G12" s="54" cm="1">
        <f t="array" ref="G12">'Total Rev Req'!G13*Allocator</f>
        <v>43235.81425519898</v>
      </c>
      <c r="H12" s="54" cm="1">
        <f t="array" ref="H12">'Total Rev Req'!H13*Allocator</f>
        <v>41205.247629912119</v>
      </c>
      <c r="I12" s="54" cm="1">
        <f t="array" ref="I12">'Total Rev Req'!I13*Allocator</f>
        <v>39226.007356976857</v>
      </c>
      <c r="J12" s="54" cm="1">
        <f t="array" ref="J12">'Total Rev Req'!J13*Allocator</f>
        <v>37255.181240164799</v>
      </c>
      <c r="K12" s="54" cm="1">
        <f t="array" ref="K12">'Total Rev Req'!K13*Allocator</f>
        <v>35284.495359288128</v>
      </c>
      <c r="L12" s="54" cm="1">
        <f t="array" ref="L12">'Total Rev Req'!L13*Allocator</f>
        <v>33313.669242476069</v>
      </c>
      <c r="M12" s="54" cm="1">
        <f t="array" ref="M12">'Total Rev Req'!M13*Allocator</f>
        <v>32744.701799363804</v>
      </c>
      <c r="N12" s="54" cm="1">
        <f t="array" ref="N12">'Total Rev Req'!N13*Allocator</f>
        <v>0</v>
      </c>
      <c r="O12" s="54" cm="1">
        <f t="array" ref="O12">'Total Rev Req'!O13*Allocator</f>
        <v>0</v>
      </c>
      <c r="P12" s="54" cm="1">
        <f t="array" ref="P12">'Total Rev Req'!P13*Allocator</f>
        <v>0</v>
      </c>
      <c r="Q12" s="54" cm="1">
        <f t="array" ref="Q12">'Total Rev Req'!Q13*Allocator</f>
        <v>0</v>
      </c>
      <c r="R12" s="54" cm="1">
        <f t="array" ref="R12">'Total Rev Req'!R13*Allocator</f>
        <v>0</v>
      </c>
      <c r="S12" s="54" cm="1">
        <f t="array" ref="S12">'Total Rev Req'!S13*Allocator</f>
        <v>0</v>
      </c>
      <c r="T12" s="54" cm="1">
        <f t="array" ref="T12">'Total Rev Req'!T13*Allocator</f>
        <v>0</v>
      </c>
      <c r="U12" s="54" cm="1">
        <f t="array" ref="U12">'Total Rev Req'!U13*Allocator</f>
        <v>0</v>
      </c>
      <c r="V12" s="54" cm="1">
        <f t="array" ref="V12">'Total Rev Req'!V13*Allocator</f>
        <v>0</v>
      </c>
      <c r="W12" s="54" cm="1">
        <f t="array" ref="W12">'Total Rev Req'!W13*Allocator</f>
        <v>0</v>
      </c>
      <c r="X12" s="54" cm="1">
        <f t="array" ref="X12">'Total Rev Req'!X13*Allocator</f>
        <v>0</v>
      </c>
      <c r="Y12" s="54" cm="1">
        <f t="array" ref="Y12">'Total Rev Req'!Y13*Allocator</f>
        <v>0</v>
      </c>
      <c r="Z12" s="54" cm="1">
        <f t="array" ref="Z12">'Total Rev Req'!Z13*Allocator</f>
        <v>0</v>
      </c>
    </row>
    <row r="13" spans="1:26">
      <c r="A13" s="7" t="str">
        <f>'Total Rev Req'!A14</f>
        <v>Plant Depreciation - Account 403</v>
      </c>
      <c r="B13" s="55">
        <f>'Total Rev Req'!B14*Allocator</f>
        <v>3090424.15</v>
      </c>
      <c r="C13" s="55" cm="1">
        <f t="array" ref="C13">'Total Rev Req'!C14*Allocator</f>
        <v>3090424.15</v>
      </c>
      <c r="D13" s="55" cm="1">
        <f t="array" ref="D13">'Total Rev Req'!D14*Allocator</f>
        <v>3090424.15</v>
      </c>
      <c r="E13" s="55" cm="1">
        <f t="array" ref="E13">'Total Rev Req'!E14*Allocator</f>
        <v>3090424.15</v>
      </c>
      <c r="F13" s="55" cm="1">
        <f t="array" ref="F13">'Total Rev Req'!F14*Allocator</f>
        <v>3090424.15</v>
      </c>
      <c r="G13" s="55" cm="1">
        <f t="array" ref="G13">'Total Rev Req'!G14*Allocator</f>
        <v>3090424.15</v>
      </c>
      <c r="H13" s="55" cm="1">
        <f t="array" ref="H13">'Total Rev Req'!H14*Allocator</f>
        <v>3090424.15</v>
      </c>
      <c r="I13" s="55" cm="1">
        <f t="array" ref="I13">'Total Rev Req'!I14*Allocator</f>
        <v>3090424.15</v>
      </c>
      <c r="J13" s="55" cm="1">
        <f t="array" ref="J13">'Total Rev Req'!J14*Allocator</f>
        <v>3090424.15</v>
      </c>
      <c r="K13" s="55" cm="1">
        <f t="array" ref="K13">'Total Rev Req'!K14*Allocator</f>
        <v>3090424.15</v>
      </c>
      <c r="L13" s="55" cm="1">
        <f t="array" ref="L13">'Total Rev Req'!L14*Allocator</f>
        <v>3090424.15</v>
      </c>
      <c r="M13" s="55" cm="1">
        <f t="array" ref="M13">'Total Rev Req'!M14*Allocator</f>
        <v>3170174.15</v>
      </c>
      <c r="N13" s="55" cm="1">
        <f t="array" ref="N13">'Total Rev Req'!N14*Allocator</f>
        <v>0</v>
      </c>
      <c r="O13" s="55" cm="1">
        <f t="array" ref="O13">'Total Rev Req'!O14*Allocator</f>
        <v>0</v>
      </c>
      <c r="P13" s="55" cm="1">
        <f t="array" ref="P13">'Total Rev Req'!P14*Allocator</f>
        <v>0</v>
      </c>
      <c r="Q13" s="55" cm="1">
        <f t="array" ref="Q13">'Total Rev Req'!Q14*Allocator</f>
        <v>0</v>
      </c>
      <c r="R13" s="55" cm="1">
        <f t="array" ref="R13">'Total Rev Req'!R14*Allocator</f>
        <v>0</v>
      </c>
      <c r="S13" s="55" cm="1">
        <f t="array" ref="S13">'Total Rev Req'!S14*Allocator</f>
        <v>0</v>
      </c>
      <c r="T13" s="55" cm="1">
        <f t="array" ref="T13">'Total Rev Req'!T14*Allocator</f>
        <v>0</v>
      </c>
      <c r="U13" s="55" cm="1">
        <f t="array" ref="U13">'Total Rev Req'!U14*Allocator</f>
        <v>0</v>
      </c>
      <c r="V13" s="55" cm="1">
        <f t="array" ref="V13">'Total Rev Req'!V14*Allocator</f>
        <v>0</v>
      </c>
      <c r="W13" s="55" cm="1">
        <f t="array" ref="W13">'Total Rev Req'!W14*Allocator</f>
        <v>0</v>
      </c>
      <c r="X13" s="55" cm="1">
        <f t="array" ref="X13">'Total Rev Req'!X14*Allocator</f>
        <v>0</v>
      </c>
      <c r="Y13" s="55" cm="1">
        <f t="array" ref="Y13">'Total Rev Req'!Y14*Allocator</f>
        <v>0</v>
      </c>
      <c r="Z13" s="55" cm="1">
        <f t="array" ref="Z13">'Total Rev Req'!Z14*Allocator</f>
        <v>0</v>
      </c>
    </row>
    <row r="14" spans="1:26">
      <c r="A14" s="7" t="str">
        <f>'Total Rev Req'!A15</f>
        <v>Current SIT</v>
      </c>
      <c r="B14" s="55" cm="1">
        <f t="array" ref="B14">'Total Rev Req'!B15*Allocator</f>
        <v>-323471.45464663999</v>
      </c>
      <c r="C14" s="55" cm="1">
        <f t="array" ref="C14">'Total Rev Req'!C15*Allocator</f>
        <v>-485693.2411562301</v>
      </c>
      <c r="D14" s="55" cm="1">
        <f t="array" ref="D14">'Total Rev Req'!D15*Allocator</f>
        <v>-453446.235042941</v>
      </c>
      <c r="E14" s="55" cm="1">
        <f t="array" ref="E14">'Total Rev Req'!E15*Allocator</f>
        <v>-423420.24547811435</v>
      </c>
      <c r="F14" s="55" cm="1">
        <f t="array" ref="F14">'Total Rev Req'!F15*Allocator</f>
        <v>-395310.9244011573</v>
      </c>
      <c r="G14" s="55" cm="1">
        <f t="array" ref="G14">'Total Rev Req'!G15*Allocator</f>
        <v>-369105.12308434723</v>
      </c>
      <c r="H14" s="55" cm="1">
        <f t="array" ref="H14">'Total Rev Req'!H15*Allocator</f>
        <v>-344548.85290141974</v>
      </c>
      <c r="I14" s="55" cm="1">
        <f t="array" ref="I14">'Total Rev Req'!I15*Allocator</f>
        <v>-321630.79133683606</v>
      </c>
      <c r="J14" s="55" cm="1">
        <f t="array" ref="J14">'Total Rev Req'!J15*Allocator</f>
        <v>-313585.8102948271</v>
      </c>
      <c r="K14" s="55" cm="1">
        <f t="array" ref="K14">'Total Rev Req'!K15*Allocator</f>
        <v>-308404.65460180969</v>
      </c>
      <c r="L14" s="55" cm="1">
        <f t="array" ref="L14">'Total Rev Req'!L15*Allocator</f>
        <v>-303320.20011064573</v>
      </c>
      <c r="M14" s="55" cm="1">
        <f t="array" ref="M14">'Total Rev Req'!M15*Allocator</f>
        <v>-306486.3932784861</v>
      </c>
      <c r="N14" s="55" cm="1">
        <f t="array" ref="N14">'Total Rev Req'!N15*Allocator</f>
        <v>-307574.08081259462</v>
      </c>
      <c r="O14" s="55" cm="1">
        <f t="array" ref="O14">'Total Rev Req'!O15*Allocator</f>
        <v>-305187.00500584178</v>
      </c>
      <c r="P14" s="55" cm="1">
        <f t="array" ref="P14">'Total Rev Req'!P15*Allocator</f>
        <v>-302953.8612646712</v>
      </c>
      <c r="Q14" s="55" cm="1">
        <f t="array" ref="Q14">'Total Rev Req'!Q15*Allocator</f>
        <v>-300673.38580141735</v>
      </c>
      <c r="R14" s="55" cm="1">
        <f t="array" ref="R14">'Total Rev Req'!R15*Allocator</f>
        <v>-298538.66228742641</v>
      </c>
      <c r="S14" s="55" cm="1">
        <f t="array" ref="S14">'Total Rev Req'!S15*Allocator</f>
        <v>-296349.72557991592</v>
      </c>
      <c r="T14" s="55" cm="1">
        <f t="array" ref="T14">'Total Rev Req'!T15*Allocator</f>
        <v>-294299.70557011547</v>
      </c>
      <c r="U14" s="55" cm="1">
        <f t="array" ref="U14">'Total Rev Req'!U15*Allocator</f>
        <v>-292536.77402166155</v>
      </c>
      <c r="V14" s="55" cm="1">
        <f t="array" ref="V14">'Total Rev Req'!V15*Allocator</f>
        <v>-183466.01662368985</v>
      </c>
      <c r="W14" s="55" cm="1">
        <f t="array" ref="W14">'Total Rev Req'!W15*Allocator</f>
        <v>-75148.403819343963</v>
      </c>
      <c r="X14" s="55" cm="1">
        <f t="array" ref="X14">'Total Rev Req'!X15*Allocator</f>
        <v>-75105.914014469716</v>
      </c>
      <c r="Y14" s="55" cm="1">
        <f t="array" ref="Y14">'Total Rev Req'!Y15*Allocator</f>
        <v>-75065.91981561885</v>
      </c>
      <c r="Z14" s="55" cm="1">
        <f t="array" ref="Z14">'Total Rev Req'!Z15*Allocator</f>
        <v>-75023.430010744632</v>
      </c>
    </row>
    <row r="15" spans="1:26">
      <c r="A15" s="7" t="str">
        <f>'Total Rev Req'!A16</f>
        <v>Deferred SIT</v>
      </c>
      <c r="B15" s="55" cm="1">
        <f t="array" ref="B15">'Total Rev Req'!B16*Allocator</f>
        <v>27178.604401200006</v>
      </c>
      <c r="C15" s="55" cm="1">
        <f t="array" ref="C15">'Total Rev Req'!C16*Allocator</f>
        <v>195540.35202220501</v>
      </c>
      <c r="D15" s="55" cm="1">
        <f t="array" ref="D15">'Total Rev Req'!D16*Allocator</f>
        <v>169235.34561961499</v>
      </c>
      <c r="E15" s="55" cm="1">
        <f t="array" ref="E15">'Total Rev Req'!E16*Allocator</f>
        <v>144968.73454711502</v>
      </c>
      <c r="F15" s="55" cm="1">
        <f t="array" ref="F15">'Total Rev Req'!F16*Allocator</f>
        <v>122449.31947183501</v>
      </c>
      <c r="G15" s="55" cm="1">
        <f t="array" ref="G15">'Total Rev Req'!G16*Allocator</f>
        <v>101677.10039377502</v>
      </c>
      <c r="H15" s="55" cm="1">
        <f t="array" ref="H15">'Total Rev Req'!H16*Allocator</f>
        <v>82409.411202210016</v>
      </c>
      <c r="I15" s="55" cm="1">
        <f t="array" ref="I15">'Total Rev Req'!I16*Allocator</f>
        <v>64646.251897140006</v>
      </c>
      <c r="J15" s="55" cm="1">
        <f t="array" ref="J15">'Total Rev Req'!J16*Allocator</f>
        <v>61734.258568440018</v>
      </c>
      <c r="K15" s="55" cm="1">
        <f t="array" ref="K15">'Total Rev Req'!K16*Allocator</f>
        <v>61685.725346294974</v>
      </c>
      <c r="L15" s="55" cm="1">
        <f t="array" ref="L15">'Total Rev Req'!L16*Allocator</f>
        <v>61734.258568440018</v>
      </c>
      <c r="M15" s="55" cm="1">
        <f t="array" ref="M15">'Total Rev Req'!M16*Allocator</f>
        <v>62387.083346294974</v>
      </c>
      <c r="N15" s="55" cm="1">
        <f t="array" ref="N15">'Total Rev Req'!N16*Allocator</f>
        <v>225596.49328599006</v>
      </c>
      <c r="O15" s="55" cm="1">
        <f t="array" ref="O15">'Total Rev Req'!O16*Allocator</f>
        <v>224869.14571384498</v>
      </c>
      <c r="P15" s="55" cm="1">
        <f t="array" ref="P15">'Total Rev Req'!P16*Allocator</f>
        <v>224291.46643599003</v>
      </c>
      <c r="Q15" s="55" cm="1">
        <f t="array" ref="Q15">'Total Rev Req'!Q16*Allocator</f>
        <v>223661.80801384497</v>
      </c>
      <c r="R15" s="55" cm="1">
        <f t="array" ref="R15">'Total Rev Req'!R16*Allocator</f>
        <v>223174.30333599003</v>
      </c>
      <c r="S15" s="55" cm="1">
        <f t="array" ref="S15">'Total Rev Req'!S16*Allocator</f>
        <v>222628.55738884496</v>
      </c>
      <c r="T15" s="55" cm="1">
        <f t="array" ref="T15">'Total Rev Req'!T16*Allocator</f>
        <v>222218.70306099002</v>
      </c>
      <c r="U15" s="55" cm="1">
        <f t="array" ref="U15">'Total Rev Req'!U16*Allocator</f>
        <v>222095.02433884499</v>
      </c>
      <c r="V15" s="55" cm="1">
        <f t="array" ref="V15">'Total Rev Req'!V16*Allocator</f>
        <v>113864.68653049502</v>
      </c>
      <c r="W15" s="55" cm="1">
        <f t="array" ref="W15">'Total Rev Req'!W16*Allocator</f>
        <v>5588.32035</v>
      </c>
      <c r="X15" s="55" cm="1">
        <f t="array" ref="X15">'Total Rev Req'!X16*Allocator</f>
        <v>5587.0679249999994</v>
      </c>
      <c r="Y15" s="55" cm="1">
        <f t="array" ref="Y15">'Total Rev Req'!Y16*Allocator</f>
        <v>5588.32035</v>
      </c>
      <c r="Z15" s="55" cm="1">
        <f t="array" ref="Z15">'Total Rev Req'!Z16*Allocator</f>
        <v>5587.0679249999994</v>
      </c>
    </row>
    <row r="16" spans="1:26">
      <c r="A16" s="7" t="str">
        <f>'Total Rev Req'!A17</f>
        <v>Current FIT</v>
      </c>
      <c r="B16" s="55" cm="1">
        <f t="array" ref="B16">'Total Rev Req'!B17*Allocator</f>
        <v>-1288020.5618794244</v>
      </c>
      <c r="C16" s="55" cm="1">
        <f t="array" ref="C16">'Total Rev Req'!C17*Allocator</f>
        <v>-1933966.2662304239</v>
      </c>
      <c r="D16" s="55" cm="1">
        <f t="array" ref="D16">'Total Rev Req'!D17*Allocator</f>
        <v>-1805562.951698882</v>
      </c>
      <c r="E16" s="55" cm="1">
        <f t="array" ref="E16">'Total Rev Req'!E17*Allocator</f>
        <v>-1686003.4313927663</v>
      </c>
      <c r="F16" s="55" cm="1">
        <f t="array" ref="F16">'Total Rev Req'!F17*Allocator</f>
        <v>-1574075.8315767578</v>
      </c>
      <c r="G16" s="55" cm="1">
        <f t="array" ref="G16">'Total Rev Req'!G17*Allocator</f>
        <v>-1469727.7957556348</v>
      </c>
      <c r="H16" s="55" cm="1">
        <f t="array" ref="H16">'Total Rev Req'!H17*Allocator</f>
        <v>-1371947.9748028752</v>
      </c>
      <c r="I16" s="55" cm="1">
        <f t="array" ref="I16">'Total Rev Req'!I17*Allocator</f>
        <v>-1280691.2839587051</v>
      </c>
      <c r="J16" s="55" cm="1">
        <f t="array" ref="J16">'Total Rev Req'!J17*Allocator</f>
        <v>-1248657.2331848671</v>
      </c>
      <c r="K16" s="55" cm="1">
        <f t="array" ref="K16">'Total Rev Req'!K17*Allocator</f>
        <v>-1228026.5562857417</v>
      </c>
      <c r="L16" s="55" cm="1">
        <f t="array" ref="L16">'Total Rev Req'!L17*Allocator</f>
        <v>-1207780.9307862259</v>
      </c>
      <c r="M16" s="55" cm="1">
        <f t="array" ref="M16">'Total Rev Req'!M17*Allocator</f>
        <v>-1220388.2933354669</v>
      </c>
      <c r="N16" s="55" cm="1">
        <f t="array" ref="N16">'Total Rev Req'!N17*Allocator</f>
        <v>-1224719.3212784491</v>
      </c>
      <c r="O16" s="55" cm="1">
        <f t="array" ref="O16">'Total Rev Req'!O17*Allocator</f>
        <v>-1215214.3010434448</v>
      </c>
      <c r="P16" s="55" cm="1">
        <f t="array" ref="P16">'Total Rev Req'!P17*Allocator</f>
        <v>-1206322.217940155</v>
      </c>
      <c r="Q16" s="55" cm="1">
        <f t="array" ref="Q16">'Total Rev Req'!Q17*Allocator</f>
        <v>-1197241.6661778947</v>
      </c>
      <c r="R16" s="55" cm="1">
        <f t="array" ref="R16">'Total Rev Req'!R17*Allocator</f>
        <v>-1188741.479405768</v>
      </c>
      <c r="S16" s="55" cm="1">
        <f t="array" ref="S16">'Total Rev Req'!S17*Allocator</f>
        <v>-1180025.4228653042</v>
      </c>
      <c r="T16" s="55" cm="1">
        <f t="array" ref="T16">'Total Rev Req'!T17*Allocator</f>
        <v>-1171862.5142470719</v>
      </c>
      <c r="U16" s="55" cm="1">
        <f t="array" ref="U16">'Total Rev Req'!U17*Allocator</f>
        <v>-1164842.7539220843</v>
      </c>
      <c r="V16" s="55" cm="1">
        <f t="array" ref="V16">'Total Rev Req'!V17*Allocator</f>
        <v>-730537.41967917234</v>
      </c>
      <c r="W16" s="55" cm="1">
        <f t="array" ref="W16">'Total Rev Req'!W17*Allocator</f>
        <v>-299231.00762467447</v>
      </c>
      <c r="X16" s="55" cm="1">
        <f t="array" ref="X16">'Total Rev Req'!X17*Allocator</f>
        <v>-299061.81883981545</v>
      </c>
      <c r="Y16" s="55" cm="1">
        <f t="array" ref="Y16">'Total Rev Req'!Y17*Allocator</f>
        <v>-298902.56722816371</v>
      </c>
      <c r="Z16" s="55" cm="1">
        <f t="array" ref="Z16">'Total Rev Req'!Z17*Allocator</f>
        <v>-298733.37844330462</v>
      </c>
    </row>
    <row r="17" spans="1:26">
      <c r="A17" s="7" t="str">
        <f>'Total Rev Req'!A18</f>
        <v>Deferred FIT</v>
      </c>
      <c r="B17" s="55" cm="1">
        <f t="array" ref="B17">'Total Rev Req'!B18*Allocator</f>
        <v>108221.60907574801</v>
      </c>
      <c r="C17" s="55" cm="1">
        <f t="array" ref="C17">'Total Rev Req'!C18*Allocator</f>
        <v>778615.82672533684</v>
      </c>
      <c r="D17" s="55" cm="1">
        <f t="array" ref="D17">'Total Rev Req'!D18*Allocator</f>
        <v>673872.7693698809</v>
      </c>
      <c r="E17" s="55" cm="1">
        <f t="array" ref="E17">'Total Rev Req'!E18*Allocator</f>
        <v>577246.33269510593</v>
      </c>
      <c r="F17" s="55" cm="1">
        <f t="array" ref="F17">'Total Rev Req'!F18*Allocator</f>
        <v>487576.9994609147</v>
      </c>
      <c r="G17" s="55" cm="1">
        <f t="array" ref="G17">'Total Rev Req'!G18*Allocator</f>
        <v>404864.76966730732</v>
      </c>
      <c r="H17" s="55" cm="1">
        <f t="array" ref="H17">'Total Rev Req'!H18*Allocator</f>
        <v>328143.37894753594</v>
      </c>
      <c r="I17" s="55" cm="1">
        <f t="array" ref="I17">'Total Rev Req'!I18*Allocator</f>
        <v>257412.8273016006</v>
      </c>
      <c r="J17" s="55" cm="1">
        <f t="array" ref="J17">'Total Rev Req'!J18*Allocator</f>
        <v>245817.65490062768</v>
      </c>
      <c r="K17" s="55" cm="1">
        <f t="array" ref="K17">'Total Rev Req'!K18*Allocator</f>
        <v>245624.40202727792</v>
      </c>
      <c r="L17" s="55" cm="1">
        <f t="array" ref="L17">'Total Rev Req'!L18*Allocator</f>
        <v>245817.65490062768</v>
      </c>
      <c r="M17" s="55" cm="1">
        <f t="array" ref="M17">'Total Rev Req'!M18*Allocator</f>
        <v>248417.11684727791</v>
      </c>
      <c r="N17" s="55" cm="1">
        <f t="array" ref="N17">'Total Rev Req'!N18*Allocator</f>
        <v>898295.40710994217</v>
      </c>
      <c r="O17" s="55" cm="1">
        <f t="array" ref="O17">'Total Rev Req'!O18*Allocator</f>
        <v>895399.20525009243</v>
      </c>
      <c r="P17" s="55" cm="1">
        <f t="array" ref="P17">'Total Rev Req'!P18*Allocator</f>
        <v>893098.96274844219</v>
      </c>
      <c r="Q17" s="55" cm="1">
        <f t="array" ref="Q17">'Total Rev Req'!Q18*Allocator</f>
        <v>890591.74616709247</v>
      </c>
      <c r="R17" s="55" cm="1">
        <f t="array" ref="R17">'Total Rev Req'!R18*Allocator</f>
        <v>888650.56699944206</v>
      </c>
      <c r="S17" s="55" cm="1">
        <f t="array" ref="S17">'Total Rev Req'!S18*Allocator</f>
        <v>886477.47879834229</v>
      </c>
      <c r="T17" s="55" cm="1">
        <f t="array" ref="T17">'Total Rev Req'!T18*Allocator</f>
        <v>884845.49305719219</v>
      </c>
      <c r="U17" s="55" cm="1">
        <f t="array" ref="U17">'Total Rev Req'!U18*Allocator</f>
        <v>884353.02073884243</v>
      </c>
      <c r="V17" s="55" cm="1">
        <f t="array" ref="V17">'Total Rev Req'!V18*Allocator</f>
        <v>453394.12617859611</v>
      </c>
      <c r="W17" s="55" cm="1">
        <f t="array" ref="W17">'Total Rev Req'!W18*Allocator</f>
        <v>22251.9527265</v>
      </c>
      <c r="X17" s="55" cm="1">
        <f t="array" ref="X17">'Total Rev Req'!X18*Allocator</f>
        <v>22246.965735749996</v>
      </c>
      <c r="Y17" s="55" cm="1">
        <f t="array" ref="Y17">'Total Rev Req'!Y18*Allocator</f>
        <v>22251.9527265</v>
      </c>
      <c r="Z17" s="55" cm="1">
        <f t="array" ref="Z17">'Total Rev Req'!Z18*Allocator</f>
        <v>22246.965735749996</v>
      </c>
    </row>
    <row r="18" spans="1:26">
      <c r="A18" s="7" t="str">
        <f>'Total Rev Req'!A19</f>
        <v>Total Expenses</v>
      </c>
      <c r="B18" s="22" cm="1">
        <f t="array" ref="B18">'Total Rev Req'!B19*Allocator</f>
        <v>1668650.8988200668</v>
      </c>
      <c r="C18" s="22" cm="1">
        <f t="array" ref="C18">'Total Rev Req'!C19*Allocator</f>
        <v>1696881.9166393974</v>
      </c>
      <c r="D18" s="22" cm="1">
        <f t="array" ref="D18">'Total Rev Req'!D19*Allocator</f>
        <v>1724202.7248124888</v>
      </c>
      <c r="E18" s="22" cm="1">
        <f t="array" ref="E18">'Total Rev Req'!E19*Allocator</f>
        <v>1750683.8561901553</v>
      </c>
      <c r="F18" s="22" cm="1">
        <f t="array" ref="F18">'Total Rev Req'!F19*Allocator</f>
        <v>1776385.7675016688</v>
      </c>
      <c r="G18" s="22" cm="1">
        <f t="array" ref="G18">'Total Rev Req'!G19*Allocator</f>
        <v>1801368.9154762991</v>
      </c>
      <c r="H18" s="22" cm="1">
        <f t="array" ref="H18">'Total Rev Req'!H19*Allocator</f>
        <v>1825685.3600753632</v>
      </c>
      <c r="I18" s="22" cm="1">
        <f t="array" ref="I18">'Total Rev Req'!I19*Allocator</f>
        <v>1849387.1612601755</v>
      </c>
      <c r="J18" s="22" cm="1">
        <f t="array" ref="J18">'Total Rev Req'!J19*Allocator</f>
        <v>1872988.2012295383</v>
      </c>
      <c r="K18" s="22" cm="1">
        <f t="array" ref="K18">'Total Rev Req'!K19*Allocator</f>
        <v>1896587.5618453098</v>
      </c>
      <c r="L18" s="22" cm="1">
        <f t="array" ref="L18">'Total Rev Req'!L19*Allocator</f>
        <v>1920188.6018146724</v>
      </c>
      <c r="M18" s="22" cm="1">
        <f t="array" ref="M18">'Total Rev Req'!M19*Allocator</f>
        <v>1986848.3653789838</v>
      </c>
      <c r="N18" s="22" cm="1">
        <f t="array" ref="N18">'Total Rev Req'!N19*Allocator</f>
        <v>-408401.50169511151</v>
      </c>
      <c r="O18" s="22" cm="1">
        <f t="array" ref="O18">'Total Rev Req'!O19*Allocator</f>
        <v>-400132.95508534915</v>
      </c>
      <c r="P18" s="22" cm="1">
        <f t="array" ref="P18">'Total Rev Req'!P19*Allocator</f>
        <v>-391885.65002039389</v>
      </c>
      <c r="Q18" s="22" cm="1">
        <f t="array" ref="Q18">'Total Rev Req'!Q19*Allocator</f>
        <v>-383661.4977983745</v>
      </c>
      <c r="R18" s="22" cm="1">
        <f t="array" ref="R18">'Total Rev Req'!R19*Allocator</f>
        <v>-375455.27135776228</v>
      </c>
      <c r="S18" s="22" cm="1">
        <f t="array" ref="S18">'Total Rev Req'!S19*Allocator</f>
        <v>-367269.11225803278</v>
      </c>
      <c r="T18" s="22" cm="1">
        <f t="array" ref="T18">'Total Rev Req'!T19*Allocator</f>
        <v>-359098.02369900525</v>
      </c>
      <c r="U18" s="22" cm="1">
        <f t="array" ref="U18">'Total Rev Req'!U19*Allocator</f>
        <v>-350931.48286605859</v>
      </c>
      <c r="V18" s="22" cm="1">
        <f t="array" ref="V18">'Total Rev Req'!V19*Allocator</f>
        <v>-346744.62359377107</v>
      </c>
      <c r="W18" s="22" cm="1">
        <f t="array" ref="W18">'Total Rev Req'!W19*Allocator</f>
        <v>-346539.13836751843</v>
      </c>
      <c r="X18" s="22" cm="1">
        <f t="array" ref="X18">'Total Rev Req'!X19*Allocator</f>
        <v>-346333.6991935352</v>
      </c>
      <c r="Y18" s="22" cm="1">
        <f t="array" ref="Y18">'Total Rev Req'!Y19*Allocator</f>
        <v>-346128.21396728256</v>
      </c>
      <c r="Z18" s="22" cm="1">
        <f t="array" ref="Z18">'Total Rev Req'!Z19*Allocator</f>
        <v>-345922.77479329926</v>
      </c>
    </row>
    <row r="19" spans="1:26">
      <c r="A19" s="7"/>
    </row>
    <row r="20" spans="1:26">
      <c r="A20" s="7" t="str">
        <f>'Total Rev Req'!A23</f>
        <v>Rate Base</v>
      </c>
      <c r="B20" s="55" cm="1">
        <f t="array" ref="B20">'Total Rev Req'!B23*Allocator</f>
        <v>93652675.636523053</v>
      </c>
      <c r="C20" s="55" cm="1">
        <f t="array" ref="C20">'Total Rev Req'!C23*Allocator</f>
        <v>89588095.307775512</v>
      </c>
      <c r="D20" s="55" cm="1">
        <f t="array" ref="D20">'Total Rev Req'!D23*Allocator</f>
        <v>85654563.042786017</v>
      </c>
      <c r="E20" s="55" cm="1">
        <f t="array" ref="E20">'Total Rev Req'!E23*Allocator</f>
        <v>81841923.825543791</v>
      </c>
      <c r="F20" s="55" cm="1">
        <f t="array" ref="F20">'Total Rev Req'!F23*Allocator</f>
        <v>78141473.356611043</v>
      </c>
      <c r="G20" s="55" cm="1">
        <f t="array" ref="G20">'Total Rev Req'!G23*Allocator</f>
        <v>74544507.336549968</v>
      </c>
      <c r="H20" s="55" cm="1">
        <f t="array" ref="H20">'Total Rev Req'!H23*Allocator</f>
        <v>71043530.396400213</v>
      </c>
      <c r="I20" s="55" cm="1">
        <f t="array" ref="I20">'Total Rev Req'!I23*Allocator</f>
        <v>67631047.167201489</v>
      </c>
      <c r="J20" s="55" cm="1">
        <f t="array" ref="J20">'Total Rev Req'!J23*Allocator</f>
        <v>64233071.103732407</v>
      </c>
      <c r="K20" s="55" cm="1">
        <f t="array" ref="K20">'Total Rev Req'!K23*Allocator</f>
        <v>60835336.82635884</v>
      </c>
      <c r="L20" s="55" cm="1">
        <f t="array" ref="L20">'Total Rev Req'!L23*Allocator</f>
        <v>57437360.762889773</v>
      </c>
      <c r="M20" s="55" cm="1">
        <f t="array" ref="M20">'Total Rev Req'!M23*Allocator</f>
        <v>56456382.412696205</v>
      </c>
      <c r="N20" s="55" cm="1">
        <f t="array" ref="N20">'Total Rev Req'!N23*Allocator</f>
        <v>55332490.512300268</v>
      </c>
      <c r="O20" s="55" cm="1">
        <f t="array" ref="O20">'Total Rev Req'!O23*Allocator</f>
        <v>54212222.161336333</v>
      </c>
      <c r="P20" s="55" cm="1">
        <f t="array" ref="P20">'Total Rev Req'!P23*Allocator</f>
        <v>53094831.732151896</v>
      </c>
      <c r="Q20" s="55" cm="1">
        <f t="array" ref="Q20">'Total Rev Req'!Q23*Allocator</f>
        <v>51980578.177970968</v>
      </c>
      <c r="R20" s="55" cm="1">
        <f t="array" ref="R20">'Total Rev Req'!R23*Allocator</f>
        <v>50868753.307635523</v>
      </c>
      <c r="S20" s="55" cm="1">
        <f t="array" ref="S20">'Total Rev Req'!S23*Allocator</f>
        <v>49759647.271448337</v>
      </c>
      <c r="T20" s="55" cm="1">
        <f t="array" ref="T20">'Total Rev Req'!T23*Allocator</f>
        <v>48652583.075330153</v>
      </c>
      <c r="U20" s="55" cm="1">
        <f t="array" ref="U20">'Total Rev Req'!U23*Allocator</f>
        <v>47546135.030252472</v>
      </c>
      <c r="V20" s="55" cm="1">
        <f t="array" ref="V20">'Total Rev Req'!V23*Allocator</f>
        <v>46978876.217543378</v>
      </c>
      <c r="W20" s="55" cm="1">
        <f t="array" ref="W20">'Total Rev Req'!W23*Allocator</f>
        <v>46951035.944466881</v>
      </c>
      <c r="X20" s="55" cm="1">
        <f t="array" ref="X20">'Total Rev Req'!X23*Allocator</f>
        <v>46923201.910806127</v>
      </c>
      <c r="Y20" s="55" cm="1">
        <f t="array" ref="Y20">'Total Rev Req'!Y23*Allocator</f>
        <v>46895361.637729637</v>
      </c>
      <c r="Z20" s="55" cm="1">
        <f t="array" ref="Z20">'Total Rev Req'!Z23*Allocator</f>
        <v>46867527.604068883</v>
      </c>
    </row>
    <row r="21" spans="1:26">
      <c r="A21" s="7" t="str">
        <f>'Total Rev Req'!A24</f>
        <v>Return on Rate Base</v>
      </c>
      <c r="B21" s="55" cm="1">
        <f t="array" ref="B21">'Total Rev Req'!B24*Allocator</f>
        <v>6938812.1491501741</v>
      </c>
      <c r="C21" s="55" cm="1">
        <f t="array" ref="C21">'Total Rev Req'!C24*Allocator</f>
        <v>6637663.6856960095</v>
      </c>
      <c r="D21" s="55" cm="1">
        <f t="array" ref="D21">'Total Rev Req'!D24*Allocator</f>
        <v>6346224.6928015118</v>
      </c>
      <c r="E21" s="55" cm="1">
        <f t="array" ref="E21">'Total Rev Req'!E24*Allocator</f>
        <v>6063742.7760690693</v>
      </c>
      <c r="F21" s="55" cm="1">
        <f t="array" ref="F21">'Total Rev Req'!F24*Allocator</f>
        <v>5789573.0260150144</v>
      </c>
      <c r="G21" s="55" cm="1">
        <f t="array" ref="G21">'Total Rev Req'!G24*Allocator</f>
        <v>5523070.5331556788</v>
      </c>
      <c r="H21" s="55" cm="1">
        <f t="array" ref="H21">'Total Rev Req'!H24*Allocator</f>
        <v>5263679.9587690141</v>
      </c>
      <c r="I21" s="55" cm="1">
        <f t="array" ref="I21">'Total Rev Req'!I24*Allocator</f>
        <v>5010845.9641329758</v>
      </c>
      <c r="J21" s="55" cm="1">
        <f t="array" ref="J21">'Total Rev Req'!J24*Allocator</f>
        <v>4759086.8186363811</v>
      </c>
      <c r="K21" s="55" cm="1">
        <f t="array" ref="K21">'Total Rev Req'!K24*Allocator</f>
        <v>4507345.5872921124</v>
      </c>
      <c r="L21" s="55" cm="1">
        <f t="array" ref="L21">'Total Rev Req'!L24*Allocator</f>
        <v>4255586.4417955196</v>
      </c>
      <c r="M21" s="55" cm="1">
        <f t="array" ref="M21">'Total Rev Req'!M24*Allocator</f>
        <v>4182904.8611774226</v>
      </c>
      <c r="N21" s="55" cm="1">
        <f t="array" ref="N21">'Total Rev Req'!N24*Allocator</f>
        <v>4099634.6852876744</v>
      </c>
      <c r="O21" s="55" cm="1">
        <f t="array" ref="O21">'Total Rev Req'!O24*Allocator</f>
        <v>4016632.9814800206</v>
      </c>
      <c r="P21" s="55" cm="1">
        <f t="array" ref="P21">'Total Rev Req'!P24*Allocator</f>
        <v>3933844.5055216742</v>
      </c>
      <c r="Q21" s="55" cm="1">
        <f t="array" ref="Q21">'Total Rev Req'!Q24*Allocator</f>
        <v>3851288.4434931679</v>
      </c>
      <c r="R21" s="55" cm="1">
        <f t="array" ref="R21">'Total Rev Req'!R24*Allocator</f>
        <v>3768912.3248657328</v>
      </c>
      <c r="S21" s="55" cm="1">
        <f t="array" ref="S21">'Total Rev Req'!S24*Allocator</f>
        <v>3686737.6471399195</v>
      </c>
      <c r="T21" s="55" cm="1">
        <f t="array" ref="T21">'Total Rev Req'!T24*Allocator</f>
        <v>3604714.2512069764</v>
      </c>
      <c r="U21" s="55" cm="1">
        <f t="array" ref="U21">'Total Rev Req'!U24*Allocator</f>
        <v>3522736.5064665535</v>
      </c>
      <c r="V21" s="55" cm="1">
        <f t="array" ref="V21">'Total Rev Req'!V24*Allocator</f>
        <v>3480707.7836928996</v>
      </c>
      <c r="W21" s="55" cm="1">
        <f t="array" ref="W21">'Total Rev Req'!W24*Allocator</f>
        <v>3478645.072470333</v>
      </c>
      <c r="X21" s="55" cm="1">
        <f t="array" ref="X21">'Total Rev Req'!X24*Allocator</f>
        <v>3476582.8235317692</v>
      </c>
      <c r="Y21" s="55" cm="1">
        <f t="array" ref="Y21">'Total Rev Req'!Y24*Allocator</f>
        <v>3474520.112309203</v>
      </c>
      <c r="Z21" s="55" cm="1">
        <f t="array" ref="Z21">'Total Rev Req'!Z24*Allocator</f>
        <v>3472457.8633706388</v>
      </c>
    </row>
    <row r="22" spans="1:26">
      <c r="A22" s="7"/>
    </row>
    <row r="23" spans="1:26">
      <c r="A23" s="7" t="str">
        <f>'Total Rev Req'!A26</f>
        <v>Operating Income Deficiency</v>
      </c>
      <c r="B23" s="55">
        <f t="shared" ref="B23:U23" si="0">B21+B18</f>
        <v>8607463.0479702409</v>
      </c>
      <c r="C23" s="55">
        <f t="shared" si="0"/>
        <v>8334545.6023354065</v>
      </c>
      <c r="D23" s="55">
        <f t="shared" si="0"/>
        <v>8070427.4176140008</v>
      </c>
      <c r="E23" s="55">
        <f t="shared" si="0"/>
        <v>7814426.6322592245</v>
      </c>
      <c r="F23" s="55">
        <f t="shared" si="0"/>
        <v>7565958.7935166834</v>
      </c>
      <c r="G23" s="55">
        <f t="shared" si="0"/>
        <v>7324439.4486319777</v>
      </c>
      <c r="H23" s="55">
        <f t="shared" si="0"/>
        <v>7089365.3188443771</v>
      </c>
      <c r="I23" s="55">
        <f t="shared" si="0"/>
        <v>6860233.1253931513</v>
      </c>
      <c r="J23" s="55">
        <f t="shared" si="0"/>
        <v>6632075.0198659189</v>
      </c>
      <c r="K23" s="55">
        <f t="shared" si="0"/>
        <v>6403933.1491374224</v>
      </c>
      <c r="L23" s="55">
        <f t="shared" si="0"/>
        <v>6175775.0436101919</v>
      </c>
      <c r="M23" s="55">
        <f t="shared" si="0"/>
        <v>6169753.2265564064</v>
      </c>
      <c r="N23" s="55">
        <f t="shared" si="0"/>
        <v>3691233.183592563</v>
      </c>
      <c r="O23" s="55">
        <f t="shared" si="0"/>
        <v>3616500.0263946713</v>
      </c>
      <c r="P23" s="55">
        <f t="shared" si="0"/>
        <v>3541958.8555012802</v>
      </c>
      <c r="Q23" s="55">
        <f t="shared" si="0"/>
        <v>3467626.9456947935</v>
      </c>
      <c r="R23" s="55">
        <f t="shared" si="0"/>
        <v>3393457.0535079706</v>
      </c>
      <c r="S23" s="55">
        <f t="shared" si="0"/>
        <v>3319468.5348818866</v>
      </c>
      <c r="T23" s="55">
        <f t="shared" si="0"/>
        <v>3245616.2275079712</v>
      </c>
      <c r="U23" s="55">
        <f t="shared" si="0"/>
        <v>3171805.023600495</v>
      </c>
      <c r="V23" s="55">
        <f t="shared" ref="V23:Z23" si="1">V21+V18</f>
        <v>3133963.1600991287</v>
      </c>
      <c r="W23" s="55">
        <f t="shared" si="1"/>
        <v>3132105.9341028146</v>
      </c>
      <c r="X23" s="55">
        <f t="shared" si="1"/>
        <v>3130249.1243382338</v>
      </c>
      <c r="Y23" s="55">
        <f t="shared" si="1"/>
        <v>3128391.8983419202</v>
      </c>
      <c r="Z23" s="55">
        <f t="shared" si="1"/>
        <v>3126535.0885773394</v>
      </c>
    </row>
    <row r="24" spans="1:26">
      <c r="A24" s="7" t="str">
        <f>'Total Rev Req'!A27</f>
        <v>Gross Up Factor</v>
      </c>
      <c r="B24" s="106">
        <f t="shared" ref="B24:Z24" si="2">GRCF</f>
        <v>1.33849291</v>
      </c>
      <c r="C24" s="106">
        <f t="shared" si="2"/>
        <v>1.33849291</v>
      </c>
      <c r="D24" s="106">
        <f t="shared" si="2"/>
        <v>1.33849291</v>
      </c>
      <c r="E24" s="106">
        <f t="shared" si="2"/>
        <v>1.33849291</v>
      </c>
      <c r="F24" s="106">
        <f t="shared" si="2"/>
        <v>1.33849291</v>
      </c>
      <c r="G24" s="106">
        <f t="shared" si="2"/>
        <v>1.33849291</v>
      </c>
      <c r="H24" s="106">
        <f t="shared" si="2"/>
        <v>1.33849291</v>
      </c>
      <c r="I24" s="106">
        <f t="shared" si="2"/>
        <v>1.33849291</v>
      </c>
      <c r="J24" s="106">
        <f t="shared" si="2"/>
        <v>1.33849291</v>
      </c>
      <c r="K24" s="106">
        <f t="shared" si="2"/>
        <v>1.33849291</v>
      </c>
      <c r="L24" s="106">
        <f t="shared" si="2"/>
        <v>1.33849291</v>
      </c>
      <c r="M24" s="106">
        <f t="shared" si="2"/>
        <v>1.33849291</v>
      </c>
      <c r="N24" s="106">
        <f t="shared" si="2"/>
        <v>1.33849291</v>
      </c>
      <c r="O24" s="106">
        <f t="shared" si="2"/>
        <v>1.33849291</v>
      </c>
      <c r="P24" s="106">
        <f t="shared" si="2"/>
        <v>1.33849291</v>
      </c>
      <c r="Q24" s="106">
        <f t="shared" si="2"/>
        <v>1.33849291</v>
      </c>
      <c r="R24" s="106">
        <f t="shared" si="2"/>
        <v>1.33849291</v>
      </c>
      <c r="S24" s="106">
        <f t="shared" si="2"/>
        <v>1.33849291</v>
      </c>
      <c r="T24" s="106">
        <f t="shared" si="2"/>
        <v>1.33849291</v>
      </c>
      <c r="U24" s="106">
        <f t="shared" si="2"/>
        <v>1.33849291</v>
      </c>
      <c r="V24" s="106">
        <f t="shared" si="2"/>
        <v>1.33849291</v>
      </c>
      <c r="W24" s="106">
        <f t="shared" si="2"/>
        <v>1.33849291</v>
      </c>
      <c r="X24" s="106">
        <f t="shared" si="2"/>
        <v>1.33849291</v>
      </c>
      <c r="Y24" s="106">
        <f t="shared" si="2"/>
        <v>1.33849291</v>
      </c>
      <c r="Z24" s="106">
        <f t="shared" si="2"/>
        <v>1.33849291</v>
      </c>
    </row>
    <row r="25" spans="1:26" s="84" customFormat="1">
      <c r="A25" s="111" t="str">
        <f>'Total Rev Req'!A28</f>
        <v>Revenue Requirement</v>
      </c>
      <c r="B25" s="112">
        <f t="shared" ref="B25:U25" si="3">B23*B24</f>
        <v>11521028.262795158</v>
      </c>
      <c r="C25" s="112">
        <f t="shared" si="3"/>
        <v>11155730.196797621</v>
      </c>
      <c r="D25" s="112">
        <f t="shared" si="3"/>
        <v>10802209.87914595</v>
      </c>
      <c r="E25" s="112">
        <f t="shared" si="3"/>
        <v>10459554.642994151</v>
      </c>
      <c r="F25" s="112">
        <f t="shared" si="3"/>
        <v>10126982.202474235</v>
      </c>
      <c r="G25" s="112">
        <f>G23*G24</f>
        <v>9803710.2717182115</v>
      </c>
      <c r="H25" s="112">
        <f t="shared" si="3"/>
        <v>9489065.215673089</v>
      </c>
      <c r="I25" s="112">
        <f t="shared" si="3"/>
        <v>9182373.3992858734</v>
      </c>
      <c r="J25" s="112">
        <f t="shared" si="3"/>
        <v>8876985.3926786426</v>
      </c>
      <c r="K25" s="112">
        <f t="shared" si="3"/>
        <v>8571619.1162344124</v>
      </c>
      <c r="L25" s="112">
        <f t="shared" si="3"/>
        <v>8266231.1096271826</v>
      </c>
      <c r="M25" s="112">
        <f t="shared" si="3"/>
        <v>8258170.950195374</v>
      </c>
      <c r="N25" s="112">
        <f t="shared" si="3"/>
        <v>4940689.4453953737</v>
      </c>
      <c r="O25" s="112">
        <f t="shared" si="3"/>
        <v>4840659.6443440802</v>
      </c>
      <c r="P25" s="112">
        <f t="shared" si="3"/>
        <v>4740886.8156001782</v>
      </c>
      <c r="Q25" s="112">
        <f t="shared" si="3"/>
        <v>4641394.0813374361</v>
      </c>
      <c r="R25" s="112">
        <f t="shared" si="3"/>
        <v>4542118.2065099096</v>
      </c>
      <c r="S25" s="112">
        <f t="shared" si="3"/>
        <v>4443085.0989074931</v>
      </c>
      <c r="T25" s="112">
        <f t="shared" si="3"/>
        <v>4344234.3091003662</v>
      </c>
      <c r="U25" s="112">
        <f t="shared" si="3"/>
        <v>4245438.5359916454</v>
      </c>
      <c r="V25" s="112">
        <f t="shared" ref="V25:Z25" si="4">V23*V24</f>
        <v>4194787.4699938791</v>
      </c>
      <c r="W25" s="112">
        <f t="shared" si="4"/>
        <v>4192301.5861655446</v>
      </c>
      <c r="X25" s="112">
        <f t="shared" si="4"/>
        <v>4189816.2594604348</v>
      </c>
      <c r="Y25" s="112">
        <f t="shared" si="4"/>
        <v>4187330.3756321012</v>
      </c>
      <c r="Z25" s="112">
        <f t="shared" si="4"/>
        <v>4184845.0489269909</v>
      </c>
    </row>
    <row r="26" spans="1:26" s="84" customFormat="1">
      <c r="A26" s="111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</row>
    <row r="27" spans="1:26" s="84" customFormat="1">
      <c r="A27" s="111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</row>
    <row r="28" spans="1:26" s="39" customFormat="1">
      <c r="A28" s="97"/>
    </row>
    <row r="29" spans="1:26" s="39" customFormat="1">
      <c r="A29" s="97" t="str">
        <f>'Total Rev Req'!A32</f>
        <v>Net Revenue Requirement</v>
      </c>
      <c r="B29" s="39">
        <f>B25</f>
        <v>11521028.262795158</v>
      </c>
      <c r="C29" s="39">
        <f t="shared" ref="C29:Z29" si="5">C25</f>
        <v>11155730.196797621</v>
      </c>
      <c r="D29" s="39">
        <f t="shared" si="5"/>
        <v>10802209.87914595</v>
      </c>
      <c r="E29" s="39">
        <f t="shared" si="5"/>
        <v>10459554.642994151</v>
      </c>
      <c r="F29" s="39">
        <f t="shared" si="5"/>
        <v>10126982.202474235</v>
      </c>
      <c r="G29" s="39">
        <f t="shared" si="5"/>
        <v>9803710.2717182115</v>
      </c>
      <c r="H29" s="39">
        <f t="shared" si="5"/>
        <v>9489065.215673089</v>
      </c>
      <c r="I29" s="39">
        <f t="shared" si="5"/>
        <v>9182373.3992858734</v>
      </c>
      <c r="J29" s="39">
        <f t="shared" si="5"/>
        <v>8876985.3926786426</v>
      </c>
      <c r="K29" s="39">
        <f t="shared" si="5"/>
        <v>8571619.1162344124</v>
      </c>
      <c r="L29" s="39">
        <f t="shared" si="5"/>
        <v>8266231.1096271826</v>
      </c>
      <c r="M29" s="39">
        <f t="shared" si="5"/>
        <v>8258170.950195374</v>
      </c>
      <c r="N29" s="39">
        <f t="shared" si="5"/>
        <v>4940689.4453953737</v>
      </c>
      <c r="O29" s="39">
        <f t="shared" si="5"/>
        <v>4840659.6443440802</v>
      </c>
      <c r="P29" s="39">
        <f t="shared" si="5"/>
        <v>4740886.8156001782</v>
      </c>
      <c r="Q29" s="39">
        <f t="shared" si="5"/>
        <v>4641394.0813374361</v>
      </c>
      <c r="R29" s="39">
        <f t="shared" si="5"/>
        <v>4542118.2065099096</v>
      </c>
      <c r="S29" s="39">
        <f t="shared" si="5"/>
        <v>4443085.0989074931</v>
      </c>
      <c r="T29" s="39">
        <f t="shared" si="5"/>
        <v>4344234.3091003662</v>
      </c>
      <c r="U29" s="39">
        <f t="shared" si="5"/>
        <v>4245438.5359916454</v>
      </c>
      <c r="V29" s="39">
        <f t="shared" si="5"/>
        <v>4194787.4699938791</v>
      </c>
      <c r="W29" s="39">
        <f t="shared" si="5"/>
        <v>4192301.5861655446</v>
      </c>
      <c r="X29" s="39">
        <f t="shared" si="5"/>
        <v>4189816.2594604348</v>
      </c>
      <c r="Y29" s="39">
        <f t="shared" si="5"/>
        <v>4187330.3756321012</v>
      </c>
      <c r="Z29" s="39">
        <f t="shared" si="5"/>
        <v>4184845.0489269909</v>
      </c>
    </row>
    <row r="30" spans="1:26" s="39" customFormat="1">
      <c r="A30" s="97" t="s">
        <v>268</v>
      </c>
      <c r="B30" s="208">
        <f>B29-B6</f>
        <v>11466709.710925974</v>
      </c>
    </row>
    <row r="31" spans="1:26" s="39" customFormat="1">
      <c r="A31" s="97"/>
    </row>
    <row r="32" spans="1:26" s="39" customFormat="1">
      <c r="A32" s="97" t="str">
        <f>'Total Rev Req'!A34</f>
        <v>Total Present Value Rev Requirement 10 Yr</v>
      </c>
      <c r="B32" s="39">
        <f>NPV(WACC,B29:K29)</f>
        <v>70237690.315736413</v>
      </c>
    </row>
    <row r="33" spans="1:26" s="39" customFormat="1">
      <c r="A33" s="97" t="str">
        <f>'Total Rev Req'!A35</f>
        <v>Avg Revenue Rrequirement 10 Yr</v>
      </c>
      <c r="B33" s="39">
        <f>AVERAGE(B29:K29)</f>
        <v>9998925.8579797335</v>
      </c>
    </row>
    <row r="34" spans="1:26" s="39" customFormat="1">
      <c r="A34" s="111"/>
    </row>
    <row r="35" spans="1:26" s="39" customFormat="1">
      <c r="A35" s="111"/>
    </row>
    <row r="36" spans="1:26">
      <c r="A36" s="84" t="s">
        <v>112</v>
      </c>
    </row>
    <row r="37" spans="1:26">
      <c r="A37" s="107" t="s">
        <v>66</v>
      </c>
      <c r="B37" s="100">
        <f t="shared" ref="B37:Z37" si="6">B25</f>
        <v>11521028.262795158</v>
      </c>
      <c r="C37" s="100">
        <f t="shared" si="6"/>
        <v>11155730.196797621</v>
      </c>
      <c r="D37" s="100">
        <f t="shared" si="6"/>
        <v>10802209.87914595</v>
      </c>
      <c r="E37" s="100">
        <f t="shared" si="6"/>
        <v>10459554.642994151</v>
      </c>
      <c r="F37" s="100">
        <f t="shared" si="6"/>
        <v>10126982.202474235</v>
      </c>
      <c r="G37" s="100">
        <f t="shared" si="6"/>
        <v>9803710.2717182115</v>
      </c>
      <c r="H37" s="100">
        <f t="shared" si="6"/>
        <v>9489065.215673089</v>
      </c>
      <c r="I37" s="100">
        <f t="shared" si="6"/>
        <v>9182373.3992858734</v>
      </c>
      <c r="J37" s="100">
        <f t="shared" si="6"/>
        <v>8876985.3926786426</v>
      </c>
      <c r="K37" s="100">
        <f t="shared" si="6"/>
        <v>8571619.1162344124</v>
      </c>
      <c r="L37" s="100">
        <f t="shared" si="6"/>
        <v>8266231.1096271826</v>
      </c>
      <c r="M37" s="100">
        <f t="shared" si="6"/>
        <v>8258170.950195374</v>
      </c>
      <c r="N37" s="100">
        <f t="shared" si="6"/>
        <v>4940689.4453953737</v>
      </c>
      <c r="O37" s="100">
        <f t="shared" si="6"/>
        <v>4840659.6443440802</v>
      </c>
      <c r="P37" s="100">
        <f t="shared" si="6"/>
        <v>4740886.8156001782</v>
      </c>
      <c r="Q37" s="100">
        <f t="shared" si="6"/>
        <v>4641394.0813374361</v>
      </c>
      <c r="R37" s="100">
        <f t="shared" si="6"/>
        <v>4542118.2065099096</v>
      </c>
      <c r="S37" s="100">
        <f t="shared" si="6"/>
        <v>4443085.0989074931</v>
      </c>
      <c r="T37" s="100">
        <f t="shared" si="6"/>
        <v>4344234.3091003662</v>
      </c>
      <c r="U37" s="100">
        <f t="shared" si="6"/>
        <v>4245438.5359916454</v>
      </c>
      <c r="V37" s="100">
        <f t="shared" si="6"/>
        <v>4194787.4699938791</v>
      </c>
      <c r="W37" s="100">
        <f t="shared" si="6"/>
        <v>4192301.5861655446</v>
      </c>
      <c r="X37" s="100">
        <f t="shared" si="6"/>
        <v>4189816.2594604348</v>
      </c>
      <c r="Y37" s="100">
        <f t="shared" si="6"/>
        <v>4187330.3756321012</v>
      </c>
      <c r="Z37" s="100">
        <f t="shared" si="6"/>
        <v>4184845.0489269909</v>
      </c>
    </row>
    <row r="38" spans="1:26">
      <c r="A38" s="1" t="s">
        <v>104</v>
      </c>
      <c r="B38" s="3">
        <f t="shared" ref="B38:Z38" si="7">B12+B13</f>
        <v>3144742.7018691832</v>
      </c>
      <c r="C38" s="3">
        <f t="shared" si="7"/>
        <v>3142385.2452785098</v>
      </c>
      <c r="D38" s="3">
        <f t="shared" si="7"/>
        <v>3140103.7965648156</v>
      </c>
      <c r="E38" s="3">
        <f t="shared" si="7"/>
        <v>3137892.4658188154</v>
      </c>
      <c r="F38" s="3">
        <f t="shared" si="7"/>
        <v>3135746.2045468343</v>
      </c>
      <c r="G38" s="3">
        <f t="shared" si="7"/>
        <v>3133659.9642551988</v>
      </c>
      <c r="H38" s="3">
        <f t="shared" si="7"/>
        <v>3131629.397629912</v>
      </c>
      <c r="I38" s="3">
        <f t="shared" si="7"/>
        <v>3129650.1573569765</v>
      </c>
      <c r="J38" s="3">
        <f t="shared" si="7"/>
        <v>3127679.3312401646</v>
      </c>
      <c r="K38" s="3">
        <f t="shared" si="7"/>
        <v>3125708.645359288</v>
      </c>
      <c r="L38" s="3">
        <f t="shared" si="7"/>
        <v>3123737.819242476</v>
      </c>
      <c r="M38" s="3">
        <f t="shared" si="7"/>
        <v>3202918.8517993637</v>
      </c>
      <c r="N38" s="3">
        <f t="shared" si="7"/>
        <v>0</v>
      </c>
      <c r="O38" s="3">
        <f t="shared" si="7"/>
        <v>0</v>
      </c>
      <c r="P38" s="3">
        <f t="shared" si="7"/>
        <v>0</v>
      </c>
      <c r="Q38" s="3">
        <f t="shared" si="7"/>
        <v>0</v>
      </c>
      <c r="R38" s="3">
        <f t="shared" si="7"/>
        <v>0</v>
      </c>
      <c r="S38" s="3">
        <f t="shared" si="7"/>
        <v>0</v>
      </c>
      <c r="T38" s="3">
        <f t="shared" si="7"/>
        <v>0</v>
      </c>
      <c r="U38" s="3">
        <f t="shared" si="7"/>
        <v>0</v>
      </c>
      <c r="V38" s="3">
        <f t="shared" si="7"/>
        <v>0</v>
      </c>
      <c r="W38" s="3">
        <f t="shared" si="7"/>
        <v>0</v>
      </c>
      <c r="X38" s="3">
        <f t="shared" si="7"/>
        <v>0</v>
      </c>
      <c r="Y38" s="3">
        <f t="shared" si="7"/>
        <v>0</v>
      </c>
      <c r="Z38" s="3">
        <f t="shared" si="7"/>
        <v>0</v>
      </c>
    </row>
    <row r="39" spans="1:26">
      <c r="A39" s="1" t="s">
        <v>67</v>
      </c>
      <c r="B39" s="38">
        <f t="shared" ref="B39:Z39" si="8">(B25-B23)+B14+B16+B15+B17</f>
        <v>1437473.4117758004</v>
      </c>
      <c r="C39" s="38">
        <f t="shared" si="8"/>
        <v>1375681.2658231016</v>
      </c>
      <c r="D39" s="38">
        <f t="shared" si="8"/>
        <v>1315881.3897796222</v>
      </c>
      <c r="E39" s="38">
        <f t="shared" si="8"/>
        <v>1257919.4011062665</v>
      </c>
      <c r="F39" s="38">
        <f t="shared" si="8"/>
        <v>1201662.9719123857</v>
      </c>
      <c r="G39" s="38">
        <f t="shared" si="8"/>
        <v>1146979.7743073341</v>
      </c>
      <c r="H39" s="38">
        <f t="shared" si="8"/>
        <v>1093755.8592741631</v>
      </c>
      <c r="I39" s="38">
        <f t="shared" si="8"/>
        <v>1041877.2777959215</v>
      </c>
      <c r="J39" s="38">
        <f t="shared" si="8"/>
        <v>990219.24280209735</v>
      </c>
      <c r="K39" s="38">
        <f t="shared" si="8"/>
        <v>938564.88358301157</v>
      </c>
      <c r="L39" s="38">
        <f t="shared" si="8"/>
        <v>886906.84858918667</v>
      </c>
      <c r="M39" s="38">
        <f t="shared" si="8"/>
        <v>872347.23721858743</v>
      </c>
      <c r="N39" s="38">
        <f t="shared" si="8"/>
        <v>841054.7601076992</v>
      </c>
      <c r="O39" s="38">
        <f t="shared" si="8"/>
        <v>824026.66286405968</v>
      </c>
      <c r="P39" s="38">
        <f t="shared" si="8"/>
        <v>807042.31007850415</v>
      </c>
      <c r="Q39" s="38">
        <f t="shared" si="8"/>
        <v>790105.63784426812</v>
      </c>
      <c r="R39" s="38">
        <f t="shared" si="8"/>
        <v>773205.88164417667</v>
      </c>
      <c r="S39" s="38">
        <f t="shared" si="8"/>
        <v>756347.4517675736</v>
      </c>
      <c r="T39" s="38">
        <f t="shared" si="8"/>
        <v>739520.05789338984</v>
      </c>
      <c r="U39" s="38">
        <f t="shared" si="8"/>
        <v>722702.02952509187</v>
      </c>
      <c r="V39" s="38">
        <f t="shared" si="8"/>
        <v>714079.68630097935</v>
      </c>
      <c r="W39" s="38">
        <f t="shared" si="8"/>
        <v>713656.5136952115</v>
      </c>
      <c r="X39" s="38">
        <f t="shared" si="8"/>
        <v>713233.4359286658</v>
      </c>
      <c r="Y39" s="38">
        <f t="shared" si="8"/>
        <v>712810.26332289842</v>
      </c>
      <c r="Z39" s="38">
        <f t="shared" si="8"/>
        <v>712387.18555635225</v>
      </c>
    </row>
    <row r="40" spans="1:26">
      <c r="A40" s="45" t="s">
        <v>7</v>
      </c>
      <c r="B40" s="46">
        <f>B38+B39</f>
        <v>4582216.1136449836</v>
      </c>
      <c r="C40" s="46">
        <f t="shared" ref="C40:U40" si="9">C38+C39</f>
        <v>4518066.511101611</v>
      </c>
      <c r="D40" s="46">
        <f t="shared" si="9"/>
        <v>4455985.1863444373</v>
      </c>
      <c r="E40" s="46">
        <f t="shared" si="9"/>
        <v>4395811.8669250822</v>
      </c>
      <c r="F40" s="46">
        <f t="shared" si="9"/>
        <v>4337409.1764592202</v>
      </c>
      <c r="G40" s="46">
        <f t="shared" si="9"/>
        <v>4280639.7385625327</v>
      </c>
      <c r="H40" s="46">
        <f t="shared" si="9"/>
        <v>4225385.2569040749</v>
      </c>
      <c r="I40" s="46">
        <f t="shared" si="9"/>
        <v>4171527.4351528981</v>
      </c>
      <c r="J40" s="46">
        <f t="shared" si="9"/>
        <v>4117898.574042262</v>
      </c>
      <c r="K40" s="46">
        <f t="shared" si="9"/>
        <v>4064273.5289422995</v>
      </c>
      <c r="L40" s="46">
        <f t="shared" si="9"/>
        <v>4010644.6678316626</v>
      </c>
      <c r="M40" s="46">
        <f t="shared" si="9"/>
        <v>4075266.0890179509</v>
      </c>
      <c r="N40" s="46">
        <f t="shared" si="9"/>
        <v>841054.7601076992</v>
      </c>
      <c r="O40" s="46">
        <f t="shared" si="9"/>
        <v>824026.66286405968</v>
      </c>
      <c r="P40" s="46">
        <f t="shared" si="9"/>
        <v>807042.31007850415</v>
      </c>
      <c r="Q40" s="46">
        <f t="shared" si="9"/>
        <v>790105.63784426812</v>
      </c>
      <c r="R40" s="46">
        <f t="shared" si="9"/>
        <v>773205.88164417667</v>
      </c>
      <c r="S40" s="46">
        <f t="shared" si="9"/>
        <v>756347.4517675736</v>
      </c>
      <c r="T40" s="46">
        <f t="shared" si="9"/>
        <v>739520.05789338984</v>
      </c>
      <c r="U40" s="46">
        <f t="shared" si="9"/>
        <v>722702.02952509187</v>
      </c>
      <c r="V40" s="46">
        <f t="shared" ref="V40:Z40" si="10">V38+V39</f>
        <v>714079.68630097935</v>
      </c>
      <c r="W40" s="46">
        <f t="shared" si="10"/>
        <v>713656.5136952115</v>
      </c>
      <c r="X40" s="46">
        <f t="shared" si="10"/>
        <v>713233.4359286658</v>
      </c>
      <c r="Y40" s="46">
        <f t="shared" si="10"/>
        <v>712810.26332289842</v>
      </c>
      <c r="Z40" s="46">
        <f t="shared" si="10"/>
        <v>712387.18555635225</v>
      </c>
    </row>
    <row r="41" spans="1:26">
      <c r="A41" s="4" t="s">
        <v>103</v>
      </c>
      <c r="B41" s="39">
        <f>B37-B40</f>
        <v>6938812.1491501741</v>
      </c>
      <c r="C41" s="39">
        <f t="shared" ref="C41:Z41" si="11">C37-C40</f>
        <v>6637663.6856960095</v>
      </c>
      <c r="D41" s="39">
        <f t="shared" si="11"/>
        <v>6346224.6928015128</v>
      </c>
      <c r="E41" s="39">
        <f t="shared" si="11"/>
        <v>6063742.7760690683</v>
      </c>
      <c r="F41" s="39">
        <f t="shared" si="11"/>
        <v>5789573.0260150144</v>
      </c>
      <c r="G41" s="39">
        <f t="shared" si="11"/>
        <v>5523070.5331556788</v>
      </c>
      <c r="H41" s="39">
        <f t="shared" si="11"/>
        <v>5263679.9587690141</v>
      </c>
      <c r="I41" s="39">
        <f t="shared" si="11"/>
        <v>5010845.9641329758</v>
      </c>
      <c r="J41" s="39">
        <f t="shared" si="11"/>
        <v>4759086.8186363801</v>
      </c>
      <c r="K41" s="39">
        <f t="shared" si="11"/>
        <v>4507345.5872921124</v>
      </c>
      <c r="L41" s="39">
        <f t="shared" si="11"/>
        <v>4255586.4417955205</v>
      </c>
      <c r="M41" s="39">
        <f t="shared" si="11"/>
        <v>4182904.861177423</v>
      </c>
      <c r="N41" s="39">
        <f t="shared" si="11"/>
        <v>4099634.6852876744</v>
      </c>
      <c r="O41" s="39">
        <f t="shared" si="11"/>
        <v>4016632.9814800206</v>
      </c>
      <c r="P41" s="39">
        <f t="shared" si="11"/>
        <v>3933844.5055216742</v>
      </c>
      <c r="Q41" s="39">
        <f t="shared" si="11"/>
        <v>3851288.4434931679</v>
      </c>
      <c r="R41" s="39">
        <f t="shared" si="11"/>
        <v>3768912.3248657328</v>
      </c>
      <c r="S41" s="39">
        <f t="shared" si="11"/>
        <v>3686737.6471399195</v>
      </c>
      <c r="T41" s="39">
        <f t="shared" si="11"/>
        <v>3604714.2512069764</v>
      </c>
      <c r="U41" s="39">
        <f t="shared" si="11"/>
        <v>3522736.5064665535</v>
      </c>
      <c r="V41" s="39">
        <f t="shared" si="11"/>
        <v>3480707.7836928996</v>
      </c>
      <c r="W41" s="39">
        <f t="shared" si="11"/>
        <v>3478645.072470333</v>
      </c>
      <c r="X41" s="39">
        <f t="shared" si="11"/>
        <v>3476582.8235317692</v>
      </c>
      <c r="Y41" s="39">
        <f t="shared" si="11"/>
        <v>3474520.1123092026</v>
      </c>
      <c r="Z41" s="39">
        <f t="shared" si="11"/>
        <v>3472457.8633706388</v>
      </c>
    </row>
    <row r="42" spans="1:26">
      <c r="A42" s="42" t="s">
        <v>47</v>
      </c>
      <c r="B42" s="44">
        <f t="shared" ref="B42:Z42" si="12">B20*WACD</f>
        <v>2769640.3998223348</v>
      </c>
      <c r="C42" s="44">
        <f t="shared" si="12"/>
        <v>2649436.403403549</v>
      </c>
      <c r="D42" s="44">
        <f t="shared" si="12"/>
        <v>2533107.9610918495</v>
      </c>
      <c r="E42" s="44">
        <f t="shared" si="12"/>
        <v>2420354.7531962818</v>
      </c>
      <c r="F42" s="44">
        <f t="shared" si="12"/>
        <v>2310919.3628388839</v>
      </c>
      <c r="G42" s="44">
        <f t="shared" si="12"/>
        <v>2204544.3731416953</v>
      </c>
      <c r="H42" s="44">
        <f t="shared" si="12"/>
        <v>2101008.1195709142</v>
      </c>
      <c r="I42" s="44">
        <f t="shared" si="12"/>
        <v>2000088.9375927425</v>
      </c>
      <c r="J42" s="44">
        <f t="shared" si="12"/>
        <v>1899598.7837445056</v>
      </c>
      <c r="K42" s="44">
        <f t="shared" si="12"/>
        <v>1799115.7803651015</v>
      </c>
      <c r="L42" s="44">
        <f t="shared" si="12"/>
        <v>1698625.6265168651</v>
      </c>
      <c r="M42" s="44">
        <f t="shared" si="12"/>
        <v>1669614.6318861083</v>
      </c>
      <c r="N42" s="44">
        <f t="shared" si="12"/>
        <v>1636377.1788052083</v>
      </c>
      <c r="O42" s="44">
        <f t="shared" si="12"/>
        <v>1603246.8868793892</v>
      </c>
      <c r="P42" s="44">
        <f t="shared" si="12"/>
        <v>1570201.7052654095</v>
      </c>
      <c r="Q42" s="44">
        <f t="shared" si="12"/>
        <v>1537249.2921247261</v>
      </c>
      <c r="R42" s="44">
        <f t="shared" si="12"/>
        <v>1504368.703743465</v>
      </c>
      <c r="S42" s="44">
        <f t="shared" si="12"/>
        <v>1471568.5208908902</v>
      </c>
      <c r="T42" s="44">
        <f t="shared" si="12"/>
        <v>1438828.7224609347</v>
      </c>
      <c r="U42" s="44">
        <f t="shared" si="12"/>
        <v>1406107.1457934924</v>
      </c>
      <c r="V42" s="44">
        <f t="shared" si="12"/>
        <v>1389331.2991435581</v>
      </c>
      <c r="W42" s="44">
        <f t="shared" si="12"/>
        <v>1388507.9639368416</v>
      </c>
      <c r="X42" s="44">
        <f t="shared" si="12"/>
        <v>1387684.813251686</v>
      </c>
      <c r="Y42" s="44">
        <f t="shared" si="12"/>
        <v>1386861.4780449697</v>
      </c>
      <c r="Z42" s="44">
        <f t="shared" si="12"/>
        <v>1386038.3273598144</v>
      </c>
    </row>
    <row r="43" spans="1:26">
      <c r="A43" s="4" t="s">
        <v>69</v>
      </c>
      <c r="B43" s="39">
        <f>B41-B42</f>
        <v>4169171.7493278394</v>
      </c>
      <c r="C43" s="39">
        <f>C41-C42</f>
        <v>3988227.2822924606</v>
      </c>
      <c r="D43" s="39">
        <f t="shared" ref="D43:U43" si="13">D41-D42</f>
        <v>3813116.7317096633</v>
      </c>
      <c r="E43" s="39">
        <f t="shared" si="13"/>
        <v>3643388.0228727865</v>
      </c>
      <c r="F43" s="39">
        <f t="shared" si="13"/>
        <v>3478653.6631761305</v>
      </c>
      <c r="G43" s="39">
        <f t="shared" si="13"/>
        <v>3318526.1600139835</v>
      </c>
      <c r="H43" s="39">
        <f t="shared" si="13"/>
        <v>3162671.8391980999</v>
      </c>
      <c r="I43" s="39">
        <f t="shared" si="13"/>
        <v>3010757.0265402333</v>
      </c>
      <c r="J43" s="39">
        <f t="shared" si="13"/>
        <v>2859488.0348918745</v>
      </c>
      <c r="K43" s="39">
        <f t="shared" si="13"/>
        <v>2708229.8069270109</v>
      </c>
      <c r="L43" s="39">
        <f t="shared" si="13"/>
        <v>2556960.8152786554</v>
      </c>
      <c r="M43" s="39">
        <f t="shared" si="13"/>
        <v>2513290.2292913147</v>
      </c>
      <c r="N43" s="39">
        <f t="shared" si="13"/>
        <v>2463257.5064824661</v>
      </c>
      <c r="O43" s="39">
        <f t="shared" si="13"/>
        <v>2413386.0946006314</v>
      </c>
      <c r="P43" s="39">
        <f t="shared" si="13"/>
        <v>2363642.8002562644</v>
      </c>
      <c r="Q43" s="39">
        <f t="shared" si="13"/>
        <v>2314039.151368442</v>
      </c>
      <c r="R43" s="39">
        <f t="shared" si="13"/>
        <v>2264543.621122268</v>
      </c>
      <c r="S43" s="39">
        <f t="shared" si="13"/>
        <v>2215169.1262490293</v>
      </c>
      <c r="T43" s="39">
        <f t="shared" si="13"/>
        <v>2165885.5287460415</v>
      </c>
      <c r="U43" s="39">
        <f t="shared" si="13"/>
        <v>2116629.3606730611</v>
      </c>
      <c r="V43" s="39">
        <f t="shared" ref="V43:Z43" si="14">V41-V42</f>
        <v>2091376.4845493415</v>
      </c>
      <c r="W43" s="39">
        <f t="shared" si="14"/>
        <v>2090137.1085334914</v>
      </c>
      <c r="X43" s="39">
        <f t="shared" si="14"/>
        <v>2088898.0102800832</v>
      </c>
      <c r="Y43" s="39">
        <f t="shared" si="14"/>
        <v>2087658.6342642328</v>
      </c>
      <c r="Z43" s="39">
        <f t="shared" si="14"/>
        <v>2086419.5360108244</v>
      </c>
    </row>
    <row r="44" spans="1:26">
      <c r="A44" s="42" t="s">
        <v>68</v>
      </c>
      <c r="B44" s="43">
        <f t="shared" ref="B44:Z44" si="15">B20*EquityWeighting</f>
        <v>43203852.324640818</v>
      </c>
      <c r="C44" s="43">
        <f t="shared" si="15"/>
        <v>41328780.127383001</v>
      </c>
      <c r="D44" s="43">
        <f t="shared" si="15"/>
        <v>39514163.022898048</v>
      </c>
      <c r="E44" s="43">
        <f t="shared" si="15"/>
        <v>37755316.299199864</v>
      </c>
      <c r="F44" s="43">
        <f t="shared" si="15"/>
        <v>36048224.488871805</v>
      </c>
      <c r="G44" s="43">
        <f t="shared" si="15"/>
        <v>34388872.124497235</v>
      </c>
      <c r="H44" s="43">
        <f t="shared" si="15"/>
        <v>32773801.442467347</v>
      </c>
      <c r="I44" s="43">
        <f t="shared" si="15"/>
        <v>31199554.679173391</v>
      </c>
      <c r="J44" s="43">
        <f t="shared" si="15"/>
        <v>29632000.361573834</v>
      </c>
      <c r="K44" s="43">
        <f t="shared" si="15"/>
        <v>28064557.584735859</v>
      </c>
      <c r="L44" s="43">
        <f t="shared" si="15"/>
        <v>26497003.267136309</v>
      </c>
      <c r="M44" s="43">
        <f t="shared" si="15"/>
        <v>26044458.334625013</v>
      </c>
      <c r="N44" s="43">
        <f t="shared" si="15"/>
        <v>25525984.523134358</v>
      </c>
      <c r="O44" s="43">
        <f t="shared" si="15"/>
        <v>25009182.327467676</v>
      </c>
      <c r="P44" s="43">
        <f t="shared" si="15"/>
        <v>24493707.774676312</v>
      </c>
      <c r="Q44" s="43">
        <f t="shared" si="15"/>
        <v>23979680.325061567</v>
      </c>
      <c r="R44" s="43">
        <f t="shared" si="15"/>
        <v>23466773.275878418</v>
      </c>
      <c r="S44" s="43">
        <f t="shared" si="15"/>
        <v>22955120.479264546</v>
      </c>
      <c r="T44" s="43">
        <f t="shared" si="15"/>
        <v>22444409.624311306</v>
      </c>
      <c r="U44" s="43">
        <f t="shared" si="15"/>
        <v>21933983.012156069</v>
      </c>
      <c r="V44" s="43">
        <f t="shared" si="15"/>
        <v>21672295.176677112</v>
      </c>
      <c r="W44" s="43">
        <f t="shared" si="15"/>
        <v>21659451.901901461</v>
      </c>
      <c r="X44" s="43">
        <f t="shared" si="15"/>
        <v>21646611.505493082</v>
      </c>
      <c r="Y44" s="43">
        <f t="shared" si="15"/>
        <v>21633768.230717435</v>
      </c>
      <c r="Z44" s="43">
        <f t="shared" si="15"/>
        <v>21620927.834309056</v>
      </c>
    </row>
    <row r="45" spans="1:26">
      <c r="A45" s="4" t="s">
        <v>102</v>
      </c>
      <c r="B45" s="182">
        <f>ROUND(B43/B44,4)</f>
        <v>9.6500000000000002E-2</v>
      </c>
      <c r="C45" s="182">
        <f t="shared" ref="C45:Z45" si="16">ROUND(C43/C44,4)</f>
        <v>9.6500000000000002E-2</v>
      </c>
      <c r="D45" s="182">
        <f t="shared" si="16"/>
        <v>9.6500000000000002E-2</v>
      </c>
      <c r="E45" s="182">
        <f t="shared" si="16"/>
        <v>9.6500000000000002E-2</v>
      </c>
      <c r="F45" s="182">
        <f t="shared" si="16"/>
        <v>9.6500000000000002E-2</v>
      </c>
      <c r="G45" s="182">
        <f t="shared" si="16"/>
        <v>9.6500000000000002E-2</v>
      </c>
      <c r="H45" s="182">
        <f t="shared" si="16"/>
        <v>9.6500000000000002E-2</v>
      </c>
      <c r="I45" s="182">
        <f t="shared" si="16"/>
        <v>9.6500000000000002E-2</v>
      </c>
      <c r="J45" s="182">
        <f t="shared" si="16"/>
        <v>9.6500000000000002E-2</v>
      </c>
      <c r="K45" s="182">
        <f t="shared" si="16"/>
        <v>9.6500000000000002E-2</v>
      </c>
      <c r="L45" s="182">
        <f t="shared" si="16"/>
        <v>9.6500000000000002E-2</v>
      </c>
      <c r="M45" s="182">
        <f t="shared" si="16"/>
        <v>9.6500000000000002E-2</v>
      </c>
      <c r="N45" s="182">
        <f t="shared" si="16"/>
        <v>9.6500000000000002E-2</v>
      </c>
      <c r="O45" s="182">
        <f t="shared" si="16"/>
        <v>9.6500000000000002E-2</v>
      </c>
      <c r="P45" s="182">
        <f t="shared" si="16"/>
        <v>9.6500000000000002E-2</v>
      </c>
      <c r="Q45" s="182">
        <f t="shared" si="16"/>
        <v>9.6500000000000002E-2</v>
      </c>
      <c r="R45" s="182">
        <f t="shared" si="16"/>
        <v>9.6500000000000002E-2</v>
      </c>
      <c r="S45" s="182">
        <f t="shared" si="16"/>
        <v>9.6500000000000002E-2</v>
      </c>
      <c r="T45" s="182">
        <f t="shared" si="16"/>
        <v>9.6500000000000002E-2</v>
      </c>
      <c r="U45" s="182">
        <f t="shared" si="16"/>
        <v>9.6500000000000002E-2</v>
      </c>
      <c r="V45" s="182">
        <f t="shared" si="16"/>
        <v>9.6500000000000002E-2</v>
      </c>
      <c r="W45" s="182">
        <f t="shared" si="16"/>
        <v>9.6500000000000002E-2</v>
      </c>
      <c r="X45" s="182">
        <f t="shared" si="16"/>
        <v>9.6500000000000002E-2</v>
      </c>
      <c r="Y45" s="182">
        <f t="shared" si="16"/>
        <v>9.6500000000000002E-2</v>
      </c>
      <c r="Z45" s="182">
        <f t="shared" si="16"/>
        <v>9.6500000000000002E-2</v>
      </c>
    </row>
    <row r="46" spans="1:26">
      <c r="B46" s="1" t="b">
        <f t="shared" ref="B46:U46" si="17">B45=ROE</f>
        <v>1</v>
      </c>
      <c r="C46" s="1" t="b">
        <f t="shared" si="17"/>
        <v>1</v>
      </c>
      <c r="D46" s="1" t="b">
        <f t="shared" si="17"/>
        <v>1</v>
      </c>
      <c r="E46" s="1" t="b">
        <f t="shared" si="17"/>
        <v>1</v>
      </c>
      <c r="F46" s="1" t="b">
        <f t="shared" si="17"/>
        <v>1</v>
      </c>
      <c r="G46" s="1" t="b">
        <f t="shared" si="17"/>
        <v>1</v>
      </c>
      <c r="H46" s="1" t="b">
        <f t="shared" si="17"/>
        <v>1</v>
      </c>
      <c r="I46" s="1" t="b">
        <f t="shared" si="17"/>
        <v>1</v>
      </c>
      <c r="J46" s="1" t="b">
        <f t="shared" si="17"/>
        <v>1</v>
      </c>
      <c r="K46" s="1" t="b">
        <f t="shared" si="17"/>
        <v>1</v>
      </c>
      <c r="L46" s="1" t="b">
        <f t="shared" si="17"/>
        <v>1</v>
      </c>
      <c r="M46" s="1" t="b">
        <f t="shared" si="17"/>
        <v>1</v>
      </c>
      <c r="N46" s="1" t="b">
        <f t="shared" si="17"/>
        <v>1</v>
      </c>
      <c r="O46" s="1" t="b">
        <f t="shared" si="17"/>
        <v>1</v>
      </c>
      <c r="P46" s="1" t="b">
        <f t="shared" si="17"/>
        <v>1</v>
      </c>
      <c r="Q46" s="1" t="b">
        <f t="shared" si="17"/>
        <v>1</v>
      </c>
      <c r="R46" s="1" t="b">
        <f t="shared" si="17"/>
        <v>1</v>
      </c>
      <c r="S46" s="1" t="b">
        <f t="shared" si="17"/>
        <v>1</v>
      </c>
      <c r="T46" s="1" t="b">
        <f t="shared" si="17"/>
        <v>1</v>
      </c>
      <c r="U46" s="1" t="b">
        <f t="shared" si="17"/>
        <v>1</v>
      </c>
      <c r="V46" s="1" t="b">
        <f t="shared" ref="V46:Z46" si="18">V45=ROE</f>
        <v>1</v>
      </c>
      <c r="W46" s="1" t="b">
        <f t="shared" si="18"/>
        <v>1</v>
      </c>
      <c r="X46" s="1" t="b">
        <f t="shared" si="18"/>
        <v>1</v>
      </c>
      <c r="Y46" s="1" t="b">
        <f t="shared" si="18"/>
        <v>1</v>
      </c>
      <c r="Z46" s="1" t="b">
        <f t="shared" si="18"/>
        <v>1</v>
      </c>
    </row>
    <row r="47" spans="1:26">
      <c r="A47" s="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>
      <c r="A48" s="4" t="s">
        <v>108</v>
      </c>
      <c r="B48" s="38">
        <f t="shared" ref="B48:Z48" si="19">B12</f>
        <v>54318.551869183371</v>
      </c>
      <c r="C48" s="38">
        <f t="shared" si="19"/>
        <v>51961.095278509798</v>
      </c>
      <c r="D48" s="38">
        <f t="shared" si="19"/>
        <v>49679.646564815892</v>
      </c>
      <c r="E48" s="38">
        <f t="shared" si="19"/>
        <v>47468.315818815405</v>
      </c>
      <c r="F48" s="38">
        <f t="shared" si="19"/>
        <v>45322.054546834399</v>
      </c>
      <c r="G48" s="38">
        <f t="shared" si="19"/>
        <v>43235.81425519898</v>
      </c>
      <c r="H48" s="38">
        <f t="shared" si="19"/>
        <v>41205.247629912119</v>
      </c>
      <c r="I48" s="38">
        <f t="shared" si="19"/>
        <v>39226.007356976857</v>
      </c>
      <c r="J48" s="38">
        <f t="shared" si="19"/>
        <v>37255.181240164799</v>
      </c>
      <c r="K48" s="38">
        <f t="shared" si="19"/>
        <v>35284.495359288128</v>
      </c>
      <c r="L48" s="38">
        <f t="shared" si="19"/>
        <v>33313.669242476069</v>
      </c>
      <c r="M48" s="38">
        <f t="shared" si="19"/>
        <v>32744.701799363804</v>
      </c>
      <c r="N48" s="38">
        <f t="shared" si="19"/>
        <v>0</v>
      </c>
      <c r="O48" s="38">
        <f t="shared" si="19"/>
        <v>0</v>
      </c>
      <c r="P48" s="38">
        <f t="shared" si="19"/>
        <v>0</v>
      </c>
      <c r="Q48" s="38">
        <f t="shared" si="19"/>
        <v>0</v>
      </c>
      <c r="R48" s="38">
        <f t="shared" si="19"/>
        <v>0</v>
      </c>
      <c r="S48" s="38">
        <f t="shared" si="19"/>
        <v>0</v>
      </c>
      <c r="T48" s="38">
        <f t="shared" si="19"/>
        <v>0</v>
      </c>
      <c r="U48" s="38">
        <f t="shared" si="19"/>
        <v>0</v>
      </c>
      <c r="V48" s="38">
        <f t="shared" si="19"/>
        <v>0</v>
      </c>
      <c r="W48" s="38">
        <f t="shared" si="19"/>
        <v>0</v>
      </c>
      <c r="X48" s="38">
        <f t="shared" si="19"/>
        <v>0</v>
      </c>
      <c r="Y48" s="38">
        <f t="shared" si="19"/>
        <v>0</v>
      </c>
      <c r="Z48" s="38">
        <f t="shared" si="19"/>
        <v>0</v>
      </c>
    </row>
    <row r="49" spans="1:26">
      <c r="A49" s="4" t="s">
        <v>109</v>
      </c>
      <c r="B49" s="38">
        <f t="shared" ref="B49:Z49" si="20">B13</f>
        <v>3090424.15</v>
      </c>
      <c r="C49" s="38">
        <f t="shared" si="20"/>
        <v>3090424.15</v>
      </c>
      <c r="D49" s="38">
        <f t="shared" si="20"/>
        <v>3090424.15</v>
      </c>
      <c r="E49" s="38">
        <f t="shared" si="20"/>
        <v>3090424.15</v>
      </c>
      <c r="F49" s="38">
        <f t="shared" si="20"/>
        <v>3090424.15</v>
      </c>
      <c r="G49" s="38">
        <f t="shared" si="20"/>
        <v>3090424.15</v>
      </c>
      <c r="H49" s="38">
        <f t="shared" si="20"/>
        <v>3090424.15</v>
      </c>
      <c r="I49" s="38">
        <f t="shared" si="20"/>
        <v>3090424.15</v>
      </c>
      <c r="J49" s="38">
        <f t="shared" si="20"/>
        <v>3090424.15</v>
      </c>
      <c r="K49" s="38">
        <f t="shared" si="20"/>
        <v>3090424.15</v>
      </c>
      <c r="L49" s="38">
        <f t="shared" si="20"/>
        <v>3090424.15</v>
      </c>
      <c r="M49" s="38">
        <f t="shared" si="20"/>
        <v>3170174.15</v>
      </c>
      <c r="N49" s="38">
        <f t="shared" si="20"/>
        <v>0</v>
      </c>
      <c r="O49" s="38">
        <f t="shared" si="20"/>
        <v>0</v>
      </c>
      <c r="P49" s="38">
        <f t="shared" si="20"/>
        <v>0</v>
      </c>
      <c r="Q49" s="38">
        <f t="shared" si="20"/>
        <v>0</v>
      </c>
      <c r="R49" s="38">
        <f t="shared" si="20"/>
        <v>0</v>
      </c>
      <c r="S49" s="38">
        <f t="shared" si="20"/>
        <v>0</v>
      </c>
      <c r="T49" s="38">
        <f t="shared" si="20"/>
        <v>0</v>
      </c>
      <c r="U49" s="38">
        <f t="shared" si="20"/>
        <v>0</v>
      </c>
      <c r="V49" s="38">
        <f t="shared" si="20"/>
        <v>0</v>
      </c>
      <c r="W49" s="38">
        <f t="shared" si="20"/>
        <v>0</v>
      </c>
      <c r="X49" s="38">
        <f t="shared" si="20"/>
        <v>0</v>
      </c>
      <c r="Y49" s="38">
        <f t="shared" si="20"/>
        <v>0</v>
      </c>
      <c r="Z49" s="38">
        <f t="shared" si="20"/>
        <v>0</v>
      </c>
    </row>
    <row r="50" spans="1:26">
      <c r="A50" s="4" t="s">
        <v>111</v>
      </c>
      <c r="B50" s="3">
        <f t="shared" ref="B50:Z50" si="21">B25-SUM(B48:B49,B51)</f>
        <v>1437473.4117758013</v>
      </c>
      <c r="C50" s="3">
        <f t="shared" si="21"/>
        <v>1375681.2658231016</v>
      </c>
      <c r="D50" s="3">
        <f t="shared" si="21"/>
        <v>1315881.3897796236</v>
      </c>
      <c r="E50" s="3">
        <f t="shared" si="21"/>
        <v>1257919.4011062663</v>
      </c>
      <c r="F50" s="3">
        <f t="shared" si="21"/>
        <v>1201662.9719123859</v>
      </c>
      <c r="G50" s="3">
        <f t="shared" si="21"/>
        <v>1146979.7743073329</v>
      </c>
      <c r="H50" s="3">
        <f t="shared" si="21"/>
        <v>1093755.8592741638</v>
      </c>
      <c r="I50" s="3">
        <f t="shared" si="21"/>
        <v>1041877.2777959211</v>
      </c>
      <c r="J50" s="3">
        <f t="shared" si="21"/>
        <v>990219.24280209653</v>
      </c>
      <c r="K50" s="3">
        <f t="shared" si="21"/>
        <v>938564.88358301204</v>
      </c>
      <c r="L50" s="3">
        <f t="shared" si="21"/>
        <v>886906.84858918656</v>
      </c>
      <c r="M50" s="3">
        <f t="shared" si="21"/>
        <v>872347.23721858766</v>
      </c>
      <c r="N50" s="3">
        <f t="shared" si="21"/>
        <v>841054.76010769932</v>
      </c>
      <c r="O50" s="3">
        <f t="shared" si="21"/>
        <v>824026.66286405968</v>
      </c>
      <c r="P50" s="3">
        <f t="shared" si="21"/>
        <v>807042.31007850403</v>
      </c>
      <c r="Q50" s="3">
        <f t="shared" si="21"/>
        <v>790105.63784426823</v>
      </c>
      <c r="R50" s="3">
        <f t="shared" si="21"/>
        <v>773205.88164417678</v>
      </c>
      <c r="S50" s="3">
        <f t="shared" si="21"/>
        <v>756347.4517675736</v>
      </c>
      <c r="T50" s="3">
        <f t="shared" si="21"/>
        <v>739520.05789338984</v>
      </c>
      <c r="U50" s="3">
        <f t="shared" si="21"/>
        <v>722702.02952509187</v>
      </c>
      <c r="V50" s="3">
        <f t="shared" si="21"/>
        <v>714079.68630097946</v>
      </c>
      <c r="W50" s="3">
        <f t="shared" si="21"/>
        <v>713656.51369521162</v>
      </c>
      <c r="X50" s="3">
        <f t="shared" si="21"/>
        <v>713233.43592866557</v>
      </c>
      <c r="Y50" s="3">
        <f t="shared" si="21"/>
        <v>712810.26332289819</v>
      </c>
      <c r="Z50" s="3">
        <f t="shared" si="21"/>
        <v>712387.18555635214</v>
      </c>
    </row>
    <row r="51" spans="1:26">
      <c r="A51" s="4" t="s">
        <v>110</v>
      </c>
      <c r="B51" s="48">
        <f t="shared" ref="B51:Z51" si="22">B21</f>
        <v>6938812.1491501741</v>
      </c>
      <c r="C51" s="48">
        <f t="shared" si="22"/>
        <v>6637663.6856960095</v>
      </c>
      <c r="D51" s="48">
        <f t="shared" si="22"/>
        <v>6346224.6928015118</v>
      </c>
      <c r="E51" s="48">
        <f t="shared" si="22"/>
        <v>6063742.7760690693</v>
      </c>
      <c r="F51" s="48">
        <f t="shared" si="22"/>
        <v>5789573.0260150144</v>
      </c>
      <c r="G51" s="48">
        <f t="shared" si="22"/>
        <v>5523070.5331556788</v>
      </c>
      <c r="H51" s="48">
        <f t="shared" si="22"/>
        <v>5263679.9587690141</v>
      </c>
      <c r="I51" s="48">
        <f t="shared" si="22"/>
        <v>5010845.9641329758</v>
      </c>
      <c r="J51" s="48">
        <f t="shared" si="22"/>
        <v>4759086.8186363811</v>
      </c>
      <c r="K51" s="48">
        <f t="shared" si="22"/>
        <v>4507345.5872921124</v>
      </c>
      <c r="L51" s="48">
        <f t="shared" si="22"/>
        <v>4255586.4417955196</v>
      </c>
      <c r="M51" s="48">
        <f t="shared" si="22"/>
        <v>4182904.8611774226</v>
      </c>
      <c r="N51" s="48">
        <f t="shared" si="22"/>
        <v>4099634.6852876744</v>
      </c>
      <c r="O51" s="48">
        <f t="shared" si="22"/>
        <v>4016632.9814800206</v>
      </c>
      <c r="P51" s="48">
        <f t="shared" si="22"/>
        <v>3933844.5055216742</v>
      </c>
      <c r="Q51" s="48">
        <f t="shared" si="22"/>
        <v>3851288.4434931679</v>
      </c>
      <c r="R51" s="48">
        <f t="shared" si="22"/>
        <v>3768912.3248657328</v>
      </c>
      <c r="S51" s="48">
        <f t="shared" si="22"/>
        <v>3686737.6471399195</v>
      </c>
      <c r="T51" s="48">
        <f t="shared" si="22"/>
        <v>3604714.2512069764</v>
      </c>
      <c r="U51" s="48">
        <f t="shared" si="22"/>
        <v>3522736.5064665535</v>
      </c>
      <c r="V51" s="48">
        <f t="shared" si="22"/>
        <v>3480707.7836928996</v>
      </c>
      <c r="W51" s="48">
        <f t="shared" si="22"/>
        <v>3478645.072470333</v>
      </c>
      <c r="X51" s="48">
        <f t="shared" si="22"/>
        <v>3476582.8235317692</v>
      </c>
      <c r="Y51" s="48">
        <f t="shared" si="22"/>
        <v>3474520.112309203</v>
      </c>
      <c r="Z51" s="48">
        <f t="shared" si="22"/>
        <v>3472457.8633706388</v>
      </c>
    </row>
    <row r="52" spans="1:26">
      <c r="B52" s="39">
        <f t="shared" ref="B52:Z52" si="23">SUM(B48:B51)-B25</f>
        <v>0</v>
      </c>
      <c r="C52" s="39">
        <f t="shared" si="23"/>
        <v>0</v>
      </c>
      <c r="D52" s="39">
        <f t="shared" si="23"/>
        <v>0</v>
      </c>
      <c r="E52" s="39">
        <f t="shared" si="23"/>
        <v>0</v>
      </c>
      <c r="F52" s="39">
        <f t="shared" si="23"/>
        <v>0</v>
      </c>
      <c r="G52" s="39">
        <f t="shared" si="23"/>
        <v>0</v>
      </c>
      <c r="H52" s="39">
        <f t="shared" si="23"/>
        <v>0</v>
      </c>
      <c r="I52" s="39">
        <f t="shared" si="23"/>
        <v>0</v>
      </c>
      <c r="J52" s="39">
        <f t="shared" si="23"/>
        <v>0</v>
      </c>
      <c r="K52" s="39">
        <f t="shared" si="23"/>
        <v>0</v>
      </c>
      <c r="L52" s="39">
        <f t="shared" si="23"/>
        <v>0</v>
      </c>
      <c r="M52" s="39">
        <f t="shared" si="23"/>
        <v>0</v>
      </c>
      <c r="N52" s="39">
        <f t="shared" si="23"/>
        <v>0</v>
      </c>
      <c r="O52" s="39">
        <f t="shared" si="23"/>
        <v>0</v>
      </c>
      <c r="P52" s="39">
        <f t="shared" si="23"/>
        <v>0</v>
      </c>
      <c r="Q52" s="39">
        <f t="shared" si="23"/>
        <v>0</v>
      </c>
      <c r="R52" s="39">
        <f t="shared" si="23"/>
        <v>0</v>
      </c>
      <c r="S52" s="39">
        <f t="shared" si="23"/>
        <v>0</v>
      </c>
      <c r="T52" s="39">
        <f t="shared" si="23"/>
        <v>0</v>
      </c>
      <c r="U52" s="39">
        <f t="shared" si="23"/>
        <v>0</v>
      </c>
      <c r="V52" s="39">
        <f t="shared" si="23"/>
        <v>0</v>
      </c>
      <c r="W52" s="39">
        <f t="shared" si="23"/>
        <v>0</v>
      </c>
      <c r="X52" s="39">
        <f t="shared" si="23"/>
        <v>0</v>
      </c>
      <c r="Y52" s="39">
        <f t="shared" si="23"/>
        <v>0</v>
      </c>
      <c r="Z52" s="39">
        <f t="shared" si="23"/>
        <v>0</v>
      </c>
    </row>
  </sheetData>
  <mergeCells count="2">
    <mergeCell ref="A1:J1"/>
    <mergeCell ref="A2:J2"/>
  </mergeCells>
  <phoneticPr fontId="19" type="noConversion"/>
  <pageMargins left="0.7" right="0.7" top="0.75" bottom="0.75" header="0.3" footer="0.3"/>
  <pageSetup orientation="portrait" r:id="rId1"/>
  <headerFooter>
    <oddHeader>&amp;RCase No. 2026-00001
KPSC 1-11 Attachment 4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AL28"/>
  <sheetViews>
    <sheetView zoomScaleNormal="100" workbookViewId="0">
      <selection activeCell="D22" sqref="D22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'50% Rev Req'!B3</f>
        <v>Year 1</v>
      </c>
      <c r="E2" s="129" t="str">
        <f>'50% Rev Req'!C3</f>
        <v>Year 2</v>
      </c>
      <c r="F2" s="129" t="str">
        <f>'50% Rev Req'!D3</f>
        <v>Year 3</v>
      </c>
      <c r="G2" s="129" t="str">
        <f>'50% Rev Req'!E3</f>
        <v>Year 4</v>
      </c>
      <c r="H2" s="129" t="str">
        <f>'50% Rev Req'!F3</f>
        <v>Year 5</v>
      </c>
      <c r="I2" s="129" t="str">
        <f>'50% Rev Req'!G3</f>
        <v>Year 6</v>
      </c>
      <c r="J2" s="129" t="str">
        <f>'50% Rev Req'!H3</f>
        <v>Year 7</v>
      </c>
      <c r="K2" s="129" t="str">
        <f>'50% Rev Req'!I3</f>
        <v>Year 8</v>
      </c>
      <c r="L2" s="129" t="str">
        <f>'50% Rev Req'!J3</f>
        <v>Year 9</v>
      </c>
      <c r="M2" s="129" t="str">
        <f>'50% Rev Req'!K3</f>
        <v>Year 10</v>
      </c>
      <c r="N2" s="129" t="str">
        <f>'50% Rev Req'!L3</f>
        <v>Year 11</v>
      </c>
      <c r="O2" s="129" t="str">
        <f>'50% Rev Req'!M3</f>
        <v>Year 12</v>
      </c>
      <c r="P2" s="129" t="str">
        <f>'50% Rev Req'!N3</f>
        <v>Year 13</v>
      </c>
      <c r="Q2" s="129" t="str">
        <f>'50% Rev Req'!O3</f>
        <v>Year 14</v>
      </c>
      <c r="R2" s="129" t="str">
        <f>'50% Rev Req'!P3</f>
        <v>Year 15</v>
      </c>
      <c r="S2" s="129" t="str">
        <f>'50% Rev Req'!Q3</f>
        <v>Year 16</v>
      </c>
      <c r="T2" s="129" t="str">
        <f>'50% Rev Req'!R3</f>
        <v>Year 17</v>
      </c>
      <c r="U2" s="129" t="str">
        <f>'50% Rev Req'!S3</f>
        <v>Year 18</v>
      </c>
      <c r="V2" s="129" t="str">
        <f>'50% Rev Req'!T3</f>
        <v>Year 19</v>
      </c>
      <c r="W2" s="129" t="str">
        <f>'50% Rev Req'!U3</f>
        <v>Year 20</v>
      </c>
      <c r="X2" s="129" t="str">
        <f>'50% Rev Req'!V3</f>
        <v>Year 21</v>
      </c>
      <c r="Y2" s="129" t="str">
        <f>'50% Rev Req'!W3</f>
        <v>Year 22</v>
      </c>
      <c r="Z2" s="129" t="str">
        <f>'50% Rev Req'!X3</f>
        <v>Year 23</v>
      </c>
      <c r="AA2" s="129" t="str">
        <f>'50% Rev Req'!Y3</f>
        <v>Year 24</v>
      </c>
      <c r="AB2" s="129" t="str">
        <f>'50% Rev Req'!Z3</f>
        <v>Year 25</v>
      </c>
      <c r="AC2" s="129" t="e">
        <f>'50% Rev Req'!#REF!</f>
        <v>#REF!</v>
      </c>
      <c r="AD2" s="129" t="e">
        <f>'50% Rev Req'!#REF!</f>
        <v>#REF!</v>
      </c>
      <c r="AE2" s="129" t="e">
        <f>'50% Rev Req'!#REF!</f>
        <v>#REF!</v>
      </c>
      <c r="AF2" s="129" t="e">
        <f>'50% Rev Req'!#REF!</f>
        <v>#REF!</v>
      </c>
      <c r="AG2" s="129" t="e">
        <f>'50% Rev Req'!#REF!</f>
        <v>#REF!</v>
      </c>
      <c r="AH2" s="129" t="e">
        <f>'50% Rev Req'!#REF!</f>
        <v>#REF!</v>
      </c>
      <c r="AI2" s="129" t="e">
        <f>'50% Rev Req'!#REF!</f>
        <v>#REF!</v>
      </c>
      <c r="AJ2" s="129" t="e">
        <f>'50% Rev Req'!#REF!</f>
        <v>#REF!</v>
      </c>
      <c r="AK2" s="129" t="e">
        <f>'50% Rev Req'!#REF!</f>
        <v>#REF!</v>
      </c>
      <c r="AL2" s="129" t="e">
        <f>'50% Rev Req'!#REF!</f>
        <v>#REF!</v>
      </c>
    </row>
    <row r="3" spans="1:38">
      <c r="A3" s="56" t="s">
        <v>42</v>
      </c>
      <c r="B3" s="56"/>
      <c r="C3" s="56" t="s">
        <v>43</v>
      </c>
      <c r="D3" s="128">
        <f>'50% Rev Req'!B4</f>
        <v>2029</v>
      </c>
      <c r="E3" s="128">
        <f>'50% Rev Req'!C4</f>
        <v>2030</v>
      </c>
      <c r="F3" s="128">
        <f>'50% Rev Req'!D4</f>
        <v>2031</v>
      </c>
      <c r="G3" s="128">
        <f>'50% Rev Req'!E4</f>
        <v>2032</v>
      </c>
      <c r="H3" s="128">
        <f>'50% Rev Req'!F4</f>
        <v>2033</v>
      </c>
      <c r="I3" s="128">
        <f>'50% Rev Req'!G4</f>
        <v>2034</v>
      </c>
      <c r="J3" s="128">
        <f>'50% Rev Req'!H4</f>
        <v>2035</v>
      </c>
      <c r="K3" s="128">
        <f>'50% Rev Req'!I4</f>
        <v>2036</v>
      </c>
      <c r="L3" s="128">
        <f>'50% Rev Req'!J4</f>
        <v>2037</v>
      </c>
      <c r="M3" s="128">
        <f>'50% Rev Req'!K4</f>
        <v>2038</v>
      </c>
      <c r="N3" s="128">
        <f>'50% Rev Req'!L4</f>
        <v>2039</v>
      </c>
      <c r="O3" s="128">
        <f>'50% Rev Req'!M4</f>
        <v>2040</v>
      </c>
      <c r="P3" s="128">
        <f>'50% Rev Req'!N4</f>
        <v>2041</v>
      </c>
      <c r="Q3" s="128">
        <f>'50% Rev Req'!O4</f>
        <v>2042</v>
      </c>
      <c r="R3" s="128">
        <f>'50% Rev Req'!P4</f>
        <v>2043</v>
      </c>
      <c r="S3" s="128">
        <f>'50% Rev Req'!Q4</f>
        <v>2044</v>
      </c>
      <c r="T3" s="128">
        <f>'50% Rev Req'!R4</f>
        <v>2045</v>
      </c>
      <c r="U3" s="128">
        <f>'50% Rev Req'!S4</f>
        <v>2046</v>
      </c>
      <c r="V3" s="128">
        <f>'50% Rev Req'!T4</f>
        <v>2047</v>
      </c>
      <c r="W3" s="128">
        <f>'50% Rev Req'!U4</f>
        <v>2048</v>
      </c>
      <c r="X3" s="128">
        <f>'50% Rev Req'!V4</f>
        <v>2049</v>
      </c>
      <c r="Y3" s="128">
        <f>'50% Rev Req'!W4</f>
        <v>2050</v>
      </c>
      <c r="Z3" s="128">
        <f>'50% Rev Req'!X4</f>
        <v>2051</v>
      </c>
      <c r="AA3" s="128">
        <f>'50% Rev Req'!Y4</f>
        <v>2052</v>
      </c>
      <c r="AB3" s="128">
        <f>'50% Rev Req'!Z4</f>
        <v>2053</v>
      </c>
      <c r="AC3" s="128" t="e">
        <f>'50% Rev Req'!#REF!</f>
        <v>#REF!</v>
      </c>
      <c r="AD3" s="128" t="e">
        <f>'50% Rev Req'!#REF!</f>
        <v>#REF!</v>
      </c>
      <c r="AE3" s="128" t="e">
        <f>'50% Rev Req'!#REF!</f>
        <v>#REF!</v>
      </c>
      <c r="AF3" s="128" t="e">
        <f>'50% Rev Req'!#REF!</f>
        <v>#REF!</v>
      </c>
      <c r="AG3" s="128" t="e">
        <f>'50% Rev Req'!#REF!</f>
        <v>#REF!</v>
      </c>
      <c r="AH3" s="128" t="e">
        <f>'50% Rev Req'!#REF!</f>
        <v>#REF!</v>
      </c>
      <c r="AI3" s="128" t="e">
        <f>'50% Rev Req'!#REF!</f>
        <v>#REF!</v>
      </c>
      <c r="AJ3" s="128" t="e">
        <f>'50% Rev Req'!#REF!</f>
        <v>#REF!</v>
      </c>
      <c r="AK3" s="128" t="e">
        <f>'50% Rev Req'!#REF!</f>
        <v>#REF!</v>
      </c>
      <c r="AL3" s="128" t="e">
        <f>'50% Rev Req'!#REF!</f>
        <v>#REF!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'Total Rev Req'!B13</f>
        <v>108637.10373836674</v>
      </c>
      <c r="E6" s="124">
        <f>'Total Rev Req'!C13</f>
        <v>103922.1905570196</v>
      </c>
      <c r="F6" s="124">
        <f>'Total Rev Req'!D13</f>
        <v>99359.293129631784</v>
      </c>
      <c r="G6" s="124">
        <f>'Total Rev Req'!E13</f>
        <v>94936.63163763081</v>
      </c>
      <c r="H6" s="124">
        <f>'Total Rev Req'!F13</f>
        <v>90644.109093668798</v>
      </c>
      <c r="I6" s="124">
        <f>'Total Rev Req'!G13</f>
        <v>86471.628510397961</v>
      </c>
      <c r="J6" s="124">
        <f>'Total Rev Req'!H13</f>
        <v>82410.495259824238</v>
      </c>
      <c r="K6" s="124">
        <f>'Total Rev Req'!I13</f>
        <v>78452.014713953715</v>
      </c>
      <c r="L6" s="124">
        <f>'Total Rev Req'!J13</f>
        <v>74510.362480329597</v>
      </c>
      <c r="M6" s="124">
        <f>'Total Rev Req'!K13</f>
        <v>70568.990718576257</v>
      </c>
      <c r="N6" s="124">
        <f>'Total Rev Req'!L13</f>
        <v>66627.338484952139</v>
      </c>
      <c r="O6" s="124">
        <f>'Total Rev Req'!M13</f>
        <v>65489.403598727607</v>
      </c>
      <c r="P6" s="124">
        <f>'Total Rev Req'!N13</f>
        <v>0</v>
      </c>
      <c r="Q6" s="124">
        <f>'Total Rev Req'!O13</f>
        <v>0</v>
      </c>
      <c r="R6" s="124">
        <f>'Total Rev Req'!P13</f>
        <v>0</v>
      </c>
      <c r="S6" s="124">
        <f>'Total Rev Req'!Q13</f>
        <v>0</v>
      </c>
      <c r="T6" s="124">
        <f>'Total Rev Req'!R13</f>
        <v>0</v>
      </c>
      <c r="U6" s="124">
        <f>'Total Rev Req'!S13</f>
        <v>0</v>
      </c>
      <c r="V6" s="124">
        <f>'Total Rev Req'!T13</f>
        <v>0</v>
      </c>
      <c r="W6" s="124">
        <f>'Total Rev Req'!U13</f>
        <v>0</v>
      </c>
      <c r="X6" s="124">
        <f>'Total Rev Req'!V13</f>
        <v>0</v>
      </c>
      <c r="Y6" s="124">
        <f>'Total Rev Req'!W13</f>
        <v>0</v>
      </c>
      <c r="Z6" s="124">
        <f>'Total Rev Req'!X13</f>
        <v>0</v>
      </c>
      <c r="AA6" s="124">
        <f>'Total Rev Req'!Y13</f>
        <v>0</v>
      </c>
      <c r="AB6" s="124">
        <f>'Total Rev Req'!Z13</f>
        <v>0</v>
      </c>
      <c r="AC6" s="124">
        <f>'Total Rev Req'!AA13</f>
        <v>0</v>
      </c>
      <c r="AD6" s="124">
        <f>'Total Rev Req'!AB13</f>
        <v>0</v>
      </c>
      <c r="AE6" s="124">
        <f>'Total Rev Req'!AC13</f>
        <v>0</v>
      </c>
      <c r="AF6" s="124">
        <f>'Total Rev Req'!AD13</f>
        <v>0</v>
      </c>
      <c r="AG6" s="124">
        <f>'Total Rev Req'!AE13</f>
        <v>0</v>
      </c>
      <c r="AH6" s="124">
        <f>'Total Rev Req'!AF13</f>
        <v>0</v>
      </c>
      <c r="AI6" s="124">
        <f>'Total Rev Req'!AG13</f>
        <v>0</v>
      </c>
      <c r="AJ6" s="124">
        <f>'Total Rev Req'!AH13</f>
        <v>0</v>
      </c>
      <c r="AK6" s="124">
        <f>'Total Rev Req'!AI13</f>
        <v>0</v>
      </c>
      <c r="AL6" s="124">
        <f>'Total Rev Req'!AJ13</f>
        <v>0</v>
      </c>
    </row>
    <row r="7" spans="1:38">
      <c r="A7" s="27">
        <v>3</v>
      </c>
      <c r="B7" s="24"/>
      <c r="C7" s="24" t="s">
        <v>45</v>
      </c>
      <c r="D7" s="124">
        <f>'Total Rev Req'!B14</f>
        <v>6180848.2999999998</v>
      </c>
      <c r="E7" s="124">
        <f>'Total Rev Req'!C14</f>
        <v>6180848.2999999998</v>
      </c>
      <c r="F7" s="124">
        <f>'Total Rev Req'!D14</f>
        <v>6180848.2999999998</v>
      </c>
      <c r="G7" s="124">
        <f>'Total Rev Req'!E14</f>
        <v>6180848.2999999998</v>
      </c>
      <c r="H7" s="124">
        <f>'Total Rev Req'!F14</f>
        <v>6180848.2999999998</v>
      </c>
      <c r="I7" s="124">
        <f>'Total Rev Req'!G14</f>
        <v>6180848.2999999998</v>
      </c>
      <c r="J7" s="124">
        <f>'Total Rev Req'!H14</f>
        <v>6180848.2999999998</v>
      </c>
      <c r="K7" s="124">
        <f>'Total Rev Req'!I14</f>
        <v>6180848.2999999998</v>
      </c>
      <c r="L7" s="124">
        <f>'Total Rev Req'!J14</f>
        <v>6180848.2999999998</v>
      </c>
      <c r="M7" s="124">
        <f>'Total Rev Req'!K14</f>
        <v>6180848.2999999998</v>
      </c>
      <c r="N7" s="124">
        <f>'Total Rev Req'!L14</f>
        <v>6180848.2999999998</v>
      </c>
      <c r="O7" s="124">
        <f>'Total Rev Req'!M14</f>
        <v>6340348.2999999998</v>
      </c>
      <c r="P7" s="124">
        <f>'Total Rev Req'!N14</f>
        <v>0</v>
      </c>
      <c r="Q7" s="124">
        <f>'Total Rev Req'!O14</f>
        <v>0</v>
      </c>
      <c r="R7" s="124">
        <f>'Total Rev Req'!P14</f>
        <v>0</v>
      </c>
      <c r="S7" s="124">
        <f>'Total Rev Req'!Q14</f>
        <v>0</v>
      </c>
      <c r="T7" s="124">
        <f>'Total Rev Req'!R14</f>
        <v>0</v>
      </c>
      <c r="U7" s="124">
        <f>'Total Rev Req'!S14</f>
        <v>0</v>
      </c>
      <c r="V7" s="124">
        <f>'Total Rev Req'!T14</f>
        <v>0</v>
      </c>
      <c r="W7" s="124">
        <f>'Total Rev Req'!U14</f>
        <v>0</v>
      </c>
      <c r="X7" s="124">
        <f>'Total Rev Req'!V14</f>
        <v>0</v>
      </c>
      <c r="Y7" s="124">
        <f>'Total Rev Req'!W14</f>
        <v>0</v>
      </c>
      <c r="Z7" s="124">
        <f>'Total Rev Req'!X14</f>
        <v>0</v>
      </c>
      <c r="AA7" s="124">
        <f>'Total Rev Req'!Y14</f>
        <v>0</v>
      </c>
      <c r="AB7" s="124">
        <f>'Total Rev Req'!Z14</f>
        <v>0</v>
      </c>
      <c r="AC7" s="124">
        <f>'Total Rev Req'!AA14</f>
        <v>0</v>
      </c>
      <c r="AD7" s="124">
        <f>'Total Rev Req'!AB14</f>
        <v>0</v>
      </c>
      <c r="AE7" s="124">
        <f>'Total Rev Req'!AC14</f>
        <v>0</v>
      </c>
      <c r="AF7" s="124">
        <f>'Total Rev Req'!AD14</f>
        <v>0</v>
      </c>
      <c r="AG7" s="124">
        <f>'Total Rev Req'!AE14</f>
        <v>0</v>
      </c>
      <c r="AH7" s="124">
        <f>'Total Rev Req'!AF14</f>
        <v>0</v>
      </c>
      <c r="AI7" s="124">
        <f>'Total Rev Req'!AG14</f>
        <v>0</v>
      </c>
      <c r="AJ7" s="124">
        <f>'Total Rev Req'!AH14</f>
        <v>0</v>
      </c>
      <c r="AK7" s="124">
        <f>'Total Rev Req'!AI14</f>
        <v>0</v>
      </c>
      <c r="AL7" s="124">
        <f>'Total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'Total Rev Req'!B23*(WACD)</f>
        <v>5539280.7996446695</v>
      </c>
      <c r="E9" s="125">
        <f>'Total Rev Req'!C23*(WACD)</f>
        <v>5298872.806807098</v>
      </c>
      <c r="F9" s="125">
        <f>'Total Rev Req'!D23*(WACD)</f>
        <v>5066215.922183699</v>
      </c>
      <c r="G9" s="125">
        <f>'Total Rev Req'!E23*(WACD)</f>
        <v>4840709.5063925637</v>
      </c>
      <c r="H9" s="125">
        <f>'Total Rev Req'!F23*(WACD)</f>
        <v>4621838.7256777678</v>
      </c>
      <c r="I9" s="125">
        <f>'Total Rev Req'!G23*(WACD)</f>
        <v>4409088.7462833906</v>
      </c>
      <c r="J9" s="125">
        <f>'Total Rev Req'!H23*(WACD)</f>
        <v>4202016.2391418284</v>
      </c>
      <c r="K9" s="125">
        <f>'Total Rev Req'!I23*(WACD)</f>
        <v>4000177.875185485</v>
      </c>
      <c r="L9" s="125">
        <f>'Total Rev Req'!J23*(WACD)</f>
        <v>3799197.5674890112</v>
      </c>
      <c r="M9" s="125">
        <f>'Total Rev Req'!K23*(WACD)</f>
        <v>3598231.5607302031</v>
      </c>
      <c r="N9" s="125">
        <f>'Total Rev Req'!L23*(WACD)</f>
        <v>3397251.2530337302</v>
      </c>
      <c r="O9" s="125">
        <f>'Total Rev Req'!M23*(WACD)</f>
        <v>3339229.2637722166</v>
      </c>
      <c r="P9" s="125">
        <f>'Total Rev Req'!N23*(WACD)</f>
        <v>3272754.3576104166</v>
      </c>
      <c r="Q9" s="125">
        <f>'Total Rev Req'!O23*(WACD)</f>
        <v>3206493.7737587783</v>
      </c>
      <c r="R9" s="125">
        <f>'Total Rev Req'!P23*(WACD)</f>
        <v>3140403.4105308191</v>
      </c>
      <c r="S9" s="125">
        <f>'Total Rev Req'!Q23*(WACD)</f>
        <v>3074498.5842494522</v>
      </c>
      <c r="T9" s="125">
        <f>'Total Rev Req'!R23*(WACD)</f>
        <v>3008737.40748693</v>
      </c>
      <c r="U9" s="125">
        <f>'Total Rev Req'!S23*(WACD)</f>
        <v>2943137.0417817803</v>
      </c>
      <c r="V9" s="125">
        <f>'Total Rev Req'!T23*(WACD)</f>
        <v>2877657.4449218693</v>
      </c>
      <c r="W9" s="125">
        <f>'Total Rev Req'!U23*(WACD)</f>
        <v>2812214.2915869849</v>
      </c>
      <c r="X9" s="125">
        <f>'Total Rev Req'!V23*(WACD)</f>
        <v>2778662.5982871163</v>
      </c>
      <c r="Y9" s="125">
        <f>'Total Rev Req'!W23*(WACD)</f>
        <v>2777015.9278736832</v>
      </c>
      <c r="Z9" s="125">
        <f>'Total Rev Req'!X23*(WACD)</f>
        <v>2775369.6265033721</v>
      </c>
      <c r="AA9" s="125">
        <f>'Total Rev Req'!Y23*(WACD)</f>
        <v>2773722.9560899395</v>
      </c>
      <c r="AB9" s="125">
        <f>'Total Rev Req'!Z23*(WACD)</f>
        <v>2772076.6547196289</v>
      </c>
      <c r="AC9" s="125">
        <f>'Total Rev Req'!AA23*(WACD)</f>
        <v>0</v>
      </c>
      <c r="AD9" s="125">
        <f>'Total Rev Req'!AB23*(WACD)</f>
        <v>0</v>
      </c>
      <c r="AE9" s="125">
        <f>'Total Rev Req'!AC23*(WACD)</f>
        <v>0</v>
      </c>
      <c r="AF9" s="125">
        <f>'Total Rev Req'!AD23*(WACD)</f>
        <v>0</v>
      </c>
      <c r="AG9" s="125">
        <f>'Total Rev Req'!AE23*(WACD)</f>
        <v>0</v>
      </c>
      <c r="AH9" s="125">
        <f>'Total Rev Req'!AF23*(WACD)</f>
        <v>0</v>
      </c>
      <c r="AI9" s="125">
        <f>'Total Rev Req'!AG23*(WACD)</f>
        <v>0</v>
      </c>
      <c r="AJ9" s="125">
        <f>'Total Rev Req'!AH23*(WACD)</f>
        <v>0</v>
      </c>
      <c r="AK9" s="125">
        <f>'Total Rev Req'!AI23*(WACD)</f>
        <v>0</v>
      </c>
      <c r="AL9" s="125">
        <f>'Total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-11828766.203383036</v>
      </c>
      <c r="E11" s="31">
        <f>E4-E6-E7-E8-E9</f>
        <v>-11583643.297364118</v>
      </c>
      <c r="F11" s="31">
        <f>F4-F6-F7-F8-F9</f>
        <v>-11346423.515313331</v>
      </c>
      <c r="G11" s="31">
        <f>G4-G6-G7-G8-G9</f>
        <v>-11116494.438030194</v>
      </c>
      <c r="H11" s="31">
        <f t="shared" ref="H11:X11" si="0">H4-H6-H7-H8-H9</f>
        <v>-10893331.134771436</v>
      </c>
      <c r="I11" s="31">
        <f t="shared" si="0"/>
        <v>-10676408.674793787</v>
      </c>
      <c r="J11" s="31">
        <f t="shared" si="0"/>
        <v>-10465275.034401651</v>
      </c>
      <c r="K11" s="31">
        <f t="shared" si="0"/>
        <v>-10259478.189899437</v>
      </c>
      <c r="L11" s="31">
        <f t="shared" si="0"/>
        <v>-10054556.229969341</v>
      </c>
      <c r="M11" s="31">
        <f t="shared" si="0"/>
        <v>-9849648.8514487781</v>
      </c>
      <c r="N11" s="31">
        <f t="shared" si="0"/>
        <v>-9644726.8915186822</v>
      </c>
      <c r="O11" s="31">
        <f t="shared" si="0"/>
        <v>-9745066.9673709441</v>
      </c>
      <c r="P11" s="31">
        <f t="shared" si="0"/>
        <v>-3272754.3576104166</v>
      </c>
      <c r="Q11" s="31">
        <f t="shared" si="0"/>
        <v>-3206493.7737587783</v>
      </c>
      <c r="R11" s="31">
        <f t="shared" si="0"/>
        <v>-3140403.4105308191</v>
      </c>
      <c r="S11" s="31">
        <f t="shared" si="0"/>
        <v>-3074498.5842494522</v>
      </c>
      <c r="T11" s="31">
        <f t="shared" si="0"/>
        <v>-3008737.40748693</v>
      </c>
      <c r="U11" s="31">
        <f t="shared" si="0"/>
        <v>-2943137.0417817803</v>
      </c>
      <c r="V11" s="31">
        <f t="shared" si="0"/>
        <v>-2877657.4449218693</v>
      </c>
      <c r="W11" s="31">
        <f t="shared" si="0"/>
        <v>-2812214.2915869849</v>
      </c>
      <c r="X11" s="31">
        <f t="shared" si="0"/>
        <v>-2778662.5982871163</v>
      </c>
      <c r="Y11" s="31">
        <f t="shared" ref="Y11:AK11" si="1">Y4-Y6-Y7-Y8-Y9</f>
        <v>-2777015.9278736832</v>
      </c>
      <c r="Z11" s="31">
        <f t="shared" si="1"/>
        <v>-2775369.6265033721</v>
      </c>
      <c r="AA11" s="31">
        <f t="shared" si="1"/>
        <v>-2773722.9560899395</v>
      </c>
      <c r="AB11" s="31">
        <f t="shared" si="1"/>
        <v>-2772076.6547196289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-1085039.2000000002</v>
      </c>
      <c r="E14" s="124">
        <f>-('Rate Base - coal'!D59-'Rate Base - coal'!D19)*1000</f>
        <v>-7806469.5300000003</v>
      </c>
      <c r="F14" s="124">
        <f>-('Rate Base - coal'!E59-'Rate Base - coal'!E19)*1000</f>
        <v>-6756306.5899999999</v>
      </c>
      <c r="G14" s="124">
        <f>-('Rate Base - coal'!F59-'Rate Base - coal'!F19)*1000</f>
        <v>-5787521.5899999999</v>
      </c>
      <c r="H14" s="124">
        <f>-('Rate Base - coal'!G59-'Rate Base - coal'!G19)*1000</f>
        <v>-4888489.1100000003</v>
      </c>
      <c r="I14" s="124">
        <f>-('Rate Base - coal'!H59-'Rate Base - coal'!H19)*1000</f>
        <v>-4059209.1500000004</v>
      </c>
      <c r="J14" s="124">
        <f>-('Rate Base - coal'!I59-'Rate Base - coal'!I19)*1000</f>
        <v>-3289993.8600000003</v>
      </c>
      <c r="K14" s="124">
        <f>-('Rate Base - coal'!J59-'Rate Base - coal'!J19)*1000</f>
        <v>-2580843.2400000002</v>
      </c>
      <c r="L14" s="124">
        <f>-('Rate Base - coal'!K59-'Rate Base - coal'!K19)*1000</f>
        <v>-2464589.040000001</v>
      </c>
      <c r="M14" s="124">
        <f>-('Rate Base - coal'!L59-'Rate Base - coal'!L19)*1000</f>
        <v>-2462651.4699999988</v>
      </c>
      <c r="N14" s="124">
        <f>-('Rate Base - coal'!M59-'Rate Base - coal'!M19)*1000</f>
        <v>-2464589.040000001</v>
      </c>
      <c r="O14" s="124">
        <f>-('Rate Base - coal'!N59-'Rate Base - coal'!N19)*1000</f>
        <v>-2490651.4699999988</v>
      </c>
      <c r="P14" s="124">
        <f>-('Rate Base - coal'!O59-'Rate Base - coal'!O19)*1000</f>
        <v>-9006387.3400000017</v>
      </c>
      <c r="Q14" s="124">
        <f>-('Rate Base - coal'!P59-'Rate Base - coal'!P19)*1000</f>
        <v>-8977349.7699999996</v>
      </c>
      <c r="R14" s="124">
        <f>-('Rate Base - coal'!Q59-'Rate Base - coal'!Q19)*1000</f>
        <v>-8954287.3399999999</v>
      </c>
      <c r="S14" s="124">
        <f>-('Rate Base - coal'!R59-'Rate Base - coal'!R19)*1000</f>
        <v>-8929149.7699999977</v>
      </c>
      <c r="T14" s="124">
        <f>-('Rate Base - coal'!S59-'Rate Base - coal'!S19)*1000</f>
        <v>-8909687.3399999999</v>
      </c>
      <c r="U14" s="124">
        <f>-('Rate Base - coal'!T59-'Rate Base - coal'!T19)*1000</f>
        <v>-8887899.7699999977</v>
      </c>
      <c r="V14" s="124">
        <f>-('Rate Base - coal'!U59-'Rate Base - coal'!U19)*1000</f>
        <v>-8871537.3399999999</v>
      </c>
      <c r="W14" s="124">
        <f>-('Rate Base - coal'!V59-'Rate Base - coal'!V19)*1000</f>
        <v>-8866599.7699999996</v>
      </c>
      <c r="X14" s="124">
        <f>-('Rate Base - coal'!W59-'Rate Base - coal'!W19)*1000</f>
        <v>-4545768.67</v>
      </c>
      <c r="Y14" s="124">
        <f>-('Rate Base - coal'!X59-'Rate Base - coal'!X19)*1000</f>
        <v>-223100</v>
      </c>
      <c r="Z14" s="124">
        <f>-('Rate Base - coal'!Y59-'Rate Base - coal'!Y19)*1000</f>
        <v>-223049.99999999997</v>
      </c>
      <c r="AA14" s="124">
        <f>-('Rate Base - coal'!Z59-'Rate Base - coal'!Z19)*1000</f>
        <v>-223100</v>
      </c>
      <c r="AB14" s="124">
        <f>-('Rate Base - coal'!AA59-'Rate Base - coal'!AA19)*1000</f>
        <v>-223049.99999999997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-12913805.403383035</v>
      </c>
      <c r="E16" s="33">
        <f>SUM(E11:E14)</f>
        <v>-19390112.827364117</v>
      </c>
      <c r="F16" s="33">
        <f>SUM(F11:F14)</f>
        <v>-18102730.105313331</v>
      </c>
      <c r="G16" s="33">
        <f>SUM(G11:G14)</f>
        <v>-16904016.028030194</v>
      </c>
      <c r="H16" s="33">
        <f t="shared" ref="H16:X16" si="2">SUM(H11:H14)</f>
        <v>-15781820.244771436</v>
      </c>
      <c r="I16" s="33">
        <f t="shared" si="2"/>
        <v>-14735617.824793788</v>
      </c>
      <c r="J16" s="33">
        <f t="shared" si="2"/>
        <v>-13755268.894401651</v>
      </c>
      <c r="K16" s="33">
        <f t="shared" si="2"/>
        <v>-12840321.429899437</v>
      </c>
      <c r="L16" s="33">
        <f t="shared" si="2"/>
        <v>-12519145.269969342</v>
      </c>
      <c r="M16" s="33">
        <f t="shared" si="2"/>
        <v>-12312300.321448777</v>
      </c>
      <c r="N16" s="33">
        <f t="shared" si="2"/>
        <v>-12109315.931518683</v>
      </c>
      <c r="O16" s="33">
        <f t="shared" si="2"/>
        <v>-12235718.437370943</v>
      </c>
      <c r="P16" s="33">
        <f t="shared" si="2"/>
        <v>-12279141.697610419</v>
      </c>
      <c r="Q16" s="33">
        <f t="shared" si="2"/>
        <v>-12183843.543758778</v>
      </c>
      <c r="R16" s="33">
        <f t="shared" si="2"/>
        <v>-12094690.750530818</v>
      </c>
      <c r="S16" s="33">
        <f t="shared" si="2"/>
        <v>-12003648.354249449</v>
      </c>
      <c r="T16" s="33">
        <f t="shared" si="2"/>
        <v>-11918424.74748693</v>
      </c>
      <c r="U16" s="33">
        <f t="shared" si="2"/>
        <v>-11831036.811781779</v>
      </c>
      <c r="V16" s="33">
        <f t="shared" si="2"/>
        <v>-11749194.78492187</v>
      </c>
      <c r="W16" s="33">
        <f t="shared" si="2"/>
        <v>-11678814.061586984</v>
      </c>
      <c r="X16" s="33">
        <f t="shared" si="2"/>
        <v>-7324431.2682871167</v>
      </c>
      <c r="Y16" s="33">
        <f t="shared" ref="Y16:AK16" si="3">SUM(Y11:Y14)</f>
        <v>-3000115.9278736832</v>
      </c>
      <c r="Z16" s="33">
        <f t="shared" si="3"/>
        <v>-2998419.6265033721</v>
      </c>
      <c r="AA16" s="33">
        <f t="shared" si="3"/>
        <v>-2996822.9560899395</v>
      </c>
      <c r="AB16" s="33">
        <f t="shared" si="3"/>
        <v>-2995126.6547196289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5.0097000000000003E-2</v>
      </c>
      <c r="E18" s="126">
        <f>Input!$B$34</f>
        <v>5.0097000000000003E-2</v>
      </c>
      <c r="F18" s="126">
        <f>Input!$B$34</f>
        <v>5.0097000000000003E-2</v>
      </c>
      <c r="G18" s="126">
        <f>Input!$B$34</f>
        <v>5.0097000000000003E-2</v>
      </c>
      <c r="H18" s="126">
        <f>Input!$B$34</f>
        <v>5.0097000000000003E-2</v>
      </c>
      <c r="I18" s="126">
        <f>Input!$B$34</f>
        <v>5.0097000000000003E-2</v>
      </c>
      <c r="J18" s="126">
        <f>Input!$B$34</f>
        <v>5.0097000000000003E-2</v>
      </c>
      <c r="K18" s="126">
        <f>Input!$B$34</f>
        <v>5.0097000000000003E-2</v>
      </c>
      <c r="L18" s="126">
        <f>Input!$B$34</f>
        <v>5.0097000000000003E-2</v>
      </c>
      <c r="M18" s="126">
        <f>Input!$B$34</f>
        <v>5.0097000000000003E-2</v>
      </c>
      <c r="N18" s="126">
        <f>Input!$B$34</f>
        <v>5.0097000000000003E-2</v>
      </c>
      <c r="O18" s="126">
        <f>Input!$B$34</f>
        <v>5.0097000000000003E-2</v>
      </c>
      <c r="P18" s="126">
        <f>Input!$B$34</f>
        <v>5.0097000000000003E-2</v>
      </c>
      <c r="Q18" s="126">
        <f>Input!$B$34</f>
        <v>5.0097000000000003E-2</v>
      </c>
      <c r="R18" s="126">
        <f>Input!$B$34</f>
        <v>5.0097000000000003E-2</v>
      </c>
      <c r="S18" s="126">
        <f>Input!$B$34</f>
        <v>5.0097000000000003E-2</v>
      </c>
      <c r="T18" s="126">
        <f>Input!$B$34</f>
        <v>5.0097000000000003E-2</v>
      </c>
      <c r="U18" s="126">
        <f>Input!$B$34</f>
        <v>5.0097000000000003E-2</v>
      </c>
      <c r="V18" s="126">
        <f>Input!$B$34</f>
        <v>5.0097000000000003E-2</v>
      </c>
      <c r="W18" s="126">
        <f>Input!$B$34</f>
        <v>5.0097000000000003E-2</v>
      </c>
      <c r="X18" s="126">
        <f>Input!$B$34</f>
        <v>5.0097000000000003E-2</v>
      </c>
      <c r="Y18" s="126">
        <f>Input!$B$34</f>
        <v>5.0097000000000003E-2</v>
      </c>
      <c r="Z18" s="126">
        <f>Input!$B$34</f>
        <v>5.0097000000000003E-2</v>
      </c>
      <c r="AA18" s="126">
        <f>Input!$B$34</f>
        <v>5.0097000000000003E-2</v>
      </c>
      <c r="AB18" s="126">
        <f>Input!$B$34</f>
        <v>5.0097000000000003E-2</v>
      </c>
      <c r="AC18" s="126">
        <f>Input!$B$34</f>
        <v>5.0097000000000003E-2</v>
      </c>
      <c r="AD18" s="126">
        <f>Input!$B$34</f>
        <v>5.0097000000000003E-2</v>
      </c>
      <c r="AE18" s="126">
        <f>Input!$B$34</f>
        <v>5.0097000000000003E-2</v>
      </c>
      <c r="AF18" s="126">
        <f>Input!$B$34</f>
        <v>5.0097000000000003E-2</v>
      </c>
      <c r="AG18" s="126">
        <f>Input!$B$34</f>
        <v>5.0097000000000003E-2</v>
      </c>
      <c r="AH18" s="126">
        <f>Input!$B$34</f>
        <v>5.0097000000000003E-2</v>
      </c>
      <c r="AI18" s="126">
        <f>Input!$B$34</f>
        <v>5.0097000000000003E-2</v>
      </c>
      <c r="AJ18" s="126">
        <f>Input!$B$34</f>
        <v>5.0097000000000003E-2</v>
      </c>
      <c r="AK18" s="126">
        <f>Input!$B$34</f>
        <v>5.0097000000000003E-2</v>
      </c>
      <c r="AL18" s="126">
        <f>Input!$B$34</f>
        <v>5.0097000000000003E-2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-646942.90929327998</v>
      </c>
      <c r="E20" s="132">
        <f>E16*E18</f>
        <v>-971386.4823124602</v>
      </c>
      <c r="F20" s="132">
        <f>F16*F18</f>
        <v>-906892.470085882</v>
      </c>
      <c r="G20" s="132">
        <f>G16*G18</f>
        <v>-846840.49095622869</v>
      </c>
      <c r="H20" s="132">
        <f t="shared" ref="H20:X20" si="4">H16*H18</f>
        <v>-790621.84880231461</v>
      </c>
      <c r="I20" s="132">
        <f t="shared" si="4"/>
        <v>-738210.24616869446</v>
      </c>
      <c r="J20" s="132">
        <f t="shared" si="4"/>
        <v>-689097.70580283948</v>
      </c>
      <c r="K20" s="132">
        <f t="shared" si="4"/>
        <v>-643261.58267367212</v>
      </c>
      <c r="L20" s="132">
        <f t="shared" si="4"/>
        <v>-627171.62058965419</v>
      </c>
      <c r="M20" s="132">
        <f t="shared" si="4"/>
        <v>-616809.30920361937</v>
      </c>
      <c r="N20" s="132">
        <f t="shared" si="4"/>
        <v>-606640.40022129146</v>
      </c>
      <c r="O20" s="132">
        <f t="shared" si="4"/>
        <v>-612972.78655697219</v>
      </c>
      <c r="P20" s="132">
        <f t="shared" si="4"/>
        <v>-615148.16162518924</v>
      </c>
      <c r="Q20" s="132">
        <f t="shared" si="4"/>
        <v>-610374.01001168357</v>
      </c>
      <c r="R20" s="132">
        <f t="shared" si="4"/>
        <v>-605907.7225293424</v>
      </c>
      <c r="S20" s="132">
        <f t="shared" si="4"/>
        <v>-601346.77160283469</v>
      </c>
      <c r="T20" s="132">
        <f t="shared" si="4"/>
        <v>-597077.32457485283</v>
      </c>
      <c r="U20" s="132">
        <f t="shared" si="4"/>
        <v>-592699.45115983183</v>
      </c>
      <c r="V20" s="132">
        <f t="shared" si="4"/>
        <v>-588599.41114023095</v>
      </c>
      <c r="W20" s="132">
        <f t="shared" si="4"/>
        <v>-585073.5480433231</v>
      </c>
      <c r="X20" s="132">
        <f t="shared" si="4"/>
        <v>-366932.0332473797</v>
      </c>
      <c r="Y20" s="132">
        <f t="shared" ref="Y20:AK20" si="5">Y16*Y18</f>
        <v>-150296.80763868793</v>
      </c>
      <c r="Z20" s="132">
        <f t="shared" si="5"/>
        <v>-150211.82802893943</v>
      </c>
      <c r="AA20" s="132">
        <f t="shared" si="5"/>
        <v>-150131.8396312377</v>
      </c>
      <c r="AB20" s="132">
        <f t="shared" si="5"/>
        <v>-150046.86002148926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'Total Rev Req'!B28</f>
        <v>23042056.525590315</v>
      </c>
      <c r="E22" s="124">
        <f>'Total Rev Req'!C28</f>
        <v>22311460.393595241</v>
      </c>
      <c r="F22" s="124">
        <f>'Total Rev Req'!D28</f>
        <v>21604419.7582919</v>
      </c>
      <c r="G22" s="124">
        <f>'Total Rev Req'!E28</f>
        <v>20919109.285988301</v>
      </c>
      <c r="H22" s="124">
        <f>'Total Rev Req'!F28</f>
        <v>20253964.404948469</v>
      </c>
      <c r="I22" s="124">
        <f>'Total Rev Req'!G28</f>
        <v>19607420.543436423</v>
      </c>
      <c r="J22" s="124">
        <f>'Total Rev Req'!H28</f>
        <v>18978130.431346178</v>
      </c>
      <c r="K22" s="124">
        <f>'Total Rev Req'!I28</f>
        <v>18364746.798571747</v>
      </c>
      <c r="L22" s="124">
        <f>'Total Rev Req'!J28</f>
        <v>17753970.785357285</v>
      </c>
      <c r="M22" s="124">
        <f>'Total Rev Req'!K28</f>
        <v>17143238.232468825</v>
      </c>
      <c r="N22" s="124">
        <f>'Total Rev Req'!L28</f>
        <v>16532462.219254365</v>
      </c>
      <c r="O22" s="124">
        <f>'Total Rev Req'!M28</f>
        <v>16516341.900390748</v>
      </c>
      <c r="P22" s="124">
        <f>'Total Rev Req'!N28</f>
        <v>9881378.8907907475</v>
      </c>
      <c r="Q22" s="124">
        <f>'Total Rev Req'!O28</f>
        <v>9681319.2886881605</v>
      </c>
      <c r="R22" s="124">
        <f>'Total Rev Req'!P28</f>
        <v>9481773.6312003564</v>
      </c>
      <c r="S22" s="124">
        <f>'Total Rev Req'!Q28</f>
        <v>9282788.1626748722</v>
      </c>
      <c r="T22" s="124">
        <f>'Total Rev Req'!R28</f>
        <v>9084236.4130198192</v>
      </c>
      <c r="U22" s="124">
        <f>'Total Rev Req'!S28</f>
        <v>8886170.1978149861</v>
      </c>
      <c r="V22" s="124">
        <f>'Total Rev Req'!T28</f>
        <v>8688468.6182007324</v>
      </c>
      <c r="W22" s="124">
        <f>'Total Rev Req'!U28</f>
        <v>8490877.0719832908</v>
      </c>
      <c r="X22" s="124">
        <f>'Total Rev Req'!V28</f>
        <v>8389574.9399877582</v>
      </c>
      <c r="Y22" s="124">
        <f>'Total Rev Req'!W28</f>
        <v>8384603.1723310892</v>
      </c>
      <c r="Z22" s="124">
        <f>'Total Rev Req'!X28</f>
        <v>8379632.5189208696</v>
      </c>
      <c r="AA22" s="124">
        <f>'Total Rev Req'!Y28</f>
        <v>8374660.7512642024</v>
      </c>
      <c r="AB22" s="124">
        <f>'Total Rev Req'!Z28</f>
        <v>8369690.0978539819</v>
      </c>
      <c r="AC22" s="124">
        <f>'Total Rev Req'!AA28</f>
        <v>0</v>
      </c>
      <c r="AD22" s="124">
        <f>'Total Rev Req'!AB28</f>
        <v>0</v>
      </c>
      <c r="AE22" s="124">
        <f>'Total Rev Req'!AC28</f>
        <v>0</v>
      </c>
      <c r="AF22" s="124">
        <f>'Total Rev Req'!AD28</f>
        <v>0</v>
      </c>
      <c r="AG22" s="124">
        <f>'Total Rev Req'!AE28</f>
        <v>0</v>
      </c>
      <c r="AH22" s="124">
        <f>'Total Rev Req'!AF28</f>
        <v>0</v>
      </c>
      <c r="AI22" s="124">
        <f>'Total Rev Req'!AG28</f>
        <v>0</v>
      </c>
      <c r="AJ22" s="124">
        <f>'Total Rev Req'!AH28</f>
        <v>0</v>
      </c>
      <c r="AK22" s="124">
        <f>'Total Rev Req'!AI28</f>
        <v>0</v>
      </c>
      <c r="AL22" s="124">
        <f>'Total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11213290.32220728</v>
      </c>
      <c r="E24" s="127">
        <f t="shared" si="6"/>
        <v>10727817.096231123</v>
      </c>
      <c r="F24" s="127">
        <f t="shared" si="6"/>
        <v>10257996.242978569</v>
      </c>
      <c r="G24" s="127">
        <f t="shared" si="6"/>
        <v>9802614.8479581065</v>
      </c>
      <c r="H24" s="127">
        <f t="shared" si="6"/>
        <v>9360633.2701770328</v>
      </c>
      <c r="I24" s="127">
        <f t="shared" si="6"/>
        <v>8931011.8686426356</v>
      </c>
      <c r="J24" s="127">
        <f t="shared" si="6"/>
        <v>8512855.3969445266</v>
      </c>
      <c r="K24" s="127">
        <f t="shared" si="6"/>
        <v>8105268.6086723097</v>
      </c>
      <c r="L24" s="127">
        <f t="shared" si="6"/>
        <v>7699414.555387944</v>
      </c>
      <c r="M24" s="127">
        <f t="shared" si="6"/>
        <v>7293589.3810200468</v>
      </c>
      <c r="N24" s="127">
        <f t="shared" si="6"/>
        <v>6887735.3277356829</v>
      </c>
      <c r="O24" s="127">
        <f t="shared" si="6"/>
        <v>6771274.9330198038</v>
      </c>
      <c r="P24" s="127">
        <f t="shared" si="6"/>
        <v>6608624.5331803309</v>
      </c>
      <c r="Q24" s="127">
        <f t="shared" si="6"/>
        <v>6474825.5149293821</v>
      </c>
      <c r="R24" s="127">
        <f t="shared" si="6"/>
        <v>6341370.2206695378</v>
      </c>
      <c r="S24" s="127">
        <f t="shared" si="6"/>
        <v>6208289.5784254204</v>
      </c>
      <c r="T24" s="127">
        <f t="shared" si="6"/>
        <v>6075499.0055328887</v>
      </c>
      <c r="U24" s="127">
        <f t="shared" si="6"/>
        <v>5943033.1560332058</v>
      </c>
      <c r="V24" s="127">
        <f t="shared" si="6"/>
        <v>5810811.1732788626</v>
      </c>
      <c r="W24" s="127">
        <f t="shared" si="6"/>
        <v>5678662.780396306</v>
      </c>
      <c r="X24" s="127">
        <f t="shared" si="6"/>
        <v>5610912.3417006414</v>
      </c>
      <c r="Y24" s="127">
        <f t="shared" ref="Y24:AK24" si="7">Y22+Y11</f>
        <v>5607587.244457406</v>
      </c>
      <c r="Z24" s="127">
        <f t="shared" si="7"/>
        <v>5604262.8924174979</v>
      </c>
      <c r="AA24" s="127">
        <f t="shared" si="7"/>
        <v>5600937.7951742634</v>
      </c>
      <c r="AB24" s="127">
        <f t="shared" si="7"/>
        <v>5597613.4431343526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10128251.12220728</v>
      </c>
      <c r="E26" s="127">
        <f t="shared" si="8"/>
        <v>2921347.5662311241</v>
      </c>
      <c r="F26" s="127">
        <f t="shared" si="8"/>
        <v>3501689.6529785693</v>
      </c>
      <c r="G26" s="127">
        <f t="shared" si="8"/>
        <v>4015093.2579581067</v>
      </c>
      <c r="H26" s="127">
        <f t="shared" si="8"/>
        <v>4472144.1601770334</v>
      </c>
      <c r="I26" s="127">
        <f t="shared" si="8"/>
        <v>4871802.7186426353</v>
      </c>
      <c r="J26" s="127">
        <f t="shared" si="8"/>
        <v>5222861.5369445272</v>
      </c>
      <c r="K26" s="127">
        <f t="shared" si="8"/>
        <v>5524425.3686723094</v>
      </c>
      <c r="L26" s="127">
        <f t="shared" si="8"/>
        <v>5234825.515387943</v>
      </c>
      <c r="M26" s="127">
        <f t="shared" si="8"/>
        <v>4830937.911020048</v>
      </c>
      <c r="N26" s="127">
        <f t="shared" si="8"/>
        <v>4423146.287735682</v>
      </c>
      <c r="O26" s="127">
        <f t="shared" si="8"/>
        <v>4280623.463019805</v>
      </c>
      <c r="P26" s="127">
        <f t="shared" si="8"/>
        <v>-2397762.8068196718</v>
      </c>
      <c r="Q26" s="127">
        <f t="shared" si="8"/>
        <v>-2502524.2550706174</v>
      </c>
      <c r="R26" s="127">
        <f t="shared" si="8"/>
        <v>-2612917.1193304621</v>
      </c>
      <c r="S26" s="127">
        <f t="shared" si="8"/>
        <v>-2720860.1915745772</v>
      </c>
      <c r="T26" s="127">
        <f t="shared" si="8"/>
        <v>-2834188.3344671112</v>
      </c>
      <c r="U26" s="127">
        <f t="shared" si="8"/>
        <v>-2944866.6139667928</v>
      </c>
      <c r="V26" s="127">
        <f t="shared" si="8"/>
        <v>-3060726.1667211372</v>
      </c>
      <c r="W26" s="127">
        <f t="shared" si="8"/>
        <v>-3187936.9896036927</v>
      </c>
      <c r="X26" s="127">
        <f t="shared" si="8"/>
        <v>1065143.6717006415</v>
      </c>
      <c r="Y26" s="127">
        <f t="shared" ref="Y26:AK26" si="9">Y16+Y22</f>
        <v>5384487.244457406</v>
      </c>
      <c r="Z26" s="127">
        <f t="shared" si="9"/>
        <v>5381212.8924174979</v>
      </c>
      <c r="AA26" s="127">
        <f t="shared" si="9"/>
        <v>5377837.7951742634</v>
      </c>
      <c r="AB26" s="127">
        <f t="shared" si="9"/>
        <v>5374563.4431343526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507394.99646921817</v>
      </c>
      <c r="E28" s="132">
        <f t="shared" si="10"/>
        <v>146350.74902548062</v>
      </c>
      <c r="F28" s="132">
        <f t="shared" si="10"/>
        <v>175424.1465452674</v>
      </c>
      <c r="G28" s="132">
        <f t="shared" si="10"/>
        <v>201144.12694392729</v>
      </c>
      <c r="H28" s="132">
        <f t="shared" si="10"/>
        <v>224041.00599238885</v>
      </c>
      <c r="I28" s="132">
        <f t="shared" si="10"/>
        <v>244062.70079584012</v>
      </c>
      <c r="J28" s="132">
        <f t="shared" si="10"/>
        <v>261649.69441631</v>
      </c>
      <c r="K28" s="132">
        <f t="shared" si="10"/>
        <v>276757.1376943767</v>
      </c>
      <c r="L28" s="132">
        <f t="shared" si="10"/>
        <v>262249.0538443898</v>
      </c>
      <c r="M28" s="132">
        <f t="shared" si="10"/>
        <v>242015.49652837135</v>
      </c>
      <c r="N28" s="132">
        <f t="shared" si="10"/>
        <v>221586.35957669446</v>
      </c>
      <c r="O28" s="132">
        <f t="shared" si="10"/>
        <v>214446.39362690318</v>
      </c>
      <c r="P28" s="132">
        <f t="shared" si="10"/>
        <v>-120120.7233332451</v>
      </c>
      <c r="Q28" s="132">
        <f t="shared" si="10"/>
        <v>-125368.95760627273</v>
      </c>
      <c r="R28" s="132">
        <f t="shared" si="10"/>
        <v>-130899.30892709816</v>
      </c>
      <c r="S28" s="132">
        <f t="shared" si="10"/>
        <v>-136306.93301731162</v>
      </c>
      <c r="T28" s="132">
        <f t="shared" si="10"/>
        <v>-141984.33299179887</v>
      </c>
      <c r="U28" s="132">
        <f t="shared" si="10"/>
        <v>-147528.98275989442</v>
      </c>
      <c r="V28" s="132">
        <f t="shared" si="10"/>
        <v>-153333.19877422883</v>
      </c>
      <c r="W28" s="132">
        <f t="shared" si="10"/>
        <v>-159706.0793681762</v>
      </c>
      <c r="X28" s="132">
        <f t="shared" si="10"/>
        <v>53360.502521187038</v>
      </c>
      <c r="Y28" s="132">
        <f t="shared" ref="Y28:AK28" si="11">Y18*Y26</f>
        <v>269746.65748558269</v>
      </c>
      <c r="Z28" s="132">
        <f t="shared" si="11"/>
        <v>269582.62227143941</v>
      </c>
      <c r="AA28" s="132">
        <f t="shared" si="11"/>
        <v>269413.5400248451</v>
      </c>
      <c r="AB28" s="132">
        <f t="shared" si="11"/>
        <v>269249.50481070165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1-11 Attachment 4
Page &amp;P of &amp;N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Props1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78983AE4-63A9-4B3A-952F-B55C7E44FAB3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F8630A36-C0FD-405A-A8CC-1DFB5236A8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EA078CE-3241-4E20-BF44-7A679C49B7DD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41A8699-0E32-4799-9170-C09A2DC3CA6D}">
  <ds:schemaRefs>
    <ds:schemaRef ds:uri="http://purl.org/dc/elements/1.1/"/>
    <ds:schemaRef ds:uri="http://schemas.microsoft.com/office/2006/metadata/properties"/>
    <ds:schemaRef ds:uri="f88ffb1c-9230-4705-a789-27bae69f5829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b6888f76-1100-40b0-929b-1efe9044426d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Input</vt:lpstr>
      <vt:lpstr>Cash Flow of U2</vt:lpstr>
      <vt:lpstr>GRCF</vt:lpstr>
      <vt:lpstr>Allocators</vt:lpstr>
      <vt:lpstr>CAP Structure</vt:lpstr>
      <vt:lpstr>Rate Base - coal</vt:lpstr>
      <vt:lpstr>Total Rev Req</vt:lpstr>
      <vt:lpstr>50%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'Rate Base - coal'!Print_Area</vt:lpstr>
      <vt:lpstr>'Total Rev Req'!Print_Area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lastModifiedBy>Randy1</cp:lastModifiedBy>
  <cp:lastPrinted>2018-07-05T12:53:07Z</cp:lastPrinted>
  <dcterms:created xsi:type="dcterms:W3CDTF">2010-08-13T18:09:08Z</dcterms:created>
  <dcterms:modified xsi:type="dcterms:W3CDTF">2026-05-14T16:21:55Z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40b2881a-ec07-4b3e-936f-bee0fcad6f2e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