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4240" windowHeight="13140" tabRatio="909" activeTab="1"/>
  </bookViews>
  <sheets>
    <sheet name="2026" sheetId="156" r:id="rId1"/>
    <sheet name="2027" sheetId="157" r:id="rId2"/>
    <sheet name="2028" sheetId="158" r:id="rId3"/>
    <sheet name="2029" sheetId="153" r:id="rId4"/>
    <sheet name="12mos BA" sheetId="155" r:id="rId5"/>
    <sheet name="3.32" sheetId="45" state="hidden" r:id="rId6"/>
    <sheet name="Property Tax" sheetId="57" state="hidden" r:id="rId7"/>
    <sheet name="IN Tax Rates" sheetId="105" state="hidden" r:id="rId8"/>
    <sheet name="IN TAX Lookup" sheetId="113" state="hidden" r:id="rId9"/>
    <sheet name="Changes from Rate Case" sheetId="116" state="hidden" r:id="rId10"/>
  </sheets>
  <definedNames>
    <definedName name="AllocFactors">#REF!</definedName>
    <definedName name="ASD">#REF!</definedName>
    <definedName name="Begin_AP">#REF!</definedName>
    <definedName name="Begin_Print1" localSheetId="4">#REF!</definedName>
    <definedName name="Begin_Print1">#REF!</definedName>
    <definedName name="Begin_Print2" localSheetId="4">#REF!</definedName>
    <definedName name="Begin_Print2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End_of_Report" localSheetId="4">#REF!</definedName>
    <definedName name="End_of_Report">#REF!</definedName>
    <definedName name="End_Print1" localSheetId="4">#REF!</definedName>
    <definedName name="End_Print1">#REF!</definedName>
    <definedName name="End_Print2" localSheetId="4">#REF!</definedName>
    <definedName name="End_Print2">#REF!</definedName>
    <definedName name="Katy">#REF!</definedName>
    <definedName name="Marshall_Rate" localSheetId="0">#REF!</definedName>
    <definedName name="Marshall_Rate" localSheetId="1">#REF!</definedName>
    <definedName name="Marshall_Rate" localSheetId="2">#REF!</definedName>
    <definedName name="Marshall_Rate" localSheetId="3">#REF!</definedName>
    <definedName name="Marshall_Rate" localSheetId="6">'Property Tax'!$B$2</definedName>
    <definedName name="Marshall_Rate">#REF!</definedName>
    <definedName name="NONUTILITY">#REF!</definedName>
    <definedName name="NvsASD" localSheetId="4">"V2013-03-31"</definedName>
    <definedName name="NvsASD">"V2017-08-31"</definedName>
    <definedName name="NvsAutoDrillOk">"VN"</definedName>
    <definedName name="NvsElapsedTime" localSheetId="4">0.000115740738692693</definedName>
    <definedName name="NvsElapsedTime">0.00255787037167465</definedName>
    <definedName name="NvsEndTime" localSheetId="4">41370.633587963</definedName>
    <definedName name="NvsEndTime">42990.6050462963</definedName>
    <definedName name="NvsInstanceHook">"""nvsMacro"""</definedName>
    <definedName name="NvsInstLang">"VENG"</definedName>
    <definedName name="NvsInstSpec" localSheetId="4">"%,FBUSINESS_UNIT,V117"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 localSheetId="4">"V2099-01-01"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0">#REF!</definedName>
    <definedName name="PC_Percent" localSheetId="1">#REF!</definedName>
    <definedName name="PC_Percent" localSheetId="2">#REF!</definedName>
    <definedName name="PC_Percent" localSheetId="3">#REF!</definedName>
    <definedName name="PC_Percent" localSheetId="6">'Property Tax'!$B$6</definedName>
    <definedName name="PC_Percent">#REF!</definedName>
    <definedName name="_xlnm.Print_Area" localSheetId="0">'2026'!$B$1:$Q$35</definedName>
    <definedName name="_xlnm.Print_Area" localSheetId="1">'2027'!$B$1:$Q$35</definedName>
    <definedName name="_xlnm.Print_Area" localSheetId="2">'2028'!$B$1:$Q$35</definedName>
    <definedName name="_xlnm.Print_Area" localSheetId="3">'2029'!$B$1:$Q$35</definedName>
    <definedName name="RESERVED">#REF!</definedName>
    <definedName name="Reserved_Section">#REF!</definedName>
    <definedName name="Rev_End" localSheetId="4">#REF!</definedName>
    <definedName name="Rev_End">#REF!</definedName>
    <definedName name="search_directory_name">"R:\fcm90prd\nvision\rpts\Fin_Reports\"</definedName>
    <definedName name="tim" localSheetId="4">#REF!</definedName>
    <definedName name="tim" localSheetId="0">#REF!</definedName>
    <definedName name="tim" localSheetId="1">#REF!</definedName>
    <definedName name="tim" localSheetId="2">#REF!</definedName>
    <definedName name="tim" localSheetId="3">#REF!</definedName>
    <definedName name="tim">#REF!</definedName>
    <definedName name="timm" localSheetId="4">#REF!</definedName>
    <definedName name="timm">#REF!</definedName>
    <definedName name="WV_List" localSheetId="0">#REF!</definedName>
    <definedName name="WV_List" localSheetId="1">#REF!</definedName>
    <definedName name="WV_List" localSheetId="2">#REF!</definedName>
    <definedName name="WV_List" localSheetId="3">#REF!</definedName>
    <definedName name="WV_List" localSheetId="6">'Property Tax'!$B$4</definedName>
    <definedName name="WV_List">#REF!</definedName>
    <definedName name="Z_0BD4BC22_E7A2_4140_8384_5A5B3339DEED_.wvu.PrintArea" localSheetId="0" hidden="1">'2026'!$B$1:$N$29</definedName>
    <definedName name="Z_0BD4BC22_E7A2_4140_8384_5A5B3339DEED_.wvu.PrintArea" localSheetId="1" hidden="1">'2027'!$B$1:$N$29</definedName>
    <definedName name="Z_0BD4BC22_E7A2_4140_8384_5A5B3339DEED_.wvu.PrintArea" localSheetId="2" hidden="1">'2028'!$B$1:$N$29</definedName>
    <definedName name="Z_0BD4BC22_E7A2_4140_8384_5A5B3339DEED_.wvu.PrintArea" localSheetId="3" hidden="1">'2029'!$B$1:$N$29</definedName>
    <definedName name="Z_4EF176FC_448F_4BD8_8859_C810312E84E7_.wvu.PrintArea" localSheetId="0" hidden="1">'2026'!$B$1:$N$29</definedName>
    <definedName name="Z_4EF176FC_448F_4BD8_8859_C810312E84E7_.wvu.PrintArea" localSheetId="1" hidden="1">'2027'!$B$1:$N$29</definedName>
    <definedName name="Z_4EF176FC_448F_4BD8_8859_C810312E84E7_.wvu.PrintArea" localSheetId="2" hidden="1">'2028'!$B$1:$N$29</definedName>
    <definedName name="Z_4EF176FC_448F_4BD8_8859_C810312E84E7_.wvu.PrintArea" localSheetId="3" hidden="1">'2029'!$B$1:$N$29</definedName>
    <definedName name="Z_567BA860_460A_4CE0_A629_0EA7372574F1_.wvu.PrintArea" localSheetId="0" hidden="1">'2026'!$B$1:$N$29</definedName>
    <definedName name="Z_567BA860_460A_4CE0_A629_0EA7372574F1_.wvu.PrintArea" localSheetId="1" hidden="1">'2027'!$B$1:$N$29</definedName>
    <definedName name="Z_567BA860_460A_4CE0_A629_0EA7372574F1_.wvu.PrintArea" localSheetId="2" hidden="1">'2028'!$B$1:$N$29</definedName>
    <definedName name="Z_567BA860_460A_4CE0_A629_0EA7372574F1_.wvu.PrintArea" localSheetId="3" hidden="1">'2029'!$B$1:$N$29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58" l="1"/>
  <c r="C29" i="158"/>
  <c r="H26" i="158" s="1"/>
  <c r="O27" i="158"/>
  <c r="I27" i="158"/>
  <c r="F27" i="158"/>
  <c r="O26" i="158"/>
  <c r="I26" i="158"/>
  <c r="F26" i="158"/>
  <c r="O25" i="158"/>
  <c r="I25" i="158"/>
  <c r="H25" i="158"/>
  <c r="F25" i="158"/>
  <c r="O24" i="158"/>
  <c r="F24" i="158"/>
  <c r="O23" i="158"/>
  <c r="I23" i="158"/>
  <c r="F23" i="158"/>
  <c r="E23" i="158"/>
  <c r="O22" i="158"/>
  <c r="F22" i="158"/>
  <c r="O21" i="158"/>
  <c r="I21" i="158"/>
  <c r="H21" i="158"/>
  <c r="F21" i="158"/>
  <c r="O20" i="158"/>
  <c r="O29" i="158" s="1"/>
  <c r="I20" i="158"/>
  <c r="H20" i="158"/>
  <c r="F20" i="158"/>
  <c r="I9" i="158"/>
  <c r="D29" i="157"/>
  <c r="C29" i="157"/>
  <c r="H26" i="157" s="1"/>
  <c r="O27" i="157"/>
  <c r="I27" i="157"/>
  <c r="H27" i="157"/>
  <c r="F27" i="157"/>
  <c r="O26" i="157"/>
  <c r="I26" i="157"/>
  <c r="F26" i="157"/>
  <c r="O25" i="157"/>
  <c r="I25" i="157"/>
  <c r="H25" i="157"/>
  <c r="F25" i="157"/>
  <c r="O24" i="157"/>
  <c r="H24" i="157"/>
  <c r="K24" i="157" s="1"/>
  <c r="F24" i="157"/>
  <c r="O23" i="157"/>
  <c r="I23" i="157"/>
  <c r="H23" i="157"/>
  <c r="F23" i="157"/>
  <c r="E23" i="157"/>
  <c r="O22" i="157"/>
  <c r="K22" i="157"/>
  <c r="H22" i="157"/>
  <c r="F22" i="157"/>
  <c r="O21" i="157"/>
  <c r="I21" i="157"/>
  <c r="H21" i="157"/>
  <c r="F21" i="157"/>
  <c r="O20" i="157"/>
  <c r="O29" i="157" s="1"/>
  <c r="I20" i="157"/>
  <c r="H20" i="157"/>
  <c r="H29" i="157" s="1"/>
  <c r="F20" i="157"/>
  <c r="F29" i="157" s="1"/>
  <c r="G21" i="157" s="1"/>
  <c r="K21" i="157" s="1"/>
  <c r="I9" i="157"/>
  <c r="D29" i="156"/>
  <c r="C29" i="156"/>
  <c r="H26" i="156" s="1"/>
  <c r="O27" i="156"/>
  <c r="I27" i="156"/>
  <c r="F27" i="156"/>
  <c r="O26" i="156"/>
  <c r="I26" i="156"/>
  <c r="F26" i="156"/>
  <c r="O25" i="156"/>
  <c r="I25" i="156"/>
  <c r="H25" i="156"/>
  <c r="F25" i="156"/>
  <c r="O24" i="156"/>
  <c r="F24" i="156"/>
  <c r="O23" i="156"/>
  <c r="I23" i="156"/>
  <c r="E23" i="156"/>
  <c r="F23" i="156" s="1"/>
  <c r="O22" i="156"/>
  <c r="F22" i="156"/>
  <c r="O21" i="156"/>
  <c r="I21" i="156"/>
  <c r="H21" i="156"/>
  <c r="F21" i="156"/>
  <c r="O20" i="156"/>
  <c r="O29" i="156" s="1"/>
  <c r="I20" i="156"/>
  <c r="H20" i="156"/>
  <c r="F20" i="156"/>
  <c r="I9" i="156"/>
  <c r="G22" i="153"/>
  <c r="G20" i="153"/>
  <c r="K20" i="153" s="1"/>
  <c r="Q20" i="153" s="1"/>
  <c r="G24" i="153"/>
  <c r="I24" i="153" s="1"/>
  <c r="G21" i="153"/>
  <c r="K21" i="153" s="1"/>
  <c r="I20" i="153"/>
  <c r="I21" i="153"/>
  <c r="K22" i="153"/>
  <c r="G23" i="153"/>
  <c r="K23" i="153" s="1"/>
  <c r="M23" i="153" s="1"/>
  <c r="I23" i="153"/>
  <c r="K24" i="153"/>
  <c r="G25" i="153"/>
  <c r="K25" i="153" s="1"/>
  <c r="I25" i="153"/>
  <c r="G26" i="153"/>
  <c r="K26" i="153" s="1"/>
  <c r="M26" i="153" s="1"/>
  <c r="N26" i="153" s="1"/>
  <c r="I26" i="153"/>
  <c r="G27" i="153"/>
  <c r="K27" i="153" s="1"/>
  <c r="I27" i="153"/>
  <c r="O29" i="153"/>
  <c r="O27" i="153"/>
  <c r="O26" i="153"/>
  <c r="O25" i="153"/>
  <c r="O24" i="153"/>
  <c r="O23" i="153"/>
  <c r="O22" i="153"/>
  <c r="O21" i="153"/>
  <c r="O20" i="153"/>
  <c r="E87" i="155"/>
  <c r="E85" i="155"/>
  <c r="E83" i="155"/>
  <c r="E71" i="155"/>
  <c r="E59" i="155"/>
  <c r="E57" i="155"/>
  <c r="E55" i="155"/>
  <c r="E43" i="155"/>
  <c r="E16" i="155"/>
  <c r="E90" i="155"/>
  <c r="D87" i="155"/>
  <c r="D85" i="155"/>
  <c r="D83" i="155"/>
  <c r="D71" i="155"/>
  <c r="D59" i="155"/>
  <c r="D57" i="155"/>
  <c r="D55" i="155"/>
  <c r="D43" i="155"/>
  <c r="D16" i="155"/>
  <c r="D90" i="155"/>
  <c r="C87" i="155"/>
  <c r="C85" i="155"/>
  <c r="C83" i="155"/>
  <c r="C71" i="155"/>
  <c r="C59" i="155"/>
  <c r="C57" i="155"/>
  <c r="C55" i="155"/>
  <c r="C43" i="155"/>
  <c r="C16" i="155"/>
  <c r="C90" i="155"/>
  <c r="F87" i="155"/>
  <c r="J87" i="155"/>
  <c r="I87" i="155"/>
  <c r="H87" i="155"/>
  <c r="F85" i="155"/>
  <c r="J85" i="155"/>
  <c r="I85" i="155"/>
  <c r="H85" i="155"/>
  <c r="F83" i="155"/>
  <c r="J83" i="155"/>
  <c r="I83" i="155"/>
  <c r="H83" i="155"/>
  <c r="M82" i="155"/>
  <c r="M81" i="155"/>
  <c r="M80" i="155"/>
  <c r="M79" i="155"/>
  <c r="M78" i="155"/>
  <c r="M77" i="155"/>
  <c r="M76" i="155"/>
  <c r="M75" i="155"/>
  <c r="M74" i="155"/>
  <c r="M73" i="155"/>
  <c r="M72" i="155"/>
  <c r="F71" i="155"/>
  <c r="J71" i="155"/>
  <c r="I71" i="155"/>
  <c r="H71" i="155"/>
  <c r="M70" i="155"/>
  <c r="M69" i="155"/>
  <c r="M68" i="155"/>
  <c r="M67" i="155"/>
  <c r="M66" i="155"/>
  <c r="M65" i="155"/>
  <c r="M64" i="155"/>
  <c r="M63" i="155"/>
  <c r="M62" i="155"/>
  <c r="M61" i="155"/>
  <c r="M60" i="155"/>
  <c r="F59" i="155"/>
  <c r="J59" i="155"/>
  <c r="I59" i="155"/>
  <c r="H59" i="155"/>
  <c r="M58" i="155"/>
  <c r="F57" i="155"/>
  <c r="J57" i="155"/>
  <c r="I57" i="155"/>
  <c r="H57" i="155"/>
  <c r="M56" i="155"/>
  <c r="F55" i="155"/>
  <c r="J55" i="155"/>
  <c r="I55" i="155"/>
  <c r="H55" i="155"/>
  <c r="M54" i="155"/>
  <c r="M53" i="155"/>
  <c r="M52" i="155"/>
  <c r="M51" i="155"/>
  <c r="M50" i="155"/>
  <c r="M49" i="155"/>
  <c r="M48" i="155"/>
  <c r="M47" i="155"/>
  <c r="M46" i="155"/>
  <c r="M45" i="155"/>
  <c r="M44" i="155"/>
  <c r="F43" i="155"/>
  <c r="J43" i="155"/>
  <c r="I43" i="155"/>
  <c r="H43" i="155"/>
  <c r="M42" i="155"/>
  <c r="M41" i="155"/>
  <c r="M40" i="155"/>
  <c r="M39" i="155"/>
  <c r="M38" i="155"/>
  <c r="M37" i="155"/>
  <c r="M36" i="155"/>
  <c r="M35" i="155"/>
  <c r="M34" i="155"/>
  <c r="M33" i="155"/>
  <c r="M32" i="155"/>
  <c r="M31" i="155"/>
  <c r="M30" i="155"/>
  <c r="M29" i="155"/>
  <c r="M28" i="155"/>
  <c r="M27" i="155"/>
  <c r="M26" i="155"/>
  <c r="M25" i="155"/>
  <c r="M24" i="155"/>
  <c r="M23" i="155"/>
  <c r="M22" i="155"/>
  <c r="M21" i="155"/>
  <c r="M20" i="155"/>
  <c r="M19" i="155"/>
  <c r="M18" i="155"/>
  <c r="M17" i="155"/>
  <c r="F16" i="155"/>
  <c r="J16" i="155"/>
  <c r="I16" i="155"/>
  <c r="H16" i="155"/>
  <c r="M15" i="155"/>
  <c r="M14" i="155"/>
  <c r="M13" i="155"/>
  <c r="M12" i="155"/>
  <c r="M11" i="155"/>
  <c r="M10" i="155"/>
  <c r="M9" i="155"/>
  <c r="M8" i="155"/>
  <c r="M7" i="155"/>
  <c r="M6" i="155"/>
  <c r="M5" i="155"/>
  <c r="M4" i="155"/>
  <c r="F22" i="153"/>
  <c r="F20" i="153"/>
  <c r="F27" i="153"/>
  <c r="F26" i="153"/>
  <c r="F25" i="153"/>
  <c r="F24" i="153"/>
  <c r="E23" i="153"/>
  <c r="F21" i="153"/>
  <c r="C29" i="153"/>
  <c r="H20" i="153"/>
  <c r="H21" i="153"/>
  <c r="F23" i="153"/>
  <c r="F29" i="153"/>
  <c r="H22" i="153"/>
  <c r="D29" i="153"/>
  <c r="H23" i="153"/>
  <c r="H24" i="153"/>
  <c r="H27" i="153"/>
  <c r="H25" i="153"/>
  <c r="H26" i="153"/>
  <c r="H29" i="153"/>
  <c r="D15" i="45"/>
  <c r="G19" i="45"/>
  <c r="C20" i="45"/>
  <c r="C21" i="45"/>
  <c r="F20" i="45"/>
  <c r="G20" i="45"/>
  <c r="F21" i="45"/>
  <c r="A5" i="45"/>
  <c r="C25" i="45"/>
  <c r="E21" i="45"/>
  <c r="G21" i="45"/>
  <c r="C26" i="45"/>
  <c r="C27" i="45"/>
  <c r="E9" i="45"/>
  <c r="C9" i="45"/>
  <c r="E15" i="45"/>
  <c r="C15" i="45"/>
  <c r="I9" i="153"/>
  <c r="M27" i="153" l="1"/>
  <c r="M25" i="153"/>
  <c r="P25" i="153" s="1"/>
  <c r="M24" i="153"/>
  <c r="N24" i="153" s="1"/>
  <c r="N25" i="153"/>
  <c r="G29" i="153"/>
  <c r="M21" i="153"/>
  <c r="N21" i="153" s="1"/>
  <c r="I22" i="153"/>
  <c r="M22" i="153" s="1"/>
  <c r="P23" i="153"/>
  <c r="N23" i="153"/>
  <c r="P27" i="153"/>
  <c r="N27" i="153"/>
  <c r="P21" i="153"/>
  <c r="P26" i="153"/>
  <c r="M20" i="153"/>
  <c r="M21" i="157"/>
  <c r="H24" i="158"/>
  <c r="K24" i="158" s="1"/>
  <c r="F29" i="158"/>
  <c r="G27" i="158" s="1"/>
  <c r="K27" i="158" s="1"/>
  <c r="M27" i="158" s="1"/>
  <c r="H23" i="158"/>
  <c r="H27" i="158"/>
  <c r="H22" i="158"/>
  <c r="K22" i="158" s="1"/>
  <c r="G23" i="157"/>
  <c r="K23" i="157" s="1"/>
  <c r="M23" i="157" s="1"/>
  <c r="G27" i="157"/>
  <c r="K27" i="157" s="1"/>
  <c r="M27" i="157" s="1"/>
  <c r="G26" i="157"/>
  <c r="K26" i="157" s="1"/>
  <c r="M26" i="157" s="1"/>
  <c r="G24" i="157"/>
  <c r="I24" i="157" s="1"/>
  <c r="P21" i="157"/>
  <c r="N21" i="157"/>
  <c r="G22" i="157"/>
  <c r="I22" i="157" s="1"/>
  <c r="G25" i="157"/>
  <c r="K25" i="157" s="1"/>
  <c r="M25" i="157" s="1"/>
  <c r="G20" i="157"/>
  <c r="K20" i="157" s="1"/>
  <c r="G25" i="156"/>
  <c r="K25" i="156" s="1"/>
  <c r="M25" i="156" s="1"/>
  <c r="G26" i="156"/>
  <c r="K26" i="156" s="1"/>
  <c r="M26" i="156" s="1"/>
  <c r="H24" i="156"/>
  <c r="K24" i="156" s="1"/>
  <c r="F29" i="156"/>
  <c r="G21" i="156" s="1"/>
  <c r="H23" i="156"/>
  <c r="H22" i="156"/>
  <c r="K22" i="156" s="1"/>
  <c r="H27" i="156"/>
  <c r="P24" i="153" l="1"/>
  <c r="P22" i="153"/>
  <c r="N22" i="153"/>
  <c r="P20" i="153"/>
  <c r="M29" i="153"/>
  <c r="P29" i="153" s="1"/>
  <c r="N20" i="153"/>
  <c r="M24" i="157"/>
  <c r="P24" i="157" s="1"/>
  <c r="M22" i="157"/>
  <c r="K21" i="156"/>
  <c r="M21" i="156" s="1"/>
  <c r="N27" i="158"/>
  <c r="P27" i="158"/>
  <c r="H29" i="158"/>
  <c r="G20" i="158"/>
  <c r="K20" i="158" s="1"/>
  <c r="G22" i="158"/>
  <c r="I22" i="158" s="1"/>
  <c r="G21" i="158"/>
  <c r="K21" i="158" s="1"/>
  <c r="M21" i="158" s="1"/>
  <c r="G24" i="158"/>
  <c r="G25" i="158"/>
  <c r="K25" i="158" s="1"/>
  <c r="M25" i="158" s="1"/>
  <c r="G23" i="158"/>
  <c r="K23" i="158" s="1"/>
  <c r="M23" i="158" s="1"/>
  <c r="G26" i="158"/>
  <c r="K26" i="158" s="1"/>
  <c r="M26" i="158" s="1"/>
  <c r="P25" i="157"/>
  <c r="N25" i="157"/>
  <c r="N27" i="157"/>
  <c r="P27" i="157"/>
  <c r="P23" i="157"/>
  <c r="N23" i="157"/>
  <c r="G29" i="157"/>
  <c r="P26" i="157"/>
  <c r="N26" i="157"/>
  <c r="P26" i="156"/>
  <c r="N26" i="156"/>
  <c r="P25" i="156"/>
  <c r="N25" i="156"/>
  <c r="G24" i="156"/>
  <c r="I24" i="156" s="1"/>
  <c r="H29" i="156"/>
  <c r="G20" i="156"/>
  <c r="K20" i="156" s="1"/>
  <c r="G27" i="156"/>
  <c r="K27" i="156" s="1"/>
  <c r="M27" i="156" s="1"/>
  <c r="G23" i="156"/>
  <c r="K23" i="156" s="1"/>
  <c r="M23" i="156" s="1"/>
  <c r="G22" i="156"/>
  <c r="I22" i="156" s="1"/>
  <c r="M22" i="156" s="1"/>
  <c r="N29" i="153" l="1"/>
  <c r="M24" i="158"/>
  <c r="P24" i="158" s="1"/>
  <c r="I24" i="158"/>
  <c r="N24" i="157"/>
  <c r="M22" i="158"/>
  <c r="N22" i="157"/>
  <c r="P22" i="157"/>
  <c r="P21" i="156"/>
  <c r="N21" i="156"/>
  <c r="M24" i="156"/>
  <c r="N23" i="158"/>
  <c r="P23" i="158"/>
  <c r="P25" i="158"/>
  <c r="N25" i="158"/>
  <c r="P26" i="158"/>
  <c r="N26" i="158"/>
  <c r="P21" i="158"/>
  <c r="N21" i="158"/>
  <c r="G29" i="158"/>
  <c r="Q20" i="157"/>
  <c r="M20" i="157"/>
  <c r="P22" i="156"/>
  <c r="N22" i="156"/>
  <c r="P23" i="156"/>
  <c r="N23" i="156"/>
  <c r="P27" i="156"/>
  <c r="N27" i="156"/>
  <c r="G29" i="156"/>
  <c r="N24" i="158" l="1"/>
  <c r="P22" i="158"/>
  <c r="N22" i="158"/>
  <c r="N24" i="156"/>
  <c r="P24" i="156"/>
  <c r="Q20" i="158"/>
  <c r="M20" i="158"/>
  <c r="P20" i="157"/>
  <c r="M29" i="157"/>
  <c r="P29" i="157" s="1"/>
  <c r="N20" i="157"/>
  <c r="N29" i="157" s="1"/>
  <c r="Q20" i="156"/>
  <c r="M20" i="156"/>
  <c r="P20" i="158" l="1"/>
  <c r="M29" i="158"/>
  <c r="P29" i="158" s="1"/>
  <c r="N20" i="158"/>
  <c r="N29" i="158" s="1"/>
  <c r="P20" i="156"/>
  <c r="M29" i="156"/>
  <c r="P29" i="156" s="1"/>
  <c r="N20" i="156"/>
  <c r="N29" i="156" s="1"/>
</calcChain>
</file>

<file path=xl/sharedStrings.xml><?xml version="1.0" encoding="utf-8"?>
<sst xmlns="http://schemas.openxmlformats.org/spreadsheetml/2006/main" count="373" uniqueCount="172">
  <si>
    <t xml:space="preserve"> </t>
  </si>
  <si>
    <t>Kentucky Power Company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</si>
  <si>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</si>
  <si>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</si>
  <si>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</si>
  <si>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</si>
  <si>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</si>
  <si>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</si>
  <si>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</si>
  <si>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</si>
  <si>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</si>
  <si>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</si>
  <si>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</si>
  <si>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Less Residential PPA Revenues</t>
  </si>
  <si>
    <t xml:space="preserve">Billed Revenue Calculations </t>
  </si>
  <si>
    <t>010 Metered kWh</t>
  </si>
  <si>
    <t>020 Metered kWH</t>
  </si>
  <si>
    <t>WV Listing Percentage</t>
  </si>
  <si>
    <t>Pollution Control Value (Salvage)</t>
  </si>
  <si>
    <t>Non-Residential</t>
  </si>
  <si>
    <t>Less All Other Classifications PPA Revenues</t>
  </si>
  <si>
    <t>Non-Residential Embedded Fuel Revenues (Ln 16  * Ln 17)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</si>
  <si>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</si>
  <si>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</si>
  <si>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</si>
  <si>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</si>
  <si>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</si>
  <si>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</si>
  <si>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</si>
  <si>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</si>
  <si>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</si>
  <si>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</si>
  <si>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Marshall County, WV rate, 2018-2019 fiscal year</t>
  </si>
  <si>
    <t>Demand</t>
  </si>
  <si>
    <t>Energy</t>
  </si>
  <si>
    <t>Total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</si>
  <si>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</si>
  <si>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</si>
  <si>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</si>
  <si>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</si>
  <si>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</si>
  <si>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</si>
  <si>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</si>
  <si>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</si>
  <si>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</si>
  <si>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</si>
  <si>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</si>
  <si>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</si>
  <si>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</si>
  <si>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</si>
  <si>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</si>
  <si>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</si>
  <si>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</si>
  <si>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</si>
  <si>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</si>
  <si>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</si>
  <si>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</si>
  <si>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</si>
  <si>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</si>
  <si>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</si>
  <si>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</si>
  <si>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</si>
  <si>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GS (SGS/MGS)</t>
  </si>
  <si>
    <t>LGS</t>
  </si>
  <si>
    <t>LGS  LMTOD</t>
  </si>
  <si>
    <t xml:space="preserve">IGS </t>
  </si>
  <si>
    <t>MW</t>
  </si>
  <si>
    <t>OL</t>
  </si>
  <si>
    <t>SL</t>
  </si>
  <si>
    <r>
      <t>Revenue Requirement</t>
    </r>
    <r>
      <rPr>
        <vertAlign val="superscript"/>
        <sz val="12.6"/>
        <rFont val="Times New Roman"/>
        <family val="1"/>
      </rPr>
      <t>1</t>
    </r>
  </si>
  <si>
    <t>Generation Rider - Form 2.0</t>
  </si>
  <si>
    <t>Generation Rider Rate Design</t>
  </si>
  <si>
    <t>12 MONTHS BILLED AND ACCRUED - MCSR0162 - FINAL</t>
  </si>
  <si>
    <t>Tariff Code</t>
  </si>
  <si>
    <t>Metered KWH</t>
  </si>
  <si>
    <t>Billing Demand</t>
  </si>
  <si>
    <t># of Customers</t>
  </si>
  <si>
    <t>Avg kWh</t>
  </si>
  <si>
    <t>Avg Bill</t>
  </si>
  <si>
    <t>Avg Peak</t>
  </si>
  <si>
    <t>Check</t>
  </si>
  <si>
    <t xml:space="preserve">RSW-LMWH </t>
  </si>
  <si>
    <t xml:space="preserve">RSW-A    </t>
  </si>
  <si>
    <t xml:space="preserve">RSW-B    </t>
  </si>
  <si>
    <t xml:space="preserve">RSW-C    </t>
  </si>
  <si>
    <t xml:space="preserve">RS       </t>
  </si>
  <si>
    <t xml:space="preserve">RS EMP   </t>
  </si>
  <si>
    <t xml:space="preserve">RSW-RS   </t>
  </si>
  <si>
    <t>AORH-W ON</t>
  </si>
  <si>
    <t xml:space="preserve">RSW-ONPK </t>
  </si>
  <si>
    <t xml:space="preserve">RS LM-ON </t>
  </si>
  <si>
    <t xml:space="preserve">AORH-ON  </t>
  </si>
  <si>
    <t>RS-TOD-ON</t>
  </si>
  <si>
    <t>RES Subtotal</t>
  </si>
  <si>
    <t>OL 175 MV</t>
  </si>
  <si>
    <t>OL 100 HP</t>
  </si>
  <si>
    <t>OL 400 MV</t>
  </si>
  <si>
    <t>OL 200 HP</t>
  </si>
  <si>
    <t>OL 400 HP</t>
  </si>
  <si>
    <t>OL175 MVP</t>
  </si>
  <si>
    <t>OL 250 HP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</si>
  <si>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</si>
  <si>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</si>
  <si>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</si>
  <si>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</si>
  <si>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</si>
  <si>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</si>
  <si>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</si>
  <si>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</si>
  <si>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400HPP</t>
  </si>
  <si>
    <t>OL 250MON</t>
  </si>
  <si>
    <t>OL 1000MH</t>
  </si>
  <si>
    <t>OL 400MON</t>
  </si>
  <si>
    <t>55W LEDOL</t>
  </si>
  <si>
    <t>100WLEDOL</t>
  </si>
  <si>
    <t>175WLEDOL</t>
  </si>
  <si>
    <t>300WLEDOL</t>
  </si>
  <si>
    <t>64W LEDOL</t>
  </si>
  <si>
    <t>146WLEDOL</t>
  </si>
  <si>
    <t>297WLEDOL</t>
  </si>
  <si>
    <t>OL Subtotal</t>
  </si>
  <si>
    <t xml:space="preserve">GS-MTRD  </t>
  </si>
  <si>
    <t xml:space="preserve">GS SEC   </t>
  </si>
  <si>
    <t xml:space="preserve">GS-UMR   </t>
  </si>
  <si>
    <t xml:space="preserve">GS - AF  </t>
  </si>
  <si>
    <t xml:space="preserve">GS PRI   </t>
  </si>
  <si>
    <t xml:space="preserve">GSCC PRI </t>
  </si>
  <si>
    <t xml:space="preserve">GS LM ON </t>
  </si>
  <si>
    <t>GS LM TOD</t>
  </si>
  <si>
    <t>EXP GSTOD</t>
  </si>
  <si>
    <t>SGS-TOD Subtotal</t>
  </si>
  <si>
    <t xml:space="preserve">GS-TOD   </t>
  </si>
  <si>
    <t>MGS-TOD Subtotal</t>
  </si>
  <si>
    <t xml:space="preserve">GSCC SUB </t>
  </si>
  <si>
    <t>GS Subtotal</t>
  </si>
  <si>
    <t xml:space="preserve">LGS SEC  </t>
  </si>
  <si>
    <t>LGS M SEC</t>
  </si>
  <si>
    <t xml:space="preserve">LGS PRI  </t>
  </si>
  <si>
    <t>LGS M PRI</t>
  </si>
  <si>
    <t xml:space="preserve">LGS SUB  </t>
  </si>
  <si>
    <t xml:space="preserve">LGS TRAN </t>
  </si>
  <si>
    <t>LGS-LM-TD</t>
  </si>
  <si>
    <t>LGSSECTOD</t>
  </si>
  <si>
    <t>LGSPRITOD</t>
  </si>
  <si>
    <t xml:space="preserve">PS SEC   </t>
  </si>
  <si>
    <t xml:space="preserve">PS PRI   </t>
  </si>
  <si>
    <t>LGS Subtotal</t>
  </si>
  <si>
    <t>CS-IRP PR</t>
  </si>
  <si>
    <t>CS-IRP ST</t>
  </si>
  <si>
    <t>CS-IRP TR</t>
  </si>
  <si>
    <t xml:space="preserve">CS-IRP   </t>
  </si>
  <si>
    <t xml:space="preserve">IGS SEC  </t>
  </si>
  <si>
    <t xml:space="preserve">IGS PRI  </t>
  </si>
  <si>
    <t xml:space="preserve">IGS SUB  </t>
  </si>
  <si>
    <t xml:space="preserve">IGS      </t>
  </si>
  <si>
    <t>IGS Subtotal</t>
  </si>
  <si>
    <t xml:space="preserve">SL       </t>
  </si>
  <si>
    <t>SL Subtotal</t>
  </si>
  <si>
    <t xml:space="preserve">MW       </t>
  </si>
  <si>
    <t>MW Subtotal</t>
  </si>
  <si>
    <t>% Increase</t>
  </si>
  <si>
    <t>(13) =</t>
  </si>
  <si>
    <t xml:space="preserve"> (10) / (12)</t>
  </si>
  <si>
    <t>Bill Impact</t>
  </si>
  <si>
    <t>12 Months December</t>
  </si>
  <si>
    <t>2025 Revenues</t>
  </si>
  <si>
    <t>Est. Monthly</t>
  </si>
  <si>
    <r>
      <t>Energy</t>
    </r>
    <r>
      <rPr>
        <u/>
        <vertAlign val="superscript"/>
        <sz val="8.4"/>
        <rFont val="Times New Roman"/>
        <family val="1"/>
      </rPr>
      <t>2</t>
    </r>
  </si>
  <si>
    <r>
      <t>Demand</t>
    </r>
    <r>
      <rPr>
        <u/>
        <vertAlign val="superscript"/>
        <sz val="8.4"/>
        <rFont val="Times New Roman"/>
        <family val="1"/>
      </rPr>
      <t>2</t>
    </r>
  </si>
  <si>
    <t>2 Numbers derived from the 2025 Base Case. Case No. 2025-00257</t>
  </si>
  <si>
    <t>1 All Generation Rider cost considered demand-related</t>
  </si>
  <si>
    <t>3 Altered for revenue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</si>
</sst>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0"/>
    <numFmt numFmtId="169" formatCode="0.00000"/>
    <numFmt numFmtId="170" formatCode="0.00000_);[Red]\(0.00000\)"/>
    <numFmt numFmtId="171" formatCode="_-* #,##0.00\ _€_-;\-* #,##0.00\ _€_-;_-* &quot;-&quot;??\ _€_-;_-@_-"/>
    <numFmt numFmtId="172" formatCode="0_);\(0\)"/>
    <numFmt numFmtId="173" formatCode="0.0000000%"/>
    <numFmt numFmtId="174" formatCode="&quot;$&quot;#,##0.00000"/>
    <numFmt numFmtId="175" formatCode="&quot;$&quot;#,##0"/>
    <numFmt numFmtId="176" formatCode="0.000000_);\(0.000000\)"/>
    <numFmt numFmtId="177" formatCode="#,##0.0"/>
    <numFmt numFmtId="178" formatCode="_(* #,##0.0_);_(* \(#,##0.0\);_(* &quot;-&quot;??_);_(@_)"/>
    <numFmt numFmtId="179" formatCode="0.0%"/>
  </numFmts>
  <fonts count="8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2.6"/>
      <name val="Times New Roman"/>
      <family val="1"/>
    </font>
    <font>
      <u/>
      <vertAlign val="superscript"/>
      <sz val="8.4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8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7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27" fillId="0" borderId="0"/>
    <xf numFmtId="0" fontId="18" fillId="0" borderId="0"/>
    <xf numFmtId="0" fontId="7" fillId="0" borderId="0"/>
    <xf numFmtId="0" fontId="29" fillId="0" borderId="0"/>
    <xf numFmtId="0" fontId="18" fillId="0" borderId="0"/>
    <xf numFmtId="0" fontId="70" fillId="0" borderId="0"/>
    <xf numFmtId="0" fontId="7" fillId="0" borderId="0"/>
    <xf numFmtId="0" fontId="32" fillId="0" borderId="0"/>
    <xf numFmtId="0" fontId="12" fillId="0" borderId="0"/>
    <xf numFmtId="0" fontId="68" fillId="0" borderId="0"/>
    <xf numFmtId="0" fontId="7" fillId="0" borderId="0"/>
    <xf numFmtId="0" fontId="34" fillId="0" borderId="0"/>
    <xf numFmtId="0" fontId="12" fillId="0" borderId="0"/>
    <xf numFmtId="0" fontId="69" fillId="0" borderId="0"/>
    <xf numFmtId="0" fontId="35" fillId="0" borderId="0"/>
    <xf numFmtId="0" fontId="18" fillId="0" borderId="0"/>
    <xf numFmtId="0" fontId="71" fillId="0" borderId="0"/>
    <xf numFmtId="0" fontId="40" fillId="0" borderId="0"/>
    <xf numFmtId="0" fontId="38" fillId="0" borderId="0"/>
    <xf numFmtId="0" fontId="69" fillId="0" borderId="0"/>
    <xf numFmtId="0" fontId="7" fillId="0" borderId="0"/>
    <xf numFmtId="0" fontId="18" fillId="0" borderId="0"/>
    <xf numFmtId="0" fontId="7" fillId="0" borderId="0"/>
    <xf numFmtId="0" fontId="38" fillId="0" borderId="0"/>
    <xf numFmtId="0" fontId="59" fillId="0" borderId="0"/>
    <xf numFmtId="0" fontId="6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0" fontId="7" fillId="0" borderId="0"/>
    <xf numFmtId="0" fontId="38" fillId="0" borderId="0"/>
    <xf numFmtId="0" fontId="64" fillId="0" borderId="0"/>
    <xf numFmtId="0" fontId="72" fillId="0" borderId="0"/>
    <xf numFmtId="0" fontId="71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8" fillId="0" borderId="0"/>
    <xf numFmtId="0" fontId="69" fillId="0" borderId="0"/>
    <xf numFmtId="0" fontId="12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3" fillId="0" borderId="0"/>
    <xf numFmtId="0" fontId="18" fillId="0" borderId="0"/>
    <xf numFmtId="0" fontId="69" fillId="0" borderId="0"/>
    <xf numFmtId="0" fontId="18" fillId="0" borderId="0"/>
    <xf numFmtId="0" fontId="69" fillId="0" borderId="0"/>
    <xf numFmtId="0" fontId="69" fillId="0" borderId="0"/>
    <xf numFmtId="0" fontId="18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66" fillId="0" borderId="0"/>
    <xf numFmtId="0" fontId="20" fillId="0" borderId="0"/>
    <xf numFmtId="0" fontId="18" fillId="0" borderId="0"/>
    <xf numFmtId="0" fontId="66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69" fillId="0" borderId="0"/>
    <xf numFmtId="0" fontId="7" fillId="23" borderId="7" applyNumberFormat="0" applyFont="0" applyAlignment="0" applyProtection="0"/>
    <xf numFmtId="0" fontId="53" fillId="20" borderId="8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0" fontId="34" fillId="0" borderId="0" applyNumberFormat="0" applyFont="0" applyFill="0" applyBorder="0" applyAlignment="0" applyProtection="0">
      <alignment horizontal="lef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34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12" fillId="0" borderId="0" applyFont="0" applyFill="0" applyBorder="0" applyAlignment="0" applyProtection="0"/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34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24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31" fillId="0" borderId="9">
      <alignment horizontal="center"/>
    </xf>
    <xf numFmtId="0" fontId="11" fillId="0" borderId="9">
      <alignment horizontal="center"/>
    </xf>
    <xf numFmtId="0" fontId="33" fillId="0" borderId="9">
      <alignment horizontal="center"/>
    </xf>
    <xf numFmtId="0" fontId="11" fillId="0" borderId="9">
      <alignment horizontal="center"/>
    </xf>
    <xf numFmtId="0" fontId="60" fillId="0" borderId="9">
      <alignment horizontal="center"/>
    </xf>
    <xf numFmtId="0" fontId="62" fillId="0" borderId="9">
      <alignment horizontal="center"/>
    </xf>
    <xf numFmtId="0" fontId="11" fillId="0" borderId="9">
      <alignment horizontal="center"/>
    </xf>
    <xf numFmtId="0" fontId="11" fillId="0" borderId="9">
      <alignment horizontal="center"/>
    </xf>
    <xf numFmtId="0" fontId="67" fillId="0" borderId="9">
      <alignment horizontal="center"/>
    </xf>
    <xf numFmtId="3" fontId="12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24" borderId="0" applyNumberFormat="0" applyFont="0" applyBorder="0" applyAlignment="0" applyProtection="0"/>
    <xf numFmtId="0" fontId="68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23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34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9" fillId="24" borderId="0" applyNumberFormat="0" applyFont="0" applyBorder="0" applyAlignment="0" applyProtection="0"/>
    <xf numFmtId="0" fontId="61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12" fillId="24" borderId="0" applyNumberFormat="0" applyFont="0" applyBorder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0" applyFont="1"/>
    <xf numFmtId="10" fontId="8" fillId="25" borderId="18" xfId="665" applyNumberFormat="1" applyFont="1" applyFill="1" applyBorder="1"/>
    <xf numFmtId="0" fontId="7" fillId="0" borderId="0" xfId="478"/>
    <xf numFmtId="0" fontId="8" fillId="0" borderId="0" xfId="478" applyFont="1"/>
    <xf numFmtId="0" fontId="8" fillId="0" borderId="0" xfId="478" applyFont="1" applyAlignment="1">
      <alignment horizontal="center"/>
    </xf>
    <xf numFmtId="167" fontId="7" fillId="0" borderId="0" xfId="478" applyNumberFormat="1"/>
    <xf numFmtId="0" fontId="7" fillId="0" borderId="0" xfId="478" applyAlignment="1">
      <alignment horizontal="center"/>
    </xf>
    <xf numFmtId="0" fontId="10" fillId="0" borderId="0" xfId="478" applyFont="1" applyAlignment="1">
      <alignment horizontal="center"/>
    </xf>
    <xf numFmtId="0" fontId="7" fillId="0" borderId="0" xfId="478" applyAlignment="1">
      <alignment horizontal="right"/>
    </xf>
    <xf numFmtId="0" fontId="9" fillId="0" borderId="0" xfId="478" applyFont="1" applyAlignment="1">
      <alignment horizontal="right"/>
    </xf>
    <xf numFmtId="166" fontId="7" fillId="0" borderId="0" xfId="132" applyNumberFormat="1" applyFont="1"/>
    <xf numFmtId="166" fontId="8" fillId="0" borderId="19" xfId="478" applyNumberFormat="1" applyFont="1" applyBorder="1"/>
    <xf numFmtId="43" fontId="7" fillId="0" borderId="19" xfId="478" applyNumberFormat="1" applyBorder="1"/>
    <xf numFmtId="0" fontId="69" fillId="0" borderId="0" xfId="468"/>
    <xf numFmtId="44" fontId="7" fillId="0" borderId="0" xfId="386" applyFont="1"/>
    <xf numFmtId="164" fontId="69" fillId="0" borderId="0" xfId="468" applyNumberFormat="1"/>
    <xf numFmtId="9" fontId="69" fillId="0" borderId="0" xfId="468" applyNumberFormat="1"/>
    <xf numFmtId="0" fontId="8" fillId="0" borderId="0" xfId="478" applyFont="1" applyAlignment="1">
      <alignment horizontal="right"/>
    </xf>
    <xf numFmtId="168" fontId="7" fillId="0" borderId="0" xfId="478" applyNumberFormat="1"/>
    <xf numFmtId="170" fontId="7" fillId="0" borderId="20" xfId="453" applyNumberFormat="1" applyBorder="1" applyAlignment="1">
      <alignment horizontal="center" wrapText="1"/>
    </xf>
    <xf numFmtId="170" fontId="7" fillId="0" borderId="20" xfId="478" applyNumberFormat="1" applyBorder="1" applyAlignment="1">
      <alignment horizontal="center"/>
    </xf>
    <xf numFmtId="0" fontId="8" fillId="26" borderId="0" xfId="478" applyFont="1" applyFill="1"/>
    <xf numFmtId="169" fontId="7" fillId="26" borderId="0" xfId="478" applyNumberFormat="1" applyFill="1"/>
    <xf numFmtId="43" fontId="7" fillId="0" borderId="0" xfId="28" applyFont="1"/>
    <xf numFmtId="43" fontId="7" fillId="0" borderId="0" xfId="478" applyNumberFormat="1"/>
    <xf numFmtId="170" fontId="7" fillId="26" borderId="20" xfId="453" applyNumberFormat="1" applyFill="1" applyBorder="1" applyAlignment="1">
      <alignment wrapText="1"/>
    </xf>
    <xf numFmtId="3" fontId="7" fillId="0" borderId="0" xfId="478" applyNumberFormat="1"/>
    <xf numFmtId="0" fontId="7" fillId="26" borderId="0" xfId="478" applyFill="1"/>
    <xf numFmtId="3" fontId="7" fillId="27" borderId="0" xfId="478" applyNumberFormat="1" applyFill="1"/>
    <xf numFmtId="166" fontId="39" fillId="27" borderId="0" xfId="132" applyNumberFormat="1" applyFont="1" applyFill="1"/>
    <xf numFmtId="0" fontId="78" fillId="0" borderId="0" xfId="960" applyFont="1"/>
    <xf numFmtId="0" fontId="79" fillId="0" borderId="0" xfId="960" applyFont="1"/>
    <xf numFmtId="166" fontId="78" fillId="0" borderId="0" xfId="961" applyNumberFormat="1" applyFont="1" applyFill="1" applyAlignment="1">
      <alignment horizontal="right"/>
    </xf>
    <xf numFmtId="0" fontId="80" fillId="0" borderId="0" xfId="960" applyFont="1"/>
    <xf numFmtId="0" fontId="81" fillId="0" borderId="0" xfId="960" applyFont="1"/>
    <xf numFmtId="0" fontId="81" fillId="0" borderId="11" xfId="960" applyFont="1" applyBorder="1"/>
    <xf numFmtId="0" fontId="81" fillId="0" borderId="12" xfId="960" applyFont="1" applyBorder="1"/>
    <xf numFmtId="0" fontId="82" fillId="0" borderId="12" xfId="960" applyFont="1" applyBorder="1" applyAlignment="1">
      <alignment horizontal="center"/>
    </xf>
    <xf numFmtId="0" fontId="82" fillId="0" borderId="13" xfId="960" applyFont="1" applyBorder="1" applyAlignment="1">
      <alignment horizontal="center"/>
    </xf>
    <xf numFmtId="0" fontId="81" fillId="0" borderId="15" xfId="960" applyFont="1" applyBorder="1"/>
    <xf numFmtId="0" fontId="82" fillId="0" borderId="0" xfId="960" applyFont="1" applyAlignment="1">
      <alignment horizontal="center"/>
    </xf>
    <xf numFmtId="0" fontId="82" fillId="0" borderId="16" xfId="960" applyFont="1" applyBorder="1" applyAlignment="1">
      <alignment horizontal="center"/>
    </xf>
    <xf numFmtId="0" fontId="81" fillId="0" borderId="14" xfId="960" applyFont="1" applyBorder="1"/>
    <xf numFmtId="0" fontId="81" fillId="0" borderId="9" xfId="960" applyFont="1" applyBorder="1"/>
    <xf numFmtId="5" fontId="81" fillId="0" borderId="9" xfId="960" applyNumberFormat="1" applyFont="1" applyBorder="1"/>
    <xf numFmtId="5" fontId="81" fillId="0" borderId="17" xfId="960" applyNumberFormat="1" applyFont="1" applyBorder="1"/>
    <xf numFmtId="0" fontId="83" fillId="0" borderId="0" xfId="960" applyFont="1"/>
    <xf numFmtId="37" fontId="81" fillId="0" borderId="0" xfId="960" applyNumberFormat="1" applyFont="1"/>
    <xf numFmtId="0" fontId="81" fillId="0" borderId="0" xfId="960" applyFont="1" applyAlignment="1">
      <alignment horizontal="center"/>
    </xf>
    <xf numFmtId="172" fontId="81" fillId="0" borderId="0" xfId="960" applyNumberFormat="1" applyFont="1" applyAlignment="1">
      <alignment horizontal="center"/>
    </xf>
    <xf numFmtId="172" fontId="81" fillId="0" borderId="0" xfId="960" quotePrefix="1" applyNumberFormat="1" applyFont="1" applyAlignment="1">
      <alignment horizontal="center"/>
    </xf>
    <xf numFmtId="38" fontId="81" fillId="0" borderId="0" xfId="960" applyNumberFormat="1" applyFont="1"/>
    <xf numFmtId="6" fontId="81" fillId="0" borderId="0" xfId="962" applyNumberFormat="1" applyFont="1" applyFill="1"/>
    <xf numFmtId="44" fontId="81" fillId="0" borderId="0" xfId="962" applyFont="1" applyFill="1"/>
    <xf numFmtId="174" fontId="81" fillId="0" borderId="0" xfId="962" applyNumberFormat="1" applyFont="1" applyFill="1"/>
    <xf numFmtId="172" fontId="84" fillId="0" borderId="0" xfId="960" applyNumberFormat="1" applyFont="1"/>
    <xf numFmtId="175" fontId="81" fillId="0" borderId="0" xfId="962" applyNumberFormat="1" applyFont="1" applyFill="1"/>
    <xf numFmtId="168" fontId="81" fillId="0" borderId="0" xfId="960" applyNumberFormat="1" applyFont="1"/>
    <xf numFmtId="38" fontId="81" fillId="0" borderId="0" xfId="962" applyNumberFormat="1" applyFont="1" applyFill="1"/>
    <xf numFmtId="176" fontId="81" fillId="0" borderId="0" xfId="960" applyNumberFormat="1" applyFont="1"/>
    <xf numFmtId="3" fontId="81" fillId="0" borderId="0" xfId="960" applyNumberFormat="1" applyFont="1"/>
    <xf numFmtId="0" fontId="81" fillId="0" borderId="21" xfId="960" applyFont="1" applyBorder="1"/>
    <xf numFmtId="38" fontId="81" fillId="0" borderId="21" xfId="960" applyNumberFormat="1" applyFont="1" applyBorder="1"/>
    <xf numFmtId="3" fontId="81" fillId="0" borderId="21" xfId="960" applyNumberFormat="1" applyFont="1" applyBorder="1"/>
    <xf numFmtId="6" fontId="81" fillId="0" borderId="21" xfId="960" applyNumberFormat="1" applyFont="1" applyBorder="1"/>
    <xf numFmtId="166" fontId="80" fillId="0" borderId="0" xfId="954" applyNumberFormat="1" applyFont="1" applyFill="1"/>
    <xf numFmtId="37" fontId="80" fillId="0" borderId="0" xfId="960" applyNumberFormat="1" applyFont="1"/>
    <xf numFmtId="167" fontId="80" fillId="0" borderId="0" xfId="962" applyNumberFormat="1" applyFont="1" applyFill="1" applyAlignment="1">
      <alignment horizontal="right"/>
    </xf>
    <xf numFmtId="0" fontId="14" fillId="0" borderId="0" xfId="960" applyFont="1"/>
    <xf numFmtId="165" fontId="14" fillId="0" borderId="0" xfId="963" applyNumberFormat="1" applyFont="1" applyFill="1"/>
    <xf numFmtId="0" fontId="85" fillId="0" borderId="0" xfId="960" applyFont="1"/>
    <xf numFmtId="38" fontId="14" fillId="0" borderId="0" xfId="960" applyNumberFormat="1" applyFont="1"/>
    <xf numFmtId="172" fontId="85" fillId="0" borderId="0" xfId="960" applyNumberFormat="1" applyFont="1"/>
    <xf numFmtId="6" fontId="14" fillId="0" borderId="0" xfId="960" applyNumberFormat="1" applyFont="1"/>
    <xf numFmtId="166" fontId="78" fillId="0" borderId="0" xfId="961" applyNumberFormat="1" applyFont="1" applyFill="1"/>
    <xf numFmtId="38" fontId="78" fillId="0" borderId="0" xfId="960" applyNumberFormat="1" applyFont="1"/>
    <xf numFmtId="0" fontId="76" fillId="0" borderId="0" xfId="964" applyFont="1"/>
    <xf numFmtId="0" fontId="74" fillId="0" borderId="0" xfId="964" applyFont="1"/>
    <xf numFmtId="43" fontId="74" fillId="0" borderId="0" xfId="965" applyFont="1"/>
    <xf numFmtId="166" fontId="74" fillId="0" borderId="0" xfId="965" applyNumberFormat="1" applyFont="1"/>
    <xf numFmtId="0" fontId="16" fillId="0" borderId="0" xfId="964" applyFont="1" applyAlignment="1">
      <alignment horizontal="center" wrapText="1"/>
    </xf>
    <xf numFmtId="0" fontId="76" fillId="0" borderId="0" xfId="964" applyFont="1" applyAlignment="1">
      <alignment horizontal="center" wrapText="1"/>
    </xf>
    <xf numFmtId="0" fontId="76" fillId="0" borderId="0" xfId="964" applyFont="1" applyAlignment="1">
      <alignment wrapText="1"/>
    </xf>
    <xf numFmtId="43" fontId="74" fillId="0" borderId="0" xfId="965" applyFont="1" applyFill="1"/>
    <xf numFmtId="3" fontId="74" fillId="0" borderId="0" xfId="964" applyNumberFormat="1" applyFont="1"/>
    <xf numFmtId="177" fontId="74" fillId="0" borderId="0" xfId="964" applyNumberFormat="1" applyFont="1"/>
    <xf numFmtId="0" fontId="14" fillId="0" borderId="0" xfId="949" applyFont="1"/>
    <xf numFmtId="0" fontId="74" fillId="28" borderId="0" xfId="964" applyFont="1" applyFill="1"/>
    <xf numFmtId="43" fontId="74" fillId="28" borderId="0" xfId="965" applyFont="1" applyFill="1"/>
    <xf numFmtId="166" fontId="74" fillId="28" borderId="0" xfId="965" applyNumberFormat="1" applyFont="1" applyFill="1"/>
    <xf numFmtId="44" fontId="74" fillId="28" borderId="0" xfId="966" applyFont="1" applyFill="1"/>
    <xf numFmtId="178" fontId="74" fillId="28" borderId="0" xfId="965" applyNumberFormat="1" applyFont="1" applyFill="1"/>
    <xf numFmtId="43" fontId="74" fillId="0" borderId="0" xfId="965" applyFont="1" applyFill="1" applyBorder="1"/>
    <xf numFmtId="0" fontId="14" fillId="0" borderId="0" xfId="964" applyFont="1"/>
    <xf numFmtId="0" fontId="74" fillId="0" borderId="11" xfId="964" applyFont="1" applyBorder="1"/>
    <xf numFmtId="0" fontId="74" fillId="0" borderId="12" xfId="964" applyFont="1" applyBorder="1"/>
    <xf numFmtId="43" fontId="74" fillId="0" borderId="12" xfId="965" applyFont="1" applyFill="1" applyBorder="1"/>
    <xf numFmtId="3" fontId="74" fillId="0" borderId="12" xfId="964" applyNumberFormat="1" applyFont="1" applyBorder="1"/>
    <xf numFmtId="177" fontId="74" fillId="0" borderId="12" xfId="964" applyNumberFormat="1" applyFont="1" applyBorder="1"/>
    <xf numFmtId="0" fontId="74" fillId="0" borderId="13" xfId="964" applyFont="1" applyBorder="1"/>
    <xf numFmtId="0" fontId="74" fillId="0" borderId="15" xfId="964" applyFont="1" applyBorder="1"/>
    <xf numFmtId="0" fontId="74" fillId="0" borderId="16" xfId="964" applyFont="1" applyBorder="1"/>
    <xf numFmtId="0" fontId="74" fillId="29" borderId="15" xfId="964" applyFont="1" applyFill="1" applyBorder="1"/>
    <xf numFmtId="0" fontId="74" fillId="29" borderId="0" xfId="964" applyFont="1" applyFill="1"/>
    <xf numFmtId="43" fontId="74" fillId="29" borderId="0" xfId="965" applyFont="1" applyFill="1" applyBorder="1"/>
    <xf numFmtId="166" fontId="74" fillId="29" borderId="0" xfId="965" applyNumberFormat="1" applyFont="1" applyFill="1" applyBorder="1"/>
    <xf numFmtId="44" fontId="74" fillId="29" borderId="0" xfId="966" applyFont="1" applyFill="1" applyBorder="1"/>
    <xf numFmtId="166" fontId="74" fillId="29" borderId="16" xfId="965" applyNumberFormat="1" applyFont="1" applyFill="1" applyBorder="1"/>
    <xf numFmtId="0" fontId="74" fillId="29" borderId="14" xfId="964" applyFont="1" applyFill="1" applyBorder="1"/>
    <xf numFmtId="0" fontId="74" fillId="29" borderId="9" xfId="964" applyFont="1" applyFill="1" applyBorder="1"/>
    <xf numFmtId="43" fontId="74" fillId="29" borderId="9" xfId="965" applyFont="1" applyFill="1" applyBorder="1"/>
    <xf numFmtId="166" fontId="74" fillId="29" borderId="9" xfId="965" applyNumberFormat="1" applyFont="1" applyFill="1" applyBorder="1"/>
    <xf numFmtId="44" fontId="74" fillId="29" borderId="9" xfId="966" applyFont="1" applyFill="1" applyBorder="1"/>
    <xf numFmtId="166" fontId="74" fillId="29" borderId="17" xfId="965" applyNumberFormat="1" applyFont="1" applyFill="1" applyBorder="1"/>
    <xf numFmtId="166" fontId="74" fillId="0" borderId="0" xfId="964" applyNumberFormat="1" applyFont="1"/>
    <xf numFmtId="43" fontId="74" fillId="0" borderId="0" xfId="964" applyNumberFormat="1" applyFont="1"/>
    <xf numFmtId="166" fontId="74" fillId="0" borderId="0" xfId="967" applyNumberFormat="1" applyFont="1" applyFill="1"/>
    <xf numFmtId="177" fontId="74" fillId="0" borderId="0" xfId="967" applyNumberFormat="1" applyFont="1" applyFill="1"/>
    <xf numFmtId="43" fontId="76" fillId="0" borderId="0" xfId="964" applyNumberFormat="1" applyFont="1"/>
    <xf numFmtId="175" fontId="81" fillId="0" borderId="0" xfId="960" applyNumberFormat="1" applyFont="1"/>
    <xf numFmtId="179" fontId="81" fillId="0" borderId="0" xfId="527" applyNumberFormat="1" applyFont="1"/>
    <xf numFmtId="179" fontId="81" fillId="0" borderId="21" xfId="527" applyNumberFormat="1" applyFont="1" applyBorder="1"/>
    <xf numFmtId="166" fontId="81" fillId="0" borderId="0" xfId="961" applyNumberFormat="1" applyFont="1" applyFill="1"/>
    <xf numFmtId="173" fontId="81" fillId="0" borderId="0" xfId="960" applyNumberFormat="1" applyFont="1"/>
    <xf numFmtId="38" fontId="84" fillId="0" borderId="0" xfId="960" applyNumberFormat="1" applyFont="1"/>
    <xf numFmtId="0" fontId="77" fillId="0" borderId="0" xfId="960" applyFont="1" applyAlignment="1">
      <alignment horizontal="center"/>
    </xf>
  </cellXfs>
  <cellStyles count="96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10" xfId="29"/>
    <cellStyle name="Comma 10 2" xfId="30"/>
    <cellStyle name="Comma 10 3" xfId="31"/>
    <cellStyle name="Comma 10 3 2" xfId="32"/>
    <cellStyle name="Comma 10 3 3" xfId="33"/>
    <cellStyle name="Comma 10 4" xfId="34"/>
    <cellStyle name="Comma 10 4 2" xfId="35"/>
    <cellStyle name="Comma 10 4 3" xfId="36"/>
    <cellStyle name="Comma 10 4 4" xfId="37"/>
    <cellStyle name="Comma 10 4 4 2" xfId="954"/>
    <cellStyle name="Comma 10 5" xfId="38"/>
    <cellStyle name="Comma 10 5 2" xfId="39"/>
    <cellStyle name="Comma 10 5 2 2" xfId="40"/>
    <cellStyle name="Comma 10 5 2 3" xfId="41"/>
    <cellStyle name="Comma 10 5 2 3 2" xfId="42"/>
    <cellStyle name="Comma 10 5 3" xfId="43"/>
    <cellStyle name="Comma 10 6" xfId="44"/>
    <cellStyle name="Comma 10 6 2" xfId="45"/>
    <cellStyle name="Comma 10 6 3" xfId="46"/>
    <cellStyle name="Comma 10 6 3 2" xfId="47"/>
    <cellStyle name="Comma 10 7" xfId="48"/>
    <cellStyle name="Comma 10 8" xfId="49"/>
    <cellStyle name="Comma 10 8 2" xfId="50"/>
    <cellStyle name="Comma 10 9" xfId="947"/>
    <cellStyle name="Comma 11" xfId="51"/>
    <cellStyle name="Comma 11 10" xfId="52"/>
    <cellStyle name="Comma 11 11" xfId="53"/>
    <cellStyle name="Comma 11 11 2" xfId="54"/>
    <cellStyle name="Comma 11 11 2 2" xfId="55"/>
    <cellStyle name="Comma 11 11 2 3" xfId="56"/>
    <cellStyle name="Comma 11 11 2 3 2" xfId="57"/>
    <cellStyle name="Comma 11 12" xfId="58"/>
    <cellStyle name="Comma 11 13" xfId="59"/>
    <cellStyle name="Comma 11 13 2" xfId="60"/>
    <cellStyle name="Comma 11 13 2 2" xfId="61"/>
    <cellStyle name="Comma 11 13 2 3" xfId="62"/>
    <cellStyle name="Comma 11 13 2 3 2" xfId="63"/>
    <cellStyle name="Comma 11 2" xfId="64"/>
    <cellStyle name="Comma 11 3" xfId="65"/>
    <cellStyle name="Comma 11 4" xfId="66"/>
    <cellStyle name="Comma 11 5" xfId="67"/>
    <cellStyle name="Comma 11 6" xfId="68"/>
    <cellStyle name="Comma 11 7" xfId="69"/>
    <cellStyle name="Comma 11 7 2" xfId="70"/>
    <cellStyle name="Comma 11 7 2 2" xfId="71"/>
    <cellStyle name="Comma 11 7 2 3" xfId="72"/>
    <cellStyle name="Comma 11 8" xfId="73"/>
    <cellStyle name="Comma 11 9" xfId="74"/>
    <cellStyle name="Comma 12" xfId="75"/>
    <cellStyle name="Comma 12 10" xfId="76"/>
    <cellStyle name="Comma 12 10 2" xfId="77"/>
    <cellStyle name="Comma 12 10 2 2" xfId="78"/>
    <cellStyle name="Comma 12 10 2 3" xfId="79"/>
    <cellStyle name="Comma 12 10 2 3 2" xfId="80"/>
    <cellStyle name="Comma 12 11" xfId="81"/>
    <cellStyle name="Comma 12 12" xfId="82"/>
    <cellStyle name="Comma 12 12 2" xfId="83"/>
    <cellStyle name="Comma 12 12 2 2" xfId="84"/>
    <cellStyle name="Comma 12 12 2 3" xfId="85"/>
    <cellStyle name="Comma 12 12 2 3 2" xfId="86"/>
    <cellStyle name="Comma 12 2" xfId="87"/>
    <cellStyle name="Comma 12 3" xfId="88"/>
    <cellStyle name="Comma 12 4" xfId="89"/>
    <cellStyle name="Comma 12 5" xfId="90"/>
    <cellStyle name="Comma 12 6" xfId="91"/>
    <cellStyle name="Comma 12 6 2" xfId="92"/>
    <cellStyle name="Comma 12 6 2 2" xfId="93"/>
    <cellStyle name="Comma 12 6 2 3" xfId="94"/>
    <cellStyle name="Comma 12 7" xfId="95"/>
    <cellStyle name="Comma 12 8" xfId="96"/>
    <cellStyle name="Comma 12 9" xfId="97"/>
    <cellStyle name="Comma 13" xfId="98"/>
    <cellStyle name="Comma 13 2" xfId="99"/>
    <cellStyle name="Comma 13 3" xfId="100"/>
    <cellStyle name="Comma 13 4" xfId="101"/>
    <cellStyle name="Comma 13 5" xfId="102"/>
    <cellStyle name="Comma 13 6" xfId="103"/>
    <cellStyle name="Comma 14" xfId="104"/>
    <cellStyle name="Comma 14 2" xfId="105"/>
    <cellStyle name="Comma 14 3" xfId="106"/>
    <cellStyle name="Comma 14 4" xfId="107"/>
    <cellStyle name="Comma 14 5" xfId="108"/>
    <cellStyle name="Comma 15" xfId="109"/>
    <cellStyle name="Comma 15 2" xfId="110"/>
    <cellStyle name="Comma 15 3" xfId="111"/>
    <cellStyle name="Comma 15 4" xfId="112"/>
    <cellStyle name="Comma 15 5" xfId="113"/>
    <cellStyle name="Comma 16" xfId="114"/>
    <cellStyle name="Comma 16 2" xfId="115"/>
    <cellStyle name="Comma 16 3" xfId="116"/>
    <cellStyle name="Comma 16 3 2" xfId="117"/>
    <cellStyle name="Comma 16 3 3" xfId="118"/>
    <cellStyle name="Comma 16 3 3 2" xfId="119"/>
    <cellStyle name="Comma 17" xfId="120"/>
    <cellStyle name="Comma 17 2" xfId="121"/>
    <cellStyle name="Comma 17 3" xfId="122"/>
    <cellStyle name="Comma 17 3 2" xfId="123"/>
    <cellStyle name="Comma 18" xfId="124"/>
    <cellStyle name="Comma 18 2" xfId="125"/>
    <cellStyle name="Comma 18 3" xfId="126"/>
    <cellStyle name="Comma 18 3 2" xfId="127"/>
    <cellStyle name="Comma 19" xfId="128"/>
    <cellStyle name="Comma 19 2" xfId="129"/>
    <cellStyle name="Comma 19 3" xfId="130"/>
    <cellStyle name="Comma 19 3 2" xfId="131"/>
    <cellStyle name="Comma 2" xfId="132"/>
    <cellStyle name="Comma 2 2" xfId="133"/>
    <cellStyle name="Comma 2 2 2" xfId="134"/>
    <cellStyle name="Comma 2 2 3" xfId="135"/>
    <cellStyle name="Comma 2 2 4" xfId="136"/>
    <cellStyle name="Comma 2 2 5" xfId="137"/>
    <cellStyle name="Comma 2 2 6" xfId="138"/>
    <cellStyle name="Comma 2 2 6 2" xfId="139"/>
    <cellStyle name="Comma 2 2 6 3" xfId="955"/>
    <cellStyle name="Comma 2 2 6 4" xfId="958"/>
    <cellStyle name="Comma 2 2 7" xfId="140"/>
    <cellStyle name="Comma 2 2 8" xfId="141"/>
    <cellStyle name="Comma 2 2 9" xfId="142"/>
    <cellStyle name="Comma 2 3" xfId="143"/>
    <cellStyle name="Comma 2 3 2" xfId="144"/>
    <cellStyle name="Comma 2 3 3" xfId="145"/>
    <cellStyle name="Comma 2 3 4" xfId="146"/>
    <cellStyle name="Comma 2 3 4 2" xfId="147"/>
    <cellStyle name="Comma 2 3 4 2 2" xfId="148"/>
    <cellStyle name="Comma 2 3 4 3" xfId="149"/>
    <cellStyle name="Comma 2 3 4 4" xfId="150"/>
    <cellStyle name="Comma 2 3 4 5" xfId="151"/>
    <cellStyle name="Comma 2 3 4 5 2" xfId="152"/>
    <cellStyle name="Comma 2 3 5" xfId="153"/>
    <cellStyle name="Comma 2 4" xfId="154"/>
    <cellStyle name="Comma 2 5" xfId="155"/>
    <cellStyle name="Comma 2 6" xfId="967"/>
    <cellStyle name="Comma 20" xfId="156"/>
    <cellStyle name="Comma 20 2" xfId="157"/>
    <cellStyle name="Comma 20 3" xfId="158"/>
    <cellStyle name="Comma 20 3 2" xfId="159"/>
    <cellStyle name="Comma 21" xfId="160"/>
    <cellStyle name="Comma 21 2" xfId="161"/>
    <cellStyle name="Comma 21 3" xfId="162"/>
    <cellStyle name="Comma 21 3 2" xfId="163"/>
    <cellStyle name="Comma 22" xfId="164"/>
    <cellStyle name="Comma 22 2" xfId="165"/>
    <cellStyle name="Comma 22 3" xfId="166"/>
    <cellStyle name="Comma 22 3 2" xfId="167"/>
    <cellStyle name="Comma 23" xfId="168"/>
    <cellStyle name="Comma 23 2" xfId="169"/>
    <cellStyle name="Comma 23 3" xfId="170"/>
    <cellStyle name="Comma 23 3 2" xfId="171"/>
    <cellStyle name="Comma 24" xfId="172"/>
    <cellStyle name="Comma 24 2" xfId="173"/>
    <cellStyle name="Comma 24 3" xfId="174"/>
    <cellStyle name="Comma 24 3 2" xfId="175"/>
    <cellStyle name="Comma 25" xfId="176"/>
    <cellStyle name="Comma 25 2" xfId="177"/>
    <cellStyle name="Comma 25 3" xfId="178"/>
    <cellStyle name="Comma 25 3 2" xfId="179"/>
    <cellStyle name="Comma 26" xfId="180"/>
    <cellStyle name="Comma 26 2" xfId="181"/>
    <cellStyle name="Comma 26 3" xfId="182"/>
    <cellStyle name="Comma 26 3 2" xfId="183"/>
    <cellStyle name="Comma 27" xfId="184"/>
    <cellStyle name="Comma 27 2" xfId="185"/>
    <cellStyle name="Comma 27 3" xfId="186"/>
    <cellStyle name="Comma 27 3 2" xfId="187"/>
    <cellStyle name="Comma 28" xfId="188"/>
    <cellStyle name="Comma 28 2" xfId="189"/>
    <cellStyle name="Comma 29" xfId="190"/>
    <cellStyle name="Comma 29 2" xfId="191"/>
    <cellStyle name="Comma 3" xfId="192"/>
    <cellStyle name="Comma 3 2" xfId="193"/>
    <cellStyle name="Comma 3 3" xfId="194"/>
    <cellStyle name="Comma 3 3 2" xfId="195"/>
    <cellStyle name="Comma 3 3 2 2" xfId="196"/>
    <cellStyle name="Comma 3 3 3" xfId="197"/>
    <cellStyle name="Comma 3 3 4" xfId="198"/>
    <cellStyle name="Comma 3 3 5" xfId="199"/>
    <cellStyle name="Comma 3 4" xfId="200"/>
    <cellStyle name="Comma 3 5" xfId="201"/>
    <cellStyle name="Comma 3 5 2" xfId="202"/>
    <cellStyle name="Comma 3 6" xfId="203"/>
    <cellStyle name="Comma 3 7" xfId="204"/>
    <cellStyle name="Comma 3 8" xfId="205"/>
    <cellStyle name="Comma 3 9" xfId="206"/>
    <cellStyle name="Comma 30" xfId="207"/>
    <cellStyle name="Comma 31" xfId="208"/>
    <cellStyle name="Comma 31 2" xfId="209"/>
    <cellStyle name="Comma 31 3" xfId="210"/>
    <cellStyle name="Comma 31 3 2" xfId="211"/>
    <cellStyle name="Comma 32" xfId="212"/>
    <cellStyle name="Comma 32 2" xfId="213"/>
    <cellStyle name="Comma 32 2 2" xfId="214"/>
    <cellStyle name="Comma 32 3" xfId="215"/>
    <cellStyle name="Comma 32 4" xfId="216"/>
    <cellStyle name="Comma 32 4 2" xfId="217"/>
    <cellStyle name="Comma 33" xfId="218"/>
    <cellStyle name="Comma 33 2" xfId="219"/>
    <cellStyle name="Comma 33 3" xfId="220"/>
    <cellStyle name="Comma 33 3 2" xfId="221"/>
    <cellStyle name="Comma 34" xfId="222"/>
    <cellStyle name="Comma 35" xfId="223"/>
    <cellStyle name="Comma 35 2" xfId="224"/>
    <cellStyle name="Comma 36" xfId="225"/>
    <cellStyle name="Comma 36 2" xfId="226"/>
    <cellStyle name="Comma 37" xfId="227"/>
    <cellStyle name="Comma 37 2" xfId="228"/>
    <cellStyle name="Comma 38" xfId="229"/>
    <cellStyle name="Comma 38 2" xfId="230"/>
    <cellStyle name="Comma 39" xfId="231"/>
    <cellStyle name="Comma 39 2" xfId="232"/>
    <cellStyle name="Comma 39 3" xfId="233"/>
    <cellStyle name="Comma 4" xfId="234"/>
    <cellStyle name="Comma 4 2" xfId="235"/>
    <cellStyle name="Comma 4 3" xfId="236"/>
    <cellStyle name="Comma 4 4" xfId="237"/>
    <cellStyle name="Comma 4 5" xfId="238"/>
    <cellStyle name="Comma 4 6" xfId="239"/>
    <cellStyle name="Comma 40" xfId="240"/>
    <cellStyle name="Comma 40 2" xfId="241"/>
    <cellStyle name="Comma 41" xfId="242"/>
    <cellStyle name="Comma 41 2" xfId="243"/>
    <cellStyle name="Comma 42" xfId="244"/>
    <cellStyle name="Comma 43" xfId="245"/>
    <cellStyle name="Comma 43 2" xfId="246"/>
    <cellStyle name="Comma 44" xfId="247"/>
    <cellStyle name="Comma 44 2" xfId="956"/>
    <cellStyle name="Comma 45" xfId="959"/>
    <cellStyle name="Comma 46" xfId="961"/>
    <cellStyle name="Comma 47" xfId="965"/>
    <cellStyle name="Comma 5" xfId="248"/>
    <cellStyle name="Comma 5 2" xfId="249"/>
    <cellStyle name="Comma 5 3" xfId="250"/>
    <cellStyle name="Comma 5 4" xfId="251"/>
    <cellStyle name="Comma 5 5" xfId="252"/>
    <cellStyle name="Comma 5 6" xfId="253"/>
    <cellStyle name="Comma 5 7" xfId="254"/>
    <cellStyle name="Comma 6" xfId="255"/>
    <cellStyle name="Comma 6 2" xfId="256"/>
    <cellStyle name="Comma 6 3" xfId="257"/>
    <cellStyle name="Comma 6 4" xfId="258"/>
    <cellStyle name="Comma 6 4 2" xfId="259"/>
    <cellStyle name="Comma 6 4 2 2" xfId="260"/>
    <cellStyle name="Comma 6 4 3" xfId="261"/>
    <cellStyle name="Comma 6 4 4" xfId="262"/>
    <cellStyle name="Comma 6 4 5" xfId="263"/>
    <cellStyle name="Comma 6 4 5 2" xfId="264"/>
    <cellStyle name="Comma 6 5" xfId="265"/>
    <cellStyle name="Comma 7" xfId="266"/>
    <cellStyle name="Comma 7 2" xfId="267"/>
    <cellStyle name="Comma 7 2 2" xfId="268"/>
    <cellStyle name="Comma 7 2 2 2" xfId="269"/>
    <cellStyle name="Comma 7 2 2 2 2" xfId="270"/>
    <cellStyle name="Comma 7 2 2 3" xfId="271"/>
    <cellStyle name="Comma 7 2 2 3 2" xfId="272"/>
    <cellStyle name="Comma 7 2 2 3 2 2" xfId="273"/>
    <cellStyle name="Comma 7 2 2 3 3" xfId="274"/>
    <cellStyle name="Comma 7 2 2 4" xfId="275"/>
    <cellStyle name="Comma 7 2 3" xfId="276"/>
    <cellStyle name="Comma 7 3" xfId="277"/>
    <cellStyle name="Comma 7 3 2" xfId="278"/>
    <cellStyle name="Comma 7 3 2 2" xfId="279"/>
    <cellStyle name="Comma 7 3 3" xfId="280"/>
    <cellStyle name="Comma 7 3 3 2" xfId="281"/>
    <cellStyle name="Comma 7 3 3 2 2" xfId="282"/>
    <cellStyle name="Comma 7 3 3 3" xfId="283"/>
    <cellStyle name="Comma 7 3 4" xfId="284"/>
    <cellStyle name="Comma 7 4" xfId="285"/>
    <cellStyle name="Comma 7 4 2" xfId="286"/>
    <cellStyle name="Comma 7 5" xfId="287"/>
    <cellStyle name="Comma 7 5 2" xfId="288"/>
    <cellStyle name="Comma 7 5 2 2" xfId="289"/>
    <cellStyle name="Comma 7 5 3" xfId="290"/>
    <cellStyle name="Comma 7 6" xfId="291"/>
    <cellStyle name="Comma 8" xfId="292"/>
    <cellStyle name="Comma 8 2" xfId="293"/>
    <cellStyle name="Comma 8 2 2" xfId="294"/>
    <cellStyle name="Comma 8 2 3" xfId="295"/>
    <cellStyle name="Comma 8 2 4" xfId="296"/>
    <cellStyle name="Comma 8 2 4 10" xfId="297"/>
    <cellStyle name="Comma 8 2 4 11" xfId="298"/>
    <cellStyle name="Comma 8 2 4 11 2" xfId="299"/>
    <cellStyle name="Comma 8 2 4 11 2 2" xfId="300"/>
    <cellStyle name="Comma 8 2 4 11 2 3" xfId="301"/>
    <cellStyle name="Comma 8 2 4 11 2 3 2" xfId="302"/>
    <cellStyle name="Comma 8 2 4 2" xfId="303"/>
    <cellStyle name="Comma 8 2 4 3" xfId="304"/>
    <cellStyle name="Comma 8 2 4 4" xfId="305"/>
    <cellStyle name="Comma 8 2 4 5" xfId="306"/>
    <cellStyle name="Comma 8 2 4 5 2" xfId="307"/>
    <cellStyle name="Comma 8 2 4 5 2 2" xfId="308"/>
    <cellStyle name="Comma 8 2 4 5 2 3" xfId="309"/>
    <cellStyle name="Comma 8 2 4 6" xfId="310"/>
    <cellStyle name="Comma 8 2 4 7" xfId="311"/>
    <cellStyle name="Comma 8 2 4 8" xfId="312"/>
    <cellStyle name="Comma 8 2 4 9" xfId="313"/>
    <cellStyle name="Comma 8 2 4 9 2" xfId="314"/>
    <cellStyle name="Comma 8 2 4 9 2 2" xfId="315"/>
    <cellStyle name="Comma 8 2 4 9 2 3" xfId="316"/>
    <cellStyle name="Comma 8 2 4 9 2 3 2" xfId="317"/>
    <cellStyle name="Comma 8 2 5" xfId="318"/>
    <cellStyle name="Comma 8 2 5 2" xfId="319"/>
    <cellStyle name="Comma 8 2 5 3" xfId="320"/>
    <cellStyle name="Comma 8 2 5 4" xfId="321"/>
    <cellStyle name="Comma 8 2 6" xfId="322"/>
    <cellStyle name="Comma 8 2 6 2" xfId="323"/>
    <cellStyle name="Comma 8 2 6 2 2" xfId="324"/>
    <cellStyle name="Comma 8 2 6 2 3" xfId="325"/>
    <cellStyle name="Comma 8 2 6 2 3 2" xfId="326"/>
    <cellStyle name="Comma 8 2 6 3" xfId="327"/>
    <cellStyle name="Comma 8 2 7" xfId="328"/>
    <cellStyle name="Comma 8 2 7 2" xfId="329"/>
    <cellStyle name="Comma 8 2 7 3" xfId="330"/>
    <cellStyle name="Comma 8 2 7 3 2" xfId="331"/>
    <cellStyle name="Comma 8 2 8" xfId="332"/>
    <cellStyle name="Comma 8 2 9" xfId="333"/>
    <cellStyle name="Comma 8 2 9 2" xfId="334"/>
    <cellStyle name="Comma 8 3" xfId="335"/>
    <cellStyle name="Comma 8 4" xfId="336"/>
    <cellStyle name="Comma 8 5" xfId="337"/>
    <cellStyle name="Comma 8 5 2" xfId="338"/>
    <cellStyle name="Comma 8 6" xfId="339"/>
    <cellStyle name="Comma 8 6 2" xfId="340"/>
    <cellStyle name="Comma 9" xfId="341"/>
    <cellStyle name="Comma 9 2" xfId="342"/>
    <cellStyle name="Comma 9 2 2" xfId="343"/>
    <cellStyle name="Comma 9 2 3" xfId="344"/>
    <cellStyle name="Comma 9 2 3 2" xfId="345"/>
    <cellStyle name="Comma 9 2 3 3" xfId="346"/>
    <cellStyle name="Comma 9 2 3 4" xfId="347"/>
    <cellStyle name="Comma 9 2 4" xfId="348"/>
    <cellStyle name="Comma 9 2 4 2" xfId="349"/>
    <cellStyle name="Comma 9 2 4 2 2" xfId="350"/>
    <cellStyle name="Comma 9 2 4 2 3" xfId="351"/>
    <cellStyle name="Comma 9 2 4 2 3 2" xfId="352"/>
    <cellStyle name="Comma 9 2 4 3" xfId="353"/>
    <cellStyle name="Comma 9 2 5" xfId="354"/>
    <cellStyle name="Comma 9 2 5 2" xfId="355"/>
    <cellStyle name="Comma 9 2 5 3" xfId="356"/>
    <cellStyle name="Comma 9 2 5 3 2" xfId="357"/>
    <cellStyle name="Comma 9 2 6" xfId="358"/>
    <cellStyle name="Comma 9 2 7" xfId="359"/>
    <cellStyle name="Comma 9 2 7 2" xfId="360"/>
    <cellStyle name="Comma 9 3" xfId="361"/>
    <cellStyle name="Comma 9 4" xfId="362"/>
    <cellStyle name="Comma 9 5" xfId="363"/>
    <cellStyle name="Comma 9 6" xfId="364"/>
    <cellStyle name="Comma 9 6 10" xfId="365"/>
    <cellStyle name="Comma 9 6 11" xfId="366"/>
    <cellStyle name="Comma 9 6 11 2" xfId="367"/>
    <cellStyle name="Comma 9 6 11 2 2" xfId="368"/>
    <cellStyle name="Comma 9 6 11 2 3" xfId="369"/>
    <cellStyle name="Comma 9 6 11 2 3 2" xfId="370"/>
    <cellStyle name="Comma 9 6 2" xfId="371"/>
    <cellStyle name="Comma 9 6 3" xfId="372"/>
    <cellStyle name="Comma 9 6 4" xfId="373"/>
    <cellStyle name="Comma 9 6 5" xfId="374"/>
    <cellStyle name="Comma 9 6 5 2" xfId="375"/>
    <cellStyle name="Comma 9 6 5 2 2" xfId="376"/>
    <cellStyle name="Comma 9 6 5 2 3" xfId="377"/>
    <cellStyle name="Comma 9 6 6" xfId="378"/>
    <cellStyle name="Comma 9 6 7" xfId="379"/>
    <cellStyle name="Comma 9 6 8" xfId="380"/>
    <cellStyle name="Comma 9 6 9" xfId="381"/>
    <cellStyle name="Comma 9 6 9 2" xfId="382"/>
    <cellStyle name="Comma 9 6 9 2 2" xfId="383"/>
    <cellStyle name="Comma 9 6 9 2 3" xfId="384"/>
    <cellStyle name="Comma 9 6 9 2 3 2" xfId="385"/>
    <cellStyle name="Currency" xfId="386" builtinId="4"/>
    <cellStyle name="Currency 10" xfId="387"/>
    <cellStyle name="Currency 11" xfId="388"/>
    <cellStyle name="Currency 12" xfId="389"/>
    <cellStyle name="Currency 13" xfId="966"/>
    <cellStyle name="Currency 2" xfId="390"/>
    <cellStyle name="Currency 2 2" xfId="391"/>
    <cellStyle name="Currency 3" xfId="392"/>
    <cellStyle name="Currency 3 2" xfId="393"/>
    <cellStyle name="Currency 3 2 2" xfId="394"/>
    <cellStyle name="Currency 3 3" xfId="395"/>
    <cellStyle name="Currency 3 4" xfId="396"/>
    <cellStyle name="Currency 3 5" xfId="397"/>
    <cellStyle name="Currency 4" xfId="398"/>
    <cellStyle name="Currency 4 2" xfId="399"/>
    <cellStyle name="Currency 4 3" xfId="400"/>
    <cellStyle name="Currency 4 3 2" xfId="401"/>
    <cellStyle name="Currency 4 4" xfId="962"/>
    <cellStyle name="Currency 5" xfId="402"/>
    <cellStyle name="Currency 5 2" xfId="403"/>
    <cellStyle name="Currency 5 3" xfId="404"/>
    <cellStyle name="Currency 5 3 2" xfId="405"/>
    <cellStyle name="Currency 6" xfId="406"/>
    <cellStyle name="Currency 7" xfId="407"/>
    <cellStyle name="Currency 7 2" xfId="408"/>
    <cellStyle name="Currency 8" xfId="409"/>
    <cellStyle name="Currency 8 2" xfId="410"/>
    <cellStyle name="Currency 8 3" xfId="411"/>
    <cellStyle name="Currency 9" xfId="412"/>
    <cellStyle name="Currency 9 2" xfId="413"/>
    <cellStyle name="Explanatory Text 2" xfId="414"/>
    <cellStyle name="Good 2" xfId="415"/>
    <cellStyle name="Heading 1 2" xfId="416"/>
    <cellStyle name="Heading 2 2" xfId="417"/>
    <cellStyle name="Heading 3 2" xfId="418"/>
    <cellStyle name="Heading 4 2" xfId="419"/>
    <cellStyle name="Input 2" xfId="420"/>
    <cellStyle name="Linked Cell 2" xfId="421"/>
    <cellStyle name="Neutral 2" xfId="422"/>
    <cellStyle name="Normal" xfId="0" builtinId="0"/>
    <cellStyle name="Normal 10" xfId="423"/>
    <cellStyle name="Normal 10 2" xfId="424"/>
    <cellStyle name="Normal 105" xfId="425"/>
    <cellStyle name="Normal 105 2" xfId="953"/>
    <cellStyle name="Normal 11" xfId="426"/>
    <cellStyle name="Normal 11 2" xfId="427"/>
    <cellStyle name="Normal 11 3" xfId="428"/>
    <cellStyle name="Normal 111" xfId="429"/>
    <cellStyle name="Normal 12" xfId="430"/>
    <cellStyle name="Normal 12 2" xfId="431"/>
    <cellStyle name="Normal 12 3" xfId="432"/>
    <cellStyle name="Normal 121" xfId="433"/>
    <cellStyle name="Normal 13" xfId="434"/>
    <cellStyle name="Normal 13 2" xfId="435"/>
    <cellStyle name="Normal 13 3" xfId="436"/>
    <cellStyle name="Normal 14" xfId="437"/>
    <cellStyle name="Normal 14 2" xfId="438"/>
    <cellStyle name="Normal 14 3" xfId="439"/>
    <cellStyle name="Normal 15" xfId="440"/>
    <cellStyle name="Normal 15 2" xfId="441"/>
    <cellStyle name="Normal 15 2 2" xfId="442"/>
    <cellStyle name="Normal 15 2 2 2" xfId="950"/>
    <cellStyle name="Normal 15 3" xfId="443"/>
    <cellStyle name="Normal 16" xfId="444"/>
    <cellStyle name="Normal 17" xfId="445"/>
    <cellStyle name="Normal 18" xfId="446"/>
    <cellStyle name="Normal 19" xfId="447"/>
    <cellStyle name="Normal 19 2" xfId="448"/>
    <cellStyle name="Normal 19 2 2" xfId="449"/>
    <cellStyle name="Normal 19 3" xfId="450"/>
    <cellStyle name="Normal 2" xfId="451"/>
    <cellStyle name="Normal 2 2" xfId="452"/>
    <cellStyle name="Normal 2 2 2" xfId="453"/>
    <cellStyle name="Normal 2 2 2 2" xfId="949"/>
    <cellStyle name="Normal 2 2 3" xfId="454"/>
    <cellStyle name="Normal 2 2 4" xfId="455"/>
    <cellStyle name="Normal 2 2 4 2" xfId="456"/>
    <cellStyle name="Normal 2 2 4 2 2" xfId="457"/>
    <cellStyle name="Normal 2 2 4 3" xfId="458"/>
    <cellStyle name="Normal 2 2 4 4" xfId="459"/>
    <cellStyle name="Normal 2 2 4 5" xfId="460"/>
    <cellStyle name="Normal 2 2 4 5 2" xfId="461"/>
    <cellStyle name="Normal 2 2 5" xfId="462"/>
    <cellStyle name="Normal 2 2 6" xfId="463"/>
    <cellStyle name="Normal 2 2 6 2" xfId="464"/>
    <cellStyle name="Normal 2 2 6 2 2" xfId="465"/>
    <cellStyle name="Normal 2 2 6 3" xfId="466"/>
    <cellStyle name="Normal 2 2 6 4" xfId="951"/>
    <cellStyle name="Normal 2 2 7" xfId="467"/>
    <cellStyle name="Normal 2 3" xfId="468"/>
    <cellStyle name="Normal 2 3 2" xfId="469"/>
    <cellStyle name="Normal 2 3 2 2" xfId="470"/>
    <cellStyle name="Normal 2 3 3" xfId="471"/>
    <cellStyle name="Normal 2 3 4" xfId="952"/>
    <cellStyle name="Normal 2 4" xfId="472"/>
    <cellStyle name="Normal 2 4 2" xfId="473"/>
    <cellStyle name="Normal 2 5" xfId="474"/>
    <cellStyle name="Normal 20" xfId="475"/>
    <cellStyle name="Normal 21" xfId="476"/>
    <cellStyle name="Normal 22" xfId="477"/>
    <cellStyle name="Normal 23" xfId="946"/>
    <cellStyle name="Normal 24" xfId="960"/>
    <cellStyle name="Normal 25" xfId="964"/>
    <cellStyle name="Normal 3" xfId="478"/>
    <cellStyle name="Normal 3 2" xfId="479"/>
    <cellStyle name="Normal 3 2 2" xfId="480"/>
    <cellStyle name="Normal 3 3" xfId="481"/>
    <cellStyle name="Normal 3 3 2" xfId="482"/>
    <cellStyle name="Normal 3 4" xfId="483"/>
    <cellStyle name="Normal 3 4 2" xfId="484"/>
    <cellStyle name="Normal 3 4 2 2" xfId="485"/>
    <cellStyle name="Normal 3 4 3" xfId="486"/>
    <cellStyle name="Normal 3 5" xfId="487"/>
    <cellStyle name="Normal 4" xfId="488"/>
    <cellStyle name="Normal 4 2" xfId="489"/>
    <cellStyle name="Normal 4 3" xfId="490"/>
    <cellStyle name="Normal 4 3 2" xfId="491"/>
    <cellStyle name="Normal 4 3 2 2" xfId="492"/>
    <cellStyle name="Normal 4 3 2 2 2" xfId="493"/>
    <cellStyle name="Normal 4 3 2 3" xfId="494"/>
    <cellStyle name="Normal 4 3 3" xfId="495"/>
    <cellStyle name="Normal 4 4" xfId="496"/>
    <cellStyle name="Normal 4 4 2" xfId="497"/>
    <cellStyle name="Normal 4 4 3" xfId="498"/>
    <cellStyle name="Normal 4 4 4" xfId="499"/>
    <cellStyle name="Normal 4 5" xfId="500"/>
    <cellStyle name="Normal 5" xfId="501"/>
    <cellStyle name="Normal 5 2" xfId="502"/>
    <cellStyle name="Normal 5 2 2" xfId="503"/>
    <cellStyle name="Normal 5 2 3" xfId="504"/>
    <cellStyle name="Normal 5 2 3 2" xfId="505"/>
    <cellStyle name="Normal 5 3" xfId="506"/>
    <cellStyle name="Normal 5 4" xfId="507"/>
    <cellStyle name="Normal 5 5" xfId="508"/>
    <cellStyle name="Normal 6" xfId="509"/>
    <cellStyle name="Normal 6 2" xfId="510"/>
    <cellStyle name="Normal 6 3" xfId="511"/>
    <cellStyle name="Normal 7" xfId="512"/>
    <cellStyle name="Normal 7 2" xfId="513"/>
    <cellStyle name="Normal 7 3" xfId="514"/>
    <cellStyle name="Normal 7 3 2" xfId="515"/>
    <cellStyle name="Normal 7 4" xfId="516"/>
    <cellStyle name="Normal 7 4 2" xfId="517"/>
    <cellStyle name="Normal 7 5" xfId="518"/>
    <cellStyle name="Normal 7 6" xfId="519"/>
    <cellStyle name="Normal 8" xfId="520"/>
    <cellStyle name="Normal 8 2" xfId="521"/>
    <cellStyle name="Normal 9" xfId="522"/>
    <cellStyle name="Normal 9 2" xfId="523"/>
    <cellStyle name="Normal 9 3" xfId="524"/>
    <cellStyle name="Note 2" xfId="525"/>
    <cellStyle name="Output 2" xfId="526"/>
    <cellStyle name="Percent" xfId="527" builtinId="5"/>
    <cellStyle name="Percent 10" xfId="528"/>
    <cellStyle name="Percent 10 2" xfId="529"/>
    <cellStyle name="Percent 10 3" xfId="530"/>
    <cellStyle name="Percent 10 3 2" xfId="531"/>
    <cellStyle name="Percent 10 3 3" xfId="532"/>
    <cellStyle name="Percent 10 3 3 2" xfId="533"/>
    <cellStyle name="Percent 10 4" xfId="948"/>
    <cellStyle name="Percent 11" xfId="534"/>
    <cellStyle name="Percent 11 2" xfId="535"/>
    <cellStyle name="Percent 11 3" xfId="536"/>
    <cellStyle name="Percent 11 3 2" xfId="537"/>
    <cellStyle name="Percent 12" xfId="538"/>
    <cellStyle name="Percent 12 2" xfId="539"/>
    <cellStyle name="Percent 12 3" xfId="540"/>
    <cellStyle name="Percent 12 3 2" xfId="541"/>
    <cellStyle name="Percent 13" xfId="542"/>
    <cellStyle name="Percent 13 2" xfId="543"/>
    <cellStyle name="Percent 13 3" xfId="544"/>
    <cellStyle name="Percent 13 3 2" xfId="545"/>
    <cellStyle name="Percent 14" xfId="546"/>
    <cellStyle name="Percent 14 2" xfId="547"/>
    <cellStyle name="Percent 14 3" xfId="548"/>
    <cellStyle name="Percent 14 3 2" xfId="549"/>
    <cellStyle name="Percent 15" xfId="550"/>
    <cellStyle name="Percent 15 2" xfId="551"/>
    <cellStyle name="Percent 15 3" xfId="552"/>
    <cellStyle name="Percent 15 3 2" xfId="553"/>
    <cellStyle name="Percent 16" xfId="554"/>
    <cellStyle name="Percent 16 2" xfId="555"/>
    <cellStyle name="Percent 16 3" xfId="556"/>
    <cellStyle name="Percent 16 3 2" xfId="557"/>
    <cellStyle name="Percent 17" xfId="558"/>
    <cellStyle name="Percent 17 2" xfId="559"/>
    <cellStyle name="Percent 17 3" xfId="560"/>
    <cellStyle name="Percent 17 3 2" xfId="561"/>
    <cellStyle name="Percent 18" xfId="562"/>
    <cellStyle name="Percent 18 2" xfId="563"/>
    <cellStyle name="Percent 18 3" xfId="564"/>
    <cellStyle name="Percent 18 3 2" xfId="565"/>
    <cellStyle name="Percent 19" xfId="566"/>
    <cellStyle name="Percent 19 2" xfId="567"/>
    <cellStyle name="Percent 19 3" xfId="568"/>
    <cellStyle name="Percent 19 3 2" xfId="569"/>
    <cellStyle name="Percent 2" xfId="570"/>
    <cellStyle name="Percent 2 2" xfId="571"/>
    <cellStyle name="Percent 2 2 2" xfId="572"/>
    <cellStyle name="Percent 2 2 2 2" xfId="573"/>
    <cellStyle name="Percent 2 2 2 3" xfId="574"/>
    <cellStyle name="Percent 2 2 2 3 2" xfId="575"/>
    <cellStyle name="Percent 2 2 2 3 3" xfId="576"/>
    <cellStyle name="Percent 2 2 2 3 3 2" xfId="577"/>
    <cellStyle name="Percent 2 2 2 3 3 3" xfId="578"/>
    <cellStyle name="Percent 2 2 2 3 3 4" xfId="579"/>
    <cellStyle name="Percent 2 2 2 3 4" xfId="580"/>
    <cellStyle name="Percent 2 2 2 3 4 2" xfId="581"/>
    <cellStyle name="Percent 2 2 2 3 4 2 2" xfId="582"/>
    <cellStyle name="Percent 2 2 2 3 4 2 3" xfId="583"/>
    <cellStyle name="Percent 2 2 2 3 4 2 3 2" xfId="584"/>
    <cellStyle name="Percent 2 2 2 3 4 3" xfId="585"/>
    <cellStyle name="Percent 2 2 2 3 5" xfId="586"/>
    <cellStyle name="Percent 2 2 2 3 5 2" xfId="587"/>
    <cellStyle name="Percent 2 2 2 3 5 3" xfId="588"/>
    <cellStyle name="Percent 2 2 2 3 5 3 2" xfId="589"/>
    <cellStyle name="Percent 2 2 2 3 6" xfId="590"/>
    <cellStyle name="Percent 2 2 2 3 7" xfId="591"/>
    <cellStyle name="Percent 2 2 2 3 7 2" xfId="592"/>
    <cellStyle name="Percent 2 2 2 4" xfId="593"/>
    <cellStyle name="Percent 2 2 2 4 2" xfId="594"/>
    <cellStyle name="Percent 2 2 2 4 2 2" xfId="595"/>
    <cellStyle name="Percent 2 2 2 4 2 3" xfId="596"/>
    <cellStyle name="Percent 2 2 2 4 2 3 2" xfId="597"/>
    <cellStyle name="Percent 2 2 2 4 3" xfId="598"/>
    <cellStyle name="Percent 2 2 2 5" xfId="599"/>
    <cellStyle name="Percent 2 2 2 5 2" xfId="600"/>
    <cellStyle name="Percent 2 2 2 5 3" xfId="601"/>
    <cellStyle name="Percent 2 2 2 5 3 2" xfId="602"/>
    <cellStyle name="Percent 2 2 2 6" xfId="603"/>
    <cellStyle name="Percent 2 2 2 6 2" xfId="604"/>
    <cellStyle name="Percent 2 2 3" xfId="605"/>
    <cellStyle name="Percent 2 2 3 2" xfId="606"/>
    <cellStyle name="Percent 2 2 3 3" xfId="607"/>
    <cellStyle name="Percent 2 2 3 4" xfId="608"/>
    <cellStyle name="Percent 2 3" xfId="609"/>
    <cellStyle name="Percent 2 4" xfId="610"/>
    <cellStyle name="Percent 2 4 10" xfId="611"/>
    <cellStyle name="Percent 2 4 11" xfId="612"/>
    <cellStyle name="Percent 2 4 11 2" xfId="613"/>
    <cellStyle name="Percent 2 4 11 2 2" xfId="614"/>
    <cellStyle name="Percent 2 4 11 2 3" xfId="615"/>
    <cellStyle name="Percent 2 4 11 2 3 2" xfId="616"/>
    <cellStyle name="Percent 2 4 2" xfId="617"/>
    <cellStyle name="Percent 2 4 3" xfId="618"/>
    <cellStyle name="Percent 2 4 4" xfId="619"/>
    <cellStyle name="Percent 2 4 5" xfId="620"/>
    <cellStyle name="Percent 2 4 5 2" xfId="621"/>
    <cellStyle name="Percent 2 4 5 2 2" xfId="622"/>
    <cellStyle name="Percent 2 4 5 2 3" xfId="623"/>
    <cellStyle name="Percent 2 4 6" xfId="624"/>
    <cellStyle name="Percent 2 4 7" xfId="625"/>
    <cellStyle name="Percent 2 4 8" xfId="626"/>
    <cellStyle name="Percent 2 4 9" xfId="627"/>
    <cellStyle name="Percent 2 4 9 2" xfId="628"/>
    <cellStyle name="Percent 2 4 9 2 2" xfId="629"/>
    <cellStyle name="Percent 2 4 9 2 3" xfId="630"/>
    <cellStyle name="Percent 2 4 9 2 3 2" xfId="631"/>
    <cellStyle name="Percent 2 5" xfId="632"/>
    <cellStyle name="Percent 2 5 2" xfId="633"/>
    <cellStyle name="Percent 2 5 2 2" xfId="634"/>
    <cellStyle name="Percent 2 5 3" xfId="635"/>
    <cellStyle name="Percent 2 5 4" xfId="636"/>
    <cellStyle name="Percent 2 5 5" xfId="637"/>
    <cellStyle name="Percent 2 6" xfId="638"/>
    <cellStyle name="Percent 20" xfId="639"/>
    <cellStyle name="Percent 20 2" xfId="640"/>
    <cellStyle name="Percent 20 3" xfId="641"/>
    <cellStyle name="Percent 20 3 2" xfId="642"/>
    <cellStyle name="Percent 21" xfId="643"/>
    <cellStyle name="Percent 21 2" xfId="644"/>
    <cellStyle name="Percent 21 3" xfId="645"/>
    <cellStyle name="Percent 21 3 2" xfId="646"/>
    <cellStyle name="Percent 22" xfId="647"/>
    <cellStyle name="Percent 22 2" xfId="648"/>
    <cellStyle name="Percent 23" xfId="649"/>
    <cellStyle name="Percent 23 2" xfId="650"/>
    <cellStyle name="Percent 24" xfId="651"/>
    <cellStyle name="Percent 25" xfId="652"/>
    <cellStyle name="Percent 25 2" xfId="653"/>
    <cellStyle name="Percent 25 3" xfId="654"/>
    <cellStyle name="Percent 25 3 2" xfId="655"/>
    <cellStyle name="Percent 26" xfId="656"/>
    <cellStyle name="Percent 27" xfId="657"/>
    <cellStyle name="Percent 27 2" xfId="658"/>
    <cellStyle name="Percent 28" xfId="659"/>
    <cellStyle name="Percent 28 2" xfId="660"/>
    <cellStyle name="Percent 28 3" xfId="661"/>
    <cellStyle name="Percent 28 4" xfId="662"/>
    <cellStyle name="Percent 29" xfId="663"/>
    <cellStyle name="Percent 29 2" xfId="664"/>
    <cellStyle name="Percent 3" xfId="665"/>
    <cellStyle name="Percent 3 2" xfId="666"/>
    <cellStyle name="Percent 3 2 2" xfId="667"/>
    <cellStyle name="Percent 3 2 3" xfId="668"/>
    <cellStyle name="Percent 3 2 3 2" xfId="669"/>
    <cellStyle name="Percent 3 2 3 3" xfId="670"/>
    <cellStyle name="Percent 3 2 3 4" xfId="671"/>
    <cellStyle name="Percent 3 2 4" xfId="672"/>
    <cellStyle name="Percent 3 2 4 2" xfId="673"/>
    <cellStyle name="Percent 3 2 4 2 2" xfId="674"/>
    <cellStyle name="Percent 3 2 4 2 3" xfId="675"/>
    <cellStyle name="Percent 3 2 4 2 3 2" xfId="676"/>
    <cellStyle name="Percent 3 2 4 3" xfId="677"/>
    <cellStyle name="Percent 3 2 5" xfId="678"/>
    <cellStyle name="Percent 3 2 5 2" xfId="679"/>
    <cellStyle name="Percent 3 2 5 3" xfId="680"/>
    <cellStyle name="Percent 3 2 5 3 2" xfId="681"/>
    <cellStyle name="Percent 3 2 6" xfId="682"/>
    <cellStyle name="Percent 3 2 7" xfId="683"/>
    <cellStyle name="Percent 3 2 7 2" xfId="684"/>
    <cellStyle name="Percent 3 3" xfId="685"/>
    <cellStyle name="Percent 3 4" xfId="686"/>
    <cellStyle name="Percent 3 5" xfId="687"/>
    <cellStyle name="Percent 3 5 2" xfId="688"/>
    <cellStyle name="Percent 3 5 3" xfId="689"/>
    <cellStyle name="Percent 3 5 4" xfId="690"/>
    <cellStyle name="Percent 3 6" xfId="691"/>
    <cellStyle name="Percent 3 6 2" xfId="692"/>
    <cellStyle name="Percent 3 7" xfId="693"/>
    <cellStyle name="Percent 3 8" xfId="694"/>
    <cellStyle name="Percent 3 9" xfId="695"/>
    <cellStyle name="Percent 30" xfId="696"/>
    <cellStyle name="Percent 31" xfId="957"/>
    <cellStyle name="Percent 32" xfId="963"/>
    <cellStyle name="Percent 4" xfId="697"/>
    <cellStyle name="Percent 4 2" xfId="698"/>
    <cellStyle name="Percent 4 3" xfId="699"/>
    <cellStyle name="Percent 4 3 2" xfId="700"/>
    <cellStyle name="Percent 4 3 3" xfId="701"/>
    <cellStyle name="Percent 4 3 4" xfId="702"/>
    <cellStyle name="Percent 4 4" xfId="703"/>
    <cellStyle name="Percent 4 4 2" xfId="704"/>
    <cellStyle name="Percent 4 4 2 2" xfId="705"/>
    <cellStyle name="Percent 4 4 2 3" xfId="706"/>
    <cellStyle name="Percent 4 4 2 3 2" xfId="707"/>
    <cellStyle name="Percent 4 4 3" xfId="708"/>
    <cellStyle name="Percent 4 5" xfId="709"/>
    <cellStyle name="Percent 4 5 2" xfId="710"/>
    <cellStyle name="Percent 4 5 3" xfId="711"/>
    <cellStyle name="Percent 4 5 3 2" xfId="712"/>
    <cellStyle name="Percent 4 6" xfId="713"/>
    <cellStyle name="Percent 4 7" xfId="714"/>
    <cellStyle name="Percent 4 7 2" xfId="715"/>
    <cellStyle name="Percent 5" xfId="716"/>
    <cellStyle name="Percent 5 2" xfId="717"/>
    <cellStyle name="Percent 5 3" xfId="718"/>
    <cellStyle name="Percent 5 3 2" xfId="719"/>
    <cellStyle name="Percent 5 3 3" xfId="720"/>
    <cellStyle name="Percent 5 4" xfId="721"/>
    <cellStyle name="Percent 5 4 2" xfId="722"/>
    <cellStyle name="Percent 5 4 3" xfId="723"/>
    <cellStyle name="Percent 5 4 4" xfId="724"/>
    <cellStyle name="Percent 5 5" xfId="725"/>
    <cellStyle name="Percent 5 5 2" xfId="726"/>
    <cellStyle name="Percent 5 5 2 2" xfId="727"/>
    <cellStyle name="Percent 5 5 2 3" xfId="728"/>
    <cellStyle name="Percent 5 5 2 3 2" xfId="729"/>
    <cellStyle name="Percent 5 5 3" xfId="730"/>
    <cellStyle name="Percent 5 6" xfId="731"/>
    <cellStyle name="Percent 5 6 2" xfId="732"/>
    <cellStyle name="Percent 5 6 3" xfId="733"/>
    <cellStyle name="Percent 5 6 3 2" xfId="734"/>
    <cellStyle name="Percent 5 7" xfId="735"/>
    <cellStyle name="Percent 5 8" xfId="736"/>
    <cellStyle name="Percent 5 8 2" xfId="737"/>
    <cellStyle name="Percent 5 9" xfId="738"/>
    <cellStyle name="Percent 5 9 2" xfId="739"/>
    <cellStyle name="Percent 5 9 3" xfId="740"/>
    <cellStyle name="Percent 5 9 3 2" xfId="741"/>
    <cellStyle name="Percent 6" xfId="742"/>
    <cellStyle name="Percent 6 10" xfId="743"/>
    <cellStyle name="Percent 6 11" xfId="744"/>
    <cellStyle name="Percent 6 11 2" xfId="745"/>
    <cellStyle name="Percent 6 11 2 2" xfId="746"/>
    <cellStyle name="Percent 6 11 2 3" xfId="747"/>
    <cellStyle name="Percent 6 11 2 3 2" xfId="748"/>
    <cellStyle name="Percent 6 12" xfId="749"/>
    <cellStyle name="Percent 6 13" xfId="750"/>
    <cellStyle name="Percent 6 13 2" xfId="751"/>
    <cellStyle name="Percent 6 13 2 2" xfId="752"/>
    <cellStyle name="Percent 6 13 2 3" xfId="753"/>
    <cellStyle name="Percent 6 13 2 3 2" xfId="754"/>
    <cellStyle name="Percent 6 14" xfId="755"/>
    <cellStyle name="Percent 6 14 2" xfId="756"/>
    <cellStyle name="Percent 6 15" xfId="757"/>
    <cellStyle name="Percent 6 16" xfId="758"/>
    <cellStyle name="Percent 6 16 2" xfId="759"/>
    <cellStyle name="Percent 6 2" xfId="760"/>
    <cellStyle name="Percent 6 3" xfId="761"/>
    <cellStyle name="Percent 6 4" xfId="762"/>
    <cellStyle name="Percent 6 5" xfId="763"/>
    <cellStyle name="Percent 6 6" xfId="764"/>
    <cellStyle name="Percent 6 7" xfId="765"/>
    <cellStyle name="Percent 6 7 2" xfId="766"/>
    <cellStyle name="Percent 6 7 2 2" xfId="767"/>
    <cellStyle name="Percent 6 7 2 3" xfId="768"/>
    <cellStyle name="Percent 6 8" xfId="769"/>
    <cellStyle name="Percent 6 9" xfId="770"/>
    <cellStyle name="Percent 7" xfId="771"/>
    <cellStyle name="Percent 7 10" xfId="772"/>
    <cellStyle name="Percent 7 11" xfId="773"/>
    <cellStyle name="Percent 7 11 2" xfId="774"/>
    <cellStyle name="Percent 7 11 2 2" xfId="775"/>
    <cellStyle name="Percent 7 11 2 3" xfId="776"/>
    <cellStyle name="Percent 7 11 2 3 2" xfId="777"/>
    <cellStyle name="Percent 7 12" xfId="778"/>
    <cellStyle name="Percent 7 12 2" xfId="779"/>
    <cellStyle name="Percent 7 13" xfId="780"/>
    <cellStyle name="Percent 7 14" xfId="781"/>
    <cellStyle name="Percent 7 14 2" xfId="782"/>
    <cellStyle name="Percent 7 2" xfId="783"/>
    <cellStyle name="Percent 7 3" xfId="784"/>
    <cellStyle name="Percent 7 4" xfId="785"/>
    <cellStyle name="Percent 7 5" xfId="786"/>
    <cellStyle name="Percent 7 5 2" xfId="787"/>
    <cellStyle name="Percent 7 5 2 2" xfId="788"/>
    <cellStyle name="Percent 7 5 2 3" xfId="789"/>
    <cellStyle name="Percent 7 5 2 4" xfId="790"/>
    <cellStyle name="Percent 7 6" xfId="791"/>
    <cellStyle name="Percent 7 7" xfId="792"/>
    <cellStyle name="Percent 7 8" xfId="793"/>
    <cellStyle name="Percent 7 9" xfId="794"/>
    <cellStyle name="Percent 7 9 2" xfId="795"/>
    <cellStyle name="Percent 7 9 2 2" xfId="796"/>
    <cellStyle name="Percent 7 9 2 3" xfId="797"/>
    <cellStyle name="Percent 7 9 2 3 2" xfId="798"/>
    <cellStyle name="Percent 8" xfId="799"/>
    <cellStyle name="Percent 8 2" xfId="800"/>
    <cellStyle name="Percent 8 3" xfId="801"/>
    <cellStyle name="Percent 8 4" xfId="802"/>
    <cellStyle name="Percent 8 5" xfId="803"/>
    <cellStyle name="Percent 9" xfId="804"/>
    <cellStyle name="Percent 9 2" xfId="805"/>
    <cellStyle name="Percent 9 3" xfId="806"/>
    <cellStyle name="Percent 9 4" xfId="807"/>
    <cellStyle name="Percent 9 5" xfId="808"/>
    <cellStyle name="PSChar" xfId="809"/>
    <cellStyle name="PSChar 10" xfId="810"/>
    <cellStyle name="PSChar 10 2" xfId="811"/>
    <cellStyle name="PSChar 10 2 2" xfId="812"/>
    <cellStyle name="PSChar 10 3" xfId="813"/>
    <cellStyle name="PSChar 11" xfId="814"/>
    <cellStyle name="PSChar 2" xfId="815"/>
    <cellStyle name="PSChar 2 2" xfId="816"/>
    <cellStyle name="PSChar 2 2 2" xfId="817"/>
    <cellStyle name="PSChar 3" xfId="818"/>
    <cellStyle name="PSChar 3 2" xfId="819"/>
    <cellStyle name="PSChar 4" xfId="820"/>
    <cellStyle name="PSChar 4 2" xfId="821"/>
    <cellStyle name="PSChar 5" xfId="822"/>
    <cellStyle name="PSChar 5 2" xfId="823"/>
    <cellStyle name="PSChar 5 3" xfId="824"/>
    <cellStyle name="PSChar 5 3 2" xfId="825"/>
    <cellStyle name="PSChar 6" xfId="826"/>
    <cellStyle name="PSChar 6 2" xfId="827"/>
    <cellStyle name="PSChar 7" xfId="828"/>
    <cellStyle name="PSChar 8" xfId="829"/>
    <cellStyle name="PSChar 8 2" xfId="830"/>
    <cellStyle name="PSChar 9" xfId="831"/>
    <cellStyle name="PSChar 9 2" xfId="832"/>
    <cellStyle name="PSDate" xfId="833"/>
    <cellStyle name="PSDate 10" xfId="834"/>
    <cellStyle name="PSDate 2" xfId="835"/>
    <cellStyle name="PSDate 2 2" xfId="836"/>
    <cellStyle name="PSDate 2 2 2" xfId="837"/>
    <cellStyle name="PSDate 3" xfId="838"/>
    <cellStyle name="PSDate 3 2" xfId="839"/>
    <cellStyle name="PSDate 4" xfId="840"/>
    <cellStyle name="PSDate 4 2" xfId="841"/>
    <cellStyle name="PSDate 5" xfId="842"/>
    <cellStyle name="PSDate 5 2" xfId="843"/>
    <cellStyle name="PSDate 5 3" xfId="844"/>
    <cellStyle name="PSDate 5 3 2" xfId="845"/>
    <cellStyle name="PSDate 6" xfId="846"/>
    <cellStyle name="PSDate 6 2" xfId="847"/>
    <cellStyle name="PSDate 7" xfId="848"/>
    <cellStyle name="PSDate 8" xfId="849"/>
    <cellStyle name="PSDate 8 2" xfId="850"/>
    <cellStyle name="PSDate 9" xfId="851"/>
    <cellStyle name="PSDate 9 2" xfId="852"/>
    <cellStyle name="PSDate 9 2 2" xfId="853"/>
    <cellStyle name="PSDate 9 3" xfId="854"/>
    <cellStyle name="PSDec" xfId="855"/>
    <cellStyle name="PSDec 10" xfId="856"/>
    <cellStyle name="PSDec 10 2" xfId="857"/>
    <cellStyle name="PSDec 10 2 2" xfId="858"/>
    <cellStyle name="PSDec 10 3" xfId="859"/>
    <cellStyle name="PSDec 11" xfId="860"/>
    <cellStyle name="PSDec 2" xfId="861"/>
    <cellStyle name="PSDec 2 2" xfId="862"/>
    <cellStyle name="PSDec 2 2 2" xfId="863"/>
    <cellStyle name="PSDec 3" xfId="864"/>
    <cellStyle name="PSDec 3 2" xfId="865"/>
    <cellStyle name="PSDec 4" xfId="866"/>
    <cellStyle name="PSDec 4 2" xfId="867"/>
    <cellStyle name="PSDec 5" xfId="868"/>
    <cellStyle name="PSDec 5 2" xfId="869"/>
    <cellStyle name="PSDec 5 3" xfId="870"/>
    <cellStyle name="PSDec 5 3 2" xfId="871"/>
    <cellStyle name="PSDec 6" xfId="872"/>
    <cellStyle name="PSDec 6 2" xfId="873"/>
    <cellStyle name="PSDec 7" xfId="874"/>
    <cellStyle name="PSDec 8" xfId="875"/>
    <cellStyle name="PSDec 8 2" xfId="876"/>
    <cellStyle name="PSDec 9" xfId="877"/>
    <cellStyle name="PSDec 9 2" xfId="878"/>
    <cellStyle name="PSHeading" xfId="879"/>
    <cellStyle name="PSHeading 2" xfId="880"/>
    <cellStyle name="PSHeading 2 2" xfId="881"/>
    <cellStyle name="PSHeading 2 2 2" xfId="882"/>
    <cellStyle name="PSHeading 2 2 3" xfId="883"/>
    <cellStyle name="PSHeading 2 2 3 2" xfId="884"/>
    <cellStyle name="PSHeading 3" xfId="885"/>
    <cellStyle name="PSHeading 3 2" xfId="886"/>
    <cellStyle name="PSHeading 3 3" xfId="887"/>
    <cellStyle name="PSHeading 3 3 2" xfId="888"/>
    <cellStyle name="PSHeading 4" xfId="889"/>
    <cellStyle name="PSHeading 4 2" xfId="890"/>
    <cellStyle name="PSHeading 5" xfId="891"/>
    <cellStyle name="PSHeading 5 2" xfId="892"/>
    <cellStyle name="PSHeading 6" xfId="893"/>
    <cellStyle name="PSHeading 6 2" xfId="894"/>
    <cellStyle name="PSHeading 6 2 2" xfId="895"/>
    <cellStyle name="PSHeading 6 3" xfId="896"/>
    <cellStyle name="PSHeading 7" xfId="897"/>
    <cellStyle name="PSInt" xfId="898"/>
    <cellStyle name="PSInt 10" xfId="899"/>
    <cellStyle name="PSInt 10 2" xfId="900"/>
    <cellStyle name="PSInt 10 2 2" xfId="901"/>
    <cellStyle name="PSInt 10 3" xfId="902"/>
    <cellStyle name="PSInt 11" xfId="903"/>
    <cellStyle name="PSInt 2" xfId="904"/>
    <cellStyle name="PSInt 2 2" xfId="905"/>
    <cellStyle name="PSInt 2 2 2" xfId="906"/>
    <cellStyle name="PSInt 3" xfId="907"/>
    <cellStyle name="PSInt 3 2" xfId="908"/>
    <cellStyle name="PSInt 4" xfId="909"/>
    <cellStyle name="PSInt 4 2" xfId="910"/>
    <cellStyle name="PSInt 5" xfId="911"/>
    <cellStyle name="PSInt 5 2" xfId="912"/>
    <cellStyle name="PSInt 5 3" xfId="913"/>
    <cellStyle name="PSInt 5 3 2" xfId="914"/>
    <cellStyle name="PSInt 6" xfId="915"/>
    <cellStyle name="PSInt 6 2" xfId="916"/>
    <cellStyle name="PSInt 7" xfId="917"/>
    <cellStyle name="PSInt 8" xfId="918"/>
    <cellStyle name="PSInt 8 2" xfId="919"/>
    <cellStyle name="PSInt 9" xfId="920"/>
    <cellStyle name="PSInt 9 2" xfId="921"/>
    <cellStyle name="PSSpacer" xfId="922"/>
    <cellStyle name="PSSpacer 10" xfId="923"/>
    <cellStyle name="PSSpacer 2" xfId="924"/>
    <cellStyle name="PSSpacer 2 2" xfId="925"/>
    <cellStyle name="PSSpacer 3" xfId="926"/>
    <cellStyle name="PSSpacer 3 2" xfId="927"/>
    <cellStyle name="PSSpacer 4" xfId="928"/>
    <cellStyle name="PSSpacer 4 2" xfId="929"/>
    <cellStyle name="PSSpacer 5" xfId="930"/>
    <cellStyle name="PSSpacer 5 2" xfId="931"/>
    <cellStyle name="PSSpacer 5 3" xfId="932"/>
    <cellStyle name="PSSpacer 5 3 2" xfId="933"/>
    <cellStyle name="PSSpacer 6" xfId="934"/>
    <cellStyle name="PSSpacer 6 2" xfId="935"/>
    <cellStyle name="PSSpacer 7" xfId="936"/>
    <cellStyle name="PSSpacer 8" xfId="937"/>
    <cellStyle name="PSSpacer 8 2" xfId="938"/>
    <cellStyle name="PSSpacer 9" xfId="939"/>
    <cellStyle name="PSSpacer 9 2" xfId="940"/>
    <cellStyle name="PSSpacer 9 2 2" xfId="941"/>
    <cellStyle name="PSSpacer 9 3" xfId="942"/>
    <cellStyle name="Title 2" xfId="943"/>
    <cellStyle name="Total 2" xfId="944"/>
    <cellStyle name="Warning Text 2" xfId="945"/>
  </cellStyles>
  <dxfs count="0"/>
  <tableStyles count="0" defaultTableStyle="TableStyleMedium2" defaultPivotStyle="PivotStyleLight16"/>
  <colors>
    <mruColors>
      <color rgb="FFFFCCFF"/>
      <color rgb="FFFFFFCC"/>
      <color rgb="FFB8E3FE"/>
      <color rgb="FFF8A2CF"/>
      <color rgb="FFCCCCFF"/>
      <color rgb="FFCCFFCC"/>
      <color rgb="FFFF99CC"/>
      <color rgb="FFFFFF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xmlns="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showGridLines="0" zoomScale="70" zoomScaleNormal="70" workbookViewId="0">
      <selection activeCell="G10" sqref="G10"/>
    </sheetView>
  </sheetViews>
  <sheetFormatPr defaultColWidth="9.140625" defaultRowHeight="15" x14ac:dyDescent="0.25"/>
  <cols>
    <col min="1" max="1" width="2.5703125" style="31" customWidth="1"/>
    <col min="2" max="2" width="30.5703125" style="31" customWidth="1"/>
    <col min="3" max="3" width="23.28515625" style="31" customWidth="1"/>
    <col min="4" max="4" width="19.42578125" style="31" bestFit="1" customWidth="1"/>
    <col min="5" max="5" width="17.140625" style="31" bestFit="1" customWidth="1"/>
    <col min="6" max="6" width="16.85546875" style="31" customWidth="1"/>
    <col min="7" max="7" width="21.85546875" style="31" customWidth="1"/>
    <col min="8" max="8" width="20.42578125" style="31" bestFit="1" customWidth="1"/>
    <col min="9" max="9" width="18" style="31" bestFit="1" customWidth="1"/>
    <col min="10" max="10" width="2.85546875" style="31" customWidth="1"/>
    <col min="11" max="11" width="15.28515625" style="31" customWidth="1"/>
    <col min="12" max="12" width="2.5703125" style="31" bestFit="1" customWidth="1"/>
    <col min="13" max="13" width="22.85546875" style="31" bestFit="1" customWidth="1"/>
    <col min="14" max="14" width="18.28515625" style="31" customWidth="1"/>
    <col min="15" max="15" width="18.7109375" style="31" bestFit="1" customWidth="1"/>
    <col min="16" max="16" width="12.5703125" style="31" bestFit="1" customWidth="1"/>
    <col min="17" max="17" width="15.85546875" style="31" bestFit="1" customWidth="1"/>
    <col min="18" max="16384" width="9.140625" style="31"/>
  </cols>
  <sheetData>
    <row r="1" spans="2:17" ht="18.75" x14ac:dyDescent="0.3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8.75" x14ac:dyDescent="0.3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45" customHeight="1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" customHeight="1" x14ac:dyDescent="0.25">
      <c r="N4" s="33" t="s">
        <v>70</v>
      </c>
    </row>
    <row r="5" spans="2:17" s="34" customFormat="1" ht="15.75" x14ac:dyDescent="0.25"/>
    <row r="6" spans="2:17" s="34" customFormat="1" ht="16.5" thickBot="1" x14ac:dyDescent="0.3"/>
    <row r="7" spans="2:17" s="35" customFormat="1" ht="18.75" x14ac:dyDescent="0.3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.75" x14ac:dyDescent="0.3">
      <c r="E8" s="40" t="s">
        <v>36</v>
      </c>
      <c r="G8" s="41"/>
      <c r="H8" s="41"/>
      <c r="I8" s="41"/>
      <c r="J8" s="42"/>
    </row>
    <row r="9" spans="2:17" s="35" customFormat="1" ht="21" thickBot="1" x14ac:dyDescent="0.35">
      <c r="E9" s="43" t="s">
        <v>69</v>
      </c>
      <c r="F9" s="44"/>
      <c r="G9" s="45">
        <v>0</v>
      </c>
      <c r="H9" s="45">
        <v>0</v>
      </c>
      <c r="I9" s="45">
        <f>G9+H9</f>
        <v>0</v>
      </c>
      <c r="J9" s="46"/>
      <c r="K9" s="47"/>
    </row>
    <row r="10" spans="2:17" s="35" customFormat="1" ht="18.75" x14ac:dyDescent="0.3">
      <c r="F10" s="48"/>
      <c r="G10" s="48"/>
      <c r="H10" s="48"/>
    </row>
    <row r="11" spans="2:17" s="35" customFormat="1" ht="18.75" x14ac:dyDescent="0.3"/>
    <row r="12" spans="2:17" s="35" customFormat="1" ht="18.75" x14ac:dyDescent="0.3"/>
    <row r="13" spans="2:17" s="35" customFormat="1" ht="18.75" x14ac:dyDescent="0.3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.75" x14ac:dyDescent="0.3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.75" x14ac:dyDescent="0.3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.75" x14ac:dyDescent="0.3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2026</v>
      </c>
    </row>
    <row r="17" spans="2:17" s="35" customFormat="1" ht="18.75" x14ac:dyDescent="0.3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.75" x14ac:dyDescent="0.3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 x14ac:dyDescent="0.3"/>
    <row r="20" spans="2:17" s="35" customFormat="1" ht="22.5" customHeight="1" x14ac:dyDescent="0.3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0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ROUND(IF(D20&gt;0,H20/C20,(G20+H20)/C20),5)-0.000001</f>
        <v>-9.9999999999999995E-7</v>
      </c>
      <c r="L20" s="125">
        <v>3</v>
      </c>
      <c r="M20" s="53">
        <f>(C20*K20)+(D20*I20)</f>
        <v>-1889.8499385032812</v>
      </c>
      <c r="N20" s="57">
        <f>M20-H20-G20</f>
        <v>-1889.8499385032812</v>
      </c>
      <c r="O20" s="120">
        <f>'12mos BA'!C16</f>
        <v>310878376.53999996</v>
      </c>
      <c r="P20" s="121">
        <f>M20/O20</f>
        <v>-6.0790652586932786E-6</v>
      </c>
      <c r="Q20" s="58">
        <f>K20*'12mos BA'!H16</f>
        <v>-1.206E-3</v>
      </c>
    </row>
    <row r="21" spans="2:17" s="35" customFormat="1" ht="19.899999999999999" customHeight="1" x14ac:dyDescent="0.3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0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0</v>
      </c>
      <c r="L21" s="60"/>
      <c r="M21" s="59">
        <f>(C21*K21)+(D21*I21)</f>
        <v>0</v>
      </c>
      <c r="N21" s="57">
        <f>M21-H21-G21</f>
        <v>0</v>
      </c>
      <c r="O21" s="120">
        <f>'12mos BA'!C59</f>
        <v>108695473.52000001</v>
      </c>
      <c r="P21" s="121">
        <f t="shared" ref="P21:P29" si="3">M21/O21</f>
        <v>0</v>
      </c>
    </row>
    <row r="22" spans="2:17" s="35" customFormat="1" ht="19.899999999999999" customHeight="1" x14ac:dyDescent="0.3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0</v>
      </c>
      <c r="H22" s="59">
        <f t="shared" si="1"/>
        <v>0</v>
      </c>
      <c r="I22" s="54">
        <f>ROUND(IF(D22&gt;0,G22/D22,0),2)</f>
        <v>0</v>
      </c>
      <c r="J22" s="52"/>
      <c r="K22" s="55">
        <f>ROUND(IF(D22&gt;0,H22/C22,(G22+H22)/C22),5)</f>
        <v>0</v>
      </c>
      <c r="L22" s="56"/>
      <c r="M22" s="59">
        <f t="shared" ref="M22:M27" si="4">(C22*K22)+(D22*I22)</f>
        <v>0</v>
      </c>
      <c r="N22" s="57">
        <f>M22-H22-G22</f>
        <v>0</v>
      </c>
      <c r="O22" s="120">
        <f>'12mos BA'!C71-'12mos BA'!C66</f>
        <v>71055286.290000007</v>
      </c>
      <c r="P22" s="121">
        <f t="shared" si="3"/>
        <v>0</v>
      </c>
    </row>
    <row r="23" spans="2:17" s="35" customFormat="1" ht="18.75" x14ac:dyDescent="0.3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0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0</v>
      </c>
      <c r="L23" s="60"/>
      <c r="M23" s="59">
        <f t="shared" si="4"/>
        <v>0</v>
      </c>
      <c r="N23" s="57">
        <f t="shared" ref="N23:N27" si="7">M23-H23-G23</f>
        <v>0</v>
      </c>
      <c r="O23" s="120">
        <f>'12mos BA'!C66</f>
        <v>142216.72</v>
      </c>
      <c r="P23" s="121">
        <f t="shared" si="3"/>
        <v>0</v>
      </c>
    </row>
    <row r="24" spans="2:17" s="35" customFormat="1" ht="22.5" x14ac:dyDescent="0.3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0</v>
      </c>
      <c r="H24" s="59">
        <f t="shared" si="1"/>
        <v>0</v>
      </c>
      <c r="I24" s="54">
        <f>ROUND(IF(D24&gt;0,G24/D24,0),2)+0.004</f>
        <v>4.0000000000000001E-3</v>
      </c>
      <c r="J24" s="125">
        <v>3</v>
      </c>
      <c r="K24" s="55">
        <f>ROUND(IF(D24&gt;0,H24/C24,(G24+H24)/C24),5)</f>
        <v>0</v>
      </c>
      <c r="L24" s="56"/>
      <c r="M24" s="59">
        <f t="shared" si="4"/>
        <v>15406.195503444234</v>
      </c>
      <c r="N24" s="57">
        <f>M24-H24-G24</f>
        <v>15406.195503444234</v>
      </c>
      <c r="O24" s="120">
        <f>'12mos BA'!C83</f>
        <v>188289639.19999999</v>
      </c>
      <c r="P24" s="121">
        <f t="shared" si="3"/>
        <v>8.1821790985960082E-5</v>
      </c>
    </row>
    <row r="25" spans="2:17" s="35" customFormat="1" ht="18.75" x14ac:dyDescent="0.3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0</v>
      </c>
      <c r="H25" s="59">
        <f t="shared" si="1"/>
        <v>0</v>
      </c>
      <c r="I25" s="54">
        <f t="shared" si="2"/>
        <v>0</v>
      </c>
      <c r="J25" s="52"/>
      <c r="K25" s="55">
        <f t="shared" si="6"/>
        <v>0</v>
      </c>
      <c r="L25" s="60"/>
      <c r="M25" s="59">
        <f t="shared" si="4"/>
        <v>0</v>
      </c>
      <c r="N25" s="57">
        <f t="shared" si="7"/>
        <v>0</v>
      </c>
      <c r="O25" s="120">
        <f>'12mos BA'!C87</f>
        <v>250812.97</v>
      </c>
      <c r="P25" s="121">
        <f t="shared" si="3"/>
        <v>0</v>
      </c>
    </row>
    <row r="26" spans="2:17" s="35" customFormat="1" ht="18.75" x14ac:dyDescent="0.3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0</v>
      </c>
      <c r="H26" s="59">
        <f t="shared" si="1"/>
        <v>0</v>
      </c>
      <c r="I26" s="54">
        <f t="shared" si="2"/>
        <v>0</v>
      </c>
      <c r="J26" s="52"/>
      <c r="K26" s="55">
        <f t="shared" si="6"/>
        <v>0</v>
      </c>
      <c r="L26" s="60"/>
      <c r="M26" s="59">
        <f t="shared" si="4"/>
        <v>0</v>
      </c>
      <c r="N26" s="57">
        <f t="shared" si="7"/>
        <v>0</v>
      </c>
      <c r="O26" s="120">
        <f>'12mos BA'!C43</f>
        <v>9617965.8599999975</v>
      </c>
      <c r="P26" s="121">
        <f t="shared" si="3"/>
        <v>0</v>
      </c>
    </row>
    <row r="27" spans="2:17" s="35" customFormat="1" ht="18.75" x14ac:dyDescent="0.3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0</v>
      </c>
      <c r="H27" s="59">
        <f t="shared" si="1"/>
        <v>0</v>
      </c>
      <c r="I27" s="54">
        <f t="shared" si="2"/>
        <v>0</v>
      </c>
      <c r="J27" s="52"/>
      <c r="K27" s="55">
        <f t="shared" si="6"/>
        <v>0</v>
      </c>
      <c r="L27" s="60"/>
      <c r="M27" s="59">
        <f t="shared" si="4"/>
        <v>0</v>
      </c>
      <c r="N27" s="57">
        <f t="shared" si="7"/>
        <v>0</v>
      </c>
      <c r="O27" s="120">
        <f>'12mos BA'!C85</f>
        <v>1853212.09</v>
      </c>
      <c r="P27" s="121">
        <f t="shared" si="3"/>
        <v>0</v>
      </c>
    </row>
    <row r="28" spans="2:17" s="35" customFormat="1" ht="18.75" x14ac:dyDescent="0.3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.75" x14ac:dyDescent="0.3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0</v>
      </c>
      <c r="H29" s="65">
        <f>SUM(H20:H27)</f>
        <v>0</v>
      </c>
      <c r="I29" s="65"/>
      <c r="J29" s="65"/>
      <c r="K29" s="62"/>
      <c r="L29" s="62"/>
      <c r="M29" s="65">
        <f>SUM(M20:M27)</f>
        <v>13516.345564940953</v>
      </c>
      <c r="N29" s="65">
        <f>SUM(N20:N27)</f>
        <v>13516.345564940953</v>
      </c>
      <c r="O29" s="65">
        <f>SUM(O20:O27)</f>
        <v>690782983.19000006</v>
      </c>
      <c r="P29" s="122">
        <f t="shared" si="3"/>
        <v>1.9566703138116069E-5</v>
      </c>
    </row>
    <row r="30" spans="2:17" s="34" customFormat="1" ht="15.75" x14ac:dyDescent="0.25">
      <c r="C30" s="66"/>
      <c r="D30" s="66"/>
      <c r="M30" s="67"/>
      <c r="N30" s="67"/>
    </row>
    <row r="31" spans="2:17" s="34" customFormat="1" ht="15.75" x14ac:dyDescent="0.25">
      <c r="M31" s="68"/>
    </row>
    <row r="32" spans="2:17" s="69" customFormat="1" ht="12.75" x14ac:dyDescent="0.2">
      <c r="N32" s="70"/>
    </row>
    <row r="33" spans="1:13" s="69" customFormat="1" ht="15.75" x14ac:dyDescent="0.2">
      <c r="A33" s="71"/>
      <c r="H33" s="72"/>
    </row>
    <row r="34" spans="1:13" s="69" customFormat="1" ht="15.75" x14ac:dyDescent="0.2">
      <c r="A34" s="73"/>
      <c r="B34" s="69" t="s">
        <v>170</v>
      </c>
      <c r="M34" s="74"/>
    </row>
    <row r="35" spans="1:13" s="34" customFormat="1" ht="15.75" x14ac:dyDescent="0.25">
      <c r="B35" s="69" t="s">
        <v>169</v>
      </c>
    </row>
    <row r="36" spans="1:13" s="34" customFormat="1" ht="15.75" x14ac:dyDescent="0.25">
      <c r="B36" s="69" t="s">
        <v>171</v>
      </c>
    </row>
    <row r="37" spans="1:13" s="34" customFormat="1" ht="15.75" x14ac:dyDescent="0.25"/>
    <row r="41" spans="1:13" x14ac:dyDescent="0.25">
      <c r="C41" s="75"/>
      <c r="D41" s="75"/>
    </row>
    <row r="43" spans="1:13" x14ac:dyDescent="0.25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autoPageBreaks="0"/>
  </sheetPr>
  <dimension ref="A1:A9"/>
  <sheetViews>
    <sheetView workbookViewId="0">
      <selection activeCell="C13" sqref="C13"/>
    </sheetView>
  </sheetViews>
  <sheetFormatPr defaultRowHeight="12.75" x14ac:dyDescent="0.2"/>
  <sheetData>
    <row r="1" spans="1:1" x14ac:dyDescent="0.2">
      <c r="A1" s="1" t="s">
        <v>24</v>
      </c>
    </row>
    <row r="3" spans="1:1" x14ac:dyDescent="0.2">
      <c r="A3" s="1" t="s">
        <v>25</v>
      </c>
    </row>
    <row r="4" spans="1:1" x14ac:dyDescent="0.2">
      <c r="A4" s="1" t="s">
        <v>26</v>
      </c>
    </row>
    <row r="5" spans="1:1" x14ac:dyDescent="0.2">
      <c r="A5" s="1" t="s">
        <v>27</v>
      </c>
    </row>
    <row r="6" spans="1:1" x14ac:dyDescent="0.2">
      <c r="A6" s="1" t="s">
        <v>28</v>
      </c>
    </row>
    <row r="7" spans="1:1" x14ac:dyDescent="0.2">
      <c r="A7" s="1" t="s">
        <v>29</v>
      </c>
    </row>
    <row r="8" spans="1:1" x14ac:dyDescent="0.2">
      <c r="A8" s="1" t="s">
        <v>30</v>
      </c>
    </row>
    <row r="9" spans="1:1" x14ac:dyDescent="0.2">
      <c r="A9" s="1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showGridLines="0" tabSelected="1" topLeftCell="A3" zoomScale="80" zoomScaleNormal="80" workbookViewId="0">
      <selection activeCell="G10" sqref="G10"/>
    </sheetView>
  </sheetViews>
  <sheetFormatPr defaultColWidth="9.140625" defaultRowHeight="15" x14ac:dyDescent="0.25"/>
  <cols>
    <col min="1" max="1" width="2.5703125" style="31" customWidth="1"/>
    <col min="2" max="2" width="30.5703125" style="31" customWidth="1"/>
    <col min="3" max="3" width="23.28515625" style="31" customWidth="1"/>
    <col min="4" max="4" width="19.42578125" style="31" bestFit="1" customWidth="1"/>
    <col min="5" max="5" width="17.140625" style="31" bestFit="1" customWidth="1"/>
    <col min="6" max="6" width="16.85546875" style="31" customWidth="1"/>
    <col min="7" max="7" width="21.85546875" style="31" customWidth="1"/>
    <col min="8" max="8" width="20.42578125" style="31" bestFit="1" customWidth="1"/>
    <col min="9" max="9" width="18" style="31" bestFit="1" customWidth="1"/>
    <col min="10" max="10" width="2.140625" style="31" customWidth="1"/>
    <col min="11" max="11" width="15.28515625" style="31" customWidth="1"/>
    <col min="12" max="12" width="2.5703125" style="31" bestFit="1" customWidth="1"/>
    <col min="13" max="13" width="22.85546875" style="31" bestFit="1" customWidth="1"/>
    <col min="14" max="14" width="18.28515625" style="31" customWidth="1"/>
    <col min="15" max="15" width="18.7109375" style="31" bestFit="1" customWidth="1"/>
    <col min="16" max="16" width="12.5703125" style="31" bestFit="1" customWidth="1"/>
    <col min="17" max="17" width="15.85546875" style="31" bestFit="1" customWidth="1"/>
    <col min="18" max="16384" width="9.140625" style="31"/>
  </cols>
  <sheetData>
    <row r="1" spans="2:17" ht="18.75" x14ac:dyDescent="0.3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8.75" x14ac:dyDescent="0.3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45" customHeight="1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" customHeight="1" x14ac:dyDescent="0.25">
      <c r="N4" s="33" t="s">
        <v>70</v>
      </c>
    </row>
    <row r="5" spans="2:17" s="34" customFormat="1" ht="15.75" x14ac:dyDescent="0.25"/>
    <row r="6" spans="2:17" s="34" customFormat="1" ht="16.5" thickBot="1" x14ac:dyDescent="0.3"/>
    <row r="7" spans="2:17" s="35" customFormat="1" ht="18.75" x14ac:dyDescent="0.3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.75" x14ac:dyDescent="0.3">
      <c r="E8" s="40" t="s">
        <v>36</v>
      </c>
      <c r="G8" s="41"/>
      <c r="H8" s="41"/>
      <c r="I8" s="41"/>
      <c r="J8" s="42"/>
    </row>
    <row r="9" spans="2:17" s="35" customFormat="1" ht="21" thickBot="1" x14ac:dyDescent="0.35">
      <c r="E9" s="43" t="s">
        <v>69</v>
      </c>
      <c r="F9" s="44"/>
      <c r="G9" s="45">
        <v>0</v>
      </c>
      <c r="H9" s="45">
        <v>0</v>
      </c>
      <c r="I9" s="45">
        <f>G9+H9</f>
        <v>0</v>
      </c>
      <c r="J9" s="46"/>
      <c r="K9" s="47"/>
    </row>
    <row r="10" spans="2:17" s="35" customFormat="1" ht="18.75" x14ac:dyDescent="0.3">
      <c r="F10" s="48"/>
      <c r="G10" s="48"/>
      <c r="H10" s="48"/>
    </row>
    <row r="11" spans="2:17" s="35" customFormat="1" ht="18.75" x14ac:dyDescent="0.3"/>
    <row r="12" spans="2:17" s="35" customFormat="1" ht="18.75" x14ac:dyDescent="0.3"/>
    <row r="13" spans="2:17" s="35" customFormat="1" ht="18.75" x14ac:dyDescent="0.3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.75" x14ac:dyDescent="0.3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.75" x14ac:dyDescent="0.3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.75" x14ac:dyDescent="0.3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2027</v>
      </c>
    </row>
    <row r="17" spans="2:17" s="35" customFormat="1" ht="18.75" x14ac:dyDescent="0.3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.75" x14ac:dyDescent="0.3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 x14ac:dyDescent="0.3"/>
    <row r="20" spans="2:17" s="35" customFormat="1" ht="22.5" customHeight="1" x14ac:dyDescent="0.3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0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0</v>
      </c>
      <c r="L20" s="56"/>
      <c r="M20" s="53">
        <f>(C20*K20)+(D20*I20)</f>
        <v>0</v>
      </c>
      <c r="N20" s="57">
        <f>M20-H20-G20</f>
        <v>0</v>
      </c>
      <c r="O20" s="120">
        <f>'12mos BA'!C16</f>
        <v>310878376.53999996</v>
      </c>
      <c r="P20" s="121">
        <f>M20/O20</f>
        <v>0</v>
      </c>
      <c r="Q20" s="58">
        <f>K20*'12mos BA'!H16</f>
        <v>0</v>
      </c>
    </row>
    <row r="21" spans="2:17" s="35" customFormat="1" ht="19.899999999999999" customHeight="1" x14ac:dyDescent="0.3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0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0</v>
      </c>
      <c r="L21" s="60"/>
      <c r="M21" s="59">
        <f>(C21*K21)+(D21*I21)</f>
        <v>0</v>
      </c>
      <c r="N21" s="57">
        <f>M21-H21-G21</f>
        <v>0</v>
      </c>
      <c r="O21" s="120">
        <f>'12mos BA'!C59</f>
        <v>108695473.52000001</v>
      </c>
      <c r="P21" s="121">
        <f t="shared" ref="P21:P29" si="3">M21/O21</f>
        <v>0</v>
      </c>
    </row>
    <row r="22" spans="2:17" s="35" customFormat="1" ht="19.899999999999999" customHeight="1" x14ac:dyDescent="0.3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0</v>
      </c>
      <c r="H22" s="59">
        <f t="shared" si="1"/>
        <v>0</v>
      </c>
      <c r="I22" s="54">
        <f>ROUND(IF(D22&gt;0,G22/D22,0),2)</f>
        <v>0</v>
      </c>
      <c r="J22" s="125"/>
      <c r="K22" s="55">
        <f>ROUND(IF(D22&gt;0,H22/C22,(G22+H22)/C22),5)</f>
        <v>0</v>
      </c>
      <c r="L22" s="56"/>
      <c r="M22" s="59">
        <f t="shared" ref="M22:M27" si="4">(C22*K22)+(D22*I22)</f>
        <v>0</v>
      </c>
      <c r="N22" s="57">
        <f>M22-H22-G22</f>
        <v>0</v>
      </c>
      <c r="O22" s="120">
        <f>'12mos BA'!C71-'12mos BA'!C66</f>
        <v>71055286.290000007</v>
      </c>
      <c r="P22" s="121">
        <f t="shared" si="3"/>
        <v>0</v>
      </c>
    </row>
    <row r="23" spans="2:17" s="35" customFormat="1" ht="18.75" x14ac:dyDescent="0.3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0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0</v>
      </c>
      <c r="L23" s="60"/>
      <c r="M23" s="59">
        <f t="shared" si="4"/>
        <v>0</v>
      </c>
      <c r="N23" s="57">
        <f t="shared" ref="N23:N27" si="7">M23-H23-G23</f>
        <v>0</v>
      </c>
      <c r="O23" s="120">
        <f>'12mos BA'!C66</f>
        <v>142216.72</v>
      </c>
      <c r="P23" s="121">
        <f t="shared" si="3"/>
        <v>0</v>
      </c>
    </row>
    <row r="24" spans="2:17" s="35" customFormat="1" ht="22.5" x14ac:dyDescent="0.3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0</v>
      </c>
      <c r="H24" s="59">
        <f t="shared" si="1"/>
        <v>0</v>
      </c>
      <c r="I24" s="54">
        <f>ROUND(IF(D24&gt;0,G24/D24,0),2)-0.0008</f>
        <v>-8.0000000000000004E-4</v>
      </c>
      <c r="J24" s="125">
        <v>3</v>
      </c>
      <c r="K24" s="55">
        <f>ROUND(IF(D24&gt;0,H24/C24,(G24+H24)/C24),5)</f>
        <v>0</v>
      </c>
      <c r="L24" s="56"/>
      <c r="M24" s="59">
        <f t="shared" si="4"/>
        <v>-3081.239100688847</v>
      </c>
      <c r="N24" s="57">
        <f>M24-H24-G24</f>
        <v>-3081.239100688847</v>
      </c>
      <c r="O24" s="120">
        <f>'12mos BA'!C83</f>
        <v>188289639.19999999</v>
      </c>
      <c r="P24" s="121">
        <f t="shared" si="3"/>
        <v>-1.6364358197192015E-5</v>
      </c>
    </row>
    <row r="25" spans="2:17" s="35" customFormat="1" ht="18.75" x14ac:dyDescent="0.3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0</v>
      </c>
      <c r="H25" s="59">
        <f t="shared" si="1"/>
        <v>0</v>
      </c>
      <c r="I25" s="54">
        <f t="shared" si="2"/>
        <v>0</v>
      </c>
      <c r="J25" s="52"/>
      <c r="K25" s="55">
        <f t="shared" si="6"/>
        <v>0</v>
      </c>
      <c r="L25" s="60"/>
      <c r="M25" s="59">
        <f t="shared" si="4"/>
        <v>0</v>
      </c>
      <c r="N25" s="57">
        <f t="shared" si="7"/>
        <v>0</v>
      </c>
      <c r="O25" s="120">
        <f>'12mos BA'!C87</f>
        <v>250812.97</v>
      </c>
      <c r="P25" s="121">
        <f t="shared" si="3"/>
        <v>0</v>
      </c>
    </row>
    <row r="26" spans="2:17" s="35" customFormat="1" ht="18.75" x14ac:dyDescent="0.3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0</v>
      </c>
      <c r="H26" s="59">
        <f t="shared" si="1"/>
        <v>0</v>
      </c>
      <c r="I26" s="54">
        <f t="shared" si="2"/>
        <v>0</v>
      </c>
      <c r="J26" s="52"/>
      <c r="K26" s="55">
        <f t="shared" si="6"/>
        <v>0</v>
      </c>
      <c r="L26" s="60"/>
      <c r="M26" s="59">
        <f t="shared" si="4"/>
        <v>0</v>
      </c>
      <c r="N26" s="57">
        <f t="shared" si="7"/>
        <v>0</v>
      </c>
      <c r="O26" s="120">
        <f>'12mos BA'!C43</f>
        <v>9617965.8599999975</v>
      </c>
      <c r="P26" s="121">
        <f t="shared" si="3"/>
        <v>0</v>
      </c>
    </row>
    <row r="27" spans="2:17" s="35" customFormat="1" ht="18.75" x14ac:dyDescent="0.3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0</v>
      </c>
      <c r="H27" s="59">
        <f t="shared" si="1"/>
        <v>0</v>
      </c>
      <c r="I27" s="54">
        <f t="shared" si="2"/>
        <v>0</v>
      </c>
      <c r="J27" s="52"/>
      <c r="K27" s="55">
        <f t="shared" si="6"/>
        <v>0</v>
      </c>
      <c r="L27" s="60"/>
      <c r="M27" s="59">
        <f t="shared" si="4"/>
        <v>0</v>
      </c>
      <c r="N27" s="57">
        <f t="shared" si="7"/>
        <v>0</v>
      </c>
      <c r="O27" s="120">
        <f>'12mos BA'!C85</f>
        <v>1853212.09</v>
      </c>
      <c r="P27" s="121">
        <f t="shared" si="3"/>
        <v>0</v>
      </c>
    </row>
    <row r="28" spans="2:17" s="35" customFormat="1" ht="18.75" x14ac:dyDescent="0.3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.75" x14ac:dyDescent="0.3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0</v>
      </c>
      <c r="H29" s="65">
        <f>SUM(H20:H27)</f>
        <v>0</v>
      </c>
      <c r="I29" s="65"/>
      <c r="J29" s="65"/>
      <c r="K29" s="62"/>
      <c r="L29" s="62"/>
      <c r="M29" s="65">
        <f>SUM(M20:M27)</f>
        <v>-3081.239100688847</v>
      </c>
      <c r="N29" s="65">
        <f>SUM(N20:N27)</f>
        <v>-3081.239100688847</v>
      </c>
      <c r="O29" s="65">
        <f>SUM(O20:O27)</f>
        <v>690782983.19000006</v>
      </c>
      <c r="P29" s="122">
        <f t="shared" si="3"/>
        <v>-4.4605023222486521E-6</v>
      </c>
    </row>
    <row r="30" spans="2:17" s="34" customFormat="1" ht="15.75" x14ac:dyDescent="0.25">
      <c r="C30" s="66"/>
      <c r="D30" s="66"/>
      <c r="M30" s="67"/>
      <c r="N30" s="67"/>
    </row>
    <row r="31" spans="2:17" s="34" customFormat="1" ht="15.75" x14ac:dyDescent="0.25">
      <c r="M31" s="68"/>
    </row>
    <row r="32" spans="2:17" s="69" customFormat="1" ht="12.75" x14ac:dyDescent="0.2">
      <c r="N32" s="70"/>
    </row>
    <row r="33" spans="1:13" s="69" customFormat="1" ht="15.75" x14ac:dyDescent="0.2">
      <c r="A33" s="71"/>
      <c r="H33" s="72"/>
    </row>
    <row r="34" spans="1:13" s="69" customFormat="1" ht="15.75" x14ac:dyDescent="0.2">
      <c r="A34" s="73"/>
      <c r="B34" s="69" t="s">
        <v>170</v>
      </c>
      <c r="M34" s="74"/>
    </row>
    <row r="35" spans="1:13" s="34" customFormat="1" ht="15.75" x14ac:dyDescent="0.25">
      <c r="B35" s="69" t="s">
        <v>169</v>
      </c>
    </row>
    <row r="36" spans="1:13" s="34" customFormat="1" ht="15.75" x14ac:dyDescent="0.25">
      <c r="B36" s="69" t="s">
        <v>171</v>
      </c>
    </row>
    <row r="37" spans="1:13" s="34" customFormat="1" ht="15.75" x14ac:dyDescent="0.25"/>
    <row r="41" spans="1:13" x14ac:dyDescent="0.25">
      <c r="C41" s="75"/>
      <c r="D41" s="75"/>
    </row>
    <row r="43" spans="1:13" x14ac:dyDescent="0.25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showGridLines="0" topLeftCell="A3" zoomScale="80" zoomScaleNormal="80" workbookViewId="0">
      <selection activeCell="G10" sqref="G10"/>
    </sheetView>
  </sheetViews>
  <sheetFormatPr defaultColWidth="9.140625" defaultRowHeight="15" x14ac:dyDescent="0.25"/>
  <cols>
    <col min="1" max="1" width="2.5703125" style="31" customWidth="1"/>
    <col min="2" max="2" width="30.5703125" style="31" customWidth="1"/>
    <col min="3" max="3" width="23.28515625" style="31" customWidth="1"/>
    <col min="4" max="4" width="19.42578125" style="31" bestFit="1" customWidth="1"/>
    <col min="5" max="5" width="17.140625" style="31" bestFit="1" customWidth="1"/>
    <col min="6" max="6" width="16.85546875" style="31" customWidth="1"/>
    <col min="7" max="7" width="21.85546875" style="31" customWidth="1"/>
    <col min="8" max="8" width="20.42578125" style="31" bestFit="1" customWidth="1"/>
    <col min="9" max="9" width="18" style="31" bestFit="1" customWidth="1"/>
    <col min="10" max="10" width="2.28515625" style="31" customWidth="1"/>
    <col min="11" max="11" width="15.28515625" style="31" customWidth="1"/>
    <col min="12" max="12" width="2.5703125" style="31" bestFit="1" customWidth="1"/>
    <col min="13" max="13" width="22.85546875" style="31" bestFit="1" customWidth="1"/>
    <col min="14" max="14" width="18.28515625" style="31" customWidth="1"/>
    <col min="15" max="15" width="18.7109375" style="31" bestFit="1" customWidth="1"/>
    <col min="16" max="16" width="12.5703125" style="31" bestFit="1" customWidth="1"/>
    <col min="17" max="17" width="15.85546875" style="31" bestFit="1" customWidth="1"/>
    <col min="18" max="16384" width="9.140625" style="31"/>
  </cols>
  <sheetData>
    <row r="1" spans="2:17" ht="18.75" x14ac:dyDescent="0.3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8.75" x14ac:dyDescent="0.3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45" customHeight="1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" customHeight="1" x14ac:dyDescent="0.25">
      <c r="N4" s="33" t="s">
        <v>70</v>
      </c>
    </row>
    <row r="5" spans="2:17" s="34" customFormat="1" ht="15.75" x14ac:dyDescent="0.25"/>
    <row r="6" spans="2:17" s="34" customFormat="1" ht="16.5" thickBot="1" x14ac:dyDescent="0.3"/>
    <row r="7" spans="2:17" s="35" customFormat="1" ht="18.75" x14ac:dyDescent="0.3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.75" x14ac:dyDescent="0.3">
      <c r="E8" s="40" t="s">
        <v>36</v>
      </c>
      <c r="G8" s="41"/>
      <c r="H8" s="41"/>
      <c r="I8" s="41"/>
      <c r="J8" s="42"/>
    </row>
    <row r="9" spans="2:17" s="35" customFormat="1" ht="21" thickBot="1" x14ac:dyDescent="0.35">
      <c r="E9" s="43" t="s">
        <v>69</v>
      </c>
      <c r="F9" s="44"/>
      <c r="G9" s="45">
        <v>0</v>
      </c>
      <c r="H9" s="45">
        <v>0</v>
      </c>
      <c r="I9" s="45">
        <f>G9+H9</f>
        <v>0</v>
      </c>
      <c r="J9" s="46"/>
      <c r="K9" s="47"/>
    </row>
    <row r="10" spans="2:17" s="35" customFormat="1" ht="18.75" x14ac:dyDescent="0.3">
      <c r="F10" s="48"/>
      <c r="G10" s="48"/>
      <c r="H10" s="48"/>
    </row>
    <row r="11" spans="2:17" s="35" customFormat="1" ht="18.75" x14ac:dyDescent="0.3"/>
    <row r="12" spans="2:17" s="35" customFormat="1" ht="18.75" x14ac:dyDescent="0.3"/>
    <row r="13" spans="2:17" s="35" customFormat="1" ht="18.75" x14ac:dyDescent="0.3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.75" x14ac:dyDescent="0.3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.75" x14ac:dyDescent="0.3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.75" x14ac:dyDescent="0.3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2028</v>
      </c>
    </row>
    <row r="17" spans="2:17" s="35" customFormat="1" ht="18.75" x14ac:dyDescent="0.3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.75" x14ac:dyDescent="0.3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 x14ac:dyDescent="0.3"/>
    <row r="20" spans="2:17" s="35" customFormat="1" ht="22.5" customHeight="1" x14ac:dyDescent="0.3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0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0</v>
      </c>
      <c r="L20" s="56"/>
      <c r="M20" s="53">
        <f>(C20*K20)+(D20*I20)</f>
        <v>0</v>
      </c>
      <c r="N20" s="57">
        <f>M20-H20-G20</f>
        <v>0</v>
      </c>
      <c r="O20" s="120">
        <f>'12mos BA'!C16</f>
        <v>310878376.53999996</v>
      </c>
      <c r="P20" s="121">
        <f>M20/O20</f>
        <v>0</v>
      </c>
      <c r="Q20" s="58">
        <f>K20*'12mos BA'!H16</f>
        <v>0</v>
      </c>
    </row>
    <row r="21" spans="2:17" s="35" customFormat="1" ht="19.899999999999999" customHeight="1" x14ac:dyDescent="0.3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0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0</v>
      </c>
      <c r="L21" s="60"/>
      <c r="M21" s="59">
        <f>(C21*K21)+(D21*I21)</f>
        <v>0</v>
      </c>
      <c r="N21" s="57">
        <f>M21-H21-G21</f>
        <v>0</v>
      </c>
      <c r="O21" s="120">
        <f>'12mos BA'!C59</f>
        <v>108695473.52000001</v>
      </c>
      <c r="P21" s="121">
        <f t="shared" ref="P21:P29" si="3">M21/O21</f>
        <v>0</v>
      </c>
    </row>
    <row r="22" spans="2:17" s="35" customFormat="1" ht="19.899999999999999" customHeight="1" x14ac:dyDescent="0.3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0</v>
      </c>
      <c r="H22" s="59">
        <f t="shared" si="1"/>
        <v>0</v>
      </c>
      <c r="I22" s="54">
        <f>ROUND(IF(D22&gt;0,G22/D22,0),2)-0.003</f>
        <v>-3.0000000000000001E-3</v>
      </c>
      <c r="J22" s="125">
        <v>3</v>
      </c>
      <c r="K22" s="55">
        <f>ROUND(IF(D22&gt;0,H22/C22,(G22+H22)/C22),5)</f>
        <v>0</v>
      </c>
      <c r="L22" s="56"/>
      <c r="M22" s="59">
        <f t="shared" ref="M22:M27" si="4">(C22*K22)+(D22*I22)</f>
        <v>-4329.0429738872135</v>
      </c>
      <c r="N22" s="57">
        <f>M22-H22-G22</f>
        <v>-4329.0429738872135</v>
      </c>
      <c r="O22" s="120">
        <f>'12mos BA'!C71-'12mos BA'!C66</f>
        <v>71055286.290000007</v>
      </c>
      <c r="P22" s="121">
        <f t="shared" si="3"/>
        <v>-6.0924995168114088E-5</v>
      </c>
    </row>
    <row r="23" spans="2:17" s="35" customFormat="1" ht="18.75" x14ac:dyDescent="0.3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0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0</v>
      </c>
      <c r="L23" s="60"/>
      <c r="M23" s="59">
        <f t="shared" si="4"/>
        <v>0</v>
      </c>
      <c r="N23" s="57">
        <f t="shared" ref="N23:N27" si="7">M23-H23-G23</f>
        <v>0</v>
      </c>
      <c r="O23" s="120">
        <f>'12mos BA'!C66</f>
        <v>142216.72</v>
      </c>
      <c r="P23" s="121">
        <f t="shared" si="3"/>
        <v>0</v>
      </c>
    </row>
    <row r="24" spans="2:17" s="35" customFormat="1" ht="22.5" x14ac:dyDescent="0.3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0</v>
      </c>
      <c r="H24" s="59">
        <f t="shared" si="1"/>
        <v>0</v>
      </c>
      <c r="I24" s="54">
        <f>ROUND(IF(D24&gt;0,G24/D24,0),2)-0.003</f>
        <v>-3.0000000000000001E-3</v>
      </c>
      <c r="J24" s="125">
        <v>3</v>
      </c>
      <c r="K24" s="55">
        <f>ROUND(IF(D24&gt;0,H24/C24,(G24+H24)/C24),5)</f>
        <v>0</v>
      </c>
      <c r="L24" s="56"/>
      <c r="M24" s="59">
        <f t="shared" si="4"/>
        <v>-11554.646627583175</v>
      </c>
      <c r="N24" s="57">
        <f>M24-H24-G24</f>
        <v>-11554.646627583175</v>
      </c>
      <c r="O24" s="120">
        <f>'12mos BA'!C83</f>
        <v>188289639.19999999</v>
      </c>
      <c r="P24" s="121">
        <f t="shared" si="3"/>
        <v>-6.1366343239470058E-5</v>
      </c>
    </row>
    <row r="25" spans="2:17" s="35" customFormat="1" ht="18.75" x14ac:dyDescent="0.3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0</v>
      </c>
      <c r="H25" s="59">
        <f t="shared" si="1"/>
        <v>0</v>
      </c>
      <c r="I25" s="54">
        <f t="shared" si="2"/>
        <v>0</v>
      </c>
      <c r="J25" s="52"/>
      <c r="K25" s="55">
        <f t="shared" si="6"/>
        <v>0</v>
      </c>
      <c r="L25" s="60"/>
      <c r="M25" s="59">
        <f t="shared" si="4"/>
        <v>0</v>
      </c>
      <c r="N25" s="57">
        <f t="shared" si="7"/>
        <v>0</v>
      </c>
      <c r="O25" s="120">
        <f>'12mos BA'!C87</f>
        <v>250812.97</v>
      </c>
      <c r="P25" s="121">
        <f t="shared" si="3"/>
        <v>0</v>
      </c>
    </row>
    <row r="26" spans="2:17" s="35" customFormat="1" ht="18.75" x14ac:dyDescent="0.3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0</v>
      </c>
      <c r="H26" s="59">
        <f t="shared" si="1"/>
        <v>0</v>
      </c>
      <c r="I26" s="54">
        <f t="shared" si="2"/>
        <v>0</v>
      </c>
      <c r="J26" s="52"/>
      <c r="K26" s="55">
        <f t="shared" si="6"/>
        <v>0</v>
      </c>
      <c r="L26" s="60"/>
      <c r="M26" s="59">
        <f t="shared" si="4"/>
        <v>0</v>
      </c>
      <c r="N26" s="57">
        <f t="shared" si="7"/>
        <v>0</v>
      </c>
      <c r="O26" s="120">
        <f>'12mos BA'!C43</f>
        <v>9617965.8599999975</v>
      </c>
      <c r="P26" s="121">
        <f t="shared" si="3"/>
        <v>0</v>
      </c>
    </row>
    <row r="27" spans="2:17" s="35" customFormat="1" ht="18.75" x14ac:dyDescent="0.3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0</v>
      </c>
      <c r="H27" s="59">
        <f t="shared" si="1"/>
        <v>0</v>
      </c>
      <c r="I27" s="54">
        <f t="shared" si="2"/>
        <v>0</v>
      </c>
      <c r="J27" s="52"/>
      <c r="K27" s="55">
        <f t="shared" si="6"/>
        <v>0</v>
      </c>
      <c r="L27" s="60"/>
      <c r="M27" s="59">
        <f t="shared" si="4"/>
        <v>0</v>
      </c>
      <c r="N27" s="57">
        <f t="shared" si="7"/>
        <v>0</v>
      </c>
      <c r="O27" s="120">
        <f>'12mos BA'!C85</f>
        <v>1853212.09</v>
      </c>
      <c r="P27" s="121">
        <f t="shared" si="3"/>
        <v>0</v>
      </c>
    </row>
    <row r="28" spans="2:17" s="35" customFormat="1" ht="18.75" x14ac:dyDescent="0.3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.75" x14ac:dyDescent="0.3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0</v>
      </c>
      <c r="H29" s="65">
        <f>SUM(H20:H27)</f>
        <v>0</v>
      </c>
      <c r="I29" s="65"/>
      <c r="J29" s="65"/>
      <c r="K29" s="62"/>
      <c r="L29" s="62"/>
      <c r="M29" s="65">
        <f>SUM(M20:M27)</f>
        <v>-15883.689601470389</v>
      </c>
      <c r="N29" s="65">
        <f>SUM(N20:N27)</f>
        <v>-15883.689601470389</v>
      </c>
      <c r="O29" s="65">
        <f>SUM(O20:O27)</f>
        <v>690782983.19000006</v>
      </c>
      <c r="P29" s="122">
        <f t="shared" si="3"/>
        <v>-2.2993747657361699E-5</v>
      </c>
    </row>
    <row r="30" spans="2:17" s="34" customFormat="1" ht="15.75" x14ac:dyDescent="0.25">
      <c r="C30" s="66"/>
      <c r="D30" s="66"/>
      <c r="M30" s="67"/>
      <c r="N30" s="67"/>
    </row>
    <row r="31" spans="2:17" s="34" customFormat="1" ht="15.75" x14ac:dyDescent="0.25">
      <c r="M31" s="68"/>
    </row>
    <row r="32" spans="2:17" s="69" customFormat="1" ht="12.75" x14ac:dyDescent="0.2">
      <c r="N32" s="70"/>
    </row>
    <row r="33" spans="1:13" s="69" customFormat="1" ht="15.75" x14ac:dyDescent="0.2">
      <c r="A33" s="71"/>
      <c r="H33" s="72"/>
    </row>
    <row r="34" spans="1:13" s="69" customFormat="1" ht="15.75" x14ac:dyDescent="0.2">
      <c r="A34" s="73"/>
      <c r="B34" s="69" t="s">
        <v>170</v>
      </c>
      <c r="M34" s="74"/>
    </row>
    <row r="35" spans="1:13" s="34" customFormat="1" ht="15.75" x14ac:dyDescent="0.25">
      <c r="B35" s="69" t="s">
        <v>169</v>
      </c>
    </row>
    <row r="36" spans="1:13" s="34" customFormat="1" ht="15.75" x14ac:dyDescent="0.25">
      <c r="B36" s="69" t="s">
        <v>171</v>
      </c>
    </row>
    <row r="37" spans="1:13" s="34" customFormat="1" ht="15.75" x14ac:dyDescent="0.25"/>
    <row r="41" spans="1:13" x14ac:dyDescent="0.25">
      <c r="C41" s="75"/>
      <c r="D41" s="75"/>
    </row>
    <row r="43" spans="1:13" x14ac:dyDescent="0.25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3"/>
  <sheetViews>
    <sheetView showGridLines="0" zoomScale="70" zoomScaleNormal="70" workbookViewId="0">
      <selection activeCell="G10" sqref="G10"/>
    </sheetView>
  </sheetViews>
  <sheetFormatPr defaultColWidth="9.140625" defaultRowHeight="15" x14ac:dyDescent="0.25"/>
  <cols>
    <col min="1" max="1" width="2.5703125" style="31" customWidth="1"/>
    <col min="2" max="2" width="30.5703125" style="31" customWidth="1"/>
    <col min="3" max="3" width="23.28515625" style="31" customWidth="1"/>
    <col min="4" max="4" width="19.42578125" style="31" bestFit="1" customWidth="1"/>
    <col min="5" max="5" width="17.140625" style="31" bestFit="1" customWidth="1"/>
    <col min="6" max="6" width="16.85546875" style="31" customWidth="1"/>
    <col min="7" max="7" width="21.85546875" style="31" customWidth="1"/>
    <col min="8" max="8" width="20.42578125" style="31" bestFit="1" customWidth="1"/>
    <col min="9" max="9" width="18" style="31" bestFit="1" customWidth="1"/>
    <col min="10" max="10" width="3.140625" style="31" customWidth="1"/>
    <col min="11" max="11" width="15.28515625" style="31" customWidth="1"/>
    <col min="12" max="12" width="2.5703125" style="31" bestFit="1" customWidth="1"/>
    <col min="13" max="13" width="22.85546875" style="31" bestFit="1" customWidth="1"/>
    <col min="14" max="14" width="18.28515625" style="31" customWidth="1"/>
    <col min="15" max="15" width="18.7109375" style="31" bestFit="1" customWidth="1"/>
    <col min="16" max="16" width="12.5703125" style="31" bestFit="1" customWidth="1"/>
    <col min="17" max="17" width="15.85546875" style="31" bestFit="1" customWidth="1"/>
    <col min="18" max="16384" width="9.140625" style="31"/>
  </cols>
  <sheetData>
    <row r="1" spans="2:17" ht="18.75" x14ac:dyDescent="0.3">
      <c r="B1" s="126" t="s">
        <v>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7" ht="18.75" x14ac:dyDescent="0.3">
      <c r="B2" s="126" t="s">
        <v>71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7" ht="20.45" customHeight="1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32"/>
    </row>
    <row r="4" spans="2:17" ht="15.6" customHeight="1" x14ac:dyDescent="0.25">
      <c r="N4" s="33" t="s">
        <v>70</v>
      </c>
    </row>
    <row r="5" spans="2:17" s="34" customFormat="1" ht="15.75" x14ac:dyDescent="0.25"/>
    <row r="6" spans="2:17" s="34" customFormat="1" ht="16.5" thickBot="1" x14ac:dyDescent="0.3"/>
    <row r="7" spans="2:17" s="35" customFormat="1" ht="18.75" x14ac:dyDescent="0.3">
      <c r="E7" s="36"/>
      <c r="F7" s="37"/>
      <c r="G7" s="38" t="s">
        <v>33</v>
      </c>
      <c r="H7" s="38" t="s">
        <v>34</v>
      </c>
      <c r="I7" s="38" t="s">
        <v>35</v>
      </c>
      <c r="J7" s="39"/>
    </row>
    <row r="8" spans="2:17" s="35" customFormat="1" ht="18.75" x14ac:dyDescent="0.3">
      <c r="E8" s="40" t="s">
        <v>36</v>
      </c>
      <c r="G8" s="41"/>
      <c r="H8" s="41"/>
      <c r="I8" s="41"/>
      <c r="J8" s="42"/>
    </row>
    <row r="9" spans="2:17" s="35" customFormat="1" ht="21" thickBot="1" x14ac:dyDescent="0.35">
      <c r="E9" s="43" t="s">
        <v>69</v>
      </c>
      <c r="F9" s="44"/>
      <c r="G9" s="45">
        <v>11466710</v>
      </c>
      <c r="H9" s="45">
        <v>0</v>
      </c>
      <c r="I9" s="45">
        <f>G9+H9</f>
        <v>11466710</v>
      </c>
      <c r="J9" s="46"/>
      <c r="K9" s="47"/>
    </row>
    <row r="10" spans="2:17" s="35" customFormat="1" ht="18.75" x14ac:dyDescent="0.3">
      <c r="F10" s="48"/>
      <c r="G10" s="48"/>
      <c r="H10" s="48"/>
    </row>
    <row r="11" spans="2:17" s="35" customFormat="1" ht="18.75" x14ac:dyDescent="0.3"/>
    <row r="12" spans="2:17" s="35" customFormat="1" ht="18.75" x14ac:dyDescent="0.3"/>
    <row r="13" spans="2:17" s="35" customFormat="1" ht="18.75" x14ac:dyDescent="0.3">
      <c r="B13" s="49"/>
      <c r="E13" s="49"/>
      <c r="F13" s="49" t="s">
        <v>37</v>
      </c>
      <c r="G13" s="49" t="s">
        <v>38</v>
      </c>
      <c r="H13" s="49" t="s">
        <v>38</v>
      </c>
      <c r="K13" s="49"/>
      <c r="L13" s="49"/>
    </row>
    <row r="14" spans="2:17" s="35" customFormat="1" ht="18.75" x14ac:dyDescent="0.3">
      <c r="B14" s="49"/>
      <c r="C14" s="49"/>
      <c r="D14" s="49"/>
      <c r="E14" s="49" t="s">
        <v>39</v>
      </c>
      <c r="F14" s="49" t="s">
        <v>33</v>
      </c>
      <c r="G14" s="49" t="s">
        <v>33</v>
      </c>
      <c r="H14" s="49" t="s">
        <v>34</v>
      </c>
      <c r="K14" s="49"/>
      <c r="L14" s="49"/>
      <c r="Q14" s="49" t="s">
        <v>166</v>
      </c>
    </row>
    <row r="15" spans="2:17" s="35" customFormat="1" ht="18.75" x14ac:dyDescent="0.3">
      <c r="B15" s="49"/>
      <c r="C15" s="49" t="s">
        <v>40</v>
      </c>
      <c r="D15" s="49" t="s">
        <v>40</v>
      </c>
      <c r="E15" s="49" t="s">
        <v>41</v>
      </c>
      <c r="F15" s="49" t="s">
        <v>42</v>
      </c>
      <c r="G15" s="49" t="s">
        <v>43</v>
      </c>
      <c r="H15" s="49" t="s">
        <v>43</v>
      </c>
      <c r="I15" s="49" t="s">
        <v>44</v>
      </c>
      <c r="J15" s="49"/>
      <c r="K15" s="49" t="s">
        <v>45</v>
      </c>
      <c r="L15" s="49"/>
      <c r="M15" s="49" t="s">
        <v>46</v>
      </c>
      <c r="O15" s="49" t="s">
        <v>164</v>
      </c>
      <c r="Q15" s="35" t="s">
        <v>163</v>
      </c>
    </row>
    <row r="16" spans="2:17" s="35" customFormat="1" ht="18.75" x14ac:dyDescent="0.3">
      <c r="B16" s="41" t="s">
        <v>47</v>
      </c>
      <c r="C16" s="41" t="s">
        <v>167</v>
      </c>
      <c r="D16" s="41" t="s">
        <v>168</v>
      </c>
      <c r="E16" s="41" t="s">
        <v>48</v>
      </c>
      <c r="F16" s="41" t="s">
        <v>49</v>
      </c>
      <c r="G16" s="41" t="s">
        <v>50</v>
      </c>
      <c r="H16" s="41" t="s">
        <v>50</v>
      </c>
      <c r="I16" s="41" t="s">
        <v>51</v>
      </c>
      <c r="J16" s="41"/>
      <c r="K16" s="41" t="s">
        <v>51</v>
      </c>
      <c r="L16" s="41"/>
      <c r="M16" s="41" t="s">
        <v>52</v>
      </c>
      <c r="N16" s="41" t="s">
        <v>53</v>
      </c>
      <c r="O16" s="41" t="s">
        <v>165</v>
      </c>
      <c r="P16" s="41" t="s">
        <v>160</v>
      </c>
      <c r="Q16" s="41">
        <v>2029</v>
      </c>
    </row>
    <row r="17" spans="2:17" s="35" customFormat="1" ht="18.75" x14ac:dyDescent="0.3">
      <c r="B17" s="50">
        <v>-1</v>
      </c>
      <c r="C17" s="50">
        <v>-2</v>
      </c>
      <c r="D17" s="50">
        <v>-3</v>
      </c>
      <c r="E17" s="51">
        <v>-4</v>
      </c>
      <c r="F17" s="51" t="s">
        <v>54</v>
      </c>
      <c r="G17" s="50">
        <v>-6</v>
      </c>
      <c r="H17" s="50">
        <v>-7</v>
      </c>
      <c r="I17" s="51" t="s">
        <v>55</v>
      </c>
      <c r="J17" s="51"/>
      <c r="K17" s="51" t="s">
        <v>56</v>
      </c>
      <c r="L17" s="50"/>
      <c r="M17" s="50">
        <v>-10</v>
      </c>
      <c r="N17" s="51" t="s">
        <v>57</v>
      </c>
      <c r="O17" s="50">
        <v>-12</v>
      </c>
      <c r="P17" s="51" t="s">
        <v>161</v>
      </c>
    </row>
    <row r="18" spans="2:17" s="35" customFormat="1" ht="18.75" x14ac:dyDescent="0.3">
      <c r="C18" s="50"/>
      <c r="D18" s="50"/>
      <c r="E18" s="51"/>
      <c r="G18" s="50" t="s">
        <v>58</v>
      </c>
      <c r="H18" s="50" t="s">
        <v>59</v>
      </c>
      <c r="K18" s="50"/>
      <c r="L18" s="50"/>
      <c r="N18" s="51" t="s">
        <v>60</v>
      </c>
      <c r="P18" s="51" t="s">
        <v>162</v>
      </c>
    </row>
    <row r="19" spans="2:17" s="35" customFormat="1" ht="18" customHeight="1" x14ac:dyDescent="0.3"/>
    <row r="20" spans="2:17" s="35" customFormat="1" ht="22.5" customHeight="1" x14ac:dyDescent="0.3">
      <c r="B20" s="35" t="s">
        <v>61</v>
      </c>
      <c r="C20" s="123">
        <v>1889849938.5032814</v>
      </c>
      <c r="D20" s="123"/>
      <c r="E20" s="124">
        <v>2.2273507647450086E-4</v>
      </c>
      <c r="F20" s="52">
        <f>ROUND(C20*E20,0)</f>
        <v>420936</v>
      </c>
      <c r="G20" s="53">
        <f>ROUND(G$9*(F20/F$29),0)</f>
        <v>5536497</v>
      </c>
      <c r="H20" s="53">
        <f>ROUND(H$9*(C20/C$29),0)</f>
        <v>0</v>
      </c>
      <c r="I20" s="54">
        <f>ROUND(IF(D20&gt;0,G20/D20,0),2)</f>
        <v>0</v>
      </c>
      <c r="J20" s="52"/>
      <c r="K20" s="55">
        <f>ROUND(IF(D20&gt;0,H20/C20,(G20+H20)/C20),5)</f>
        <v>2.9299999999999999E-3</v>
      </c>
      <c r="L20" s="56"/>
      <c r="M20" s="53">
        <f>(C20*K20)+(D20*I20)</f>
        <v>5537260.319814614</v>
      </c>
      <c r="N20" s="57">
        <f>M20-H20-G20</f>
        <v>763.31981461402029</v>
      </c>
      <c r="O20" s="120">
        <f>'12mos BA'!C16</f>
        <v>310878376.53999996</v>
      </c>
      <c r="P20" s="121">
        <f>M20/O20</f>
        <v>1.7811661207971306E-2</v>
      </c>
      <c r="Q20" s="58">
        <f>K20*'12mos BA'!H16</f>
        <v>3.5335799999999997</v>
      </c>
    </row>
    <row r="21" spans="2:17" s="35" customFormat="1" ht="19.899999999999999" customHeight="1" x14ac:dyDescent="0.3">
      <c r="B21" s="35" t="s">
        <v>62</v>
      </c>
      <c r="C21" s="123">
        <v>616305296.54697454</v>
      </c>
      <c r="D21" s="123"/>
      <c r="E21" s="124">
        <v>1.7460551523618281E-4</v>
      </c>
      <c r="F21" s="52">
        <f>ROUND(C21*E21,0)</f>
        <v>107610</v>
      </c>
      <c r="G21" s="59">
        <f t="shared" ref="G21:G27" si="0">ROUND(G$9*(F21/F$29),0)</f>
        <v>1415375</v>
      </c>
      <c r="H21" s="59">
        <f t="shared" ref="H21:H27" si="1">ROUND(H$9*(C21/C$29),0)</f>
        <v>0</v>
      </c>
      <c r="I21" s="54">
        <f t="shared" ref="I21:I27" si="2">ROUND(IF(D21&gt;0,G21/D21,0),2)</f>
        <v>0</v>
      </c>
      <c r="J21" s="52"/>
      <c r="K21" s="55">
        <f>ROUND(IF(D21&gt;0,H21/C21,(G21+H21)/C21),5)</f>
        <v>2.3E-3</v>
      </c>
      <c r="L21" s="60"/>
      <c r="M21" s="59">
        <f>(C21*K21)+(D21*I21)</f>
        <v>1417502.1820580414</v>
      </c>
      <c r="N21" s="57">
        <f>M21-H21-G21</f>
        <v>2127.1820580414496</v>
      </c>
      <c r="O21" s="120">
        <f>'12mos BA'!C59</f>
        <v>108695473.52000001</v>
      </c>
      <c r="P21" s="121">
        <f t="shared" ref="P21:P29" si="3">M21/O21</f>
        <v>1.3041041509398462E-2</v>
      </c>
    </row>
    <row r="22" spans="2:17" s="35" customFormat="1" ht="19.899999999999999" customHeight="1" x14ac:dyDescent="0.3">
      <c r="B22" s="35" t="s">
        <v>63</v>
      </c>
      <c r="C22" s="123">
        <v>469816215.38408518</v>
      </c>
      <c r="D22" s="123">
        <v>1443014.3246290712</v>
      </c>
      <c r="E22" s="124">
        <v>1.515718152561873E-4</v>
      </c>
      <c r="F22" s="52">
        <f>ROUND(C22*E22,0)</f>
        <v>71211</v>
      </c>
      <c r="G22" s="59">
        <f t="shared" si="0"/>
        <v>936626</v>
      </c>
      <c r="H22" s="59">
        <f t="shared" si="1"/>
        <v>0</v>
      </c>
      <c r="I22" s="54">
        <f>ROUND(IF(D22&gt;0,G22/D22,0),2)-0.002</f>
        <v>0.64800000000000002</v>
      </c>
      <c r="J22" s="125">
        <v>3</v>
      </c>
      <c r="K22" s="55">
        <f>ROUND(IF(D22&gt;0,H22/C22,(G22+H22)/C22),5)</f>
        <v>0</v>
      </c>
      <c r="L22" s="56"/>
      <c r="M22" s="59">
        <f t="shared" ref="M22:M27" si="4">(C22*K22)+(D22*I22)</f>
        <v>935073.28235963813</v>
      </c>
      <c r="N22" s="57">
        <f>M22-H22-G22</f>
        <v>-1552.7176403618651</v>
      </c>
      <c r="O22" s="120">
        <f>'12mos BA'!C71-'12mos BA'!C66</f>
        <v>71055286.290000007</v>
      </c>
      <c r="P22" s="121">
        <f t="shared" si="3"/>
        <v>1.3159798956312642E-2</v>
      </c>
    </row>
    <row r="23" spans="2:17" s="35" customFormat="1" ht="18.75" x14ac:dyDescent="0.3">
      <c r="B23" s="35" t="s">
        <v>64</v>
      </c>
      <c r="C23" s="123">
        <v>878955.24659644801</v>
      </c>
      <c r="D23" s="123"/>
      <c r="E23" s="124">
        <f>E22</f>
        <v>1.515718152561873E-4</v>
      </c>
      <c r="F23" s="52">
        <f t="shared" ref="F23:F27" si="5">ROUND(C23*E23,0)</f>
        <v>133</v>
      </c>
      <c r="G23" s="59">
        <f t="shared" si="0"/>
        <v>1749</v>
      </c>
      <c r="H23" s="59">
        <f t="shared" si="1"/>
        <v>0</v>
      </c>
      <c r="I23" s="54">
        <f t="shared" si="2"/>
        <v>0</v>
      </c>
      <c r="J23" s="52"/>
      <c r="K23" s="55">
        <f t="shared" ref="K23:K27" si="6">ROUND(IF(D23&gt;0,H23/C23,(G23+H23)/C23),5)</f>
        <v>1.99E-3</v>
      </c>
      <c r="L23" s="60"/>
      <c r="M23" s="59">
        <f t="shared" si="4"/>
        <v>1749.1209407269316</v>
      </c>
      <c r="N23" s="57">
        <f t="shared" ref="N23:N27" si="7">M23-H23-G23</f>
        <v>0.12094072693162161</v>
      </c>
      <c r="O23" s="120">
        <f>'12mos BA'!C66</f>
        <v>142216.72</v>
      </c>
      <c r="P23" s="121">
        <f t="shared" si="3"/>
        <v>1.2298982431369052E-2</v>
      </c>
    </row>
    <row r="24" spans="2:17" s="35" customFormat="1" ht="22.5" x14ac:dyDescent="0.3">
      <c r="B24" s="35" t="s">
        <v>65</v>
      </c>
      <c r="C24" s="123">
        <v>2293390283.1014886</v>
      </c>
      <c r="D24" s="123">
        <v>3851548.8758610585</v>
      </c>
      <c r="E24" s="124">
        <v>1.1786538035569553E-4</v>
      </c>
      <c r="F24" s="52">
        <f t="shared" si="5"/>
        <v>270311</v>
      </c>
      <c r="G24" s="59">
        <f>ROUND(G$9*(F24/F$29),0)</f>
        <v>3555353</v>
      </c>
      <c r="H24" s="59">
        <f t="shared" si="1"/>
        <v>0</v>
      </c>
      <c r="I24" s="54">
        <f>ROUND(IF(D24&gt;0,G24/D24,0),2)-0.0011</f>
        <v>0.91890000000000005</v>
      </c>
      <c r="J24" s="125">
        <v>3</v>
      </c>
      <c r="K24" s="55">
        <f>ROUND(IF(D24&gt;0,H24/C24,(G24+H24)/C24),5)</f>
        <v>0</v>
      </c>
      <c r="L24" s="56"/>
      <c r="M24" s="59">
        <f t="shared" si="4"/>
        <v>3539188.2620287267</v>
      </c>
      <c r="N24" s="57">
        <f>M24-H24-G24</f>
        <v>-16164.737971273251</v>
      </c>
      <c r="O24" s="120">
        <f>'12mos BA'!C83</f>
        <v>188289639.19999999</v>
      </c>
      <c r="P24" s="121">
        <f t="shared" si="3"/>
        <v>1.879651093424968E-2</v>
      </c>
    </row>
    <row r="25" spans="2:17" s="35" customFormat="1" ht="18.75" x14ac:dyDescent="0.3">
      <c r="B25" s="35" t="s">
        <v>66</v>
      </c>
      <c r="C25" s="123">
        <v>1831693.9999999998</v>
      </c>
      <c r="D25" s="123"/>
      <c r="E25" s="124">
        <v>1.1468406256110247E-4</v>
      </c>
      <c r="F25" s="52">
        <f t="shared" si="5"/>
        <v>210</v>
      </c>
      <c r="G25" s="59">
        <f t="shared" si="0"/>
        <v>2762</v>
      </c>
      <c r="H25" s="59">
        <f t="shared" si="1"/>
        <v>0</v>
      </c>
      <c r="I25" s="54">
        <f t="shared" si="2"/>
        <v>0</v>
      </c>
      <c r="J25" s="52"/>
      <c r="K25" s="55">
        <f t="shared" si="6"/>
        <v>1.5100000000000001E-3</v>
      </c>
      <c r="L25" s="60"/>
      <c r="M25" s="59">
        <f t="shared" si="4"/>
        <v>2765.8579399999999</v>
      </c>
      <c r="N25" s="57">
        <f t="shared" si="7"/>
        <v>3.8579399999998714</v>
      </c>
      <c r="O25" s="120">
        <f>'12mos BA'!C87</f>
        <v>250812.97</v>
      </c>
      <c r="P25" s="121">
        <f t="shared" si="3"/>
        <v>1.1027571421047324E-2</v>
      </c>
    </row>
    <row r="26" spans="2:17" s="35" customFormat="1" ht="18.75" x14ac:dyDescent="0.3">
      <c r="B26" s="35" t="s">
        <v>67</v>
      </c>
      <c r="C26" s="123">
        <v>30809971.363413889</v>
      </c>
      <c r="D26" s="123"/>
      <c r="E26" s="124">
        <v>3.6138531509521358E-5</v>
      </c>
      <c r="F26" s="52">
        <f t="shared" si="5"/>
        <v>1113</v>
      </c>
      <c r="G26" s="59">
        <f t="shared" si="0"/>
        <v>14639</v>
      </c>
      <c r="H26" s="59">
        <f t="shared" si="1"/>
        <v>0</v>
      </c>
      <c r="I26" s="54">
        <f t="shared" si="2"/>
        <v>0</v>
      </c>
      <c r="J26" s="52"/>
      <c r="K26" s="55">
        <f t="shared" si="6"/>
        <v>4.8000000000000001E-4</v>
      </c>
      <c r="L26" s="60"/>
      <c r="M26" s="59">
        <f t="shared" si="4"/>
        <v>14788.786254438666</v>
      </c>
      <c r="N26" s="57">
        <f t="shared" si="7"/>
        <v>149.78625443866622</v>
      </c>
      <c r="O26" s="120">
        <f>'12mos BA'!C43</f>
        <v>9617965.8599999975</v>
      </c>
      <c r="P26" s="121">
        <f t="shared" si="3"/>
        <v>1.5376209969660539E-3</v>
      </c>
    </row>
    <row r="27" spans="2:17" s="35" customFormat="1" ht="18.75" x14ac:dyDescent="0.3">
      <c r="B27" s="35" t="s">
        <v>68</v>
      </c>
      <c r="C27" s="123">
        <v>7836986</v>
      </c>
      <c r="D27" s="123"/>
      <c r="E27" s="124">
        <v>3.5948185418088756E-5</v>
      </c>
      <c r="F27" s="52">
        <f t="shared" si="5"/>
        <v>282</v>
      </c>
      <c r="G27" s="59">
        <f t="shared" si="0"/>
        <v>3709</v>
      </c>
      <c r="H27" s="59">
        <f t="shared" si="1"/>
        <v>0</v>
      </c>
      <c r="I27" s="54">
        <f t="shared" si="2"/>
        <v>0</v>
      </c>
      <c r="J27" s="52"/>
      <c r="K27" s="55">
        <f t="shared" si="6"/>
        <v>4.6999999999999999E-4</v>
      </c>
      <c r="L27" s="60"/>
      <c r="M27" s="59">
        <f t="shared" si="4"/>
        <v>3683.3834200000001</v>
      </c>
      <c r="N27" s="57">
        <f t="shared" si="7"/>
        <v>-25.616579999999885</v>
      </c>
      <c r="O27" s="120">
        <f>'12mos BA'!C85</f>
        <v>1853212.09</v>
      </c>
      <c r="P27" s="121">
        <f t="shared" si="3"/>
        <v>1.9875671219045416E-3</v>
      </c>
    </row>
    <row r="28" spans="2:17" s="35" customFormat="1" ht="18.75" x14ac:dyDescent="0.3">
      <c r="C28" s="52"/>
      <c r="D28" s="52"/>
      <c r="E28" s="61"/>
      <c r="F28" s="52"/>
      <c r="G28" s="52"/>
      <c r="H28" s="52"/>
      <c r="I28" s="52"/>
      <c r="J28" s="52"/>
      <c r="M28" s="52"/>
      <c r="N28" s="52"/>
    </row>
    <row r="29" spans="2:17" s="35" customFormat="1" ht="18.75" x14ac:dyDescent="0.3">
      <c r="B29" s="62" t="s">
        <v>35</v>
      </c>
      <c r="C29" s="63">
        <f>SUM(C20:C27)</f>
        <v>5310719340.1458397</v>
      </c>
      <c r="D29" s="63">
        <f>SUM(D20:D27)</f>
        <v>5294563.2004901301</v>
      </c>
      <c r="E29" s="64"/>
      <c r="F29" s="63">
        <f>SUM(F20:F27)</f>
        <v>871806</v>
      </c>
      <c r="G29" s="65">
        <f>SUM(G20:G27)</f>
        <v>11466710</v>
      </c>
      <c r="H29" s="65">
        <f>SUM(H20:H27)</f>
        <v>0</v>
      </c>
      <c r="I29" s="65"/>
      <c r="J29" s="65"/>
      <c r="K29" s="62"/>
      <c r="L29" s="62"/>
      <c r="M29" s="65">
        <f>SUM(M20:M27)</f>
        <v>11452011.194816185</v>
      </c>
      <c r="N29" s="65">
        <f>SUM(N20:N27)</f>
        <v>-14698.805183814049</v>
      </c>
      <c r="O29" s="65">
        <f>SUM(O20:O27)</f>
        <v>690782983.19000006</v>
      </c>
      <c r="P29" s="122">
        <f t="shared" si="3"/>
        <v>1.6578305304990854E-2</v>
      </c>
    </row>
    <row r="30" spans="2:17" s="34" customFormat="1" ht="15.75" x14ac:dyDescent="0.25">
      <c r="C30" s="66"/>
      <c r="D30" s="66"/>
      <c r="M30" s="67"/>
      <c r="N30" s="67"/>
    </row>
    <row r="31" spans="2:17" s="34" customFormat="1" ht="15.75" x14ac:dyDescent="0.25">
      <c r="M31" s="68"/>
    </row>
    <row r="32" spans="2:17" s="69" customFormat="1" ht="12.75" x14ac:dyDescent="0.2">
      <c r="N32" s="70"/>
    </row>
    <row r="33" spans="1:13" s="69" customFormat="1" ht="15.75" x14ac:dyDescent="0.2">
      <c r="A33" s="71"/>
      <c r="H33" s="72"/>
    </row>
    <row r="34" spans="1:13" s="69" customFormat="1" ht="15.75" x14ac:dyDescent="0.2">
      <c r="A34" s="73"/>
      <c r="B34" s="69" t="s">
        <v>170</v>
      </c>
      <c r="M34" s="74"/>
    </row>
    <row r="35" spans="1:13" s="34" customFormat="1" ht="15.75" x14ac:dyDescent="0.25">
      <c r="B35" s="69" t="s">
        <v>169</v>
      </c>
    </row>
    <row r="36" spans="1:13" s="34" customFormat="1" ht="15.75" x14ac:dyDescent="0.25">
      <c r="B36" s="69" t="s">
        <v>171</v>
      </c>
    </row>
    <row r="37" spans="1:13" s="34" customFormat="1" ht="15.75" x14ac:dyDescent="0.25"/>
    <row r="41" spans="1:13" x14ac:dyDescent="0.25">
      <c r="C41" s="75"/>
      <c r="D41" s="75"/>
    </row>
    <row r="43" spans="1:13" x14ac:dyDescent="0.25">
      <c r="C43" s="76"/>
    </row>
  </sheetData>
  <mergeCells count="3">
    <mergeCell ref="B1:N1"/>
    <mergeCell ref="B2:N2"/>
    <mergeCell ref="B3:N3"/>
  </mergeCells>
  <printOptions horizontalCentered="1"/>
  <pageMargins left="0.7" right="0.7" top="0.75" bottom="0.75" header="0.3" footer="0.3"/>
  <pageSetup orientation="landscape" r:id="rId1"/>
  <headerFooter>
    <oddHeader>&amp;RCase No. 2026-00001
KPSC 1-11 Attachment 3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zoomScaleNormal="100" workbookViewId="0">
      <selection activeCell="C43" sqref="C43"/>
    </sheetView>
  </sheetViews>
  <sheetFormatPr defaultColWidth="9.140625" defaultRowHeight="12.75" x14ac:dyDescent="0.2"/>
  <cols>
    <col min="1" max="1" width="6.140625" style="78" bestFit="1" customWidth="1"/>
    <col min="2" max="2" width="18.140625" style="78" bestFit="1" customWidth="1"/>
    <col min="3" max="3" width="15.7109375" style="78" customWidth="1"/>
    <col min="4" max="4" width="16.42578125" style="78" bestFit="1" customWidth="1"/>
    <col min="5" max="5" width="12.85546875" style="78" bestFit="1" customWidth="1"/>
    <col min="6" max="6" width="11.28515625" style="78" customWidth="1"/>
    <col min="7" max="7" width="5" style="78" customWidth="1"/>
    <col min="8" max="8" width="10.28515625" style="78" bestFit="1" customWidth="1"/>
    <col min="9" max="9" width="12.42578125" style="78" bestFit="1" customWidth="1"/>
    <col min="10" max="10" width="9.140625" style="78"/>
    <col min="11" max="11" width="12.5703125" style="78" bestFit="1" customWidth="1"/>
    <col min="12" max="16384" width="9.140625" style="78"/>
  </cols>
  <sheetData>
    <row r="1" spans="1:13" s="77" customFormat="1" x14ac:dyDescent="0.2">
      <c r="A1" s="77" t="s">
        <v>72</v>
      </c>
      <c r="K1" s="78"/>
    </row>
    <row r="2" spans="1:13" x14ac:dyDescent="0.2">
      <c r="C2" s="79"/>
      <c r="D2" s="80"/>
      <c r="E2" s="79"/>
      <c r="F2" s="79"/>
      <c r="G2" s="79"/>
    </row>
    <row r="3" spans="1:13" s="83" customFormat="1" ht="25.5" x14ac:dyDescent="0.2">
      <c r="A3" s="81" t="s">
        <v>73</v>
      </c>
      <c r="B3" s="81" t="s">
        <v>73</v>
      </c>
      <c r="C3" s="82" t="s">
        <v>46</v>
      </c>
      <c r="D3" s="82" t="s">
        <v>74</v>
      </c>
      <c r="E3" s="82" t="s">
        <v>75</v>
      </c>
      <c r="F3" s="82" t="s">
        <v>76</v>
      </c>
      <c r="H3" s="83" t="s">
        <v>77</v>
      </c>
      <c r="I3" s="83" t="s">
        <v>78</v>
      </c>
      <c r="J3" s="83" t="s">
        <v>79</v>
      </c>
      <c r="L3" s="83" t="s">
        <v>80</v>
      </c>
    </row>
    <row r="4" spans="1:13" x14ac:dyDescent="0.2">
      <c r="A4" s="78">
        <v>11</v>
      </c>
      <c r="B4" s="78" t="s">
        <v>81</v>
      </c>
      <c r="C4" s="84">
        <v>341306.35</v>
      </c>
      <c r="D4" s="85">
        <v>2262189</v>
      </c>
      <c r="E4" s="86">
        <v>0</v>
      </c>
      <c r="F4" s="85">
        <v>136.416666666667</v>
      </c>
      <c r="K4" s="87"/>
      <c r="L4" s="78">
        <v>11</v>
      </c>
      <c r="M4" s="78" t="str">
        <f>IF(L4=A4,"Yes","No")</f>
        <v>Yes</v>
      </c>
    </row>
    <row r="5" spans="1:13" x14ac:dyDescent="0.2">
      <c r="A5" s="78">
        <v>12</v>
      </c>
      <c r="B5" s="78" t="s">
        <v>82</v>
      </c>
      <c r="C5" s="84">
        <v>28891.65</v>
      </c>
      <c r="D5" s="85">
        <v>197428</v>
      </c>
      <c r="E5" s="86">
        <v>0</v>
      </c>
      <c r="F5" s="85">
        <v>10</v>
      </c>
      <c r="K5" s="87"/>
      <c r="L5" s="78">
        <v>12</v>
      </c>
      <c r="M5" s="78" t="str">
        <f t="shared" ref="M5:M68" si="0">IF(L5=A5,"Yes","No")</f>
        <v>Yes</v>
      </c>
    </row>
    <row r="6" spans="1:13" x14ac:dyDescent="0.2">
      <c r="A6" s="78">
        <v>13</v>
      </c>
      <c r="B6" s="78" t="s">
        <v>83</v>
      </c>
      <c r="C6" s="84">
        <v>2856.75</v>
      </c>
      <c r="D6" s="85">
        <v>19607</v>
      </c>
      <c r="E6" s="86">
        <v>0</v>
      </c>
      <c r="F6" s="85">
        <v>1</v>
      </c>
      <c r="K6" s="87"/>
      <c r="L6" s="78">
        <v>13</v>
      </c>
      <c r="M6" s="78" t="str">
        <f t="shared" si="0"/>
        <v>Yes</v>
      </c>
    </row>
    <row r="7" spans="1:13" x14ac:dyDescent="0.2">
      <c r="A7" s="78">
        <v>14</v>
      </c>
      <c r="B7" s="78" t="s">
        <v>84</v>
      </c>
      <c r="C7" s="84">
        <v>32421.37</v>
      </c>
      <c r="D7" s="85">
        <v>222724</v>
      </c>
      <c r="E7" s="86">
        <v>0</v>
      </c>
      <c r="F7" s="85">
        <v>13</v>
      </c>
      <c r="K7" s="87"/>
      <c r="L7" s="78">
        <v>14</v>
      </c>
      <c r="M7" s="78" t="str">
        <f t="shared" si="0"/>
        <v>Yes</v>
      </c>
    </row>
    <row r="8" spans="1:13" x14ac:dyDescent="0.2">
      <c r="A8" s="78">
        <v>15</v>
      </c>
      <c r="B8" s="78" t="s">
        <v>85</v>
      </c>
      <c r="C8" s="84">
        <v>148954129.63999999</v>
      </c>
      <c r="D8" s="85">
        <v>895383171</v>
      </c>
      <c r="E8" s="86">
        <v>10863.5</v>
      </c>
      <c r="F8" s="85">
        <v>65985</v>
      </c>
      <c r="K8" s="87"/>
      <c r="L8" s="78">
        <v>15</v>
      </c>
      <c r="M8" s="78" t="str">
        <f t="shared" si="0"/>
        <v>Yes</v>
      </c>
    </row>
    <row r="9" spans="1:13" x14ac:dyDescent="0.2">
      <c r="A9" s="78">
        <v>17</v>
      </c>
      <c r="B9" s="78" t="s">
        <v>86</v>
      </c>
      <c r="C9" s="84">
        <v>645359.26</v>
      </c>
      <c r="D9" s="85">
        <v>3994320</v>
      </c>
      <c r="E9" s="86">
        <v>0</v>
      </c>
      <c r="F9" s="85">
        <v>225.583333333333</v>
      </c>
      <c r="K9" s="87"/>
      <c r="L9" s="78">
        <v>17</v>
      </c>
      <c r="M9" s="78" t="str">
        <f t="shared" si="0"/>
        <v>Yes</v>
      </c>
    </row>
    <row r="10" spans="1:13" x14ac:dyDescent="0.2">
      <c r="A10" s="78">
        <v>22</v>
      </c>
      <c r="B10" s="78" t="s">
        <v>87</v>
      </c>
      <c r="C10" s="84">
        <v>160397550.36000001</v>
      </c>
      <c r="D10" s="85">
        <v>980223703</v>
      </c>
      <c r="E10" s="86">
        <v>19164.400000000001</v>
      </c>
      <c r="F10" s="85">
        <v>63798.666666666701</v>
      </c>
      <c r="K10" s="87"/>
      <c r="L10" s="78">
        <v>22</v>
      </c>
      <c r="M10" s="78" t="str">
        <f t="shared" si="0"/>
        <v>Yes</v>
      </c>
    </row>
    <row r="11" spans="1:13" x14ac:dyDescent="0.2">
      <c r="A11" s="78">
        <v>28</v>
      </c>
      <c r="B11" s="78" t="s">
        <v>88</v>
      </c>
      <c r="C11" s="84">
        <v>20086.61</v>
      </c>
      <c r="D11" s="85">
        <v>131408</v>
      </c>
      <c r="E11" s="86">
        <v>0</v>
      </c>
      <c r="F11" s="85">
        <v>6</v>
      </c>
      <c r="K11" s="87"/>
      <c r="L11" s="78">
        <v>28</v>
      </c>
      <c r="M11" s="78" t="str">
        <f t="shared" si="0"/>
        <v>Yes</v>
      </c>
    </row>
    <row r="12" spans="1:13" x14ac:dyDescent="0.2">
      <c r="A12" s="78">
        <v>30</v>
      </c>
      <c r="B12" s="78" t="s">
        <v>89</v>
      </c>
      <c r="C12" s="84">
        <v>210011.94</v>
      </c>
      <c r="D12" s="85">
        <v>1335765</v>
      </c>
      <c r="E12" s="86">
        <v>0</v>
      </c>
      <c r="F12" s="85">
        <v>61</v>
      </c>
      <c r="K12" s="87"/>
      <c r="L12" s="78">
        <v>30</v>
      </c>
      <c r="M12" s="78" t="str">
        <f t="shared" si="0"/>
        <v>Yes</v>
      </c>
    </row>
    <row r="13" spans="1:13" x14ac:dyDescent="0.2">
      <c r="A13" s="78">
        <v>32</v>
      </c>
      <c r="B13" s="78" t="s">
        <v>90</v>
      </c>
      <c r="C13" s="84">
        <v>213201.39</v>
      </c>
      <c r="D13" s="85">
        <v>1334753</v>
      </c>
      <c r="E13" s="86">
        <v>0</v>
      </c>
      <c r="F13" s="85">
        <v>69.583333333333002</v>
      </c>
      <c r="K13" s="87"/>
      <c r="L13" s="78">
        <v>32</v>
      </c>
      <c r="M13" s="78" t="str">
        <f t="shared" si="0"/>
        <v>Yes</v>
      </c>
    </row>
    <row r="14" spans="1:13" x14ac:dyDescent="0.2">
      <c r="A14" s="78">
        <v>34</v>
      </c>
      <c r="B14" s="78" t="s">
        <v>91</v>
      </c>
      <c r="C14" s="84">
        <v>2058.69</v>
      </c>
      <c r="D14" s="78">
        <v>13348</v>
      </c>
      <c r="E14" s="86">
        <v>0</v>
      </c>
      <c r="F14" s="85">
        <v>2</v>
      </c>
      <c r="K14" s="87"/>
      <c r="L14" s="78">
        <v>34</v>
      </c>
      <c r="M14" s="78" t="str">
        <f t="shared" si="0"/>
        <v>Yes</v>
      </c>
    </row>
    <row r="15" spans="1:13" x14ac:dyDescent="0.2">
      <c r="A15" s="78">
        <v>36</v>
      </c>
      <c r="B15" s="78" t="s">
        <v>92</v>
      </c>
      <c r="C15" s="84">
        <v>30502.53</v>
      </c>
      <c r="D15" s="85">
        <v>192299</v>
      </c>
      <c r="E15" s="86">
        <v>0</v>
      </c>
      <c r="F15" s="85">
        <v>8</v>
      </c>
      <c r="L15" s="78">
        <v>36</v>
      </c>
      <c r="M15" s="78" t="str">
        <f t="shared" si="0"/>
        <v>Yes</v>
      </c>
    </row>
    <row r="16" spans="1:13" x14ac:dyDescent="0.2">
      <c r="A16" s="88"/>
      <c r="B16" s="88" t="s">
        <v>93</v>
      </c>
      <c r="C16" s="89">
        <f>SUM(C4:C15)</f>
        <v>310878376.53999996</v>
      </c>
      <c r="D16" s="89">
        <f>SUM(D4:D15)</f>
        <v>1885310715</v>
      </c>
      <c r="E16" s="89">
        <f>SUM(E4:E15)</f>
        <v>30027.9</v>
      </c>
      <c r="F16" s="90">
        <f>SUM(F4:F15)</f>
        <v>130316.25000000003</v>
      </c>
      <c r="G16" s="88"/>
      <c r="H16" s="90">
        <f>ROUND((D16/F16)/12,0)</f>
        <v>1206</v>
      </c>
      <c r="I16" s="91">
        <f>(C16/F16)/12</f>
        <v>198.79739770238419</v>
      </c>
      <c r="J16" s="92">
        <f>(E16/F16)/12</f>
        <v>1.9201941430942032E-2</v>
      </c>
      <c r="K16" s="87"/>
    </row>
    <row r="17" spans="1:13" x14ac:dyDescent="0.2">
      <c r="A17" s="78">
        <v>93</v>
      </c>
      <c r="B17" s="78" t="s">
        <v>94</v>
      </c>
      <c r="C17" s="93">
        <v>65996.7</v>
      </c>
      <c r="D17" s="85">
        <v>271508</v>
      </c>
      <c r="E17" s="86">
        <v>0</v>
      </c>
      <c r="F17" s="85">
        <v>305.41666666666703</v>
      </c>
      <c r="L17" s="78">
        <v>93</v>
      </c>
      <c r="M17" s="78" t="str">
        <f t="shared" si="0"/>
        <v>Yes</v>
      </c>
    </row>
    <row r="18" spans="1:13" x14ac:dyDescent="0.2">
      <c r="A18" s="78">
        <v>94</v>
      </c>
      <c r="B18" s="78" t="s">
        <v>95</v>
      </c>
      <c r="C18" s="93">
        <v>1617957.84</v>
      </c>
      <c r="D18" s="85">
        <v>4944834</v>
      </c>
      <c r="E18" s="86">
        <v>0</v>
      </c>
      <c r="F18" s="85">
        <v>9917.9166666666697</v>
      </c>
      <c r="L18" s="78">
        <v>94</v>
      </c>
      <c r="M18" s="78" t="str">
        <f t="shared" si="0"/>
        <v>Yes</v>
      </c>
    </row>
    <row r="19" spans="1:13" x14ac:dyDescent="0.2">
      <c r="A19" s="78">
        <v>95</v>
      </c>
      <c r="B19" s="78" t="s">
        <v>96</v>
      </c>
      <c r="C19" s="93">
        <v>21352.78</v>
      </c>
      <c r="D19" s="85">
        <v>104977</v>
      </c>
      <c r="E19" s="86">
        <v>0</v>
      </c>
      <c r="F19" s="85">
        <v>42.666666666666003</v>
      </c>
      <c r="L19" s="78">
        <v>95</v>
      </c>
      <c r="M19" s="78" t="str">
        <f t="shared" si="0"/>
        <v>Yes</v>
      </c>
    </row>
    <row r="20" spans="1:13" x14ac:dyDescent="0.2">
      <c r="A20" s="78">
        <v>97</v>
      </c>
      <c r="B20" s="78" t="s">
        <v>97</v>
      </c>
      <c r="C20" s="93">
        <v>296043.06</v>
      </c>
      <c r="D20" s="85">
        <v>1247592</v>
      </c>
      <c r="E20" s="86">
        <v>0</v>
      </c>
      <c r="F20" s="85">
        <v>959.66666666666697</v>
      </c>
      <c r="L20" s="78">
        <v>97</v>
      </c>
      <c r="M20" s="78" t="str">
        <f t="shared" si="0"/>
        <v>Yes</v>
      </c>
    </row>
    <row r="21" spans="1:13" x14ac:dyDescent="0.2">
      <c r="A21" s="78">
        <v>98</v>
      </c>
      <c r="B21" s="78" t="s">
        <v>98</v>
      </c>
      <c r="C21" s="93">
        <v>85869.49</v>
      </c>
      <c r="D21" s="85">
        <v>423746</v>
      </c>
      <c r="E21" s="86">
        <v>0</v>
      </c>
      <c r="F21" s="85">
        <v>85</v>
      </c>
      <c r="L21" s="78">
        <v>98</v>
      </c>
      <c r="M21" s="78" t="str">
        <f t="shared" si="0"/>
        <v>Yes</v>
      </c>
    </row>
    <row r="22" spans="1:13" x14ac:dyDescent="0.2">
      <c r="A22" s="78">
        <v>99</v>
      </c>
      <c r="B22" s="78" t="s">
        <v>99</v>
      </c>
      <c r="C22" s="93">
        <v>1184.32</v>
      </c>
      <c r="D22" s="78">
        <v>4283</v>
      </c>
      <c r="E22" s="86">
        <v>0</v>
      </c>
      <c r="F22" s="85">
        <v>3</v>
      </c>
      <c r="L22" s="78">
        <v>99</v>
      </c>
      <c r="M22" s="78" t="str">
        <f t="shared" si="0"/>
        <v>Yes</v>
      </c>
    </row>
    <row r="23" spans="1:13" x14ac:dyDescent="0.2">
      <c r="A23" s="78">
        <v>103</v>
      </c>
      <c r="B23" s="94" t="s">
        <v>100</v>
      </c>
      <c r="C23" s="93">
        <v>963.49</v>
      </c>
      <c r="D23" s="78">
        <v>3661</v>
      </c>
      <c r="E23" s="86">
        <v>0</v>
      </c>
      <c r="F23" s="85">
        <v>2</v>
      </c>
      <c r="L23" s="78">
        <v>103</v>
      </c>
      <c r="M23" s="78" t="str">
        <f t="shared" si="0"/>
        <v>Yes</v>
      </c>
    </row>
    <row r="24" spans="1:13" x14ac:dyDescent="0.2">
      <c r="A24" s="78">
        <v>107</v>
      </c>
      <c r="B24" s="78" t="s">
        <v>101</v>
      </c>
      <c r="C24" s="93">
        <v>354894.85</v>
      </c>
      <c r="D24" s="85">
        <v>1332167</v>
      </c>
      <c r="E24" s="86">
        <v>0</v>
      </c>
      <c r="F24" s="85">
        <v>963.91666666666697</v>
      </c>
      <c r="L24" s="78">
        <v>107</v>
      </c>
      <c r="M24" s="78" t="str">
        <f t="shared" si="0"/>
        <v>Yes</v>
      </c>
    </row>
    <row r="25" spans="1:13" x14ac:dyDescent="0.2">
      <c r="A25" s="78">
        <v>109</v>
      </c>
      <c r="B25" s="78" t="s">
        <v>102</v>
      </c>
      <c r="C25" s="93">
        <v>1260494.18</v>
      </c>
      <c r="D25" s="85">
        <v>6045928</v>
      </c>
      <c r="E25" s="86">
        <v>0</v>
      </c>
      <c r="F25" s="85">
        <v>1354.9166666666699</v>
      </c>
      <c r="L25" s="78">
        <v>109</v>
      </c>
      <c r="M25" s="78" t="str">
        <f t="shared" si="0"/>
        <v>Yes</v>
      </c>
    </row>
    <row r="26" spans="1:13" x14ac:dyDescent="0.2">
      <c r="A26" s="78">
        <v>110</v>
      </c>
      <c r="B26" s="78" t="s">
        <v>103</v>
      </c>
      <c r="C26" s="93">
        <v>30251.42</v>
      </c>
      <c r="D26" s="85">
        <v>107156</v>
      </c>
      <c r="E26" s="86">
        <v>0</v>
      </c>
      <c r="F26" s="85">
        <v>51.666666666666003</v>
      </c>
      <c r="L26" s="78">
        <v>110</v>
      </c>
      <c r="M26" s="78" t="str">
        <f t="shared" si="0"/>
        <v>Yes</v>
      </c>
    </row>
    <row r="27" spans="1:13" x14ac:dyDescent="0.2">
      <c r="A27" s="78">
        <v>111</v>
      </c>
      <c r="B27" s="78" t="s">
        <v>104</v>
      </c>
      <c r="C27" s="93">
        <v>170628.81</v>
      </c>
      <c r="D27" s="85">
        <v>303134</v>
      </c>
      <c r="E27" s="86">
        <v>0</v>
      </c>
      <c r="F27" s="85">
        <v>187.833333333333</v>
      </c>
      <c r="L27" s="78">
        <v>111</v>
      </c>
      <c r="M27" s="78" t="str">
        <f t="shared" si="0"/>
        <v>Yes</v>
      </c>
    </row>
    <row r="28" spans="1:13" x14ac:dyDescent="0.2">
      <c r="A28" s="78">
        <v>113</v>
      </c>
      <c r="B28" s="78" t="s">
        <v>105</v>
      </c>
      <c r="C28" s="93">
        <v>1732980.83</v>
      </c>
      <c r="D28" s="85">
        <v>6301004</v>
      </c>
      <c r="E28" s="86">
        <v>0</v>
      </c>
      <c r="F28" s="85">
        <v>8428.3333333333303</v>
      </c>
      <c r="L28" s="78">
        <v>113</v>
      </c>
      <c r="M28" s="78" t="str">
        <f t="shared" si="0"/>
        <v>Yes</v>
      </c>
    </row>
    <row r="29" spans="1:13" x14ac:dyDescent="0.2">
      <c r="A29" s="78">
        <v>116</v>
      </c>
      <c r="B29" s="78" t="s">
        <v>106</v>
      </c>
      <c r="C29" s="93">
        <v>273434.02</v>
      </c>
      <c r="D29" s="85">
        <v>1207778</v>
      </c>
      <c r="E29" s="86">
        <v>0</v>
      </c>
      <c r="F29" s="85">
        <v>238.25</v>
      </c>
      <c r="L29" s="78">
        <v>116</v>
      </c>
      <c r="M29" s="78" t="str">
        <f t="shared" si="0"/>
        <v>Yes</v>
      </c>
    </row>
    <row r="30" spans="1:13" x14ac:dyDescent="0.2">
      <c r="A30" s="78">
        <v>120</v>
      </c>
      <c r="B30" s="78" t="s">
        <v>107</v>
      </c>
      <c r="C30" s="93">
        <v>500.6</v>
      </c>
      <c r="D30" s="78">
        <v>1205</v>
      </c>
      <c r="E30" s="86">
        <v>0</v>
      </c>
      <c r="F30" s="85">
        <v>1</v>
      </c>
      <c r="L30" s="78">
        <v>120</v>
      </c>
      <c r="M30" s="78" t="str">
        <f t="shared" si="0"/>
        <v>Yes</v>
      </c>
    </row>
    <row r="31" spans="1:13" x14ac:dyDescent="0.2">
      <c r="A31" s="78">
        <v>122</v>
      </c>
      <c r="B31" s="78" t="s">
        <v>108</v>
      </c>
      <c r="C31" s="93">
        <v>26601.3</v>
      </c>
      <c r="D31" s="85">
        <v>43496</v>
      </c>
      <c r="E31" s="86">
        <v>0</v>
      </c>
      <c r="F31" s="85">
        <v>13</v>
      </c>
      <c r="L31" s="78">
        <v>122</v>
      </c>
      <c r="M31" s="78" t="str">
        <f t="shared" si="0"/>
        <v>Yes</v>
      </c>
    </row>
    <row r="32" spans="1:13" x14ac:dyDescent="0.2">
      <c r="A32" s="78">
        <v>126</v>
      </c>
      <c r="B32" s="78" t="s">
        <v>109</v>
      </c>
      <c r="C32" s="93">
        <v>666.9</v>
      </c>
      <c r="D32" s="85">
        <v>1998</v>
      </c>
      <c r="E32" s="86">
        <v>0</v>
      </c>
      <c r="F32" s="85">
        <v>1</v>
      </c>
      <c r="L32" s="78">
        <v>126</v>
      </c>
      <c r="M32" s="78" t="str">
        <f t="shared" si="0"/>
        <v>Yes</v>
      </c>
    </row>
    <row r="33" spans="1:13" x14ac:dyDescent="0.2">
      <c r="A33" s="78">
        <v>130</v>
      </c>
      <c r="B33" s="94" t="s">
        <v>110</v>
      </c>
      <c r="C33" s="93">
        <v>8791.1299999999992</v>
      </c>
      <c r="D33" s="85">
        <v>26666</v>
      </c>
      <c r="E33" s="86">
        <v>0</v>
      </c>
      <c r="F33" s="85">
        <v>22.833333333333002</v>
      </c>
      <c r="L33" s="78">
        <v>130</v>
      </c>
      <c r="M33" s="78" t="str">
        <f t="shared" si="0"/>
        <v>Yes</v>
      </c>
    </row>
    <row r="34" spans="1:13" x14ac:dyDescent="0.2">
      <c r="A34" s="78">
        <v>131</v>
      </c>
      <c r="B34" s="78" t="s">
        <v>111</v>
      </c>
      <c r="C34" s="93">
        <v>40334.269999999997</v>
      </c>
      <c r="D34" s="85">
        <v>225267</v>
      </c>
      <c r="E34" s="86">
        <v>0</v>
      </c>
      <c r="F34" s="85">
        <v>30.666666666666</v>
      </c>
      <c r="L34" s="78">
        <v>131</v>
      </c>
      <c r="M34" s="78" t="str">
        <f t="shared" si="0"/>
        <v>Yes</v>
      </c>
    </row>
    <row r="35" spans="1:13" x14ac:dyDescent="0.2">
      <c r="A35" s="78">
        <v>136</v>
      </c>
      <c r="B35" s="78" t="s">
        <v>112</v>
      </c>
      <c r="C35" s="93">
        <v>1470.34</v>
      </c>
      <c r="D35" s="85">
        <v>5672</v>
      </c>
      <c r="E35" s="86">
        <v>0</v>
      </c>
      <c r="F35" s="85">
        <v>3</v>
      </c>
      <c r="L35" s="78">
        <v>136</v>
      </c>
      <c r="M35" s="78" t="str">
        <f t="shared" si="0"/>
        <v>Yes</v>
      </c>
    </row>
    <row r="36" spans="1:13" x14ac:dyDescent="0.2">
      <c r="A36" s="78">
        <v>150</v>
      </c>
      <c r="B36" s="93" t="s">
        <v>113</v>
      </c>
      <c r="C36" s="93">
        <v>2925347.74</v>
      </c>
      <c r="D36" s="85">
        <v>6855351</v>
      </c>
      <c r="E36" s="86">
        <v>0</v>
      </c>
      <c r="F36" s="85">
        <v>22639.666666666701</v>
      </c>
      <c r="L36" s="78">
        <v>150</v>
      </c>
      <c r="M36" s="78" t="str">
        <f t="shared" si="0"/>
        <v>Yes</v>
      </c>
    </row>
    <row r="37" spans="1:13" x14ac:dyDescent="0.2">
      <c r="A37" s="78">
        <v>151</v>
      </c>
      <c r="B37" s="93" t="s">
        <v>114</v>
      </c>
      <c r="C37" s="93">
        <v>1006.99</v>
      </c>
      <c r="D37" s="85">
        <v>3264</v>
      </c>
      <c r="E37" s="86">
        <v>0</v>
      </c>
      <c r="F37" s="85">
        <v>7.1666666666659999</v>
      </c>
      <c r="L37" s="78">
        <v>151</v>
      </c>
      <c r="M37" s="78" t="str">
        <f t="shared" si="0"/>
        <v>Yes</v>
      </c>
    </row>
    <row r="38" spans="1:13" x14ac:dyDescent="0.2">
      <c r="A38" s="78">
        <v>152</v>
      </c>
      <c r="B38" s="93" t="s">
        <v>115</v>
      </c>
      <c r="C38" s="93">
        <v>3089.66</v>
      </c>
      <c r="D38" s="85">
        <v>13990</v>
      </c>
      <c r="E38" s="86">
        <v>0</v>
      </c>
      <c r="F38" s="85">
        <v>16.416666666666</v>
      </c>
      <c r="L38" s="78">
        <v>152</v>
      </c>
      <c r="M38" s="78" t="str">
        <f t="shared" si="0"/>
        <v>Yes</v>
      </c>
    </row>
    <row r="39" spans="1:13" x14ac:dyDescent="0.2">
      <c r="A39" s="78">
        <v>153</v>
      </c>
      <c r="B39" s="93" t="s">
        <v>116</v>
      </c>
      <c r="C39" s="93">
        <v>3895.64</v>
      </c>
      <c r="D39" s="85">
        <v>19008</v>
      </c>
      <c r="E39" s="86">
        <v>0</v>
      </c>
      <c r="F39" s="85">
        <v>8</v>
      </c>
      <c r="L39" s="78">
        <v>153</v>
      </c>
      <c r="M39" s="78" t="str">
        <f t="shared" si="0"/>
        <v>Yes</v>
      </c>
    </row>
    <row r="40" spans="1:13" x14ac:dyDescent="0.2">
      <c r="A40" s="78">
        <v>160</v>
      </c>
      <c r="B40" s="93" t="s">
        <v>117</v>
      </c>
      <c r="C40" s="93">
        <v>20848.54</v>
      </c>
      <c r="D40" s="85">
        <v>21903</v>
      </c>
      <c r="E40" s="86">
        <v>0</v>
      </c>
      <c r="F40" s="85">
        <v>42.5</v>
      </c>
      <c r="L40" s="78">
        <v>160</v>
      </c>
      <c r="M40" s="78" t="str">
        <f t="shared" si="0"/>
        <v>Yes</v>
      </c>
    </row>
    <row r="41" spans="1:13" x14ac:dyDescent="0.2">
      <c r="A41" s="78">
        <v>165</v>
      </c>
      <c r="B41" s="93" t="s">
        <v>118</v>
      </c>
      <c r="C41" s="93">
        <v>529035.59</v>
      </c>
      <c r="D41" s="85">
        <v>913776</v>
      </c>
      <c r="E41" s="86">
        <v>0</v>
      </c>
      <c r="F41" s="85">
        <v>610.5</v>
      </c>
      <c r="L41" s="78">
        <v>165</v>
      </c>
      <c r="M41" s="78" t="str">
        <f t="shared" si="0"/>
        <v>Yes</v>
      </c>
    </row>
    <row r="42" spans="1:13" x14ac:dyDescent="0.2">
      <c r="A42" s="78">
        <v>166</v>
      </c>
      <c r="B42" s="93" t="s">
        <v>119</v>
      </c>
      <c r="C42" s="93">
        <v>144325.37</v>
      </c>
      <c r="D42" s="85">
        <v>391078</v>
      </c>
      <c r="E42" s="86">
        <v>0</v>
      </c>
      <c r="F42" s="85">
        <v>102.166666666667</v>
      </c>
      <c r="L42" s="78">
        <v>166</v>
      </c>
      <c r="M42" s="78" t="str">
        <f t="shared" si="0"/>
        <v>Yes</v>
      </c>
    </row>
    <row r="43" spans="1:13" x14ac:dyDescent="0.2">
      <c r="A43" s="88"/>
      <c r="B43" s="88" t="s">
        <v>120</v>
      </c>
      <c r="C43" s="89">
        <f>SUM(C17:C42)</f>
        <v>9617965.8599999975</v>
      </c>
      <c r="D43" s="89">
        <f>SUM(D17:D42)</f>
        <v>30820442</v>
      </c>
      <c r="E43" s="89">
        <f>SUM(E17:E42)</f>
        <v>0</v>
      </c>
      <c r="F43" s="90">
        <f>SUM(F17:F42)</f>
        <v>46038.500000000022</v>
      </c>
      <c r="G43" s="88"/>
      <c r="H43" s="90">
        <f>ROUND((D43/F43)/12,0)</f>
        <v>56</v>
      </c>
      <c r="I43" s="91">
        <f>(C43/F43)/12</f>
        <v>17.409280384895236</v>
      </c>
      <c r="J43" s="90">
        <f>(E43/F43)/12</f>
        <v>0</v>
      </c>
      <c r="K43" s="87"/>
    </row>
    <row r="44" spans="1:13" x14ac:dyDescent="0.2">
      <c r="A44" s="78">
        <v>204</v>
      </c>
      <c r="B44" s="78" t="s">
        <v>121</v>
      </c>
      <c r="C44" s="93">
        <v>158022.76999999999</v>
      </c>
      <c r="D44" s="85">
        <v>584194</v>
      </c>
      <c r="E44" s="86">
        <v>0</v>
      </c>
      <c r="F44" s="85">
        <v>332.58333333333297</v>
      </c>
      <c r="L44" s="78">
        <v>204</v>
      </c>
      <c r="M44" s="78" t="str">
        <f t="shared" si="0"/>
        <v>Yes</v>
      </c>
    </row>
    <row r="45" spans="1:13" x14ac:dyDescent="0.2">
      <c r="A45" s="78">
        <v>211</v>
      </c>
      <c r="B45" s="78" t="s">
        <v>122</v>
      </c>
      <c r="C45" s="84">
        <v>86081324.489999995</v>
      </c>
      <c r="D45" s="85">
        <v>463445647</v>
      </c>
      <c r="E45" s="86">
        <v>1487199.7</v>
      </c>
      <c r="F45" s="85">
        <v>27262</v>
      </c>
      <c r="L45" s="78">
        <v>211</v>
      </c>
      <c r="M45" s="78" t="str">
        <f t="shared" si="0"/>
        <v>Yes</v>
      </c>
    </row>
    <row r="46" spans="1:13" x14ac:dyDescent="0.2">
      <c r="A46" s="78">
        <v>213</v>
      </c>
      <c r="B46" s="78" t="s">
        <v>123</v>
      </c>
      <c r="C46" s="84">
        <v>500625.12</v>
      </c>
      <c r="D46" s="85">
        <v>2090378</v>
      </c>
      <c r="E46" s="86">
        <v>0</v>
      </c>
      <c r="F46" s="85">
        <v>577.16666666666697</v>
      </c>
      <c r="L46" s="78">
        <v>213</v>
      </c>
      <c r="M46" s="78" t="str">
        <f t="shared" si="0"/>
        <v>Yes</v>
      </c>
    </row>
    <row r="47" spans="1:13" x14ac:dyDescent="0.2">
      <c r="A47" s="78">
        <v>214</v>
      </c>
      <c r="B47" s="78" t="s">
        <v>124</v>
      </c>
      <c r="C47" s="84">
        <v>250587.81</v>
      </c>
      <c r="D47" s="85">
        <v>1331645</v>
      </c>
      <c r="E47" s="86">
        <v>30757.4</v>
      </c>
      <c r="F47" s="85">
        <v>88.5</v>
      </c>
      <c r="L47" s="78">
        <v>214</v>
      </c>
      <c r="M47" s="78" t="str">
        <f t="shared" si="0"/>
        <v>Yes</v>
      </c>
    </row>
    <row r="48" spans="1:13" x14ac:dyDescent="0.2">
      <c r="A48" s="78">
        <v>215</v>
      </c>
      <c r="B48" s="78" t="s">
        <v>122</v>
      </c>
      <c r="C48" s="84">
        <v>20316214.68</v>
      </c>
      <c r="D48" s="85">
        <v>117689153</v>
      </c>
      <c r="E48" s="86">
        <v>475954.5</v>
      </c>
      <c r="F48" s="85">
        <v>1822.4166666666699</v>
      </c>
      <c r="L48" s="78">
        <v>215</v>
      </c>
      <c r="M48" s="78" t="str">
        <f t="shared" si="0"/>
        <v>Yes</v>
      </c>
    </row>
    <row r="49" spans="1:13" x14ac:dyDescent="0.2">
      <c r="A49" s="78">
        <v>217</v>
      </c>
      <c r="B49" s="78" t="s">
        <v>125</v>
      </c>
      <c r="C49" s="84">
        <v>601009.19999999995</v>
      </c>
      <c r="D49" s="85">
        <v>3494419</v>
      </c>
      <c r="E49" s="86">
        <v>16586.7</v>
      </c>
      <c r="F49" s="85">
        <v>29.833333333333002</v>
      </c>
      <c r="L49" s="78">
        <v>217</v>
      </c>
      <c r="M49" s="78" t="str">
        <f t="shared" si="0"/>
        <v>Yes</v>
      </c>
    </row>
    <row r="50" spans="1:13" x14ac:dyDescent="0.2">
      <c r="A50" s="78">
        <v>218</v>
      </c>
      <c r="B50" s="78" t="s">
        <v>122</v>
      </c>
      <c r="C50" s="84">
        <v>34844.449999999997</v>
      </c>
      <c r="D50" s="85">
        <v>206957</v>
      </c>
      <c r="E50" s="86">
        <v>722.4</v>
      </c>
      <c r="F50" s="85">
        <v>1</v>
      </c>
      <c r="L50" s="78">
        <v>218</v>
      </c>
      <c r="M50" s="78" t="str">
        <f t="shared" si="0"/>
        <v>Yes</v>
      </c>
    </row>
    <row r="51" spans="1:13" x14ac:dyDescent="0.2">
      <c r="A51" s="78">
        <v>220</v>
      </c>
      <c r="B51" s="78" t="s">
        <v>126</v>
      </c>
      <c r="C51" s="84">
        <v>571063.73</v>
      </c>
      <c r="D51" s="85">
        <v>3582870</v>
      </c>
      <c r="E51" s="86">
        <v>9558.5</v>
      </c>
      <c r="F51" s="85">
        <v>40</v>
      </c>
      <c r="L51" s="78">
        <v>220</v>
      </c>
      <c r="M51" s="78" t="str">
        <f t="shared" si="0"/>
        <v>Yes</v>
      </c>
    </row>
    <row r="52" spans="1:13" ht="13.5" thickBot="1" x14ac:dyDescent="0.25">
      <c r="A52" s="78">
        <v>223</v>
      </c>
      <c r="B52" s="78" t="s">
        <v>127</v>
      </c>
      <c r="C52" s="84">
        <v>140590.69</v>
      </c>
      <c r="D52" s="85">
        <v>814833</v>
      </c>
      <c r="E52" s="86">
        <v>0</v>
      </c>
      <c r="F52" s="85">
        <v>36.833333333333002</v>
      </c>
      <c r="L52" s="78">
        <v>223</v>
      </c>
      <c r="M52" s="78" t="str">
        <f t="shared" si="0"/>
        <v>Yes</v>
      </c>
    </row>
    <row r="53" spans="1:13" x14ac:dyDescent="0.2">
      <c r="A53" s="95">
        <v>225</v>
      </c>
      <c r="B53" s="96" t="s">
        <v>128</v>
      </c>
      <c r="C53" s="97">
        <v>117410.53</v>
      </c>
      <c r="D53" s="98">
        <v>675824</v>
      </c>
      <c r="E53" s="99">
        <v>115.7</v>
      </c>
      <c r="F53" s="98">
        <v>24.916666666666</v>
      </c>
      <c r="G53" s="96"/>
      <c r="H53" s="96"/>
      <c r="I53" s="96"/>
      <c r="J53" s="100"/>
      <c r="L53" s="78">
        <v>225</v>
      </c>
      <c r="M53" s="78" t="str">
        <f t="shared" si="0"/>
        <v>Yes</v>
      </c>
    </row>
    <row r="54" spans="1:13" x14ac:dyDescent="0.2">
      <c r="A54" s="101">
        <v>227</v>
      </c>
      <c r="B54" s="78" t="s">
        <v>129</v>
      </c>
      <c r="C54" s="93">
        <v>1366760.37</v>
      </c>
      <c r="D54" s="85">
        <v>7377355</v>
      </c>
      <c r="E54" s="86">
        <v>0</v>
      </c>
      <c r="F54" s="85">
        <v>490.58333333333297</v>
      </c>
      <c r="J54" s="102"/>
      <c r="K54" s="87"/>
      <c r="L54" s="78">
        <v>227</v>
      </c>
      <c r="M54" s="78" t="str">
        <f t="shared" si="0"/>
        <v>Yes</v>
      </c>
    </row>
    <row r="55" spans="1:13" x14ac:dyDescent="0.2">
      <c r="A55" s="103"/>
      <c r="B55" s="104" t="s">
        <v>130</v>
      </c>
      <c r="C55" s="105">
        <f>SUM(C53:C54)</f>
        <v>1484170.9000000001</v>
      </c>
      <c r="D55" s="105">
        <f>SUM(D53:D54)</f>
        <v>8053179</v>
      </c>
      <c r="E55" s="105">
        <f>SUM(E53:E54)</f>
        <v>115.7</v>
      </c>
      <c r="F55" s="105">
        <f>SUM(F53:F54)</f>
        <v>515.49999999999898</v>
      </c>
      <c r="G55" s="104"/>
      <c r="H55" s="106">
        <f>ROUND((D55/F55)/12,0)</f>
        <v>1302</v>
      </c>
      <c r="I55" s="107">
        <f>(C55/F55)/12</f>
        <v>239.92416747494391</v>
      </c>
      <c r="J55" s="108">
        <f>(E55/F55)/12</f>
        <v>1.8703524086647307E-2</v>
      </c>
      <c r="K55" s="87"/>
    </row>
    <row r="56" spans="1:13" x14ac:dyDescent="0.2">
      <c r="A56" s="101">
        <v>229</v>
      </c>
      <c r="B56" s="78" t="s">
        <v>131</v>
      </c>
      <c r="C56" s="93">
        <v>1189040.99</v>
      </c>
      <c r="D56" s="85">
        <v>7379980</v>
      </c>
      <c r="E56" s="86">
        <v>3549.2</v>
      </c>
      <c r="F56" s="85">
        <v>143.166666666667</v>
      </c>
      <c r="J56" s="102"/>
      <c r="L56" s="78">
        <v>229</v>
      </c>
      <c r="M56" s="78" t="str">
        <f t="shared" si="0"/>
        <v>Yes</v>
      </c>
    </row>
    <row r="57" spans="1:13" ht="13.5" thickBot="1" x14ac:dyDescent="0.25">
      <c r="A57" s="109"/>
      <c r="B57" s="110" t="s">
        <v>132</v>
      </c>
      <c r="C57" s="111">
        <f>SUM(C56)</f>
        <v>1189040.99</v>
      </c>
      <c r="D57" s="111">
        <f>SUM(D56)</f>
        <v>7379980</v>
      </c>
      <c r="E57" s="111">
        <f>SUM(E56)</f>
        <v>3549.2</v>
      </c>
      <c r="F57" s="112">
        <f>SUM(F56)</f>
        <v>143.166666666667</v>
      </c>
      <c r="G57" s="110"/>
      <c r="H57" s="112">
        <f>ROUND((D57/F57)/12,0)</f>
        <v>4296</v>
      </c>
      <c r="I57" s="113">
        <f>(C57/F57)/12</f>
        <v>692.10767753201242</v>
      </c>
      <c r="J57" s="114">
        <f>(E57/F57)/12</f>
        <v>2.0658905704307284</v>
      </c>
      <c r="K57" s="87"/>
    </row>
    <row r="58" spans="1:13" x14ac:dyDescent="0.2">
      <c r="A58" s="78">
        <v>236</v>
      </c>
      <c r="B58" s="78" t="s">
        <v>133</v>
      </c>
      <c r="C58" s="84">
        <v>41190.58</v>
      </c>
      <c r="D58" s="85">
        <v>134795</v>
      </c>
      <c r="E58" s="86">
        <v>36.4</v>
      </c>
      <c r="F58" s="85">
        <v>4</v>
      </c>
      <c r="L58" s="78">
        <v>236</v>
      </c>
      <c r="M58" s="78" t="str">
        <f t="shared" si="0"/>
        <v>Yes</v>
      </c>
    </row>
    <row r="59" spans="1:13" x14ac:dyDescent="0.2">
      <c r="A59" s="88"/>
      <c r="B59" s="88" t="s">
        <v>134</v>
      </c>
      <c r="C59" s="89">
        <f>SUM(C44:C52,C58)</f>
        <v>108695473.52000001</v>
      </c>
      <c r="D59" s="89">
        <f>SUM(D44:D52,D58)</f>
        <v>593374891</v>
      </c>
      <c r="E59" s="89">
        <f>SUM(E44:E52,E58)</f>
        <v>2020815.5999999996</v>
      </c>
      <c r="F59" s="90">
        <f>SUM(F44:F52,F58)</f>
        <v>30194.333333333336</v>
      </c>
      <c r="G59" s="88"/>
      <c r="H59" s="90">
        <f>ROUND((D59/F59)/12,0)</f>
        <v>1638</v>
      </c>
      <c r="I59" s="91">
        <f>(C59/F59)/12</f>
        <v>299.98861132883656</v>
      </c>
      <c r="J59" s="90">
        <f>(E59/F59)/12</f>
        <v>5.5772484903348287</v>
      </c>
      <c r="K59" s="87"/>
    </row>
    <row r="60" spans="1:13" x14ac:dyDescent="0.2">
      <c r="A60" s="78">
        <v>240</v>
      </c>
      <c r="B60" s="78" t="s">
        <v>135</v>
      </c>
      <c r="C60" s="84">
        <v>42555918.960000001</v>
      </c>
      <c r="D60" s="85">
        <v>279110459</v>
      </c>
      <c r="E60" s="86">
        <v>795184</v>
      </c>
      <c r="F60" s="115">
        <v>345.83333333333297</v>
      </c>
      <c r="L60" s="78">
        <v>240</v>
      </c>
      <c r="M60" s="78" t="str">
        <f t="shared" si="0"/>
        <v>Yes</v>
      </c>
    </row>
    <row r="61" spans="1:13" x14ac:dyDescent="0.2">
      <c r="A61" s="78">
        <v>242</v>
      </c>
      <c r="B61" s="78" t="s">
        <v>136</v>
      </c>
      <c r="C61" s="84">
        <v>923946.2</v>
      </c>
      <c r="D61" s="85">
        <v>6303191</v>
      </c>
      <c r="E61" s="86">
        <v>15816</v>
      </c>
      <c r="F61" s="115">
        <v>7</v>
      </c>
      <c r="L61" s="78">
        <v>242</v>
      </c>
      <c r="M61" s="78" t="str">
        <f t="shared" si="0"/>
        <v>Yes</v>
      </c>
    </row>
    <row r="62" spans="1:13" x14ac:dyDescent="0.2">
      <c r="A62" s="78">
        <v>244</v>
      </c>
      <c r="B62" s="78" t="s">
        <v>137</v>
      </c>
      <c r="C62" s="84">
        <v>11748881.130000001</v>
      </c>
      <c r="D62" s="85">
        <v>79467688</v>
      </c>
      <c r="E62" s="86">
        <v>272976</v>
      </c>
      <c r="F62" s="115">
        <v>58.833333333333002</v>
      </c>
      <c r="L62" s="78">
        <v>244</v>
      </c>
      <c r="M62" s="78" t="str">
        <f t="shared" si="0"/>
        <v>Yes</v>
      </c>
    </row>
    <row r="63" spans="1:13" x14ac:dyDescent="0.2">
      <c r="A63" s="78">
        <v>246</v>
      </c>
      <c r="B63" s="78" t="s">
        <v>138</v>
      </c>
      <c r="C63" s="93">
        <v>92626.17</v>
      </c>
      <c r="D63" s="85">
        <v>650813</v>
      </c>
      <c r="E63" s="86">
        <v>1982</v>
      </c>
      <c r="F63" s="115">
        <v>1</v>
      </c>
      <c r="L63" s="78">
        <v>246</v>
      </c>
      <c r="M63" s="78" t="str">
        <f t="shared" si="0"/>
        <v>Yes</v>
      </c>
    </row>
    <row r="64" spans="1:13" x14ac:dyDescent="0.2">
      <c r="A64" s="78">
        <v>248</v>
      </c>
      <c r="B64" s="78" t="s">
        <v>139</v>
      </c>
      <c r="C64" s="84">
        <v>777643.15</v>
      </c>
      <c r="D64" s="85">
        <v>6956717</v>
      </c>
      <c r="E64" s="86">
        <v>17689</v>
      </c>
      <c r="F64" s="115">
        <v>7.25</v>
      </c>
      <c r="L64" s="78">
        <v>248</v>
      </c>
      <c r="M64" s="78" t="str">
        <f t="shared" si="0"/>
        <v>Yes</v>
      </c>
    </row>
    <row r="65" spans="1:13" x14ac:dyDescent="0.2">
      <c r="A65" s="78">
        <v>250</v>
      </c>
      <c r="B65" s="78" t="s">
        <v>140</v>
      </c>
      <c r="C65" s="84">
        <v>101433.58</v>
      </c>
      <c r="D65" s="85">
        <v>1129995</v>
      </c>
      <c r="E65" s="86">
        <v>5040</v>
      </c>
      <c r="F65" s="115">
        <v>1</v>
      </c>
      <c r="L65" s="78">
        <v>250</v>
      </c>
      <c r="M65" s="78" t="str">
        <f t="shared" si="0"/>
        <v>Yes</v>
      </c>
    </row>
    <row r="66" spans="1:13" x14ac:dyDescent="0.2">
      <c r="A66" s="78">
        <v>251</v>
      </c>
      <c r="B66" s="78" t="s">
        <v>141</v>
      </c>
      <c r="C66" s="84">
        <v>142216.72</v>
      </c>
      <c r="D66" s="85">
        <v>922402</v>
      </c>
      <c r="E66" s="86">
        <v>0</v>
      </c>
      <c r="F66" s="115">
        <v>5</v>
      </c>
      <c r="L66" s="78">
        <v>251</v>
      </c>
      <c r="M66" s="78" t="str">
        <f t="shared" si="0"/>
        <v>Yes</v>
      </c>
    </row>
    <row r="67" spans="1:13" x14ac:dyDescent="0.2">
      <c r="A67" s="78">
        <v>256</v>
      </c>
      <c r="B67" s="78" t="s">
        <v>142</v>
      </c>
      <c r="C67" s="84">
        <v>763265.79</v>
      </c>
      <c r="D67" s="85">
        <v>5472729</v>
      </c>
      <c r="E67" s="86">
        <v>12543</v>
      </c>
      <c r="F67" s="115">
        <v>5.6666666666659999</v>
      </c>
      <c r="L67" s="78">
        <v>256</v>
      </c>
      <c r="M67" s="78" t="str">
        <f t="shared" si="0"/>
        <v>Yes</v>
      </c>
    </row>
    <row r="68" spans="1:13" x14ac:dyDescent="0.2">
      <c r="A68" s="78">
        <v>257</v>
      </c>
      <c r="B68" s="94" t="s">
        <v>143</v>
      </c>
      <c r="C68" s="84">
        <v>439955.49</v>
      </c>
      <c r="D68" s="85">
        <v>3438606</v>
      </c>
      <c r="E68" s="86">
        <v>6205</v>
      </c>
      <c r="F68" s="115">
        <v>1.9166666666659999</v>
      </c>
      <c r="L68" s="78">
        <v>257</v>
      </c>
      <c r="M68" s="78" t="str">
        <f t="shared" si="0"/>
        <v>Yes</v>
      </c>
    </row>
    <row r="69" spans="1:13" x14ac:dyDescent="0.2">
      <c r="A69" s="78">
        <v>260</v>
      </c>
      <c r="B69" s="78" t="s">
        <v>144</v>
      </c>
      <c r="C69" s="84">
        <v>13366119.52</v>
      </c>
      <c r="D69" s="85">
        <v>79970419</v>
      </c>
      <c r="E69" s="86">
        <v>301778</v>
      </c>
      <c r="F69" s="115">
        <v>126.833333333333</v>
      </c>
      <c r="L69" s="78">
        <v>260</v>
      </c>
      <c r="M69" s="78" t="str">
        <f t="shared" ref="M69:M82" si="1">IF(L69=A69,"Yes","No")</f>
        <v>Yes</v>
      </c>
    </row>
    <row r="70" spans="1:13" x14ac:dyDescent="0.2">
      <c r="A70" s="78">
        <v>264</v>
      </c>
      <c r="B70" s="78" t="s">
        <v>145</v>
      </c>
      <c r="C70" s="84">
        <v>285496.3</v>
      </c>
      <c r="D70" s="85">
        <v>2011738</v>
      </c>
      <c r="E70" s="86">
        <v>6603</v>
      </c>
      <c r="F70" s="115">
        <v>1</v>
      </c>
      <c r="L70" s="78">
        <v>264</v>
      </c>
      <c r="M70" s="78" t="str">
        <f t="shared" si="1"/>
        <v>Yes</v>
      </c>
    </row>
    <row r="71" spans="1:13" x14ac:dyDescent="0.2">
      <c r="A71" s="88"/>
      <c r="B71" s="88" t="s">
        <v>146</v>
      </c>
      <c r="C71" s="89">
        <f>SUM(C60:C70)</f>
        <v>71197503.010000005</v>
      </c>
      <c r="D71" s="89">
        <f>SUM(D60:D70)</f>
        <v>465434757</v>
      </c>
      <c r="E71" s="89">
        <f>SUM(E60:E70)</f>
        <v>1435816</v>
      </c>
      <c r="F71" s="90">
        <f>SUM(F60:F70)</f>
        <v>561.33333333333098</v>
      </c>
      <c r="G71" s="88"/>
      <c r="H71" s="90">
        <f>ROUND((D71/F71)/12,0)</f>
        <v>69097</v>
      </c>
      <c r="I71" s="91">
        <f>(C71/F71)/12</f>
        <v>10569.700565617622</v>
      </c>
      <c r="J71" s="90">
        <f>(E71/F71)/12</f>
        <v>213.15558194774437</v>
      </c>
      <c r="K71" s="87"/>
      <c r="L71" s="116"/>
    </row>
    <row r="72" spans="1:13" x14ac:dyDescent="0.2">
      <c r="A72" s="78">
        <v>330</v>
      </c>
      <c r="B72" s="94" t="s">
        <v>147</v>
      </c>
      <c r="C72" s="84">
        <v>1989173.96</v>
      </c>
      <c r="D72" s="85">
        <v>11814393</v>
      </c>
      <c r="E72" s="86">
        <v>50806</v>
      </c>
      <c r="F72" s="115">
        <v>2</v>
      </c>
      <c r="L72" s="78">
        <v>330</v>
      </c>
      <c r="M72" s="78" t="str">
        <f t="shared" si="1"/>
        <v>Yes</v>
      </c>
    </row>
    <row r="73" spans="1:13" x14ac:dyDescent="0.2">
      <c r="A73" s="78">
        <v>331</v>
      </c>
      <c r="B73" s="78" t="s">
        <v>148</v>
      </c>
      <c r="C73" s="84">
        <v>6192496.2199999997</v>
      </c>
      <c r="D73" s="117">
        <v>115733568</v>
      </c>
      <c r="E73" s="118">
        <v>202425.60000000001</v>
      </c>
      <c r="F73" s="115">
        <v>1</v>
      </c>
      <c r="L73" s="78">
        <v>331</v>
      </c>
      <c r="M73" s="78" t="str">
        <f t="shared" si="1"/>
        <v>Yes</v>
      </c>
    </row>
    <row r="74" spans="1:13" x14ac:dyDescent="0.2">
      <c r="A74" s="78">
        <v>332</v>
      </c>
      <c r="B74" s="78" t="s">
        <v>149</v>
      </c>
      <c r="C74" s="84">
        <v>1555812.43</v>
      </c>
      <c r="D74" s="117">
        <v>14494031</v>
      </c>
      <c r="E74" s="118">
        <v>42047</v>
      </c>
      <c r="F74" s="115">
        <v>1</v>
      </c>
      <c r="L74" s="78">
        <v>332</v>
      </c>
      <c r="M74" s="78" t="str">
        <f t="shared" si="1"/>
        <v>Yes</v>
      </c>
    </row>
    <row r="75" spans="1:13" x14ac:dyDescent="0.2">
      <c r="A75" s="78">
        <v>333</v>
      </c>
      <c r="B75" s="78" t="s">
        <v>150</v>
      </c>
      <c r="C75" s="84">
        <v>3168776.64</v>
      </c>
      <c r="D75" s="117">
        <v>32154207</v>
      </c>
      <c r="E75" s="118">
        <v>101856</v>
      </c>
      <c r="F75" s="115">
        <v>1</v>
      </c>
      <c r="L75" s="78">
        <v>333</v>
      </c>
      <c r="M75" s="78" t="str">
        <f t="shared" si="1"/>
        <v>Yes</v>
      </c>
    </row>
    <row r="76" spans="1:13" x14ac:dyDescent="0.2">
      <c r="A76" s="78">
        <v>356</v>
      </c>
      <c r="B76" s="78" t="s">
        <v>151</v>
      </c>
      <c r="C76" s="84">
        <v>2345350.3199999998</v>
      </c>
      <c r="D76" s="85">
        <v>20322403</v>
      </c>
      <c r="E76" s="86">
        <v>40313</v>
      </c>
      <c r="F76" s="115">
        <v>5.333333333333</v>
      </c>
      <c r="L76" s="78">
        <v>356</v>
      </c>
      <c r="M76" s="78" t="str">
        <f t="shared" si="1"/>
        <v>Yes</v>
      </c>
    </row>
    <row r="77" spans="1:13" x14ac:dyDescent="0.2">
      <c r="A77" s="78">
        <v>358</v>
      </c>
      <c r="B77" s="78" t="s">
        <v>152</v>
      </c>
      <c r="C77" s="84">
        <v>26388152.75</v>
      </c>
      <c r="D77" s="85">
        <v>221934782</v>
      </c>
      <c r="E77" s="86">
        <v>505333</v>
      </c>
      <c r="F77" s="115">
        <v>31.416666666666</v>
      </c>
      <c r="L77" s="78">
        <v>358</v>
      </c>
      <c r="M77" s="78" t="str">
        <f t="shared" si="1"/>
        <v>Yes</v>
      </c>
    </row>
    <row r="78" spans="1:13" x14ac:dyDescent="0.2">
      <c r="A78" s="78">
        <v>359</v>
      </c>
      <c r="B78" s="78" t="s">
        <v>153</v>
      </c>
      <c r="C78" s="84">
        <v>27228274.66</v>
      </c>
      <c r="D78" s="85">
        <v>332578552</v>
      </c>
      <c r="E78" s="86">
        <v>660490</v>
      </c>
      <c r="F78" s="115">
        <v>12.666666666666</v>
      </c>
      <c r="L78" s="78">
        <v>359</v>
      </c>
      <c r="M78" s="78" t="str">
        <f t="shared" si="1"/>
        <v>Yes</v>
      </c>
    </row>
    <row r="79" spans="1:13" x14ac:dyDescent="0.2">
      <c r="A79" s="78">
        <v>360</v>
      </c>
      <c r="B79" s="78" t="s">
        <v>154</v>
      </c>
      <c r="C79" s="84">
        <v>1195311.83</v>
      </c>
      <c r="D79" s="85">
        <v>8689000</v>
      </c>
      <c r="E79" s="86">
        <v>43032</v>
      </c>
      <c r="F79" s="115">
        <v>1</v>
      </c>
      <c r="L79" s="78">
        <v>360</v>
      </c>
      <c r="M79" s="78" t="str">
        <f t="shared" si="1"/>
        <v>Yes</v>
      </c>
    </row>
    <row r="80" spans="1:13" x14ac:dyDescent="0.2">
      <c r="A80" s="78">
        <v>370</v>
      </c>
      <c r="B80" s="78" t="s">
        <v>154</v>
      </c>
      <c r="C80" s="84">
        <v>820001.83</v>
      </c>
      <c r="D80" s="85">
        <v>4956941</v>
      </c>
      <c r="E80" s="86">
        <v>14848</v>
      </c>
      <c r="F80" s="115">
        <v>1</v>
      </c>
      <c r="L80" s="78">
        <v>370</v>
      </c>
      <c r="M80" s="78" t="str">
        <f t="shared" si="1"/>
        <v>Yes</v>
      </c>
    </row>
    <row r="81" spans="1:13" x14ac:dyDescent="0.2">
      <c r="A81" s="78">
        <v>371</v>
      </c>
      <c r="B81" s="78" t="s">
        <v>154</v>
      </c>
      <c r="C81" s="84">
        <v>99356709.019999996</v>
      </c>
      <c r="D81" s="85">
        <v>1288859113</v>
      </c>
      <c r="E81" s="86">
        <v>1857308</v>
      </c>
      <c r="F81" s="115">
        <v>3</v>
      </c>
      <c r="K81" s="87"/>
      <c r="L81" s="78">
        <v>371</v>
      </c>
      <c r="M81" s="78" t="str">
        <f t="shared" si="1"/>
        <v>Yes</v>
      </c>
    </row>
    <row r="82" spans="1:13" x14ac:dyDescent="0.2">
      <c r="A82" s="78">
        <v>372</v>
      </c>
      <c r="B82" s="78" t="s">
        <v>154</v>
      </c>
      <c r="C82" s="84">
        <v>18049579.539999999</v>
      </c>
      <c r="D82" s="85">
        <v>227123038</v>
      </c>
      <c r="E82" s="86">
        <v>364803</v>
      </c>
      <c r="F82" s="115">
        <v>1</v>
      </c>
      <c r="L82" s="78">
        <v>372</v>
      </c>
      <c r="M82" s="78" t="str">
        <f t="shared" si="1"/>
        <v>Yes</v>
      </c>
    </row>
    <row r="83" spans="1:13" x14ac:dyDescent="0.2">
      <c r="A83" s="88"/>
      <c r="B83" s="88" t="s">
        <v>155</v>
      </c>
      <c r="C83" s="89">
        <f>SUM(C72:C82)</f>
        <v>188289639.19999999</v>
      </c>
      <c r="D83" s="89">
        <f>SUM(D72:D82)</f>
        <v>2278660028</v>
      </c>
      <c r="E83" s="89">
        <f>SUM(E72:E82)</f>
        <v>3883261.6</v>
      </c>
      <c r="F83" s="90">
        <f>SUM(F72:F82)</f>
        <v>60.416666666664995</v>
      </c>
      <c r="G83" s="88"/>
      <c r="H83" s="90">
        <f>ROUND((D83/F83)/12,0)</f>
        <v>3142979</v>
      </c>
      <c r="I83" s="91">
        <f>(C83/F83)/12</f>
        <v>259709.84717242097</v>
      </c>
      <c r="J83" s="90">
        <f>(E83/F83)/12</f>
        <v>5356.2228965518725</v>
      </c>
      <c r="K83" s="87"/>
    </row>
    <row r="84" spans="1:13" x14ac:dyDescent="0.2">
      <c r="A84" s="78">
        <v>528</v>
      </c>
      <c r="B84" s="78" t="s">
        <v>156</v>
      </c>
      <c r="C84" s="84">
        <v>1853212.09</v>
      </c>
      <c r="D84" s="85">
        <v>6838808</v>
      </c>
      <c r="E84" s="86">
        <v>0</v>
      </c>
      <c r="F84" s="115">
        <v>48.833333333333002</v>
      </c>
    </row>
    <row r="85" spans="1:13" x14ac:dyDescent="0.2">
      <c r="A85" s="88"/>
      <c r="B85" s="88" t="s">
        <v>157</v>
      </c>
      <c r="C85" s="89">
        <f>SUM(C84)</f>
        <v>1853212.09</v>
      </c>
      <c r="D85" s="89">
        <f>SUM(D84)</f>
        <v>6838808</v>
      </c>
      <c r="E85" s="89">
        <f>SUM(E84)</f>
        <v>0</v>
      </c>
      <c r="F85" s="90">
        <f>SUM(F84)</f>
        <v>48.833333333333002</v>
      </c>
      <c r="G85" s="88"/>
      <c r="H85" s="90">
        <f>ROUND((D85/F85)/12,0)</f>
        <v>11670</v>
      </c>
      <c r="I85" s="91">
        <f>(C85/F85)/12</f>
        <v>3162.4779692832981</v>
      </c>
      <c r="J85" s="90">
        <f>(E85/F85)/12</f>
        <v>0</v>
      </c>
      <c r="K85" s="87"/>
    </row>
    <row r="86" spans="1:13" x14ac:dyDescent="0.2">
      <c r="A86" s="78">
        <v>540</v>
      </c>
      <c r="B86" s="78" t="s">
        <v>158</v>
      </c>
      <c r="C86" s="84">
        <v>250812.97</v>
      </c>
      <c r="D86" s="85">
        <v>1731383</v>
      </c>
      <c r="E86" s="86">
        <v>2733.3</v>
      </c>
      <c r="F86" s="115">
        <v>8</v>
      </c>
    </row>
    <row r="87" spans="1:13" x14ac:dyDescent="0.2">
      <c r="A87" s="88"/>
      <c r="B87" s="88" t="s">
        <v>159</v>
      </c>
      <c r="C87" s="89">
        <f>SUM(C86)</f>
        <v>250812.97</v>
      </c>
      <c r="D87" s="89">
        <f>SUM(D86)</f>
        <v>1731383</v>
      </c>
      <c r="E87" s="89">
        <f>SUM(E86)</f>
        <v>2733.3</v>
      </c>
      <c r="F87" s="90">
        <f>SUM(F86)</f>
        <v>8</v>
      </c>
      <c r="G87" s="88"/>
      <c r="H87" s="90">
        <f>ROUND((D87/F87)/12,0)</f>
        <v>18035</v>
      </c>
      <c r="I87" s="91">
        <f>(C87/F87)/12</f>
        <v>2612.6351041666667</v>
      </c>
      <c r="J87" s="90">
        <f>(E87/F87)/12</f>
        <v>28.471875000000001</v>
      </c>
    </row>
    <row r="90" spans="1:13" x14ac:dyDescent="0.2">
      <c r="C90" s="119">
        <f>SUM(C87,C85,C83,C71,C59,C57,C55,C43,C16)</f>
        <v>693456195.07999992</v>
      </c>
      <c r="D90" s="119">
        <f>SUM(D87,D85,D83,D71,D59,D57,D55,D43,D16)</f>
        <v>5277604183</v>
      </c>
      <c r="E90" s="119">
        <f>SUM(E87,E85,E83,E71,E59,E57,E55,E43,E16)</f>
        <v>7376319.3000000007</v>
      </c>
      <c r="F90" s="119"/>
      <c r="H90" s="116"/>
    </row>
    <row r="91" spans="1:13" x14ac:dyDescent="0.2">
      <c r="C91" s="116"/>
      <c r="D91" s="116"/>
      <c r="E91" s="116"/>
      <c r="F91" s="116"/>
    </row>
    <row r="92" spans="1:13" x14ac:dyDescent="0.2">
      <c r="F92" s="116"/>
    </row>
    <row r="93" spans="1:13" x14ac:dyDescent="0.2">
      <c r="F93" s="116"/>
    </row>
  </sheetData>
  <pageMargins left="0.7" right="0.7" top="0.75" bottom="0.75" header="0.3" footer="0.3"/>
  <pageSetup orientation="portrait" horizontalDpi="1200" verticalDpi="1200" r:id="rId1"/>
  <headerFooter>
    <oddHeader>&amp;RCase No. 2026-00001
KPSC 1-11 Attachment 3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109375" defaultRowHeight="12.75" x14ac:dyDescent="0.2"/>
  <cols>
    <col min="1" max="1" width="50.5703125" style="3" customWidth="1"/>
    <col min="2" max="2" width="3.42578125" style="3" customWidth="1"/>
    <col min="3" max="3" width="17.28515625" style="3" bestFit="1" customWidth="1"/>
    <col min="4" max="4" width="23" style="3" customWidth="1"/>
    <col min="5" max="5" width="16.5703125" style="3" bestFit="1" customWidth="1"/>
    <col min="6" max="6" width="8.7109375" style="3"/>
    <col min="7" max="7" width="17.7109375" style="3" customWidth="1"/>
    <col min="8" max="8" width="11.7109375" style="3" customWidth="1"/>
    <col min="9" max="16384" width="8.7109375" style="3"/>
  </cols>
  <sheetData>
    <row r="1" spans="1:5" x14ac:dyDescent="0.2">
      <c r="C1" s="18" t="s">
        <v>12</v>
      </c>
    </row>
    <row r="2" spans="1:5" x14ac:dyDescent="0.2">
      <c r="C2" s="18"/>
    </row>
    <row r="3" spans="1:5" ht="15" customHeight="1" x14ac:dyDescent="0.2">
      <c r="A3" s="5" t="s">
        <v>1</v>
      </c>
      <c r="C3" s="22" t="s">
        <v>22</v>
      </c>
    </row>
    <row r="4" spans="1:5" x14ac:dyDescent="0.2">
      <c r="A4" s="5" t="s">
        <v>14</v>
      </c>
    </row>
    <row r="5" spans="1:5" x14ac:dyDescent="0.2">
      <c r="A5" s="7" t="e">
        <f>#REF!</f>
        <v>#REF!</v>
      </c>
    </row>
    <row r="6" spans="1:5" ht="13.15" customHeight="1" x14ac:dyDescent="0.2"/>
    <row r="7" spans="1:5" ht="25.5" customHeight="1" x14ac:dyDescent="0.2">
      <c r="A7" s="8" t="s">
        <v>2</v>
      </c>
    </row>
    <row r="9" spans="1:5" x14ac:dyDescent="0.2">
      <c r="A9" s="9" t="s">
        <v>13</v>
      </c>
      <c r="C9" s="6" t="e">
        <f>D9*E9</f>
        <v>#REF!</v>
      </c>
      <c r="D9" s="28">
        <v>-3.63</v>
      </c>
      <c r="E9" s="2" t="e">
        <f>#REF!</f>
        <v>#REF!</v>
      </c>
    </row>
    <row r="10" spans="1:5" x14ac:dyDescent="0.2">
      <c r="C10" s="6"/>
    </row>
    <row r="11" spans="1:5" x14ac:dyDescent="0.2">
      <c r="C11" s="6"/>
    </row>
    <row r="12" spans="1:5" x14ac:dyDescent="0.2">
      <c r="C12" s="6"/>
    </row>
    <row r="13" spans="1:5" x14ac:dyDescent="0.2">
      <c r="A13" s="8" t="s">
        <v>5</v>
      </c>
      <c r="C13" s="6"/>
    </row>
    <row r="14" spans="1:5" x14ac:dyDescent="0.2">
      <c r="C14" s="6"/>
    </row>
    <row r="15" spans="1:5" x14ac:dyDescent="0.2">
      <c r="A15" s="9" t="s">
        <v>20</v>
      </c>
      <c r="C15" s="6" t="e">
        <f>D15*E15</f>
        <v>#REF!</v>
      </c>
      <c r="D15" s="24">
        <f>D9</f>
        <v>-3.63</v>
      </c>
      <c r="E15" s="2" t="e">
        <f>#REF!</f>
        <v>#REF!</v>
      </c>
    </row>
    <row r="16" spans="1:5" x14ac:dyDescent="0.2">
      <c r="C16" s="6"/>
    </row>
    <row r="18" spans="1:7" x14ac:dyDescent="0.2">
      <c r="A18" s="4" t="s">
        <v>6</v>
      </c>
    </row>
    <row r="19" spans="1:7" x14ac:dyDescent="0.2">
      <c r="A19" s="3" t="s">
        <v>23</v>
      </c>
      <c r="C19" s="30">
        <v>443700401</v>
      </c>
      <c r="D19" s="9" t="s">
        <v>15</v>
      </c>
      <c r="E19" s="29">
        <v>52941138</v>
      </c>
      <c r="F19" s="26">
        <v>6.4200000000000004E-3</v>
      </c>
      <c r="G19" s="19">
        <f>E19*F19</f>
        <v>339882.10596000002</v>
      </c>
    </row>
    <row r="20" spans="1:7" x14ac:dyDescent="0.2">
      <c r="A20" s="3" t="s">
        <v>7</v>
      </c>
      <c r="B20" s="3" t="s">
        <v>4</v>
      </c>
      <c r="C20" s="11">
        <f>E19+E20</f>
        <v>150743660</v>
      </c>
      <c r="D20" s="9" t="s">
        <v>16</v>
      </c>
      <c r="E20" s="29">
        <v>97802522</v>
      </c>
      <c r="F20" s="20">
        <f>F19</f>
        <v>6.4200000000000004E-3</v>
      </c>
      <c r="G20" s="19">
        <f>E20*F20</f>
        <v>627892.19124000007</v>
      </c>
    </row>
    <row r="21" spans="1:7" x14ac:dyDescent="0.2">
      <c r="A21" s="10" t="s">
        <v>8</v>
      </c>
      <c r="B21" s="4"/>
      <c r="C21" s="12">
        <f>C19-C20</f>
        <v>292956741</v>
      </c>
      <c r="D21" s="9" t="s">
        <v>19</v>
      </c>
      <c r="E21" s="12">
        <f>C21</f>
        <v>292956741</v>
      </c>
      <c r="F21" s="21">
        <f>F19</f>
        <v>6.4200000000000004E-3</v>
      </c>
      <c r="G21" s="19">
        <f>E21*F21</f>
        <v>1880782.27722</v>
      </c>
    </row>
    <row r="23" spans="1:7" x14ac:dyDescent="0.2">
      <c r="A23" s="3" t="s">
        <v>9</v>
      </c>
      <c r="C23" s="23">
        <v>2.725E-2</v>
      </c>
    </row>
    <row r="25" spans="1:7" x14ac:dyDescent="0.2">
      <c r="A25" s="3" t="s">
        <v>21</v>
      </c>
      <c r="C25" s="15">
        <f>ROUND(C21*C23,0)</f>
        <v>7983071</v>
      </c>
    </row>
    <row r="26" spans="1:7" x14ac:dyDescent="0.2">
      <c r="A26" s="3" t="s">
        <v>10</v>
      </c>
      <c r="B26" s="3" t="s">
        <v>3</v>
      </c>
      <c r="C26" s="19">
        <f>G21</f>
        <v>1880782.27722</v>
      </c>
    </row>
    <row r="27" spans="1:7" x14ac:dyDescent="0.2">
      <c r="A27" s="3" t="s">
        <v>11</v>
      </c>
      <c r="C27" s="13">
        <f>SUM(C25+C26)</f>
        <v>9863853.2772199996</v>
      </c>
      <c r="G27" s="27" t="s">
        <v>0</v>
      </c>
    </row>
    <row r="29" spans="1:7" x14ac:dyDescent="0.2">
      <c r="E29" s="25"/>
    </row>
    <row r="30" spans="1:7" x14ac:dyDescent="0.2">
      <c r="A30" s="3" t="s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109375" defaultRowHeight="15" x14ac:dyDescent="0.25"/>
  <cols>
    <col min="1" max="1" width="43.5703125" style="14" bestFit="1" customWidth="1"/>
    <col min="2" max="16384" width="8.7109375" style="14"/>
  </cols>
  <sheetData>
    <row r="2" spans="1:2" x14ac:dyDescent="0.25">
      <c r="A2" s="14" t="s">
        <v>32</v>
      </c>
      <c r="B2" s="16">
        <v>2.0336E-2</v>
      </c>
    </row>
    <row r="4" spans="1:2" x14ac:dyDescent="0.25">
      <c r="A4" s="14" t="s">
        <v>17</v>
      </c>
      <c r="B4" s="17">
        <v>0.6</v>
      </c>
    </row>
    <row r="6" spans="1:2" x14ac:dyDescent="0.25">
      <c r="A6" s="14" t="s">
        <v>18</v>
      </c>
      <c r="B6" s="17">
        <v>0.05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autoPageBreaks="0"/>
  </sheetPr>
  <dimension ref="A1"/>
  <sheetViews>
    <sheetView workbookViewId="0">
      <selection activeCell="R22" sqref="R22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Props1.xml><?xml version="1.0" encoding="utf-8"?>
<ds:datastoreItem xmlns:ds="http://schemas.openxmlformats.org/officeDocument/2006/customXml" ds:itemID="{D8A6655F-57DA-4F16-8B7C-649FFAC8AE6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6E28A9DD-BA27-4975-8F70-F7F352861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6CAB45-85DC-453F-80F2-7692F7660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6391A5-030B-4FBF-B411-5BF986FED0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6888f76-1100-40b0-929b-1efe9044426d"/>
    <ds:schemaRef ds:uri="http://purl.org/dc/elements/1.1/"/>
    <ds:schemaRef ds:uri="http://schemas.microsoft.com/office/2006/metadata/properties"/>
    <ds:schemaRef ds:uri="f88ffb1c-9230-4705-a789-27bae69f582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2026</vt:lpstr>
      <vt:lpstr>2027</vt:lpstr>
      <vt:lpstr>2028</vt:lpstr>
      <vt:lpstr>2029</vt:lpstr>
      <vt:lpstr>12mos BA</vt:lpstr>
      <vt:lpstr>3.32</vt:lpstr>
      <vt:lpstr>Property Tax</vt:lpstr>
      <vt:lpstr>IN Tax Rates</vt:lpstr>
      <vt:lpstr>IN TAX Lookup</vt:lpstr>
      <vt:lpstr>Changes from Rate Case</vt:lpstr>
      <vt:lpstr>'Property Tax'!Marshall_Rate</vt:lpstr>
      <vt:lpstr>'Property Tax'!PC_Percent</vt:lpstr>
      <vt:lpstr>'2026'!Print_Area</vt:lpstr>
      <vt:lpstr>'2027'!Print_Area</vt:lpstr>
      <vt:lpstr>'2028'!Print_Area</vt:lpstr>
      <vt:lpstr>'2029'!Print_Area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lastModifiedBy>Randy1</cp:lastModifiedBy>
  <cp:lastPrinted>2026-02-06T16:19:59Z</cp:lastPrinted>
  <dcterms:created xsi:type="dcterms:W3CDTF">2002-05-13T18:35:45Z</dcterms:created>
  <dcterms:modified xsi:type="dcterms:W3CDTF">2026-05-14T16:21:59Z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b9cb07f0-af7b-45e2-b96e-cff2f6fa65f3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