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3_Sierra Club\Set 2\Q11\"/>
    </mc:Choice>
  </mc:AlternateContent>
  <xr:revisionPtr revIDLastSave="0" documentId="13_ncr:1_{B7A07AEA-21DC-4218-8500-65F7F94BFCD7}" xr6:coauthVersionLast="47" xr6:coauthVersionMax="47" xr10:uidLastSave="{00000000-0000-0000-0000-000000000000}"/>
  <bookViews>
    <workbookView xWindow="-57720" yWindow="-720" windowWidth="29040" windowHeight="157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 concurrentCalc="0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9" l="1"/>
  <c r="D34" i="9"/>
  <c r="E34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B34" i="9"/>
  <c r="E17" i="25"/>
  <c r="E16" i="25"/>
  <c r="E15" i="25"/>
  <c r="E14" i="25"/>
  <c r="E12" i="25"/>
  <c r="E33" i="43"/>
  <c r="E34" i="43"/>
  <c r="A33" i="43"/>
  <c r="A34" i="43"/>
  <c r="A35" i="43"/>
  <c r="A36" i="43"/>
  <c r="A37" i="43"/>
  <c r="A38" i="43"/>
  <c r="A39" i="43"/>
  <c r="A40" i="43"/>
  <c r="A41" i="43"/>
  <c r="N6" i="9"/>
  <c r="O6" i="9"/>
  <c r="P6" i="9"/>
  <c r="Q6" i="9"/>
  <c r="R6" i="9"/>
  <c r="S6" i="9"/>
  <c r="T6" i="9"/>
  <c r="U6" i="9"/>
  <c r="V6" i="9"/>
  <c r="W6" i="9"/>
  <c r="X6" i="9"/>
  <c r="Y6" i="9"/>
  <c r="Z6" i="9"/>
  <c r="N7" i="9"/>
  <c r="O7" i="9"/>
  <c r="P7" i="9"/>
  <c r="Q7" i="9"/>
  <c r="R7" i="9"/>
  <c r="S7" i="9"/>
  <c r="T7" i="9"/>
  <c r="U7" i="9"/>
  <c r="V7" i="9"/>
  <c r="W7" i="9"/>
  <c r="X7" i="9"/>
  <c r="Y7" i="9"/>
  <c r="Z7" i="9"/>
  <c r="N9" i="9"/>
  <c r="O9" i="9"/>
  <c r="P9" i="9"/>
  <c r="Q9" i="9"/>
  <c r="R9" i="9"/>
  <c r="S9" i="9"/>
  <c r="T9" i="9"/>
  <c r="U9" i="9"/>
  <c r="V9" i="9"/>
  <c r="W9" i="9"/>
  <c r="X9" i="9"/>
  <c r="Y9" i="9"/>
  <c r="Z9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U13" i="9"/>
  <c r="R13" i="9"/>
  <c r="S13" i="9"/>
  <c r="W13" i="9"/>
  <c r="Q13" i="9"/>
  <c r="P13" i="9"/>
  <c r="T13" i="9"/>
  <c r="V13" i="9"/>
  <c r="O13" i="9"/>
  <c r="Z13" i="9"/>
  <c r="N13" i="9"/>
  <c r="Y13" i="9"/>
  <c r="X13" i="9"/>
  <c r="E35" i="43"/>
  <c r="E36" i="43"/>
  <c r="E37" i="43"/>
  <c r="E38" i="43"/>
  <c r="M7" i="9"/>
  <c r="M9" i="9"/>
  <c r="M10" i="9"/>
  <c r="M11" i="9"/>
  <c r="M12" i="9"/>
  <c r="B38" i="25"/>
  <c r="C38" i="25"/>
  <c r="D38" i="25"/>
  <c r="E38" i="25"/>
  <c r="F38" i="25"/>
  <c r="G38" i="25"/>
  <c r="H38" i="25"/>
  <c r="I38" i="25"/>
  <c r="J38" i="25"/>
  <c r="K38" i="25"/>
  <c r="L38" i="25"/>
  <c r="M38" i="25"/>
  <c r="N38" i="25"/>
  <c r="O38" i="25"/>
  <c r="P38" i="25"/>
  <c r="Q38" i="25"/>
  <c r="R38" i="25"/>
  <c r="S38" i="25"/>
  <c r="T38" i="25"/>
  <c r="U38" i="25"/>
  <c r="V38" i="25"/>
  <c r="W38" i="25"/>
  <c r="X38" i="25"/>
  <c r="Y38" i="25"/>
  <c r="Z38" i="25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E40" i="43"/>
  <c r="E41" i="43"/>
  <c r="E39" i="43"/>
  <c r="U52" i="9"/>
  <c r="V52" i="9"/>
  <c r="X52" i="9"/>
  <c r="W52" i="9"/>
  <c r="T52" i="9"/>
  <c r="N52" i="9"/>
  <c r="Q52" i="9"/>
  <c r="S52" i="9"/>
  <c r="O52" i="9"/>
  <c r="P52" i="9"/>
  <c r="Y52" i="9"/>
  <c r="Z52" i="9"/>
  <c r="R52" i="9"/>
  <c r="D4" i="52"/>
  <c r="B10" i="25"/>
  <c r="C41" i="25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/>
  <c r="M13" i="9"/>
  <c r="M52" i="9"/>
  <c r="C53" i="25"/>
  <c r="E53" i="25"/>
  <c r="D53" i="25"/>
  <c r="F53" i="25"/>
  <c r="G53" i="25"/>
  <c r="A10" i="9"/>
  <c r="H53" i="25"/>
  <c r="D16" i="26"/>
  <c r="D14" i="26"/>
  <c r="D12" i="26"/>
  <c r="I53" i="25"/>
  <c r="F16" i="26"/>
  <c r="H16" i="26"/>
  <c r="F14" i="26"/>
  <c r="H14" i="26"/>
  <c r="D18" i="26"/>
  <c r="J53" i="25"/>
  <c r="F12" i="26"/>
  <c r="K53" i="25"/>
  <c r="F18" i="26"/>
  <c r="H12" i="26"/>
  <c r="H18" i="26"/>
  <c r="S21" i="9"/>
  <c r="T21" i="9"/>
  <c r="M21" i="9"/>
  <c r="N21" i="9"/>
  <c r="O21" i="9"/>
  <c r="U21" i="9"/>
  <c r="X21" i="9"/>
  <c r="Y21" i="9"/>
  <c r="Q21" i="9"/>
  <c r="V21" i="9"/>
  <c r="Z21" i="9"/>
  <c r="W21" i="9"/>
  <c r="R21" i="9"/>
  <c r="P21" i="9"/>
  <c r="M53" i="25"/>
  <c r="L53" i="25"/>
  <c r="E6" i="25"/>
  <c r="J25" i="48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/>
  <c r="AK2" i="28"/>
  <c r="AK1" i="27"/>
  <c r="AL2" i="28"/>
  <c r="AL1" i="27"/>
  <c r="Y2" i="28"/>
  <c r="Y1" i="27"/>
  <c r="Z2" i="28"/>
  <c r="Z1" i="27"/>
  <c r="AA2" i="28"/>
  <c r="AA1" i="27"/>
  <c r="AB2" i="28"/>
  <c r="AB1" i="27"/>
  <c r="AC2" i="28"/>
  <c r="AC1" i="27"/>
  <c r="AD2" i="28"/>
  <c r="AD1" i="27"/>
  <c r="AE2" i="28"/>
  <c r="AE1" i="27"/>
  <c r="AF2" i="28"/>
  <c r="AF1" i="27"/>
  <c r="AG2" i="28"/>
  <c r="AG1" i="27"/>
  <c r="AH2" i="28"/>
  <c r="AH1" i="27"/>
  <c r="AI2" i="28"/>
  <c r="AI1" i="27"/>
  <c r="AL6" i="28"/>
  <c r="AK6" i="28"/>
  <c r="AJ6" i="27"/>
  <c r="AI6" i="27"/>
  <c r="AH6" i="28"/>
  <c r="AL6" i="27"/>
  <c r="AI6" i="28"/>
  <c r="AK6" i="27"/>
  <c r="AJ6" i="28"/>
  <c r="AH6" i="27"/>
  <c r="B34" i="25"/>
  <c r="E40" i="44"/>
  <c r="A36" i="44"/>
  <c r="D14" i="43"/>
  <c r="A11" i="43"/>
  <c r="A12" i="43"/>
  <c r="A14" i="43"/>
  <c r="A16" i="43"/>
  <c r="A19" i="43"/>
  <c r="A21" i="43"/>
  <c r="A23" i="43"/>
  <c r="A25" i="43"/>
  <c r="D7" i="43"/>
  <c r="AF18" i="28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/>
  <c r="AH5" i="45" a="1"/>
  <c r="AH5" i="45"/>
  <c r="AB6" i="45" a="1"/>
  <c r="AB6" i="45"/>
  <c r="V8" i="45" a="1"/>
  <c r="V8" i="45"/>
  <c r="AD8" i="45" a="1"/>
  <c r="AD8" i="45"/>
  <c r="W9" i="45" a="1"/>
  <c r="W9" i="45"/>
  <c r="AE9" i="45" a="1"/>
  <c r="AE9" i="45"/>
  <c r="X10" i="45" a="1"/>
  <c r="X10" i="45"/>
  <c r="AF10" i="45" a="1"/>
  <c r="AF10" i="45"/>
  <c r="Z11" i="45" a="1"/>
  <c r="Z11" i="45"/>
  <c r="AJ11" i="45" a="1"/>
  <c r="AJ11" i="45"/>
  <c r="AG6" i="45" a="1"/>
  <c r="AG6" i="45"/>
  <c r="AH8" i="45" a="1"/>
  <c r="AH8" i="45"/>
  <c r="AI9" i="45" a="1"/>
  <c r="AI9" i="45"/>
  <c r="V11" i="45" a="1"/>
  <c r="V11" i="45"/>
  <c r="AJ12" i="45" a="1"/>
  <c r="AJ12" i="45"/>
  <c r="AJ39" i="45"/>
  <c r="AH6" i="45" a="1"/>
  <c r="AH6" i="45"/>
  <c r="AB9" i="45" a="1"/>
  <c r="AB9" i="45"/>
  <c r="AC10" i="45" a="1"/>
  <c r="AC10" i="45"/>
  <c r="AF11" i="45" a="1"/>
  <c r="AF11" i="45"/>
  <c r="AF5" i="45" a="1"/>
  <c r="AF5" i="45"/>
  <c r="AB8" i="45" a="1"/>
  <c r="AB8" i="45"/>
  <c r="AC9" i="45" a="1"/>
  <c r="AC9" i="45"/>
  <c r="X11" i="45" a="1"/>
  <c r="X11" i="45"/>
  <c r="AG5" i="45" a="1"/>
  <c r="AG5" i="45"/>
  <c r="AJ6" i="45" a="1"/>
  <c r="AJ6" i="45"/>
  <c r="V9" i="45" a="1"/>
  <c r="V9" i="45"/>
  <c r="W10" i="45" a="1"/>
  <c r="W10" i="45"/>
  <c r="Y11" i="45" a="1"/>
  <c r="Y11" i="45"/>
  <c r="AI5" i="45" a="1"/>
  <c r="AI5" i="45"/>
  <c r="AC6" i="45" a="1"/>
  <c r="AC6" i="45"/>
  <c r="W8" i="45" a="1"/>
  <c r="W8" i="45"/>
  <c r="AE8" i="45" a="1"/>
  <c r="AE8" i="45"/>
  <c r="X9" i="45" a="1"/>
  <c r="X9" i="45"/>
  <c r="AF9" i="45" a="1"/>
  <c r="AF9" i="45"/>
  <c r="AG10" i="45" a="1"/>
  <c r="AG10" i="45"/>
  <c r="AB11" i="45" a="1"/>
  <c r="AB11" i="45"/>
  <c r="AJ5" i="45" a="1"/>
  <c r="AJ5" i="45"/>
  <c r="AD6" i="45" a="1"/>
  <c r="AD6" i="45"/>
  <c r="X8" i="45" a="1"/>
  <c r="X8" i="45"/>
  <c r="AF8" i="45" a="1"/>
  <c r="AF8" i="45"/>
  <c r="Y9" i="45" a="1"/>
  <c r="Y9" i="45"/>
  <c r="AG9" i="45" a="1"/>
  <c r="AG9" i="45"/>
  <c r="Y10" i="45" a="1"/>
  <c r="Y10" i="45"/>
  <c r="AI10" i="45" a="1"/>
  <c r="AI10" i="45"/>
  <c r="AC11" i="45" a="1"/>
  <c r="AC11" i="45"/>
  <c r="V6" i="45" a="1"/>
  <c r="V6" i="45"/>
  <c r="AF6" i="45" a="1"/>
  <c r="AF6" i="45"/>
  <c r="Y8" i="45" a="1"/>
  <c r="Y8" i="45"/>
  <c r="AG8" i="45" a="1"/>
  <c r="AG8" i="45"/>
  <c r="Z9" i="45" a="1"/>
  <c r="Z9" i="45"/>
  <c r="AH9" i="45" a="1"/>
  <c r="AH9" i="45"/>
  <c r="AA10" i="45" a="1"/>
  <c r="AA10" i="45"/>
  <c r="AJ10" i="45" a="1"/>
  <c r="AJ10" i="45"/>
  <c r="AD11" i="45" a="1"/>
  <c r="AD11" i="45"/>
  <c r="AH12" i="45" a="1"/>
  <c r="AH12" i="45"/>
  <c r="AH39" i="45"/>
  <c r="X6" i="45" a="1"/>
  <c r="X6" i="45"/>
  <c r="Z8" i="45" a="1"/>
  <c r="Z8" i="45"/>
  <c r="AA9" i="45" a="1"/>
  <c r="AA9" i="45"/>
  <c r="AB10" i="45" a="1"/>
  <c r="AB10" i="45"/>
  <c r="AE11" i="45" a="1"/>
  <c r="AE11" i="45"/>
  <c r="Y6" i="45" a="1"/>
  <c r="Y6" i="45"/>
  <c r="AA8" i="45" a="1"/>
  <c r="AA8" i="45"/>
  <c r="AI8" i="45" a="1"/>
  <c r="AI8" i="45"/>
  <c r="AJ9" i="45" a="1"/>
  <c r="AJ9" i="45"/>
  <c r="W11" i="45" a="1"/>
  <c r="W11" i="45"/>
  <c r="Z6" i="45" a="1"/>
  <c r="Z6" i="45"/>
  <c r="AI6" i="45" a="1"/>
  <c r="AI6" i="45"/>
  <c r="AJ8" i="45" a="1"/>
  <c r="AJ8" i="45"/>
  <c r="V10" i="45" a="1"/>
  <c r="V10" i="45"/>
  <c r="AD10" i="45" a="1"/>
  <c r="AD10" i="45"/>
  <c r="AG11" i="45" a="1"/>
  <c r="AG11" i="45"/>
  <c r="AA6" i="45" a="1"/>
  <c r="AA6" i="45"/>
  <c r="AC8" i="45" a="1"/>
  <c r="AC8" i="45"/>
  <c r="AD9" i="45" a="1"/>
  <c r="AD9" i="45"/>
  <c r="AE10" i="45" a="1"/>
  <c r="AE10" i="45"/>
  <c r="AH11" i="45" a="1"/>
  <c r="AH11" i="45"/>
  <c r="AA11" i="45" a="1"/>
  <c r="AA11" i="45"/>
  <c r="AI12" i="45" a="1"/>
  <c r="AI12" i="45"/>
  <c r="AI39" i="45"/>
  <c r="AI11" i="45" a="1"/>
  <c r="AI11" i="45"/>
  <c r="W6" i="45" a="1"/>
  <c r="W6" i="45"/>
  <c r="AH10" i="45" a="1"/>
  <c r="AH10" i="45"/>
  <c r="AF12" i="45" a="1"/>
  <c r="AF12" i="45"/>
  <c r="AF39" i="45"/>
  <c r="AG12" i="45" a="1"/>
  <c r="AG12" i="45"/>
  <c r="AG39" i="45"/>
  <c r="AE6" i="45" a="1"/>
  <c r="AE6" i="45"/>
  <c r="Z10" i="45" a="1"/>
  <c r="Z10" i="45"/>
  <c r="D21" i="43"/>
  <c r="D23" i="43"/>
  <c r="D25" i="43"/>
  <c r="R27" i="9"/>
  <c r="Z27" i="9"/>
  <c r="Q27" i="9"/>
  <c r="S27" i="9"/>
  <c r="T27" i="9"/>
  <c r="X27" i="9"/>
  <c r="M27" i="9"/>
  <c r="P27" i="9"/>
  <c r="U27" i="9"/>
  <c r="Y27" i="9"/>
  <c r="N27" i="9"/>
  <c r="V27" i="9"/>
  <c r="W27" i="9"/>
  <c r="O27" i="9"/>
  <c r="L27" i="9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/>
  <c r="L21" i="9"/>
  <c r="G21" i="9"/>
  <c r="H21" i="9"/>
  <c r="I21" i="9"/>
  <c r="J21" i="9"/>
  <c r="B27" i="48"/>
  <c r="G23" i="49"/>
  <c r="F23" i="49"/>
  <c r="E23" i="49"/>
  <c r="D23" i="49"/>
  <c r="C23" i="49"/>
  <c r="B23" i="49"/>
  <c r="P27" i="48" a="1"/>
  <c r="P27" i="48"/>
  <c r="Q27" i="48" a="1"/>
  <c r="Q27" i="48"/>
  <c r="O27" i="48" a="1"/>
  <c r="O27" i="48"/>
  <c r="AA40" i="48"/>
  <c r="R27" i="48" a="1"/>
  <c r="R27" i="48"/>
  <c r="U27" i="48" a="1"/>
  <c r="U27" i="48"/>
  <c r="W27" i="48" a="1"/>
  <c r="W27" i="48"/>
  <c r="S27" i="48" a="1"/>
  <c r="S27" i="48"/>
  <c r="T27" i="48" a="1"/>
  <c r="T27" i="48"/>
  <c r="V27" i="48" a="1"/>
  <c r="V27" i="48"/>
  <c r="M27" i="48" a="1"/>
  <c r="M27" i="48"/>
  <c r="N27" i="48" a="1"/>
  <c r="N27" i="48"/>
  <c r="K27" i="48" a="1"/>
  <c r="K27" i="48"/>
  <c r="J27" i="48" a="1"/>
  <c r="J27" i="48"/>
  <c r="L27" i="48" a="1"/>
  <c r="L27" i="48"/>
  <c r="I27" i="48" a="1"/>
  <c r="I27" i="48"/>
  <c r="H27" i="48" a="1"/>
  <c r="H27" i="48"/>
  <c r="C27" i="48" a="1"/>
  <c r="C27" i="48"/>
  <c r="G27" i="48" a="1"/>
  <c r="G27" i="48"/>
  <c r="E27" i="48" a="1"/>
  <c r="E27" i="48"/>
  <c r="F27" i="48" a="1"/>
  <c r="F27" i="48"/>
  <c r="D27" i="48" a="1"/>
  <c r="D27" i="48"/>
  <c r="AA44" i="48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/>
  <c r="F2" i="28"/>
  <c r="F1" i="27"/>
  <c r="G2" i="28"/>
  <c r="G1" i="27"/>
  <c r="H2" i="28"/>
  <c r="H1" i="27"/>
  <c r="I2" i="28"/>
  <c r="I1" i="27"/>
  <c r="J2" i="28"/>
  <c r="J1" i="27"/>
  <c r="K2" i="28"/>
  <c r="K1" i="27"/>
  <c r="L2" i="28"/>
  <c r="L1" i="27"/>
  <c r="M2" i="28"/>
  <c r="M1" i="27"/>
  <c r="N2" i="28"/>
  <c r="N1" i="27"/>
  <c r="O2" i="28"/>
  <c r="O1" i="27"/>
  <c r="P2" i="28"/>
  <c r="P1" i="27"/>
  <c r="Q2" i="28"/>
  <c r="Q1" i="27"/>
  <c r="R2" i="28"/>
  <c r="R1" i="27"/>
  <c r="S2" i="28"/>
  <c r="S1" i="27"/>
  <c r="T2" i="28"/>
  <c r="T1" i="27"/>
  <c r="U2" i="28"/>
  <c r="U1" i="27"/>
  <c r="V2" i="28"/>
  <c r="V1" i="27"/>
  <c r="W2" i="28"/>
  <c r="W1" i="27"/>
  <c r="X2" i="28"/>
  <c r="X1" i="27"/>
  <c r="D2" i="28"/>
  <c r="D1" i="27"/>
  <c r="A14" i="45"/>
  <c r="A15" i="45"/>
  <c r="A16" i="45"/>
  <c r="A17" i="45"/>
  <c r="A18" i="45"/>
  <c r="A20" i="45"/>
  <c r="A21" i="45"/>
  <c r="A23" i="45"/>
  <c r="A24" i="45"/>
  <c r="A25" i="45"/>
  <c r="B29" i="25"/>
  <c r="B30" i="25"/>
  <c r="B22" i="25"/>
  <c r="B24" i="45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/>
  <c r="A1" i="45"/>
  <c r="K18" i="28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/>
  <c r="G13" i="9"/>
  <c r="G52" i="9"/>
  <c r="H6" i="9"/>
  <c r="H13" i="9"/>
  <c r="H52" i="9"/>
  <c r="I6" i="9"/>
  <c r="I13" i="9"/>
  <c r="I52" i="9"/>
  <c r="J6" i="9"/>
  <c r="J13" i="9"/>
  <c r="J52" i="9"/>
  <c r="K6" i="9"/>
  <c r="K13" i="9"/>
  <c r="K52" i="9"/>
  <c r="L6" i="9"/>
  <c r="L13" i="9"/>
  <c r="L52" i="9"/>
  <c r="B46" i="25"/>
  <c r="B53" i="25"/>
  <c r="V5" i="45" a="1"/>
  <c r="V5" i="45"/>
  <c r="J4" i="48"/>
  <c r="J24" i="48"/>
  <c r="K4" i="48"/>
  <c r="K24" i="48"/>
  <c r="L4" i="48"/>
  <c r="L24" i="48"/>
  <c r="M4" i="48"/>
  <c r="M24" i="48"/>
  <c r="N4" i="48"/>
  <c r="N24" i="48"/>
  <c r="B41" i="25"/>
  <c r="B5" i="9"/>
  <c r="B4" i="45"/>
  <c r="D3" i="28"/>
  <c r="D2" i="27"/>
  <c r="T39" i="48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W5" i="45" a="1"/>
  <c r="W5" i="45"/>
  <c r="V12" i="45" a="1"/>
  <c r="V12" i="45"/>
  <c r="V39" i="45"/>
  <c r="X5" i="45" a="1"/>
  <c r="X5" i="45"/>
  <c r="Y6" i="27"/>
  <c r="Y6" i="28"/>
  <c r="W12" i="45" a="1"/>
  <c r="W12" i="45"/>
  <c r="W39" i="45"/>
  <c r="Y5" i="45" a="1"/>
  <c r="Y5" i="45"/>
  <c r="Z6" i="27"/>
  <c r="Z6" i="28"/>
  <c r="X12" i="45" a="1"/>
  <c r="X12" i="45"/>
  <c r="X39" i="45"/>
  <c r="A6" i="45"/>
  <c r="A8" i="45"/>
  <c r="A9" i="45"/>
  <c r="A10" i="45"/>
  <c r="A11" i="45"/>
  <c r="A12" i="45"/>
  <c r="A13" i="45"/>
  <c r="A5" i="45"/>
  <c r="Z5" i="45" a="1"/>
  <c r="Z5" i="45"/>
  <c r="AA6" i="27"/>
  <c r="AA6" i="28"/>
  <c r="Y12" i="45" a="1"/>
  <c r="Y12" i="45"/>
  <c r="Y39" i="45"/>
  <c r="E8" i="25"/>
  <c r="E4" i="25"/>
  <c r="C9" i="9"/>
  <c r="C8" i="45" a="1"/>
  <c r="C8" i="45"/>
  <c r="D9" i="9"/>
  <c r="D8" i="45" a="1"/>
  <c r="D8" i="45"/>
  <c r="E9" i="9"/>
  <c r="E8" i="45" a="1"/>
  <c r="E8" i="45"/>
  <c r="F9" i="9"/>
  <c r="F8" i="45" a="1"/>
  <c r="F8" i="45"/>
  <c r="G8" i="45" a="1"/>
  <c r="G8" i="45"/>
  <c r="H8" i="45" a="1"/>
  <c r="H8" i="45"/>
  <c r="I8" i="45" a="1"/>
  <c r="I8" i="45"/>
  <c r="J8" i="45" a="1"/>
  <c r="J8" i="45"/>
  <c r="K8" i="45" a="1"/>
  <c r="K8" i="45"/>
  <c r="L8" i="45" a="1"/>
  <c r="L8" i="45"/>
  <c r="M8" i="45" a="1"/>
  <c r="M8" i="45"/>
  <c r="N8" i="45" a="1"/>
  <c r="N8" i="45"/>
  <c r="O8" i="45" a="1"/>
  <c r="O8" i="45"/>
  <c r="P8" i="45" a="1"/>
  <c r="P8" i="45"/>
  <c r="Q8" i="45" a="1"/>
  <c r="Q8" i="45"/>
  <c r="R8" i="45" a="1"/>
  <c r="R8" i="45"/>
  <c r="S8" i="45" a="1"/>
  <c r="S8" i="45"/>
  <c r="T8" i="45" a="1"/>
  <c r="T8" i="45"/>
  <c r="U8" i="45" a="1"/>
  <c r="U8" i="45"/>
  <c r="C10" i="9"/>
  <c r="C9" i="45" a="1"/>
  <c r="C9" i="45"/>
  <c r="D10" i="9"/>
  <c r="D9" i="45" a="1"/>
  <c r="D9" i="45"/>
  <c r="E10" i="9"/>
  <c r="E9" i="45" a="1"/>
  <c r="E9" i="45"/>
  <c r="F10" i="9"/>
  <c r="F9" i="45" a="1"/>
  <c r="F9" i="45"/>
  <c r="G9" i="45" a="1"/>
  <c r="G9" i="45"/>
  <c r="H9" i="45" a="1"/>
  <c r="H9" i="45"/>
  <c r="I9" i="45" a="1"/>
  <c r="I9" i="45"/>
  <c r="J9" i="45" a="1"/>
  <c r="J9" i="45"/>
  <c r="K9" i="45" a="1"/>
  <c r="K9" i="45"/>
  <c r="L9" i="45" a="1"/>
  <c r="L9" i="45"/>
  <c r="M9" i="45" a="1"/>
  <c r="M9" i="45"/>
  <c r="N9" i="45" a="1"/>
  <c r="N9" i="45"/>
  <c r="O9" i="45" a="1"/>
  <c r="O9" i="45"/>
  <c r="P9" i="45" a="1"/>
  <c r="P9" i="45"/>
  <c r="Q9" i="45" a="1"/>
  <c r="Q9" i="45"/>
  <c r="R9" i="45" a="1"/>
  <c r="R9" i="45"/>
  <c r="S9" i="45" a="1"/>
  <c r="S9" i="45"/>
  <c r="T9" i="45" a="1"/>
  <c r="T9" i="45"/>
  <c r="U9" i="45" a="1"/>
  <c r="U9" i="45"/>
  <c r="C11" i="9"/>
  <c r="C10" i="45" a="1"/>
  <c r="C10" i="45"/>
  <c r="D11" i="9"/>
  <c r="D10" i="45" a="1"/>
  <c r="D10" i="45"/>
  <c r="E11" i="9"/>
  <c r="E10" i="45" a="1"/>
  <c r="E10" i="45"/>
  <c r="F11" i="9"/>
  <c r="F10" i="45" a="1"/>
  <c r="F10" i="45"/>
  <c r="G10" i="45" a="1"/>
  <c r="G10" i="45"/>
  <c r="H10" i="45" a="1"/>
  <c r="H10" i="45"/>
  <c r="I10" i="45" a="1"/>
  <c r="I10" i="45"/>
  <c r="J10" i="45" a="1"/>
  <c r="J10" i="45"/>
  <c r="K10" i="45" a="1"/>
  <c r="K10" i="45"/>
  <c r="L10" i="45" a="1"/>
  <c r="L10" i="45"/>
  <c r="M10" i="45" a="1"/>
  <c r="M10" i="45"/>
  <c r="N10" i="45" a="1"/>
  <c r="N10" i="45"/>
  <c r="O10" i="45" a="1"/>
  <c r="O10" i="45"/>
  <c r="P10" i="45" a="1"/>
  <c r="P10" i="45"/>
  <c r="Q10" i="45" a="1"/>
  <c r="Q10" i="45"/>
  <c r="R10" i="45" a="1"/>
  <c r="R10" i="45"/>
  <c r="S10" i="45" a="1"/>
  <c r="S10" i="45"/>
  <c r="T10" i="45" a="1"/>
  <c r="T10" i="45"/>
  <c r="U10" i="45" a="1"/>
  <c r="U10" i="45"/>
  <c r="C12" i="9"/>
  <c r="C11" i="45" a="1"/>
  <c r="C11" i="45"/>
  <c r="D12" i="9"/>
  <c r="D11" i="45" a="1"/>
  <c r="D11" i="45"/>
  <c r="E12" i="9"/>
  <c r="E11" i="45" a="1"/>
  <c r="E11" i="45"/>
  <c r="F12" i="9"/>
  <c r="F11" i="45" a="1"/>
  <c r="F11" i="45"/>
  <c r="G11" i="45" a="1"/>
  <c r="G11" i="45"/>
  <c r="H11" i="45" a="1"/>
  <c r="H11" i="45"/>
  <c r="I11" i="45" a="1"/>
  <c r="I11" i="45"/>
  <c r="J11" i="45" a="1"/>
  <c r="J11" i="45"/>
  <c r="K11" i="45" a="1"/>
  <c r="K11" i="45"/>
  <c r="L11" i="45" a="1"/>
  <c r="L11" i="45"/>
  <c r="M11" i="45" a="1"/>
  <c r="M11" i="45"/>
  <c r="N11" i="45" a="1"/>
  <c r="N11" i="45"/>
  <c r="O11" i="45" a="1"/>
  <c r="O11" i="45"/>
  <c r="P11" i="45" a="1"/>
  <c r="P11" i="45"/>
  <c r="Q11" i="45" a="1"/>
  <c r="Q11" i="45"/>
  <c r="R11" i="45" a="1"/>
  <c r="R11" i="45"/>
  <c r="S11" i="45" a="1"/>
  <c r="S11" i="45"/>
  <c r="T11" i="45" a="1"/>
  <c r="T11" i="45"/>
  <c r="U11" i="45" a="1"/>
  <c r="U11" i="45"/>
  <c r="B10" i="9"/>
  <c r="B9" i="45" a="1"/>
  <c r="B9" i="45"/>
  <c r="B11" i="9"/>
  <c r="B10" i="45" a="1"/>
  <c r="B10" i="45"/>
  <c r="B12" i="9"/>
  <c r="B11" i="45" a="1"/>
  <c r="B11" i="45"/>
  <c r="B9" i="9"/>
  <c r="B8" i="45" a="1"/>
  <c r="B8" i="45"/>
  <c r="C7" i="9"/>
  <c r="C6" i="45" a="1"/>
  <c r="C6" i="45"/>
  <c r="D7" i="9"/>
  <c r="D6" i="45" a="1"/>
  <c r="D6" i="45"/>
  <c r="E7" i="9"/>
  <c r="E6" i="45" a="1"/>
  <c r="E6" i="45"/>
  <c r="F7" i="9"/>
  <c r="F6" i="45" a="1"/>
  <c r="F6" i="45"/>
  <c r="G6" i="45" a="1"/>
  <c r="G6" i="45"/>
  <c r="H6" i="45" a="1"/>
  <c r="H6" i="45"/>
  <c r="I6" i="45" a="1"/>
  <c r="I6" i="45"/>
  <c r="J6" i="45" a="1"/>
  <c r="J6" i="45"/>
  <c r="K6" i="45" a="1"/>
  <c r="K6" i="45"/>
  <c r="L6" i="45" a="1"/>
  <c r="L6" i="45"/>
  <c r="M6" i="45" a="1"/>
  <c r="M6" i="45"/>
  <c r="N6" i="45" a="1"/>
  <c r="N6" i="45"/>
  <c r="O6" i="45" a="1"/>
  <c r="O6" i="45"/>
  <c r="P6" i="45" a="1"/>
  <c r="P6" i="45"/>
  <c r="Q6" i="45" a="1"/>
  <c r="Q6" i="45"/>
  <c r="R6" i="45" a="1"/>
  <c r="R6" i="45"/>
  <c r="S6" i="45" a="1"/>
  <c r="S6" i="45"/>
  <c r="T6" i="45" a="1"/>
  <c r="T6" i="45"/>
  <c r="U6" i="45" a="1"/>
  <c r="U6" i="45"/>
  <c r="B7" i="9"/>
  <c r="B6" i="45" a="1"/>
  <c r="B6" i="45"/>
  <c r="C6" i="9"/>
  <c r="C5" i="45" a="1"/>
  <c r="C5" i="45"/>
  <c r="D6" i="9"/>
  <c r="D5" i="45" a="1"/>
  <c r="D5" i="45"/>
  <c r="E6" i="9"/>
  <c r="E5" i="45" a="1"/>
  <c r="E5" i="45"/>
  <c r="F6" i="9"/>
  <c r="F5" i="45" a="1"/>
  <c r="F5" i="45"/>
  <c r="G5" i="45" a="1"/>
  <c r="G5" i="45"/>
  <c r="H5" i="45" a="1"/>
  <c r="H5" i="45"/>
  <c r="I5" i="45" a="1"/>
  <c r="I5" i="45"/>
  <c r="J5" i="45" a="1"/>
  <c r="J5" i="45"/>
  <c r="K5" i="45" a="1"/>
  <c r="K5" i="45"/>
  <c r="L5" i="45" a="1"/>
  <c r="L5" i="45"/>
  <c r="M5" i="45" a="1"/>
  <c r="M5" i="45"/>
  <c r="N5" i="45" a="1"/>
  <c r="N5" i="45"/>
  <c r="O5" i="45" a="1"/>
  <c r="O5" i="45"/>
  <c r="P5" i="45" a="1"/>
  <c r="P5" i="45"/>
  <c r="Q5" i="45" a="1"/>
  <c r="Q5" i="45"/>
  <c r="R5" i="45" a="1"/>
  <c r="R5" i="45"/>
  <c r="S5" i="45" a="1"/>
  <c r="S5" i="45"/>
  <c r="T5" i="45" a="1"/>
  <c r="T5" i="45"/>
  <c r="U5" i="45" a="1"/>
  <c r="U5" i="45"/>
  <c r="B6" i="9"/>
  <c r="D4" i="48"/>
  <c r="D24" i="48"/>
  <c r="E4" i="48"/>
  <c r="F4" i="48"/>
  <c r="G4" i="48"/>
  <c r="H4" i="48"/>
  <c r="I4" i="48"/>
  <c r="C4" i="48"/>
  <c r="D29" i="48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A5" i="45" a="1"/>
  <c r="AA5" i="45"/>
  <c r="AB6" i="27"/>
  <c r="AB6" i="28"/>
  <c r="Z12" i="45" a="1"/>
  <c r="Z12" i="45"/>
  <c r="Z39" i="45"/>
  <c r="B5" i="45" a="1"/>
  <c r="B5" i="45"/>
  <c r="B13" i="9"/>
  <c r="B12" i="45"/>
  <c r="B17" i="25"/>
  <c r="E7" i="25"/>
  <c r="B18" i="25"/>
  <c r="E9" i="25"/>
  <c r="AB5" i="45" a="1"/>
  <c r="AB5" i="45"/>
  <c r="AC6" i="27"/>
  <c r="AC6" i="28"/>
  <c r="AA12" i="45" a="1"/>
  <c r="AA12" i="45"/>
  <c r="AA39" i="45"/>
  <c r="AC5" i="45" a="1"/>
  <c r="AC5" i="45"/>
  <c r="AD6" i="28"/>
  <c r="AD6" i="27"/>
  <c r="AB12" i="45" a="1"/>
  <c r="AB12" i="45"/>
  <c r="AB39" i="45"/>
  <c r="AD5" i="45" a="1"/>
  <c r="AD5" i="45"/>
  <c r="AE5" i="45" a="1"/>
  <c r="AE5" i="45"/>
  <c r="AE6" i="28"/>
  <c r="AE6" i="27"/>
  <c r="AC12" i="45" a="1"/>
  <c r="AC12" i="45"/>
  <c r="AC39" i="45"/>
  <c r="A38" i="25"/>
  <c r="AG6" i="28"/>
  <c r="AG6" i="27"/>
  <c r="AE12" i="45" a="1"/>
  <c r="AE12" i="45"/>
  <c r="AE39" i="45"/>
  <c r="AF6" i="28"/>
  <c r="AF6" i="27"/>
  <c r="AD12" i="45" a="1"/>
  <c r="AD12" i="45"/>
  <c r="AD39" i="45"/>
  <c r="F21" i="9"/>
  <c r="C21" i="9"/>
  <c r="E21" i="9"/>
  <c r="B21" i="9"/>
  <c r="D21" i="9"/>
  <c r="D19" i="27"/>
  <c r="C3" i="48"/>
  <c r="B19" i="48"/>
  <c r="B5" i="48"/>
  <c r="B6" i="48"/>
  <c r="D25" i="48"/>
  <c r="H24" i="48"/>
  <c r="I24" i="48"/>
  <c r="C24" i="48"/>
  <c r="E24" i="48"/>
  <c r="G24" i="48"/>
  <c r="F24" i="48"/>
  <c r="C5" i="9"/>
  <c r="C4" i="45"/>
  <c r="E3" i="28"/>
  <c r="E2" i="27"/>
  <c r="D3" i="48"/>
  <c r="E25" i="48"/>
  <c r="Q31" i="48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/>
  <c r="D5" i="9"/>
  <c r="D4" i="45"/>
  <c r="F3" i="28"/>
  <c r="F2" i="27"/>
  <c r="E3" i="48"/>
  <c r="H33" i="48"/>
  <c r="G32" i="48"/>
  <c r="I34" i="48"/>
  <c r="F31" i="48"/>
  <c r="E30" i="48"/>
  <c r="R28" i="48"/>
  <c r="R59" i="48"/>
  <c r="T28" i="48"/>
  <c r="T59" i="48"/>
  <c r="O28" i="48"/>
  <c r="O59" i="48"/>
  <c r="S28" i="48"/>
  <c r="S59" i="48"/>
  <c r="U28" i="48"/>
  <c r="U59" i="48"/>
  <c r="V28" i="48"/>
  <c r="V59" i="48"/>
  <c r="W28" i="48"/>
  <c r="W59" i="48"/>
  <c r="X28" i="48"/>
  <c r="X59" i="48"/>
  <c r="Y28" i="48"/>
  <c r="Y59" i="48"/>
  <c r="Z28" i="48"/>
  <c r="Z59" i="48"/>
  <c r="AA28" i="48"/>
  <c r="AA59" i="48"/>
  <c r="P28" i="48"/>
  <c r="P59" i="48"/>
  <c r="Q28" i="48"/>
  <c r="Q59" i="48"/>
  <c r="J28" i="48"/>
  <c r="J59" i="48"/>
  <c r="L28" i="48"/>
  <c r="L59" i="48"/>
  <c r="N28" i="48"/>
  <c r="N59" i="48"/>
  <c r="M28" i="48"/>
  <c r="M59" i="48"/>
  <c r="K28" i="48"/>
  <c r="K59" i="48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/>
  <c r="M39" i="45"/>
  <c r="G12" i="45" a="1"/>
  <c r="G12" i="45"/>
  <c r="G39" i="45"/>
  <c r="L12" i="45" a="1"/>
  <c r="L12" i="45"/>
  <c r="L39" i="45"/>
  <c r="I12" i="45" a="1"/>
  <c r="I12" i="45"/>
  <c r="I39" i="45"/>
  <c r="Q12" i="45" a="1"/>
  <c r="Q12" i="45"/>
  <c r="Q39" i="45"/>
  <c r="N12" i="45" a="1"/>
  <c r="N12" i="45"/>
  <c r="N39" i="45"/>
  <c r="P12" i="45" a="1"/>
  <c r="P12" i="45"/>
  <c r="P39" i="45"/>
  <c r="C12" i="45" a="1"/>
  <c r="C12" i="45"/>
  <c r="C39" i="45"/>
  <c r="J12" i="45" a="1"/>
  <c r="J12" i="45"/>
  <c r="J39" i="45"/>
  <c r="D12" i="45" a="1"/>
  <c r="D12" i="45"/>
  <c r="D39" i="45"/>
  <c r="O12" i="45" a="1"/>
  <c r="O12" i="45"/>
  <c r="O39" i="45"/>
  <c r="E12" i="45" a="1"/>
  <c r="E12" i="45"/>
  <c r="E39" i="45"/>
  <c r="U12" i="45" a="1"/>
  <c r="U12" i="45"/>
  <c r="U39" i="45"/>
  <c r="T12" i="45" a="1"/>
  <c r="T12" i="45"/>
  <c r="T39" i="45"/>
  <c r="H12" i="45" a="1"/>
  <c r="H12" i="45"/>
  <c r="H39" i="45"/>
  <c r="S12" i="45" a="1"/>
  <c r="S12" i="45"/>
  <c r="S39" i="45"/>
  <c r="K12" i="45" a="1"/>
  <c r="K12" i="45"/>
  <c r="K39" i="45"/>
  <c r="R12" i="45" a="1"/>
  <c r="R12" i="45"/>
  <c r="R39" i="45"/>
  <c r="F12" i="45" a="1"/>
  <c r="F12" i="45"/>
  <c r="F39" i="45"/>
  <c r="C10" i="48"/>
  <c r="C28" i="48"/>
  <c r="C59" i="48"/>
  <c r="G28" i="48"/>
  <c r="H28" i="48"/>
  <c r="F28" i="48"/>
  <c r="I28" i="48"/>
  <c r="D28" i="48"/>
  <c r="D59" i="48"/>
  <c r="E28" i="48"/>
  <c r="E59" i="48"/>
  <c r="D6" i="48"/>
  <c r="B52" i="9"/>
  <c r="D6" i="27"/>
  <c r="E5" i="9"/>
  <c r="E4" i="45"/>
  <c r="G3" i="28"/>
  <c r="G2" i="27"/>
  <c r="F3" i="48"/>
  <c r="F25" i="48"/>
  <c r="C63" i="48"/>
  <c r="C20" i="48"/>
  <c r="C11" i="48"/>
  <c r="D14" i="28"/>
  <c r="D15" i="27"/>
  <c r="C65" i="48"/>
  <c r="D19" i="48"/>
  <c r="B14" i="9"/>
  <c r="D10" i="48"/>
  <c r="E6" i="48"/>
  <c r="E19" i="48"/>
  <c r="C60" i="48"/>
  <c r="D60" i="48"/>
  <c r="E60" i="48"/>
  <c r="F5" i="9"/>
  <c r="F4" i="45"/>
  <c r="H3" i="28"/>
  <c r="H2" i="27"/>
  <c r="G3" i="48"/>
  <c r="F59" i="48"/>
  <c r="G25" i="48"/>
  <c r="F6" i="48"/>
  <c r="F19" i="48"/>
  <c r="D7" i="28"/>
  <c r="B13" i="45"/>
  <c r="C14" i="9"/>
  <c r="C53" i="9"/>
  <c r="D65" i="48"/>
  <c r="E14" i="28"/>
  <c r="E15" i="27"/>
  <c r="D63" i="48"/>
  <c r="D20" i="48"/>
  <c r="D11" i="48"/>
  <c r="E10" i="48"/>
  <c r="G5" i="9"/>
  <c r="G4" i="45"/>
  <c r="I3" i="28"/>
  <c r="I2" i="27"/>
  <c r="H3" i="48"/>
  <c r="G59" i="48"/>
  <c r="F60" i="48"/>
  <c r="H25" i="48"/>
  <c r="E7" i="28"/>
  <c r="E7" i="27"/>
  <c r="F14" i="28"/>
  <c r="F15" i="27"/>
  <c r="E63" i="48"/>
  <c r="E65" i="48"/>
  <c r="E20" i="48"/>
  <c r="D14" i="9"/>
  <c r="C13" i="45" a="1"/>
  <c r="C13" i="45"/>
  <c r="C40" i="45"/>
  <c r="F10" i="48"/>
  <c r="G6" i="48"/>
  <c r="G19" i="48"/>
  <c r="H5" i="9"/>
  <c r="H4" i="45"/>
  <c r="J3" i="28"/>
  <c r="J2" i="27"/>
  <c r="I3" i="48"/>
  <c r="J3" i="48"/>
  <c r="K3" i="48"/>
  <c r="L3" i="48"/>
  <c r="M3" i="48"/>
  <c r="N3" i="48"/>
  <c r="O3" i="48"/>
  <c r="I59" i="48"/>
  <c r="H59" i="48"/>
  <c r="G60" i="48"/>
  <c r="I25" i="48"/>
  <c r="P3" i="48"/>
  <c r="E14" i="9"/>
  <c r="G7" i="27"/>
  <c r="G14" i="28"/>
  <c r="G15" i="27"/>
  <c r="F63" i="48"/>
  <c r="F65" i="48"/>
  <c r="F20" i="48"/>
  <c r="F11" i="48"/>
  <c r="F7" i="28"/>
  <c r="F7" i="27"/>
  <c r="D53" i="9"/>
  <c r="E11" i="48"/>
  <c r="D13" i="45" a="1"/>
  <c r="D13" i="45"/>
  <c r="D40" i="45"/>
  <c r="G10" i="48"/>
  <c r="H6" i="48"/>
  <c r="H19" i="48"/>
  <c r="I5" i="9"/>
  <c r="I4" i="45"/>
  <c r="K3" i="28"/>
  <c r="K2" i="27"/>
  <c r="H60" i="48"/>
  <c r="I60" i="48"/>
  <c r="J60" i="48"/>
  <c r="K60" i="48"/>
  <c r="L60" i="48"/>
  <c r="M60" i="48"/>
  <c r="N60" i="48"/>
  <c r="O60" i="48"/>
  <c r="P60" i="48"/>
  <c r="Q60" i="48"/>
  <c r="R60" i="48"/>
  <c r="S60" i="48"/>
  <c r="T60" i="48"/>
  <c r="U60" i="48"/>
  <c r="V60" i="48"/>
  <c r="W60" i="48"/>
  <c r="X60" i="48"/>
  <c r="Y60" i="48"/>
  <c r="Z60" i="48"/>
  <c r="AA60" i="48"/>
  <c r="Q3" i="48"/>
  <c r="G7" i="28"/>
  <c r="E53" i="9"/>
  <c r="H14" i="28"/>
  <c r="H15" i="27"/>
  <c r="G65" i="48"/>
  <c r="G63" i="48"/>
  <c r="F14" i="9"/>
  <c r="F53" i="9"/>
  <c r="G14" i="9"/>
  <c r="G20" i="48"/>
  <c r="G11" i="48"/>
  <c r="E13" i="45" a="1"/>
  <c r="E13" i="45"/>
  <c r="E40" i="45"/>
  <c r="H10" i="48"/>
  <c r="I6" i="48"/>
  <c r="I19" i="48"/>
  <c r="J5" i="9"/>
  <c r="J4" i="45"/>
  <c r="L3" i="28"/>
  <c r="L2" i="27"/>
  <c r="R3" i="48"/>
  <c r="J6" i="48"/>
  <c r="J19" i="48"/>
  <c r="H7" i="27"/>
  <c r="G53" i="9"/>
  <c r="G42" i="9"/>
  <c r="H7" i="28"/>
  <c r="H65" i="48"/>
  <c r="G16" i="9"/>
  <c r="I14" i="28"/>
  <c r="I15" i="27"/>
  <c r="H63" i="48"/>
  <c r="H14" i="9"/>
  <c r="H20" i="48"/>
  <c r="F13" i="45" a="1"/>
  <c r="F13" i="45"/>
  <c r="F40" i="45"/>
  <c r="I10" i="48"/>
  <c r="K5" i="9"/>
  <c r="K4" i="45"/>
  <c r="M3" i="28"/>
  <c r="M2" i="27"/>
  <c r="S3" i="48"/>
  <c r="J10" i="48"/>
  <c r="K6" i="48"/>
  <c r="K19" i="48"/>
  <c r="H53" i="9"/>
  <c r="H42" i="9"/>
  <c r="I14" i="9"/>
  <c r="J63" i="48"/>
  <c r="J65" i="48"/>
  <c r="I7" i="27"/>
  <c r="I7" i="28"/>
  <c r="I65" i="48"/>
  <c r="H16" i="9"/>
  <c r="J14" i="28"/>
  <c r="J15" i="27"/>
  <c r="I63" i="48"/>
  <c r="I20" i="48"/>
  <c r="H11" i="48"/>
  <c r="G13" i="45" a="1"/>
  <c r="G13" i="45"/>
  <c r="G40" i="45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Z5" i="9"/>
  <c r="T3" i="48"/>
  <c r="L6" i="48"/>
  <c r="K10" i="48"/>
  <c r="I11" i="48"/>
  <c r="J20" i="48"/>
  <c r="J14" i="9"/>
  <c r="K63" i="48"/>
  <c r="K65" i="48"/>
  <c r="I53" i="9"/>
  <c r="I42" i="9"/>
  <c r="J67" i="48"/>
  <c r="I16" i="9"/>
  <c r="J7" i="27"/>
  <c r="J7" i="28"/>
  <c r="K7" i="27"/>
  <c r="K14" i="28"/>
  <c r="K15" i="27"/>
  <c r="H13" i="45" a="1"/>
  <c r="H13" i="45"/>
  <c r="H40" i="45"/>
  <c r="L4" i="45"/>
  <c r="N3" i="28"/>
  <c r="N2" i="27"/>
  <c r="U3" i="48"/>
  <c r="L10" i="48"/>
  <c r="L19" i="48"/>
  <c r="K14" i="9"/>
  <c r="M6" i="48"/>
  <c r="K20" i="48"/>
  <c r="J11" i="48"/>
  <c r="J16" i="9"/>
  <c r="K67" i="48"/>
  <c r="J18" i="9"/>
  <c r="J53" i="9"/>
  <c r="J42" i="9"/>
  <c r="I18" i="9"/>
  <c r="K7" i="28"/>
  <c r="L7" i="27"/>
  <c r="L14" i="28"/>
  <c r="L15" i="27"/>
  <c r="I13" i="45" a="1"/>
  <c r="I13" i="45"/>
  <c r="I40" i="45"/>
  <c r="M4" i="45"/>
  <c r="O3" i="28"/>
  <c r="O2" i="27"/>
  <c r="V3" i="48"/>
  <c r="N6" i="48"/>
  <c r="M19" i="48"/>
  <c r="M63" i="48"/>
  <c r="L65" i="48"/>
  <c r="L67" i="48"/>
  <c r="L63" i="48"/>
  <c r="M10" i="48"/>
  <c r="N10" i="48"/>
  <c r="K42" i="9"/>
  <c r="K53" i="9"/>
  <c r="L14" i="9"/>
  <c r="M65" i="48"/>
  <c r="L20" i="48"/>
  <c r="K11" i="48"/>
  <c r="L7" i="28"/>
  <c r="M7" i="28"/>
  <c r="M14" i="28"/>
  <c r="M15" i="27"/>
  <c r="J13" i="45" a="1"/>
  <c r="J13" i="45"/>
  <c r="J40" i="45"/>
  <c r="N4" i="45"/>
  <c r="P3" i="28"/>
  <c r="P2" i="27"/>
  <c r="W3" i="48"/>
  <c r="N19" i="48"/>
  <c r="M14" i="9"/>
  <c r="O6" i="48"/>
  <c r="K18" i="9"/>
  <c r="K16" i="9"/>
  <c r="L53" i="9"/>
  <c r="L42" i="9"/>
  <c r="M20" i="48"/>
  <c r="L11" i="48"/>
  <c r="L16" i="9"/>
  <c r="M67" i="48"/>
  <c r="L18" i="9"/>
  <c r="M7" i="27"/>
  <c r="N7" i="28"/>
  <c r="N14" i="28"/>
  <c r="N15" i="27"/>
  <c r="K13" i="45" a="1"/>
  <c r="K13" i="45"/>
  <c r="K40" i="45"/>
  <c r="O4" i="45"/>
  <c r="Q3" i="28"/>
  <c r="Q2" i="27"/>
  <c r="N65" i="48"/>
  <c r="M16" i="9"/>
  <c r="N63" i="48"/>
  <c r="M53" i="9"/>
  <c r="M42" i="9"/>
  <c r="P6" i="48"/>
  <c r="O10" i="48"/>
  <c r="O19" i="48"/>
  <c r="N14" i="9"/>
  <c r="X3" i="48"/>
  <c r="N67" i="48"/>
  <c r="M18" i="9"/>
  <c r="M11" i="48"/>
  <c r="N20" i="48"/>
  <c r="N7" i="27"/>
  <c r="O7" i="27"/>
  <c r="O14" i="28"/>
  <c r="O15" i="27"/>
  <c r="L13" i="45" a="1"/>
  <c r="L13" i="45"/>
  <c r="L40" i="45"/>
  <c r="P4" i="45"/>
  <c r="R3" i="28"/>
  <c r="R2" i="27"/>
  <c r="N53" i="9"/>
  <c r="N42" i="9"/>
  <c r="O20" i="48"/>
  <c r="O65" i="48"/>
  <c r="O63" i="48"/>
  <c r="Y3" i="48"/>
  <c r="Q6" i="48"/>
  <c r="P10" i="48"/>
  <c r="P19" i="48"/>
  <c r="O14" i="9"/>
  <c r="N11" i="48"/>
  <c r="O7" i="28"/>
  <c r="P7" i="27"/>
  <c r="P14" i="28"/>
  <c r="P15" i="27"/>
  <c r="M13" i="45" a="1"/>
  <c r="M13" i="45"/>
  <c r="M40" i="45"/>
  <c r="Q4" i="45"/>
  <c r="S3" i="28"/>
  <c r="S2" i="27"/>
  <c r="O53" i="9"/>
  <c r="O42" i="9"/>
  <c r="O67" i="48"/>
  <c r="N18" i="9"/>
  <c r="N16" i="9"/>
  <c r="R6" i="48"/>
  <c r="Q10" i="48"/>
  <c r="Q19" i="48"/>
  <c r="P14" i="9"/>
  <c r="Z3" i="48"/>
  <c r="P63" i="48"/>
  <c r="P65" i="48"/>
  <c r="O11" i="48"/>
  <c r="P20" i="48"/>
  <c r="P7" i="28"/>
  <c r="Q7" i="28"/>
  <c r="Q14" i="28"/>
  <c r="Q15" i="27"/>
  <c r="N13" i="45" a="1"/>
  <c r="N13" i="45"/>
  <c r="N40" i="45"/>
  <c r="R4" i="45"/>
  <c r="T3" i="28"/>
  <c r="T2" i="27"/>
  <c r="P67" i="48"/>
  <c r="O18" i="9"/>
  <c r="O16" i="9"/>
  <c r="P53" i="9"/>
  <c r="P42" i="9"/>
  <c r="Q20" i="48"/>
  <c r="P11" i="48"/>
  <c r="Q65" i="48"/>
  <c r="Q63" i="48"/>
  <c r="AA3" i="48"/>
  <c r="S6" i="48"/>
  <c r="R10" i="48"/>
  <c r="R19" i="48"/>
  <c r="Q14" i="9"/>
  <c r="Q7" i="27"/>
  <c r="R7" i="28"/>
  <c r="R14" i="28"/>
  <c r="R15" i="27"/>
  <c r="O13" i="45" a="1"/>
  <c r="O13" i="45"/>
  <c r="O40" i="45"/>
  <c r="S4" i="45"/>
  <c r="U3" i="28"/>
  <c r="U2" i="27"/>
  <c r="Q67" i="48"/>
  <c r="P18" i="9"/>
  <c r="P16" i="9"/>
  <c r="Q53" i="9"/>
  <c r="Q42" i="9"/>
  <c r="R65" i="48"/>
  <c r="R63" i="48"/>
  <c r="T6" i="48"/>
  <c r="S10" i="48"/>
  <c r="S19" i="48"/>
  <c r="R14" i="9"/>
  <c r="R20" i="48"/>
  <c r="Q11" i="48"/>
  <c r="R7" i="27"/>
  <c r="S7" i="28"/>
  <c r="S14" i="28"/>
  <c r="S15" i="27"/>
  <c r="P13" i="45" a="1"/>
  <c r="P13" i="45"/>
  <c r="P40" i="45"/>
  <c r="T4" i="45"/>
  <c r="V3" i="28"/>
  <c r="V2" i="27"/>
  <c r="R53" i="9"/>
  <c r="R42" i="9"/>
  <c r="R67" i="48"/>
  <c r="Q18" i="9"/>
  <c r="Q16" i="9"/>
  <c r="S63" i="48"/>
  <c r="S65" i="48"/>
  <c r="U6" i="48"/>
  <c r="T10" i="48"/>
  <c r="T19" i="48"/>
  <c r="S14" i="9"/>
  <c r="S20" i="48"/>
  <c r="R11" i="48"/>
  <c r="S7" i="27"/>
  <c r="T7" i="27"/>
  <c r="T14" i="28"/>
  <c r="T15" i="27"/>
  <c r="Q13" i="45" a="1"/>
  <c r="Q13" i="45"/>
  <c r="Q40" i="45"/>
  <c r="U4" i="45"/>
  <c r="W3" i="28"/>
  <c r="W2" i="27"/>
  <c r="S53" i="9"/>
  <c r="S42" i="9"/>
  <c r="S67" i="48"/>
  <c r="R18" i="9"/>
  <c r="R16" i="9"/>
  <c r="T65" i="48"/>
  <c r="T63" i="48"/>
  <c r="S11" i="48"/>
  <c r="T20" i="48"/>
  <c r="V6" i="48"/>
  <c r="U10" i="48"/>
  <c r="U19" i="48"/>
  <c r="T14" i="9"/>
  <c r="V4" i="45"/>
  <c r="X3" i="28"/>
  <c r="X2" i="27"/>
  <c r="T7" i="28"/>
  <c r="U14" i="28"/>
  <c r="U15" i="27"/>
  <c r="U7" i="27"/>
  <c r="R13" i="45" a="1"/>
  <c r="R13" i="45"/>
  <c r="R40" i="45"/>
  <c r="T53" i="9"/>
  <c r="T42" i="9"/>
  <c r="T67" i="48"/>
  <c r="S18" i="9"/>
  <c r="S16" i="9"/>
  <c r="W6" i="48"/>
  <c r="V10" i="48"/>
  <c r="V19" i="48"/>
  <c r="U14" i="9"/>
  <c r="T11" i="48"/>
  <c r="U20" i="48"/>
  <c r="U63" i="48"/>
  <c r="U65" i="48"/>
  <c r="W4" i="45"/>
  <c r="Y3" i="28"/>
  <c r="Y2" i="27"/>
  <c r="V7" i="28"/>
  <c r="V14" i="28"/>
  <c r="V15" i="27"/>
  <c r="U7" i="28"/>
  <c r="S13" i="45" a="1"/>
  <c r="S13" i="45"/>
  <c r="S40" i="45"/>
  <c r="U67" i="48"/>
  <c r="T18" i="9"/>
  <c r="T16" i="9"/>
  <c r="U53" i="9"/>
  <c r="U42" i="9"/>
  <c r="V20" i="48"/>
  <c r="U11" i="48"/>
  <c r="V65" i="48"/>
  <c r="V63" i="48"/>
  <c r="X6" i="48"/>
  <c r="W10" i="48"/>
  <c r="W19" i="48"/>
  <c r="V14" i="9"/>
  <c r="X4" i="45"/>
  <c r="Z3" i="28"/>
  <c r="Z2" i="27"/>
  <c r="V7" i="27"/>
  <c r="W7" i="28"/>
  <c r="W14" i="28"/>
  <c r="W15" i="27"/>
  <c r="T13" i="45" a="1"/>
  <c r="T13" i="45"/>
  <c r="T40" i="45"/>
  <c r="V53" i="9"/>
  <c r="V42" i="9"/>
  <c r="V67" i="48"/>
  <c r="U18" i="9"/>
  <c r="U16" i="9"/>
  <c r="Y6" i="48"/>
  <c r="X10" i="48"/>
  <c r="X19" i="48"/>
  <c r="W14" i="9"/>
  <c r="W65" i="48"/>
  <c r="W63" i="48"/>
  <c r="W20" i="48"/>
  <c r="V11" i="48"/>
  <c r="Y4" i="45"/>
  <c r="AA3" i="28"/>
  <c r="AA2" i="27"/>
  <c r="V13" i="45" a="1"/>
  <c r="V13" i="45"/>
  <c r="W7" i="27"/>
  <c r="X14" i="28"/>
  <c r="X15" i="27"/>
  <c r="U13" i="45" a="1"/>
  <c r="U13" i="45"/>
  <c r="U40" i="45"/>
  <c r="W53" i="9"/>
  <c r="W42" i="9"/>
  <c r="W67" i="48"/>
  <c r="V18" i="9"/>
  <c r="V17" i="45" a="1"/>
  <c r="V17" i="45"/>
  <c r="V16" i="9"/>
  <c r="V15" i="45" a="1"/>
  <c r="V15" i="45"/>
  <c r="Y14" i="28"/>
  <c r="Y15" i="27"/>
  <c r="X20" i="48"/>
  <c r="W11" i="48"/>
  <c r="X65" i="48"/>
  <c r="X63" i="48"/>
  <c r="Z6" i="48"/>
  <c r="Y10" i="48"/>
  <c r="Y19" i="48"/>
  <c r="X14" i="9"/>
  <c r="Z4" i="45"/>
  <c r="AB3" i="28"/>
  <c r="AB2" i="27"/>
  <c r="W13" i="45" a="1"/>
  <c r="W13" i="45"/>
  <c r="Y7" i="27"/>
  <c r="Y7" i="28"/>
  <c r="V40" i="45"/>
  <c r="V29" i="45"/>
  <c r="X7" i="27"/>
  <c r="X7" i="28"/>
  <c r="Z14" i="28"/>
  <c r="Z15" i="27"/>
  <c r="X67" i="48"/>
  <c r="W18" i="9"/>
  <c r="W17" i="45" a="1"/>
  <c r="W17" i="45"/>
  <c r="W16" i="9"/>
  <c r="W15" i="45" a="1"/>
  <c r="W15" i="45"/>
  <c r="X53" i="9"/>
  <c r="X42" i="9"/>
  <c r="Y65" i="48"/>
  <c r="Y63" i="48"/>
  <c r="AA6" i="48"/>
  <c r="Z10" i="48"/>
  <c r="Z19" i="48"/>
  <c r="Y14" i="9"/>
  <c r="Y20" i="48"/>
  <c r="X11" i="48"/>
  <c r="AA4" i="45"/>
  <c r="AC3" i="28"/>
  <c r="AC2" i="27"/>
  <c r="W40" i="45"/>
  <c r="W29" i="45"/>
  <c r="Z7" i="28"/>
  <c r="Z7" i="27"/>
  <c r="X13" i="45" a="1"/>
  <c r="X13" i="45"/>
  <c r="C42" i="9"/>
  <c r="D67" i="48"/>
  <c r="C16" i="9"/>
  <c r="C15" i="45" a="1"/>
  <c r="C15" i="45"/>
  <c r="AA14" i="28"/>
  <c r="AA15" i="27"/>
  <c r="Y53" i="9"/>
  <c r="Y42" i="9"/>
  <c r="Y67" i="48"/>
  <c r="X18" i="9"/>
  <c r="X17" i="45" a="1"/>
  <c r="X17" i="45"/>
  <c r="X16" i="9"/>
  <c r="X15" i="45" a="1"/>
  <c r="X15" i="45"/>
  <c r="Z63" i="48"/>
  <c r="Z65" i="48"/>
  <c r="Z20" i="48"/>
  <c r="Y11" i="48"/>
  <c r="AA10" i="48"/>
  <c r="AA19" i="48"/>
  <c r="Z14" i="9"/>
  <c r="AB4" i="45"/>
  <c r="AD3" i="28"/>
  <c r="AD2" i="27"/>
  <c r="AA7" i="28"/>
  <c r="AA7" i="27"/>
  <c r="Y13" i="45" a="1"/>
  <c r="Y13" i="45"/>
  <c r="X40" i="45"/>
  <c r="X29" i="45"/>
  <c r="C29" i="45"/>
  <c r="C18" i="9"/>
  <c r="C17" i="45" a="1"/>
  <c r="C17" i="45"/>
  <c r="B16" i="9"/>
  <c r="B15" i="45" a="1"/>
  <c r="B15" i="45"/>
  <c r="Z53" i="9"/>
  <c r="Z42" i="9"/>
  <c r="Z67" i="48"/>
  <c r="Y18" i="9"/>
  <c r="Y17" i="45" a="1"/>
  <c r="Y17" i="45"/>
  <c r="Y16" i="9"/>
  <c r="Y15" i="45" a="1"/>
  <c r="Y15" i="45"/>
  <c r="AB14" i="28"/>
  <c r="AB15" i="27"/>
  <c r="AA20" i="48"/>
  <c r="AA11" i="48"/>
  <c r="Z11" i="48"/>
  <c r="AA65" i="48"/>
  <c r="AA63" i="48"/>
  <c r="AC4" i="45"/>
  <c r="AE3" i="28"/>
  <c r="AE2" i="27"/>
  <c r="AC14" i="28"/>
  <c r="AC15" i="27"/>
  <c r="AB7" i="28"/>
  <c r="Z13" i="45" a="1"/>
  <c r="Z13" i="45"/>
  <c r="AB7" i="27"/>
  <c r="Y29" i="45"/>
  <c r="Y40" i="45"/>
  <c r="C66" i="48"/>
  <c r="C13" i="48"/>
  <c r="C67" i="48"/>
  <c r="C64" i="48"/>
  <c r="D64" i="48"/>
  <c r="AA67" i="48"/>
  <c r="Z18" i="9"/>
  <c r="Z17" i="45" a="1"/>
  <c r="Z17" i="45"/>
  <c r="Z16" i="9"/>
  <c r="Z15" i="45" a="1"/>
  <c r="Z15" i="45"/>
  <c r="AD4" i="45"/>
  <c r="AF3" i="28"/>
  <c r="AF2" i="27"/>
  <c r="Z40" i="45"/>
  <c r="Z29" i="45"/>
  <c r="AC7" i="27"/>
  <c r="AC7" i="28"/>
  <c r="AA13" i="45" a="1"/>
  <c r="AA13" i="45"/>
  <c r="AD14" i="28"/>
  <c r="AD15" i="27"/>
  <c r="AA17" i="45" a="1"/>
  <c r="AA17" i="45"/>
  <c r="AA15" i="45" a="1"/>
  <c r="AA15" i="45"/>
  <c r="E64" i="48"/>
  <c r="B53" i="9"/>
  <c r="B42" i="9"/>
  <c r="F67" i="48"/>
  <c r="E18" i="9"/>
  <c r="E17" i="45" a="1"/>
  <c r="E17" i="45"/>
  <c r="E16" i="9"/>
  <c r="E15" i="45" a="1"/>
  <c r="E15" i="45"/>
  <c r="E67" i="48"/>
  <c r="D16" i="9"/>
  <c r="D15" i="45" a="1"/>
  <c r="D15" i="45"/>
  <c r="C68" i="48"/>
  <c r="D68" i="48"/>
  <c r="D12" i="48"/>
  <c r="D66" i="48"/>
  <c r="D13" i="48"/>
  <c r="B18" i="9"/>
  <c r="B17" i="45" a="1"/>
  <c r="B17" i="45"/>
  <c r="D7" i="27"/>
  <c r="AE4" i="45"/>
  <c r="AG3" i="28"/>
  <c r="AG2" i="27"/>
  <c r="AE14" i="28"/>
  <c r="AE15" i="27"/>
  <c r="AD7" i="27"/>
  <c r="AD7" i="28"/>
  <c r="AB13" i="45" a="1"/>
  <c r="AB13" i="45"/>
  <c r="AA29" i="45"/>
  <c r="AA40" i="45"/>
  <c r="AB15" i="45" a="1"/>
  <c r="AB15" i="45"/>
  <c r="AB17" i="45" a="1"/>
  <c r="AB17" i="45"/>
  <c r="F64" i="48"/>
  <c r="C12" i="48"/>
  <c r="C16" i="48"/>
  <c r="E42" i="9"/>
  <c r="B40" i="45"/>
  <c r="B29" i="45"/>
  <c r="D42" i="9"/>
  <c r="E68" i="48"/>
  <c r="F68" i="48"/>
  <c r="G67" i="48"/>
  <c r="F16" i="9"/>
  <c r="F15" i="45" a="1"/>
  <c r="F15" i="45"/>
  <c r="D18" i="9"/>
  <c r="D17" i="45" a="1"/>
  <c r="D17" i="45"/>
  <c r="E66" i="48"/>
  <c r="G15" i="45" a="1"/>
  <c r="G15" i="45"/>
  <c r="AF4" i="45"/>
  <c r="AH3" i="28"/>
  <c r="AH2" i="27"/>
  <c r="AC13" i="45" a="1"/>
  <c r="AC13" i="45"/>
  <c r="AE7" i="27"/>
  <c r="AE7" i="28"/>
  <c r="AC15" i="45" a="1"/>
  <c r="AC15" i="45"/>
  <c r="AC17" i="45" a="1"/>
  <c r="AC17" i="45"/>
  <c r="AB29" i="45"/>
  <c r="AB40" i="45"/>
  <c r="AF14" i="28"/>
  <c r="AF15" i="27"/>
  <c r="E12" i="48"/>
  <c r="G64" i="48"/>
  <c r="H64" i="48"/>
  <c r="F12" i="48"/>
  <c r="D16" i="48"/>
  <c r="B23" i="9"/>
  <c r="B24" i="9"/>
  <c r="D29" i="45"/>
  <c r="F42" i="9"/>
  <c r="E29" i="45"/>
  <c r="G68" i="48"/>
  <c r="F18" i="9"/>
  <c r="F17" i="45" a="1"/>
  <c r="F17" i="45"/>
  <c r="E13" i="48"/>
  <c r="F66" i="48"/>
  <c r="H67" i="48"/>
  <c r="G18" i="9"/>
  <c r="H15" i="45" a="1"/>
  <c r="H15" i="45"/>
  <c r="AG4" i="45"/>
  <c r="AI3" i="28"/>
  <c r="AI2" i="27"/>
  <c r="AG14" i="28"/>
  <c r="AG15" i="27"/>
  <c r="AC40" i="45"/>
  <c r="AC29" i="45"/>
  <c r="AF7" i="27"/>
  <c r="AD13" i="45" a="1"/>
  <c r="AD13" i="45"/>
  <c r="AF7" i="28"/>
  <c r="AD15" i="45" a="1"/>
  <c r="AD15" i="45"/>
  <c r="G12" i="48"/>
  <c r="C23" i="9"/>
  <c r="C48" i="9"/>
  <c r="B20" i="45" a="1"/>
  <c r="B20" i="45"/>
  <c r="D9" i="28"/>
  <c r="E16" i="48"/>
  <c r="B46" i="9"/>
  <c r="B48" i="9"/>
  <c r="F29" i="45"/>
  <c r="F13" i="48"/>
  <c r="F16" i="48"/>
  <c r="G66" i="48"/>
  <c r="H68" i="48"/>
  <c r="G17" i="45" a="1"/>
  <c r="G17" i="45"/>
  <c r="I67" i="48"/>
  <c r="I15" i="45" a="1"/>
  <c r="I15" i="45"/>
  <c r="B21" i="45" a="1"/>
  <c r="B21" i="45"/>
  <c r="AH4" i="45"/>
  <c r="AJ3" i="28"/>
  <c r="AJ2" i="27"/>
  <c r="AH14" i="28"/>
  <c r="AH15" i="27"/>
  <c r="AE15" i="45" a="1"/>
  <c r="AE15" i="45"/>
  <c r="AE17" i="45" a="1"/>
  <c r="AE17" i="45"/>
  <c r="AG7" i="27"/>
  <c r="AG7" i="28"/>
  <c r="AE13" i="45" a="1"/>
  <c r="AE13" i="45"/>
  <c r="H18" i="9"/>
  <c r="H17" i="45" a="1"/>
  <c r="H17" i="45"/>
  <c r="AD29" i="45"/>
  <c r="AD40" i="45"/>
  <c r="AD17" i="45" a="1"/>
  <c r="AD17" i="45"/>
  <c r="C20" i="45" a="1"/>
  <c r="C20" i="45"/>
  <c r="C33" i="45"/>
  <c r="E9" i="28"/>
  <c r="E11" i="28"/>
  <c r="E16" i="28"/>
  <c r="E20" i="28"/>
  <c r="C46" i="9"/>
  <c r="I64" i="48"/>
  <c r="J64" i="48"/>
  <c r="H12" i="48"/>
  <c r="D23" i="9"/>
  <c r="F9" i="28"/>
  <c r="D11" i="28"/>
  <c r="D10" i="27"/>
  <c r="E23" i="9"/>
  <c r="B35" i="45"/>
  <c r="B33" i="45"/>
  <c r="G29" i="45"/>
  <c r="B55" i="9"/>
  <c r="G13" i="48"/>
  <c r="G16" i="48"/>
  <c r="H66" i="48"/>
  <c r="I68" i="48"/>
  <c r="J68" i="48"/>
  <c r="K68" i="48"/>
  <c r="L68" i="48"/>
  <c r="M68" i="48"/>
  <c r="N68" i="48"/>
  <c r="O68" i="48"/>
  <c r="P68" i="48"/>
  <c r="Q68" i="48"/>
  <c r="R68" i="48"/>
  <c r="S68" i="48"/>
  <c r="T68" i="48"/>
  <c r="U68" i="48"/>
  <c r="V68" i="48"/>
  <c r="W68" i="48"/>
  <c r="X68" i="48"/>
  <c r="Y68" i="48"/>
  <c r="Z68" i="48"/>
  <c r="AA68" i="48"/>
  <c r="J15" i="45" a="1"/>
  <c r="J15" i="45"/>
  <c r="C24" i="9"/>
  <c r="AI4" i="45"/>
  <c r="AK3" i="28"/>
  <c r="AK2" i="27"/>
  <c r="K64" i="48"/>
  <c r="J12" i="48"/>
  <c r="AI14" i="28"/>
  <c r="AI15" i="27"/>
  <c r="AE29" i="45"/>
  <c r="AE40" i="45"/>
  <c r="AF15" i="45" a="1"/>
  <c r="AF15" i="45"/>
  <c r="AF17" i="45" a="1"/>
  <c r="AF17" i="45"/>
  <c r="AH7" i="28"/>
  <c r="AH7" i="27"/>
  <c r="AF13" i="45" a="1"/>
  <c r="AF13" i="45"/>
  <c r="C35" i="45"/>
  <c r="E10" i="27"/>
  <c r="D48" i="9"/>
  <c r="D20" i="45" a="1"/>
  <c r="D20" i="45"/>
  <c r="D35" i="45"/>
  <c r="D46" i="9"/>
  <c r="I12" i="48"/>
  <c r="C15" i="9"/>
  <c r="E8" i="27"/>
  <c r="F11" i="28"/>
  <c r="F16" i="28"/>
  <c r="F20" i="28"/>
  <c r="F10" i="27"/>
  <c r="E20" i="45" a="1"/>
  <c r="E20" i="45"/>
  <c r="G9" i="28"/>
  <c r="C21" i="45" a="1"/>
  <c r="C21" i="45"/>
  <c r="C42" i="45"/>
  <c r="C55" i="9"/>
  <c r="F23" i="9"/>
  <c r="E48" i="9"/>
  <c r="E46" i="9"/>
  <c r="H29" i="45"/>
  <c r="B42" i="45"/>
  <c r="B32" i="45"/>
  <c r="H13" i="48"/>
  <c r="I66" i="48"/>
  <c r="J66" i="48"/>
  <c r="I17" i="45" a="1"/>
  <c r="I17" i="45"/>
  <c r="K15" i="45" a="1"/>
  <c r="K15" i="45"/>
  <c r="D24" i="9"/>
  <c r="H16" i="48"/>
  <c r="G23" i="9"/>
  <c r="AJ4" i="45"/>
  <c r="AL3" i="28"/>
  <c r="AL2" i="27"/>
  <c r="AF29" i="45"/>
  <c r="AF40" i="45"/>
  <c r="AJ14" i="28"/>
  <c r="AJ15" i="27"/>
  <c r="AG17" i="45" a="1"/>
  <c r="AG17" i="45"/>
  <c r="AG15" i="45" a="1"/>
  <c r="AG15" i="45"/>
  <c r="J13" i="48"/>
  <c r="J16" i="48"/>
  <c r="I23" i="9"/>
  <c r="K66" i="48"/>
  <c r="AI7" i="27"/>
  <c r="AI7" i="28"/>
  <c r="AG13" i="45" a="1"/>
  <c r="AG13" i="45"/>
  <c r="L64" i="48"/>
  <c r="K12" i="48"/>
  <c r="E12" i="27"/>
  <c r="E17" i="27"/>
  <c r="E21" i="27"/>
  <c r="E25" i="27"/>
  <c r="C17" i="9"/>
  <c r="D33" i="45"/>
  <c r="D15" i="9"/>
  <c r="F8" i="27"/>
  <c r="F12" i="27"/>
  <c r="F17" i="27"/>
  <c r="F21" i="27"/>
  <c r="F25" i="27"/>
  <c r="D17" i="9"/>
  <c r="G11" i="28"/>
  <c r="G16" i="28"/>
  <c r="G20" i="28"/>
  <c r="G10" i="27"/>
  <c r="F20" i="45" a="1"/>
  <c r="F20" i="45"/>
  <c r="H9" i="28"/>
  <c r="C32" i="45"/>
  <c r="D21" i="45" a="1"/>
  <c r="D21" i="45"/>
  <c r="D42" i="45"/>
  <c r="D55" i="9"/>
  <c r="F48" i="9"/>
  <c r="F46" i="9"/>
  <c r="E35" i="45"/>
  <c r="E33" i="45"/>
  <c r="I29" i="45"/>
  <c r="J17" i="45" a="1"/>
  <c r="J17" i="45"/>
  <c r="I13" i="48"/>
  <c r="I16" i="48"/>
  <c r="H23" i="9"/>
  <c r="L15" i="45" a="1"/>
  <c r="L15" i="45"/>
  <c r="E24" i="9"/>
  <c r="G46" i="9"/>
  <c r="G24" i="9"/>
  <c r="G48" i="9"/>
  <c r="L12" i="48"/>
  <c r="M64" i="48"/>
  <c r="AK14" i="28"/>
  <c r="AK15" i="27"/>
  <c r="AG29" i="45"/>
  <c r="AG40" i="45"/>
  <c r="I48" i="9"/>
  <c r="I46" i="9"/>
  <c r="I24" i="9"/>
  <c r="AH15" i="45" a="1"/>
  <c r="AH15" i="45"/>
  <c r="H48" i="9"/>
  <c r="H46" i="9"/>
  <c r="H24" i="9"/>
  <c r="AJ7" i="27"/>
  <c r="AH13" i="45" a="1"/>
  <c r="AH13" i="45"/>
  <c r="AJ7" i="28"/>
  <c r="K13" i="48"/>
  <c r="K16" i="48"/>
  <c r="J23" i="9"/>
  <c r="L66" i="48"/>
  <c r="H11" i="28"/>
  <c r="H16" i="28"/>
  <c r="H20" i="28"/>
  <c r="H10" i="27"/>
  <c r="E15" i="9"/>
  <c r="G8" i="27"/>
  <c r="G12" i="27"/>
  <c r="G17" i="27"/>
  <c r="G21" i="27"/>
  <c r="G25" i="27"/>
  <c r="E17" i="9"/>
  <c r="G20" i="45" a="1"/>
  <c r="G20" i="45"/>
  <c r="I9" i="28"/>
  <c r="D32" i="45"/>
  <c r="E21" i="45" a="1"/>
  <c r="E21" i="45"/>
  <c r="E42" i="45"/>
  <c r="E55" i="9"/>
  <c r="F33" i="45"/>
  <c r="F35" i="45"/>
  <c r="J29" i="45"/>
  <c r="K17" i="45" a="1"/>
  <c r="K17" i="45"/>
  <c r="L17" i="45" a="1"/>
  <c r="L17" i="45"/>
  <c r="M15" i="45" a="1"/>
  <c r="M15" i="45"/>
  <c r="F24" i="9"/>
  <c r="G55" i="9"/>
  <c r="AH17" i="45" a="1"/>
  <c r="AH17" i="45"/>
  <c r="J48" i="9"/>
  <c r="J46" i="9"/>
  <c r="J24" i="9"/>
  <c r="I55" i="9"/>
  <c r="AI15" i="45" a="1"/>
  <c r="AI15" i="45"/>
  <c r="AL14" i="28"/>
  <c r="AL15" i="27"/>
  <c r="AI13" i="45" a="1"/>
  <c r="AI13" i="45"/>
  <c r="AK7" i="27"/>
  <c r="AK7" i="28"/>
  <c r="AH40" i="45"/>
  <c r="AH29" i="45"/>
  <c r="M66" i="48"/>
  <c r="L13" i="48"/>
  <c r="L16" i="48"/>
  <c r="K23" i="9"/>
  <c r="M12" i="48"/>
  <c r="N64" i="48"/>
  <c r="O64" i="48"/>
  <c r="H55" i="9"/>
  <c r="I11" i="28"/>
  <c r="I16" i="28"/>
  <c r="I20" i="28"/>
  <c r="G15" i="9"/>
  <c r="I10" i="27"/>
  <c r="F15" i="9"/>
  <c r="H8" i="27"/>
  <c r="H12" i="27"/>
  <c r="H17" i="27"/>
  <c r="H21" i="27"/>
  <c r="H25" i="27"/>
  <c r="F17" i="9"/>
  <c r="H20" i="45" a="1"/>
  <c r="H20" i="45"/>
  <c r="J9" i="28"/>
  <c r="E32" i="45"/>
  <c r="F21" i="45" a="1"/>
  <c r="F21" i="45"/>
  <c r="F42" i="45"/>
  <c r="F55" i="9"/>
  <c r="G33" i="45"/>
  <c r="G35" i="45"/>
  <c r="K29" i="45"/>
  <c r="N15" i="45" a="1"/>
  <c r="N15" i="45"/>
  <c r="P64" i="48"/>
  <c r="O12" i="48"/>
  <c r="AI17" i="45" a="1"/>
  <c r="AI17" i="45"/>
  <c r="K48" i="9"/>
  <c r="K46" i="9"/>
  <c r="K24" i="9"/>
  <c r="M13" i="48"/>
  <c r="M16" i="48"/>
  <c r="L23" i="9"/>
  <c r="N66" i="48"/>
  <c r="O66" i="48"/>
  <c r="AI40" i="45"/>
  <c r="AI29" i="45"/>
  <c r="N12" i="48"/>
  <c r="AJ15" i="45" a="1"/>
  <c r="AJ15" i="45"/>
  <c r="AJ17" i="45" a="1"/>
  <c r="AJ17" i="45"/>
  <c r="J55" i="9"/>
  <c r="AL7" i="28"/>
  <c r="AL7" i="27"/>
  <c r="AJ13" i="45" a="1"/>
  <c r="AJ13" i="45"/>
  <c r="I8" i="27"/>
  <c r="I12" i="27"/>
  <c r="I17" i="27"/>
  <c r="I21" i="27"/>
  <c r="I25" i="27"/>
  <c r="G17" i="9"/>
  <c r="G19" i="9"/>
  <c r="G26" i="9"/>
  <c r="G28" i="9"/>
  <c r="J11" i="28"/>
  <c r="J16" i="28"/>
  <c r="J20" i="28"/>
  <c r="H15" i="9"/>
  <c r="J10" i="27"/>
  <c r="I20" i="45" a="1"/>
  <c r="I20" i="45"/>
  <c r="K9" i="28"/>
  <c r="F32" i="45"/>
  <c r="G21" i="45" a="1"/>
  <c r="G21" i="45"/>
  <c r="G42" i="45"/>
  <c r="H33" i="45"/>
  <c r="H35" i="45"/>
  <c r="L29" i="45"/>
  <c r="M17" i="45" a="1"/>
  <c r="M17" i="45"/>
  <c r="P66" i="48"/>
  <c r="O13" i="48"/>
  <c r="O16" i="48"/>
  <c r="N23" i="9"/>
  <c r="Q64" i="48"/>
  <c r="P12" i="48"/>
  <c r="L48" i="9"/>
  <c r="L46" i="9"/>
  <c r="L24" i="9"/>
  <c r="AJ40" i="45"/>
  <c r="AJ29" i="45"/>
  <c r="N13" i="48"/>
  <c r="N16" i="48"/>
  <c r="M23" i="9"/>
  <c r="K55" i="9"/>
  <c r="G54" i="9"/>
  <c r="G56" i="9"/>
  <c r="G43" i="9"/>
  <c r="G44" i="9"/>
  <c r="G41" i="9"/>
  <c r="K11" i="28"/>
  <c r="K16" i="28"/>
  <c r="K20" i="28"/>
  <c r="I15" i="9"/>
  <c r="K10" i="27"/>
  <c r="J8" i="27"/>
  <c r="J12" i="27"/>
  <c r="J17" i="27"/>
  <c r="J21" i="27"/>
  <c r="J25" i="27"/>
  <c r="H17" i="9"/>
  <c r="H19" i="9"/>
  <c r="H26" i="9"/>
  <c r="H28" i="9"/>
  <c r="J20" i="45" a="1"/>
  <c r="J20" i="45"/>
  <c r="L9" i="28"/>
  <c r="G32" i="45"/>
  <c r="H21" i="45" a="1"/>
  <c r="H21" i="45"/>
  <c r="H42" i="45"/>
  <c r="I35" i="45"/>
  <c r="I33" i="45"/>
  <c r="M29" i="45"/>
  <c r="O17" i="45" a="1"/>
  <c r="O17" i="45"/>
  <c r="O15" i="45" a="1"/>
  <c r="O15" i="45"/>
  <c r="N17" i="45" a="1"/>
  <c r="N17" i="45"/>
  <c r="P15" i="45" a="1"/>
  <c r="P15" i="45"/>
  <c r="G45" i="9"/>
  <c r="G47" i="9"/>
  <c r="G49" i="9"/>
  <c r="G50" i="9"/>
  <c r="M46" i="9"/>
  <c r="M24" i="9"/>
  <c r="M48" i="9"/>
  <c r="N46" i="9"/>
  <c r="N24" i="9"/>
  <c r="N48" i="9"/>
  <c r="R64" i="48"/>
  <c r="Q12" i="48"/>
  <c r="Q66" i="48"/>
  <c r="P13" i="48"/>
  <c r="P16" i="48"/>
  <c r="O23" i="9"/>
  <c r="L55" i="9"/>
  <c r="H54" i="9"/>
  <c r="H56" i="9"/>
  <c r="H43" i="9"/>
  <c r="H44" i="9"/>
  <c r="H41" i="9"/>
  <c r="L11" i="28"/>
  <c r="L16" i="28"/>
  <c r="L20" i="28"/>
  <c r="J15" i="9"/>
  <c r="L10" i="27"/>
  <c r="K8" i="27"/>
  <c r="K12" i="27"/>
  <c r="K17" i="27"/>
  <c r="K21" i="27"/>
  <c r="K25" i="27"/>
  <c r="I17" i="9"/>
  <c r="I19" i="9"/>
  <c r="I26" i="9"/>
  <c r="I28" i="9"/>
  <c r="K20" i="45" a="1"/>
  <c r="K20" i="45"/>
  <c r="M9" i="28"/>
  <c r="H32" i="45"/>
  <c r="I21" i="45" a="1"/>
  <c r="I21" i="45"/>
  <c r="I42" i="45"/>
  <c r="J35" i="45"/>
  <c r="J33" i="45"/>
  <c r="N29" i="45"/>
  <c r="Q15" i="45" a="1"/>
  <c r="Q15" i="45"/>
  <c r="H45" i="9"/>
  <c r="H47" i="9"/>
  <c r="H49" i="9"/>
  <c r="H50" i="9"/>
  <c r="O24" i="9"/>
  <c r="O48" i="9"/>
  <c r="O46" i="9"/>
  <c r="N55" i="9"/>
  <c r="M55" i="9"/>
  <c r="Q13" i="48"/>
  <c r="Q16" i="48"/>
  <c r="P23" i="9"/>
  <c r="R66" i="48"/>
  <c r="R12" i="48"/>
  <c r="S64" i="48"/>
  <c r="I54" i="9"/>
  <c r="I56" i="9"/>
  <c r="I43" i="9"/>
  <c r="I44" i="9"/>
  <c r="I41" i="9"/>
  <c r="M11" i="28"/>
  <c r="M16" i="28"/>
  <c r="M20" i="28"/>
  <c r="K15" i="9"/>
  <c r="M10" i="27"/>
  <c r="L8" i="27"/>
  <c r="L12" i="27"/>
  <c r="L17" i="27"/>
  <c r="L21" i="27"/>
  <c r="L25" i="27"/>
  <c r="J17" i="9"/>
  <c r="J19" i="9"/>
  <c r="J26" i="9"/>
  <c r="J28" i="9"/>
  <c r="L20" i="45" a="1"/>
  <c r="L20" i="45"/>
  <c r="N9" i="28"/>
  <c r="I32" i="45"/>
  <c r="J21" i="45" a="1"/>
  <c r="J21" i="45"/>
  <c r="J42" i="45"/>
  <c r="K35" i="45"/>
  <c r="K33" i="45"/>
  <c r="O29" i="45"/>
  <c r="P17" i="45" a="1"/>
  <c r="P17" i="45"/>
  <c r="Q17" i="45" a="1"/>
  <c r="Q17" i="45"/>
  <c r="R15" i="45" a="1"/>
  <c r="R15" i="45"/>
  <c r="I45" i="9"/>
  <c r="I47" i="9"/>
  <c r="P24" i="9"/>
  <c r="P48" i="9"/>
  <c r="P46" i="9"/>
  <c r="O55" i="9"/>
  <c r="S12" i="48"/>
  <c r="T64" i="48"/>
  <c r="S66" i="48"/>
  <c r="R13" i="48"/>
  <c r="R16" i="48"/>
  <c r="Q23" i="9"/>
  <c r="J41" i="9"/>
  <c r="J54" i="9"/>
  <c r="J56" i="9"/>
  <c r="J43" i="9"/>
  <c r="J44" i="9"/>
  <c r="M8" i="27"/>
  <c r="M12" i="27"/>
  <c r="M17" i="27"/>
  <c r="M21" i="27"/>
  <c r="M25" i="27"/>
  <c r="K17" i="9"/>
  <c r="K19" i="9"/>
  <c r="K26" i="9"/>
  <c r="K28" i="9"/>
  <c r="N11" i="28"/>
  <c r="N16" i="28"/>
  <c r="N20" i="28"/>
  <c r="L15" i="9"/>
  <c r="N10" i="27"/>
  <c r="M20" i="45" a="1"/>
  <c r="M20" i="45"/>
  <c r="O9" i="28"/>
  <c r="J32" i="45"/>
  <c r="K21" i="45" a="1"/>
  <c r="K21" i="45"/>
  <c r="K42" i="45"/>
  <c r="L35" i="45"/>
  <c r="L33" i="45"/>
  <c r="P29" i="45"/>
  <c r="S15" i="45" a="1"/>
  <c r="S15" i="45"/>
  <c r="J16" i="45" a="1"/>
  <c r="J16" i="45"/>
  <c r="J14" i="45" a="1"/>
  <c r="J14" i="45"/>
  <c r="I49" i="9"/>
  <c r="I50" i="9"/>
  <c r="J45" i="9"/>
  <c r="J47" i="9"/>
  <c r="J49" i="9"/>
  <c r="J50" i="9"/>
  <c r="Q24" i="9"/>
  <c r="Q48" i="9"/>
  <c r="Q46" i="9"/>
  <c r="P55" i="9"/>
  <c r="T66" i="48"/>
  <c r="S13" i="48"/>
  <c r="S16" i="48"/>
  <c r="R23" i="9"/>
  <c r="T12" i="48"/>
  <c r="U64" i="48"/>
  <c r="K41" i="9"/>
  <c r="K54" i="9"/>
  <c r="K56" i="9"/>
  <c r="K43" i="9"/>
  <c r="K44" i="9"/>
  <c r="O11" i="28"/>
  <c r="O16" i="28"/>
  <c r="O20" i="28"/>
  <c r="M15" i="9"/>
  <c r="O10" i="27"/>
  <c r="N8" i="27"/>
  <c r="N12" i="27"/>
  <c r="N17" i="27"/>
  <c r="N21" i="27"/>
  <c r="N25" i="27"/>
  <c r="L17" i="9"/>
  <c r="L19" i="9"/>
  <c r="L26" i="9"/>
  <c r="L28" i="9"/>
  <c r="N20" i="45" a="1"/>
  <c r="N20" i="45"/>
  <c r="P9" i="28"/>
  <c r="K32" i="45"/>
  <c r="L21" i="45" a="1"/>
  <c r="L21" i="45"/>
  <c r="L42" i="45"/>
  <c r="J18" i="45" a="1"/>
  <c r="J18" i="45"/>
  <c r="J23" i="45"/>
  <c r="J25" i="45"/>
  <c r="J41" i="45"/>
  <c r="J43" i="45"/>
  <c r="M35" i="45"/>
  <c r="M33" i="45"/>
  <c r="Q29" i="45"/>
  <c r="R17" i="45" a="1"/>
  <c r="R17" i="45"/>
  <c r="S17" i="45" a="1"/>
  <c r="S17" i="45"/>
  <c r="T15" i="45" a="1"/>
  <c r="T15" i="45"/>
  <c r="K14" i="45" a="1"/>
  <c r="K14" i="45"/>
  <c r="K16" i="45" a="1"/>
  <c r="K16" i="45"/>
  <c r="K45" i="9"/>
  <c r="K47" i="9"/>
  <c r="R48" i="9"/>
  <c r="R46" i="9"/>
  <c r="R24" i="9"/>
  <c r="Q55" i="9"/>
  <c r="U12" i="48"/>
  <c r="V64" i="48"/>
  <c r="U66" i="48"/>
  <c r="T13" i="48"/>
  <c r="T16" i="48"/>
  <c r="S23" i="9"/>
  <c r="L43" i="9"/>
  <c r="L44" i="9"/>
  <c r="L41" i="9"/>
  <c r="L54" i="9"/>
  <c r="L56" i="9"/>
  <c r="P11" i="28"/>
  <c r="P16" i="28"/>
  <c r="P20" i="28"/>
  <c r="N15" i="9"/>
  <c r="P10" i="27"/>
  <c r="L32" i="45"/>
  <c r="O8" i="27"/>
  <c r="O12" i="27"/>
  <c r="O17" i="27"/>
  <c r="O21" i="27"/>
  <c r="O25" i="27"/>
  <c r="M17" i="9"/>
  <c r="M19" i="9"/>
  <c r="M26" i="9"/>
  <c r="M28" i="9"/>
  <c r="O20" i="45" a="1"/>
  <c r="O20" i="45"/>
  <c r="Q9" i="28"/>
  <c r="M21" i="45" a="1"/>
  <c r="M21" i="45"/>
  <c r="M42" i="45"/>
  <c r="K18" i="45" a="1"/>
  <c r="K18" i="45"/>
  <c r="K23" i="45"/>
  <c r="K25" i="45"/>
  <c r="K41" i="45"/>
  <c r="K43" i="45"/>
  <c r="N33" i="45"/>
  <c r="N35" i="45"/>
  <c r="R29" i="45"/>
  <c r="T17" i="45" a="1"/>
  <c r="T17" i="45"/>
  <c r="U15" i="45" a="1"/>
  <c r="U15" i="45"/>
  <c r="L16" i="45" a="1"/>
  <c r="L16" i="45"/>
  <c r="L14" i="45" a="1"/>
  <c r="L14" i="45"/>
  <c r="K49" i="9"/>
  <c r="K50" i="9"/>
  <c r="L45" i="9"/>
  <c r="L47" i="9"/>
  <c r="L49" i="9"/>
  <c r="S24" i="9"/>
  <c r="S46" i="9"/>
  <c r="S48" i="9"/>
  <c r="R55" i="9"/>
  <c r="M43" i="9"/>
  <c r="M44" i="9"/>
  <c r="M54" i="9"/>
  <c r="M56" i="9"/>
  <c r="M41" i="9"/>
  <c r="U13" i="48"/>
  <c r="U16" i="48"/>
  <c r="T23" i="9"/>
  <c r="V66" i="48"/>
  <c r="V12" i="48"/>
  <c r="W64" i="48"/>
  <c r="M32" i="45"/>
  <c r="Q11" i="28"/>
  <c r="Q16" i="28"/>
  <c r="Q20" i="28"/>
  <c r="O15" i="9"/>
  <c r="Q10" i="27"/>
  <c r="P8" i="27"/>
  <c r="P12" i="27"/>
  <c r="P17" i="27"/>
  <c r="P21" i="27"/>
  <c r="P25" i="27"/>
  <c r="N17" i="9"/>
  <c r="N19" i="9"/>
  <c r="N26" i="9"/>
  <c r="N28" i="9"/>
  <c r="P20" i="45" a="1"/>
  <c r="P20" i="45"/>
  <c r="R9" i="28"/>
  <c r="N21" i="45" a="1"/>
  <c r="N21" i="45"/>
  <c r="N42" i="45"/>
  <c r="L18" i="45" a="1"/>
  <c r="L18" i="45"/>
  <c r="L23" i="45"/>
  <c r="L25" i="45"/>
  <c r="L41" i="45"/>
  <c r="L43" i="45"/>
  <c r="O33" i="45"/>
  <c r="O35" i="45"/>
  <c r="S29" i="45"/>
  <c r="K30" i="45"/>
  <c r="M16" i="45" a="1"/>
  <c r="M16" i="45"/>
  <c r="M14" i="45" a="1"/>
  <c r="M14" i="45"/>
  <c r="M45" i="9"/>
  <c r="M47" i="9"/>
  <c r="M49" i="9"/>
  <c r="M50" i="9"/>
  <c r="L50" i="9"/>
  <c r="T24" i="9"/>
  <c r="T46" i="9"/>
  <c r="T48" i="9"/>
  <c r="S55" i="9"/>
  <c r="N41" i="9"/>
  <c r="N54" i="9"/>
  <c r="N56" i="9"/>
  <c r="N43" i="9"/>
  <c r="N44" i="9"/>
  <c r="W66" i="48"/>
  <c r="V13" i="48"/>
  <c r="V16" i="48"/>
  <c r="U23" i="9"/>
  <c r="W12" i="48"/>
  <c r="X64" i="48"/>
  <c r="R11" i="28"/>
  <c r="R16" i="28"/>
  <c r="R20" i="28"/>
  <c r="P15" i="9"/>
  <c r="R10" i="27"/>
  <c r="Q8" i="27"/>
  <c r="Q12" i="27"/>
  <c r="Q17" i="27"/>
  <c r="Q21" i="27"/>
  <c r="Q25" i="27"/>
  <c r="O17" i="9"/>
  <c r="O19" i="9"/>
  <c r="O26" i="9"/>
  <c r="O28" i="9"/>
  <c r="Q20" i="45" a="1"/>
  <c r="Q20" i="45"/>
  <c r="S9" i="28"/>
  <c r="N32" i="45"/>
  <c r="O21" i="45" a="1"/>
  <c r="O21" i="45"/>
  <c r="O42" i="45"/>
  <c r="M18" i="45" a="1"/>
  <c r="M18" i="45"/>
  <c r="M23" i="45"/>
  <c r="M25" i="45"/>
  <c r="M41" i="45"/>
  <c r="M43" i="45"/>
  <c r="P35" i="45"/>
  <c r="P33" i="45"/>
  <c r="T29" i="45"/>
  <c r="K28" i="45"/>
  <c r="U17" i="45" a="1"/>
  <c r="U17" i="45"/>
  <c r="N16" i="45" a="1"/>
  <c r="N16" i="45"/>
  <c r="N14" i="45" a="1"/>
  <c r="N14" i="45"/>
  <c r="N45" i="9"/>
  <c r="N47" i="9"/>
  <c r="N49" i="9"/>
  <c r="N50" i="9"/>
  <c r="U24" i="9"/>
  <c r="U46" i="9"/>
  <c r="U48" i="9"/>
  <c r="T55" i="9"/>
  <c r="O43" i="9"/>
  <c r="O44" i="9"/>
  <c r="O54" i="9"/>
  <c r="O56" i="9"/>
  <c r="O41" i="9"/>
  <c r="Y64" i="48"/>
  <c r="X12" i="48"/>
  <c r="W13" i="48"/>
  <c r="W16" i="48"/>
  <c r="V23" i="9"/>
  <c r="X66" i="48"/>
  <c r="M22" i="28"/>
  <c r="M24" i="28"/>
  <c r="M27" i="27"/>
  <c r="M29" i="27"/>
  <c r="M31" i="27"/>
  <c r="S11" i="28"/>
  <c r="S16" i="28"/>
  <c r="S20" i="28"/>
  <c r="Q15" i="9"/>
  <c r="S10" i="27"/>
  <c r="R8" i="27"/>
  <c r="R12" i="27"/>
  <c r="R17" i="27"/>
  <c r="R21" i="27"/>
  <c r="R25" i="27"/>
  <c r="P17" i="9"/>
  <c r="P19" i="9"/>
  <c r="P26" i="9"/>
  <c r="P28" i="9"/>
  <c r="R20" i="45" a="1"/>
  <c r="R20" i="45"/>
  <c r="T9" i="28"/>
  <c r="O32" i="45"/>
  <c r="P21" i="45" a="1"/>
  <c r="P21" i="45"/>
  <c r="P42" i="45"/>
  <c r="N18" i="45" a="1"/>
  <c r="N18" i="45"/>
  <c r="N23" i="45"/>
  <c r="N25" i="45"/>
  <c r="N41" i="45"/>
  <c r="N43" i="45"/>
  <c r="Q35" i="45"/>
  <c r="Q33" i="45"/>
  <c r="U29" i="45"/>
  <c r="M30" i="45"/>
  <c r="O16" i="45" a="1"/>
  <c r="O16" i="45"/>
  <c r="O14" i="45" a="1"/>
  <c r="O14" i="45"/>
  <c r="O45" i="9"/>
  <c r="O47" i="9"/>
  <c r="V24" i="9"/>
  <c r="V48" i="9"/>
  <c r="V46" i="9"/>
  <c r="U55" i="9"/>
  <c r="P43" i="9"/>
  <c r="P44" i="9"/>
  <c r="P54" i="9"/>
  <c r="P56" i="9"/>
  <c r="P41" i="9"/>
  <c r="P45" i="9"/>
  <c r="P47" i="9"/>
  <c r="P49" i="9"/>
  <c r="Y66" i="48"/>
  <c r="X13" i="48"/>
  <c r="X16" i="48"/>
  <c r="W23" i="9"/>
  <c r="Z64" i="48"/>
  <c r="Y12" i="48"/>
  <c r="O22" i="28"/>
  <c r="O26" i="28"/>
  <c r="O28" i="28"/>
  <c r="O27" i="27"/>
  <c r="O29" i="27"/>
  <c r="O31" i="27"/>
  <c r="M26" i="28"/>
  <c r="M28" i="28"/>
  <c r="T11" i="28"/>
  <c r="T16" i="28"/>
  <c r="T20" i="28"/>
  <c r="R15" i="9"/>
  <c r="T10" i="27"/>
  <c r="S8" i="27"/>
  <c r="S12" i="27"/>
  <c r="S17" i="27"/>
  <c r="S21" i="27"/>
  <c r="S25" i="27"/>
  <c r="Q17" i="9"/>
  <c r="Q19" i="9"/>
  <c r="Q26" i="9"/>
  <c r="Q28" i="9"/>
  <c r="P32" i="45"/>
  <c r="S20" i="45" a="1"/>
  <c r="S20" i="45"/>
  <c r="U9" i="28"/>
  <c r="Q21" i="45" a="1"/>
  <c r="Q21" i="45"/>
  <c r="Q42" i="45"/>
  <c r="O18" i="45" a="1"/>
  <c r="O18" i="45"/>
  <c r="O23" i="45"/>
  <c r="O25" i="45"/>
  <c r="O41" i="45"/>
  <c r="O43" i="45"/>
  <c r="R35" i="45"/>
  <c r="R33" i="45"/>
  <c r="M28" i="45"/>
  <c r="K34" i="45"/>
  <c r="N30" i="45"/>
  <c r="P14" i="45" a="1"/>
  <c r="P14" i="45"/>
  <c r="P16" i="45" a="1"/>
  <c r="P16" i="45"/>
  <c r="O49" i="9"/>
  <c r="O50" i="9"/>
  <c r="P50" i="9"/>
  <c r="W24" i="9"/>
  <c r="W46" i="9"/>
  <c r="W48" i="9"/>
  <c r="V55" i="9"/>
  <c r="Q43" i="9"/>
  <c r="Q44" i="9"/>
  <c r="Q41" i="9"/>
  <c r="Q45" i="9"/>
  <c r="Q47" i="9"/>
  <c r="Q49" i="9"/>
  <c r="Q54" i="9"/>
  <c r="Q56" i="9"/>
  <c r="Z12" i="48"/>
  <c r="AA64" i="48"/>
  <c r="AA12" i="48"/>
  <c r="Z66" i="48"/>
  <c r="Y13" i="48"/>
  <c r="Y16" i="48"/>
  <c r="X23" i="9"/>
  <c r="V20" i="45" a="1"/>
  <c r="V20" i="45"/>
  <c r="P22" i="28"/>
  <c r="P24" i="28"/>
  <c r="P27" i="27"/>
  <c r="P29" i="27"/>
  <c r="P31" i="27"/>
  <c r="O24" i="28"/>
  <c r="U11" i="28"/>
  <c r="U16" i="28"/>
  <c r="U20" i="28"/>
  <c r="S15" i="9"/>
  <c r="U10" i="27"/>
  <c r="Q32" i="45"/>
  <c r="T8" i="27"/>
  <c r="T12" i="27"/>
  <c r="T17" i="27"/>
  <c r="T21" i="27"/>
  <c r="T25" i="27"/>
  <c r="R17" i="9"/>
  <c r="R19" i="9"/>
  <c r="R26" i="9"/>
  <c r="R28" i="9"/>
  <c r="T20" i="45" a="1"/>
  <c r="T20" i="45"/>
  <c r="V9" i="28"/>
  <c r="R21" i="45" a="1"/>
  <c r="R21" i="45"/>
  <c r="R42" i="45"/>
  <c r="P18" i="45" a="1"/>
  <c r="P18" i="45"/>
  <c r="P23" i="45"/>
  <c r="P25" i="45"/>
  <c r="P41" i="45"/>
  <c r="P43" i="45"/>
  <c r="S35" i="45"/>
  <c r="S33" i="45"/>
  <c r="N28" i="45"/>
  <c r="K36" i="45"/>
  <c r="K37" i="45"/>
  <c r="Q14" i="45" a="1"/>
  <c r="Q14" i="45"/>
  <c r="Q16" i="45" a="1"/>
  <c r="Q16" i="45"/>
  <c r="Q50" i="9"/>
  <c r="X48" i="9"/>
  <c r="X46" i="9"/>
  <c r="X24" i="9"/>
  <c r="W55" i="9"/>
  <c r="R41" i="9"/>
  <c r="R43" i="9"/>
  <c r="R44" i="9"/>
  <c r="R54" i="9"/>
  <c r="R56" i="9"/>
  <c r="Z13" i="48"/>
  <c r="Z16" i="48"/>
  <c r="Y23" i="9"/>
  <c r="AA66" i="48"/>
  <c r="AA13" i="48"/>
  <c r="AA16" i="48"/>
  <c r="Z23" i="9"/>
  <c r="W20" i="45" a="1"/>
  <c r="W20" i="45"/>
  <c r="Y9" i="28"/>
  <c r="V21" i="45" a="1"/>
  <c r="V21" i="45"/>
  <c r="V35" i="45"/>
  <c r="V33" i="45"/>
  <c r="P26" i="28"/>
  <c r="P28" i="28"/>
  <c r="V11" i="28"/>
  <c r="V16" i="28"/>
  <c r="V20" i="28"/>
  <c r="T15" i="9"/>
  <c r="V10" i="27"/>
  <c r="U8" i="27"/>
  <c r="U12" i="27"/>
  <c r="U17" i="27"/>
  <c r="U21" i="27"/>
  <c r="U25" i="27"/>
  <c r="S17" i="9"/>
  <c r="S19" i="9"/>
  <c r="S26" i="9"/>
  <c r="S28" i="9"/>
  <c r="U20" i="45" a="1"/>
  <c r="U20" i="45"/>
  <c r="W9" i="28"/>
  <c r="R32" i="45"/>
  <c r="S21" i="45" a="1"/>
  <c r="S21" i="45"/>
  <c r="S42" i="45"/>
  <c r="Q18" i="45" a="1"/>
  <c r="Q18" i="45"/>
  <c r="Q23" i="45"/>
  <c r="Q25" i="45"/>
  <c r="Q41" i="45"/>
  <c r="Q43" i="45"/>
  <c r="T35" i="45"/>
  <c r="T33" i="45"/>
  <c r="M34" i="45"/>
  <c r="R14" i="45" a="1"/>
  <c r="R14" i="45"/>
  <c r="R16" i="45" a="1"/>
  <c r="R16" i="45"/>
  <c r="R45" i="9"/>
  <c r="R47" i="9"/>
  <c r="R49" i="9"/>
  <c r="Y46" i="9"/>
  <c r="Y24" i="9"/>
  <c r="Y48" i="9"/>
  <c r="X55" i="9"/>
  <c r="Z48" i="9"/>
  <c r="Z46" i="9"/>
  <c r="Z24" i="9"/>
  <c r="S41" i="9"/>
  <c r="S54" i="9"/>
  <c r="S56" i="9"/>
  <c r="S43" i="9"/>
  <c r="S44" i="9"/>
  <c r="X20" i="45" a="1"/>
  <c r="X20" i="45"/>
  <c r="Z9" i="28"/>
  <c r="W21" i="45" a="1"/>
  <c r="W21" i="45"/>
  <c r="Y10" i="27"/>
  <c r="Y11" i="28"/>
  <c r="Y16" i="28"/>
  <c r="W35" i="45"/>
  <c r="W33" i="45"/>
  <c r="V42" i="45"/>
  <c r="V32" i="45"/>
  <c r="V34" i="45"/>
  <c r="V36" i="45"/>
  <c r="V37" i="45"/>
  <c r="S32" i="45"/>
  <c r="V8" i="27"/>
  <c r="V12" i="27"/>
  <c r="V17" i="27"/>
  <c r="V21" i="27"/>
  <c r="V25" i="27"/>
  <c r="T17" i="9"/>
  <c r="T19" i="9"/>
  <c r="T26" i="9"/>
  <c r="T28" i="9"/>
  <c r="W11" i="28"/>
  <c r="W16" i="28"/>
  <c r="W20" i="28"/>
  <c r="U15" i="9"/>
  <c r="W10" i="27"/>
  <c r="X9" i="28"/>
  <c r="T21" i="45" a="1"/>
  <c r="T21" i="45"/>
  <c r="T42" i="45"/>
  <c r="R18" i="45" a="1"/>
  <c r="R18" i="45"/>
  <c r="R23" i="45"/>
  <c r="R25" i="45"/>
  <c r="R41" i="45"/>
  <c r="R43" i="45"/>
  <c r="U35" i="45"/>
  <c r="U33" i="45"/>
  <c r="Q30" i="45"/>
  <c r="N34" i="45"/>
  <c r="M36" i="45"/>
  <c r="M37" i="45"/>
  <c r="S14" i="45" a="1"/>
  <c r="S14" i="45"/>
  <c r="S16" i="45" a="1"/>
  <c r="S16" i="45"/>
  <c r="S45" i="9"/>
  <c r="S47" i="9"/>
  <c r="S49" i="9"/>
  <c r="R50" i="9"/>
  <c r="Y55" i="9"/>
  <c r="Z55" i="9"/>
  <c r="T41" i="9"/>
  <c r="T54" i="9"/>
  <c r="T56" i="9"/>
  <c r="T43" i="9"/>
  <c r="T44" i="9"/>
  <c r="Y20" i="28"/>
  <c r="W15" i="9"/>
  <c r="W32" i="45"/>
  <c r="W34" i="45"/>
  <c r="W36" i="45"/>
  <c r="W37" i="45"/>
  <c r="W42" i="45"/>
  <c r="X21" i="45" a="1"/>
  <c r="X21" i="45"/>
  <c r="Y20" i="45" a="1"/>
  <c r="Y20" i="45"/>
  <c r="AA9" i="28"/>
  <c r="Z10" i="27"/>
  <c r="Z11" i="28"/>
  <c r="Z16" i="28"/>
  <c r="X35" i="45"/>
  <c r="X33" i="45"/>
  <c r="X11" i="28"/>
  <c r="X16" i="28"/>
  <c r="X20" i="28"/>
  <c r="V15" i="9"/>
  <c r="X10" i="27"/>
  <c r="W8" i="27"/>
  <c r="W12" i="27"/>
  <c r="W17" i="27"/>
  <c r="W21" i="27"/>
  <c r="W25" i="27"/>
  <c r="U17" i="9"/>
  <c r="U19" i="9"/>
  <c r="U26" i="9"/>
  <c r="U28" i="9"/>
  <c r="T32" i="45"/>
  <c r="U21" i="45" a="1"/>
  <c r="U21" i="45"/>
  <c r="U42" i="45"/>
  <c r="S18" i="45" a="1"/>
  <c r="S18" i="45"/>
  <c r="S23" i="45"/>
  <c r="S25" i="45"/>
  <c r="S41" i="45"/>
  <c r="S43" i="45"/>
  <c r="Q28" i="45"/>
  <c r="N36" i="45"/>
  <c r="N37" i="45"/>
  <c r="T14" i="45" a="1"/>
  <c r="T14" i="45"/>
  <c r="T16" i="45" a="1"/>
  <c r="T16" i="45"/>
  <c r="T45" i="9"/>
  <c r="T47" i="9"/>
  <c r="T49" i="9"/>
  <c r="S50" i="9"/>
  <c r="U54" i="9"/>
  <c r="U56" i="9"/>
  <c r="U41" i="9"/>
  <c r="U43" i="9"/>
  <c r="U44" i="9"/>
  <c r="Z20" i="45" a="1"/>
  <c r="Z20" i="45"/>
  <c r="AB9" i="28"/>
  <c r="Y35" i="45"/>
  <c r="Y33" i="45"/>
  <c r="Z20" i="28"/>
  <c r="X15" i="9"/>
  <c r="Y21" i="45" a="1"/>
  <c r="Y21" i="45"/>
  <c r="AA10" i="27"/>
  <c r="AA11" i="28"/>
  <c r="AA16" i="28"/>
  <c r="X32" i="45"/>
  <c r="X34" i="45"/>
  <c r="X36" i="45"/>
  <c r="X37" i="45"/>
  <c r="X42" i="45"/>
  <c r="Y8" i="27"/>
  <c r="Y12" i="27"/>
  <c r="Y17" i="27"/>
  <c r="Y21" i="27"/>
  <c r="Y25" i="27"/>
  <c r="V14" i="45" a="1"/>
  <c r="V14" i="45"/>
  <c r="S22" i="28"/>
  <c r="S24" i="28"/>
  <c r="S27" i="27"/>
  <c r="S29" i="27"/>
  <c r="S31" i="27"/>
  <c r="U32" i="45"/>
  <c r="X8" i="27"/>
  <c r="X12" i="27"/>
  <c r="X17" i="27"/>
  <c r="X21" i="27"/>
  <c r="X25" i="27"/>
  <c r="T18" i="45" a="1"/>
  <c r="T18" i="45"/>
  <c r="T23" i="45"/>
  <c r="T25" i="45"/>
  <c r="T41" i="45"/>
  <c r="T43" i="45"/>
  <c r="U14" i="45" a="1"/>
  <c r="U14" i="45"/>
  <c r="U16" i="45" a="1"/>
  <c r="U16" i="45"/>
  <c r="U45" i="9"/>
  <c r="U47" i="9"/>
  <c r="T50" i="9"/>
  <c r="W17" i="9"/>
  <c r="W19" i="9"/>
  <c r="W26" i="9"/>
  <c r="W28" i="9"/>
  <c r="V17" i="9"/>
  <c r="V19" i="9"/>
  <c r="V26" i="9"/>
  <c r="V28" i="9"/>
  <c r="W14" i="45" a="1"/>
  <c r="W14" i="45"/>
  <c r="Y42" i="45"/>
  <c r="Y32" i="45"/>
  <c r="Y34" i="45"/>
  <c r="Y36" i="45"/>
  <c r="Y37" i="45"/>
  <c r="Z8" i="27"/>
  <c r="Z12" i="27"/>
  <c r="Z17" i="27"/>
  <c r="Z21" i="27"/>
  <c r="Z25" i="27"/>
  <c r="Z21" i="45" a="1"/>
  <c r="Z21" i="45"/>
  <c r="AA20" i="28"/>
  <c r="Y15" i="9"/>
  <c r="AA20" i="45" a="1"/>
  <c r="AA20" i="45"/>
  <c r="AC9" i="28"/>
  <c r="AB10" i="27"/>
  <c r="AB11" i="28"/>
  <c r="AB16" i="28"/>
  <c r="Z35" i="45"/>
  <c r="Z33" i="45"/>
  <c r="S26" i="28"/>
  <c r="S28" i="28"/>
  <c r="U18" i="45" a="1"/>
  <c r="U18" i="45"/>
  <c r="U23" i="45"/>
  <c r="U25" i="45"/>
  <c r="U41" i="45"/>
  <c r="U43" i="45"/>
  <c r="Q34" i="45"/>
  <c r="U49" i="9"/>
  <c r="U50" i="9"/>
  <c r="X17" i="9"/>
  <c r="X19" i="9"/>
  <c r="X26" i="9"/>
  <c r="X28" i="9"/>
  <c r="V16" i="45" a="1"/>
  <c r="V16" i="45"/>
  <c r="W43" i="9"/>
  <c r="W44" i="9"/>
  <c r="W41" i="9"/>
  <c r="W54" i="9"/>
  <c r="W56" i="9"/>
  <c r="V41" i="9"/>
  <c r="V54" i="9"/>
  <c r="V56" i="9"/>
  <c r="V43" i="9"/>
  <c r="V44" i="9"/>
  <c r="W16" i="45" a="1"/>
  <c r="W16" i="45"/>
  <c r="AB20" i="45" a="1"/>
  <c r="AB20" i="45"/>
  <c r="AD9" i="28"/>
  <c r="X14" i="45" a="1"/>
  <c r="X14" i="45"/>
  <c r="AA35" i="45"/>
  <c r="AA33" i="45"/>
  <c r="V18" i="45" a="1"/>
  <c r="V18" i="45"/>
  <c r="V23" i="45"/>
  <c r="V25" i="45"/>
  <c r="V28" i="45"/>
  <c r="AA8" i="27"/>
  <c r="AA12" i="27"/>
  <c r="AA17" i="27"/>
  <c r="AA21" i="27"/>
  <c r="AA25" i="27"/>
  <c r="AA21" i="45" a="1"/>
  <c r="AA21" i="45"/>
  <c r="Z32" i="45"/>
  <c r="Z34" i="45"/>
  <c r="Z36" i="45"/>
  <c r="Z37" i="45"/>
  <c r="Z42" i="45"/>
  <c r="W18" i="45" a="1"/>
  <c r="W18" i="45"/>
  <c r="W23" i="45"/>
  <c r="W25" i="45"/>
  <c r="AB20" i="28"/>
  <c r="Z15" i="9"/>
  <c r="AC10" i="27"/>
  <c r="AC11" i="28"/>
  <c r="AC16" i="28"/>
  <c r="Q36" i="45"/>
  <c r="Q37" i="45"/>
  <c r="W45" i="9"/>
  <c r="W47" i="9"/>
  <c r="W49" i="9"/>
  <c r="W50" i="9"/>
  <c r="V45" i="9"/>
  <c r="V47" i="9"/>
  <c r="V49" i="9"/>
  <c r="Y17" i="9"/>
  <c r="Y19" i="9"/>
  <c r="Y26" i="9"/>
  <c r="Y28" i="9"/>
  <c r="X41" i="9"/>
  <c r="X54" i="9"/>
  <c r="X56" i="9"/>
  <c r="X43" i="9"/>
  <c r="X44" i="9"/>
  <c r="X16" i="45" a="1"/>
  <c r="X16" i="45"/>
  <c r="V30" i="45"/>
  <c r="V31" i="45"/>
  <c r="V41" i="45"/>
  <c r="V43" i="45"/>
  <c r="X18" i="45" a="1"/>
  <c r="X18" i="45"/>
  <c r="X23" i="45"/>
  <c r="X25" i="45"/>
  <c r="AC20" i="28"/>
  <c r="AC20" i="45" a="1"/>
  <c r="AC20" i="45"/>
  <c r="AE9" i="28"/>
  <c r="Y14" i="45" a="1"/>
  <c r="Y14" i="45"/>
  <c r="AB21" i="45" a="1"/>
  <c r="AB21" i="45"/>
  <c r="AA32" i="45"/>
  <c r="AA34" i="45"/>
  <c r="AA36" i="45"/>
  <c r="AA37" i="45"/>
  <c r="AA42" i="45"/>
  <c r="AD10" i="27"/>
  <c r="AD11" i="28"/>
  <c r="AD16" i="28"/>
  <c r="AB8" i="27"/>
  <c r="AB12" i="27"/>
  <c r="AB17" i="27"/>
  <c r="AB21" i="27"/>
  <c r="AB25" i="27"/>
  <c r="Y27" i="27"/>
  <c r="Y29" i="27"/>
  <c r="Y31" i="27"/>
  <c r="Y22" i="28"/>
  <c r="W30" i="45"/>
  <c r="W31" i="45"/>
  <c r="W41" i="45"/>
  <c r="W43" i="45"/>
  <c r="W28" i="45"/>
  <c r="AB35" i="45"/>
  <c r="AB33" i="45"/>
  <c r="D14" i="45" a="1"/>
  <c r="D14" i="45"/>
  <c r="C14" i="45" a="1"/>
  <c r="C14" i="45"/>
  <c r="H14" i="45" a="1"/>
  <c r="H14" i="45"/>
  <c r="E14" i="45" a="1"/>
  <c r="E14" i="45"/>
  <c r="F14" i="45" a="1"/>
  <c r="F14" i="45"/>
  <c r="G14" i="45" a="1"/>
  <c r="G14" i="45"/>
  <c r="X45" i="9"/>
  <c r="X47" i="9"/>
  <c r="X49" i="9"/>
  <c r="V50" i="9"/>
  <c r="Z17" i="9"/>
  <c r="Z19" i="9"/>
  <c r="Z26" i="9"/>
  <c r="Z28" i="9"/>
  <c r="Y41" i="9"/>
  <c r="Y54" i="9"/>
  <c r="Y56" i="9"/>
  <c r="Y43" i="9"/>
  <c r="Y44" i="9"/>
  <c r="Y16" i="45" a="1"/>
  <c r="Y16" i="45"/>
  <c r="Z14" i="45" a="1"/>
  <c r="Z14" i="45"/>
  <c r="AC35" i="45"/>
  <c r="AC33" i="45"/>
  <c r="AB32" i="45"/>
  <c r="AB34" i="45"/>
  <c r="AB36" i="45"/>
  <c r="AB37" i="45"/>
  <c r="AB42" i="45"/>
  <c r="AC8" i="27"/>
  <c r="AC12" i="27"/>
  <c r="AC17" i="27"/>
  <c r="AC21" i="27"/>
  <c r="AC25" i="27"/>
  <c r="AA16" i="45" a="1"/>
  <c r="AA16" i="45"/>
  <c r="Y24" i="28"/>
  <c r="Y26" i="28"/>
  <c r="Y28" i="28"/>
  <c r="Z22" i="28"/>
  <c r="Z27" i="27"/>
  <c r="Z29" i="27"/>
  <c r="Z31" i="27"/>
  <c r="AC21" i="45" a="1"/>
  <c r="AC21" i="45"/>
  <c r="X41" i="45"/>
  <c r="X43" i="45"/>
  <c r="X30" i="45"/>
  <c r="X31" i="45"/>
  <c r="X28" i="45"/>
  <c r="AD20" i="28"/>
  <c r="Y18" i="45" a="1"/>
  <c r="Y18" i="45"/>
  <c r="Y23" i="45"/>
  <c r="Y25" i="45"/>
  <c r="AE10" i="27"/>
  <c r="AE11" i="28"/>
  <c r="AE16" i="28"/>
  <c r="AD20" i="45" a="1"/>
  <c r="AD20" i="45"/>
  <c r="AF9" i="28"/>
  <c r="I16" i="45" a="1"/>
  <c r="I16" i="45"/>
  <c r="H16" i="45" a="1"/>
  <c r="H16" i="45"/>
  <c r="F16" i="45" a="1"/>
  <c r="F16" i="45"/>
  <c r="E16" i="45" a="1"/>
  <c r="E16" i="45"/>
  <c r="G16" i="45" a="1"/>
  <c r="G16" i="45"/>
  <c r="D16" i="45" a="1"/>
  <c r="D16" i="45"/>
  <c r="C16" i="45" a="1"/>
  <c r="C16" i="45"/>
  <c r="Y45" i="9"/>
  <c r="Y47" i="9"/>
  <c r="Y49" i="9"/>
  <c r="X50" i="9"/>
  <c r="Z54" i="9"/>
  <c r="Z56" i="9"/>
  <c r="Z41" i="9"/>
  <c r="Z43" i="9"/>
  <c r="Z44" i="9"/>
  <c r="Z16" i="45" a="1"/>
  <c r="Z16" i="45"/>
  <c r="AE20" i="28"/>
  <c r="Z24" i="28"/>
  <c r="Z26" i="28"/>
  <c r="Z28" i="28"/>
  <c r="Y41" i="45"/>
  <c r="Y43" i="45"/>
  <c r="Y28" i="45"/>
  <c r="Y30" i="45"/>
  <c r="Y31" i="45"/>
  <c r="Z18" i="45" a="1"/>
  <c r="Z18" i="45"/>
  <c r="Z23" i="45"/>
  <c r="Z25" i="45"/>
  <c r="AC42" i="45"/>
  <c r="AC32" i="45"/>
  <c r="AC34" i="45"/>
  <c r="AC36" i="45"/>
  <c r="AC37" i="45"/>
  <c r="AA14" i="45" a="1"/>
  <c r="AA14" i="45"/>
  <c r="AD21" i="45" a="1"/>
  <c r="AD21" i="45"/>
  <c r="AD8" i="27"/>
  <c r="AD12" i="27"/>
  <c r="AD17" i="27"/>
  <c r="AD21" i="27"/>
  <c r="AD25" i="27"/>
  <c r="AB16" i="45" a="1"/>
  <c r="AB16" i="45"/>
  <c r="AE20" i="45" a="1"/>
  <c r="AE20" i="45"/>
  <c r="AG9" i="28"/>
  <c r="AA27" i="27"/>
  <c r="AA29" i="27"/>
  <c r="AA31" i="27"/>
  <c r="AA22" i="28"/>
  <c r="AF10" i="27"/>
  <c r="AF11" i="28"/>
  <c r="AF16" i="28"/>
  <c r="AD35" i="45"/>
  <c r="AD33" i="45"/>
  <c r="D19" i="9"/>
  <c r="D18" i="45" a="1"/>
  <c r="D18" i="45"/>
  <c r="D23" i="45"/>
  <c r="D25" i="45"/>
  <c r="D41" i="45"/>
  <c r="D43" i="45"/>
  <c r="H18" i="45" a="1"/>
  <c r="H18" i="45"/>
  <c r="H23" i="45"/>
  <c r="H25" i="45"/>
  <c r="H41" i="45"/>
  <c r="H43" i="45"/>
  <c r="G18" i="45" a="1"/>
  <c r="G18" i="45"/>
  <c r="G23" i="45"/>
  <c r="E19" i="9"/>
  <c r="E18" i="45" a="1"/>
  <c r="E18" i="45"/>
  <c r="E23" i="45"/>
  <c r="E25" i="45"/>
  <c r="E41" i="45"/>
  <c r="E43" i="45"/>
  <c r="F19" i="9"/>
  <c r="F18" i="45" a="1"/>
  <c r="F18" i="45"/>
  <c r="F23" i="45"/>
  <c r="F25" i="45"/>
  <c r="F41" i="45"/>
  <c r="F43" i="45"/>
  <c r="C19" i="9"/>
  <c r="C18" i="45" a="1"/>
  <c r="C18" i="45"/>
  <c r="C23" i="45"/>
  <c r="C25" i="45"/>
  <c r="C41" i="45"/>
  <c r="C43" i="45"/>
  <c r="Z45" i="9"/>
  <c r="Z47" i="9"/>
  <c r="Y50" i="9"/>
  <c r="AF20" i="45" a="1"/>
  <c r="AF20" i="45"/>
  <c r="AH9" i="28"/>
  <c r="AF20" i="28"/>
  <c r="AB14" i="45" a="1"/>
  <c r="AB14" i="45"/>
  <c r="AG10" i="27"/>
  <c r="AG11" i="28"/>
  <c r="AG16" i="28"/>
  <c r="AE35" i="45"/>
  <c r="AE33" i="45"/>
  <c r="AB22" i="28"/>
  <c r="AB27" i="27"/>
  <c r="AB29" i="27"/>
  <c r="AB31" i="27"/>
  <c r="AE8" i="27"/>
  <c r="AE12" i="27"/>
  <c r="AE17" i="27"/>
  <c r="AE21" i="27"/>
  <c r="AE25" i="27"/>
  <c r="AC16" i="45" a="1"/>
  <c r="AC16" i="45"/>
  <c r="AD42" i="45"/>
  <c r="AD32" i="45"/>
  <c r="AD34" i="45"/>
  <c r="AD36" i="45"/>
  <c r="AD37" i="45"/>
  <c r="Z41" i="45"/>
  <c r="Z43" i="45"/>
  <c r="Z28" i="45"/>
  <c r="Z30" i="45"/>
  <c r="Z31" i="45"/>
  <c r="AE21" i="45" a="1"/>
  <c r="AE21" i="45"/>
  <c r="AA24" i="28"/>
  <c r="AA26" i="28"/>
  <c r="AA28" i="28"/>
  <c r="AA18" i="45" a="1"/>
  <c r="AA18" i="45"/>
  <c r="AA23" i="45"/>
  <c r="AA25" i="45"/>
  <c r="G25" i="45"/>
  <c r="G41" i="45"/>
  <c r="G43" i="45"/>
  <c r="E26" i="9"/>
  <c r="E28" i="9"/>
  <c r="E30" i="45"/>
  <c r="H30" i="45"/>
  <c r="Q31" i="45"/>
  <c r="N31" i="45"/>
  <c r="M31" i="45"/>
  <c r="K31" i="45"/>
  <c r="Z49" i="9"/>
  <c r="Z50" i="9"/>
  <c r="AB24" i="28"/>
  <c r="AB26" i="28"/>
  <c r="AB28" i="28"/>
  <c r="AF8" i="27"/>
  <c r="AF12" i="27"/>
  <c r="AF17" i="27"/>
  <c r="AF21" i="27"/>
  <c r="AF25" i="27"/>
  <c r="AD16" i="45" a="1"/>
  <c r="AD16" i="45"/>
  <c r="AF21" i="45" a="1"/>
  <c r="AF21" i="45"/>
  <c r="AH10" i="27"/>
  <c r="AH11" i="28"/>
  <c r="AH16" i="28"/>
  <c r="AC27" i="27"/>
  <c r="AC29" i="27"/>
  <c r="AC31" i="27"/>
  <c r="AC22" i="28"/>
  <c r="AC14" i="45" a="1"/>
  <c r="AC14" i="45"/>
  <c r="AG20" i="28"/>
  <c r="AA28" i="45"/>
  <c r="AA41" i="45"/>
  <c r="AA43" i="45"/>
  <c r="AA30" i="45"/>
  <c r="AA31" i="45"/>
  <c r="AF35" i="45"/>
  <c r="AF33" i="45"/>
  <c r="AE32" i="45"/>
  <c r="AE34" i="45"/>
  <c r="AE36" i="45"/>
  <c r="AE37" i="45"/>
  <c r="AE42" i="45"/>
  <c r="AG20" i="45" a="1"/>
  <c r="AG20" i="45"/>
  <c r="AI9" i="28"/>
  <c r="AB18" i="45" a="1"/>
  <c r="AB18" i="45"/>
  <c r="AB23" i="45"/>
  <c r="AB25" i="45"/>
  <c r="J22" i="28"/>
  <c r="J26" i="28"/>
  <c r="J28" i="28"/>
  <c r="J27" i="27"/>
  <c r="J29" i="27"/>
  <c r="J31" i="27"/>
  <c r="G22" i="28"/>
  <c r="G24" i="28"/>
  <c r="G27" i="27"/>
  <c r="G29" i="27"/>
  <c r="G31" i="27"/>
  <c r="E54" i="9"/>
  <c r="E56" i="9"/>
  <c r="E43" i="9"/>
  <c r="E41" i="9"/>
  <c r="H28" i="45"/>
  <c r="E28" i="45"/>
  <c r="E31" i="45"/>
  <c r="H31" i="45"/>
  <c r="AH20" i="45" a="1"/>
  <c r="AH20" i="45"/>
  <c r="AJ9" i="28"/>
  <c r="AG35" i="45"/>
  <c r="AG33" i="45"/>
  <c r="AF42" i="45"/>
  <c r="AF32" i="45"/>
  <c r="AF34" i="45"/>
  <c r="AF36" i="45"/>
  <c r="AF37" i="45"/>
  <c r="AD27" i="27"/>
  <c r="AD29" i="27"/>
  <c r="AD31" i="27"/>
  <c r="AD22" i="28"/>
  <c r="AB30" i="45"/>
  <c r="AB31" i="45"/>
  <c r="AB28" i="45"/>
  <c r="AB41" i="45"/>
  <c r="AB43" i="45"/>
  <c r="AG8" i="27"/>
  <c r="AG12" i="27"/>
  <c r="AG17" i="27"/>
  <c r="AG21" i="27"/>
  <c r="AG25" i="27"/>
  <c r="AE16" i="45" a="1"/>
  <c r="AE16" i="45"/>
  <c r="AC24" i="28"/>
  <c r="AC26" i="28"/>
  <c r="AC28" i="28"/>
  <c r="AC18" i="45" a="1"/>
  <c r="AC18" i="45"/>
  <c r="AC23" i="45"/>
  <c r="AC25" i="45"/>
  <c r="AH20" i="28"/>
  <c r="AD14" i="45" a="1"/>
  <c r="AD14" i="45"/>
  <c r="AG21" i="45" a="1"/>
  <c r="AG21" i="45"/>
  <c r="AI10" i="27"/>
  <c r="AI11" i="28"/>
  <c r="AI16" i="28"/>
  <c r="J24" i="28"/>
  <c r="G26" i="28"/>
  <c r="G28" i="28"/>
  <c r="E44" i="9"/>
  <c r="E45" i="9"/>
  <c r="E47" i="9"/>
  <c r="E49" i="9"/>
  <c r="E50" i="9"/>
  <c r="AJ20" i="45" a="1"/>
  <c r="AJ20" i="45"/>
  <c r="AL9" i="28"/>
  <c r="AD24" i="28"/>
  <c r="AD26" i="28"/>
  <c r="AD28" i="28"/>
  <c r="AI20" i="28"/>
  <c r="AI20" i="45" a="1"/>
  <c r="AI20" i="45"/>
  <c r="AK9" i="28"/>
  <c r="AH8" i="27"/>
  <c r="AH12" i="27"/>
  <c r="AH17" i="27"/>
  <c r="AH21" i="27"/>
  <c r="AH25" i="27"/>
  <c r="AF16" i="45" a="1"/>
  <c r="AF16" i="45"/>
  <c r="AH21" i="45" a="1"/>
  <c r="AH21" i="45"/>
  <c r="AE14" i="45" a="1"/>
  <c r="AE14" i="45"/>
  <c r="AE27" i="27"/>
  <c r="AE29" i="27"/>
  <c r="AE31" i="27"/>
  <c r="AE22" i="28"/>
  <c r="AJ10" i="27"/>
  <c r="AJ11" i="28"/>
  <c r="AJ16" i="28"/>
  <c r="AD18" i="45" a="1"/>
  <c r="AD18" i="45"/>
  <c r="AD23" i="45"/>
  <c r="AD25" i="45"/>
  <c r="AC28" i="45"/>
  <c r="AC41" i="45"/>
  <c r="AC43" i="45"/>
  <c r="AC30" i="45"/>
  <c r="AC31" i="45"/>
  <c r="AH35" i="45"/>
  <c r="AH33" i="45"/>
  <c r="AG32" i="45"/>
  <c r="AG34" i="45"/>
  <c r="AG36" i="45"/>
  <c r="AG37" i="45"/>
  <c r="AG42" i="45"/>
  <c r="L30" i="45"/>
  <c r="H34" i="45"/>
  <c r="E34" i="45"/>
  <c r="U30" i="45"/>
  <c r="U31" i="45"/>
  <c r="AF22" i="28"/>
  <c r="AF27" i="27"/>
  <c r="AF29" i="27"/>
  <c r="AF31" i="27"/>
  <c r="AF14" i="45" a="1"/>
  <c r="AF14" i="45"/>
  <c r="AI21" i="45" a="1"/>
  <c r="AI21" i="45"/>
  <c r="AJ21" i="45" a="1"/>
  <c r="AJ21" i="45"/>
  <c r="AD41" i="45"/>
  <c r="AD43" i="45"/>
  <c r="AD30" i="45"/>
  <c r="AD31" i="45"/>
  <c r="AD28" i="45"/>
  <c r="AK10" i="27"/>
  <c r="AK11" i="28"/>
  <c r="AK16" i="28"/>
  <c r="AI8" i="27"/>
  <c r="AI12" i="27"/>
  <c r="AI17" i="27"/>
  <c r="AI21" i="27"/>
  <c r="AI25" i="27"/>
  <c r="AG16" i="45" a="1"/>
  <c r="AG16" i="45"/>
  <c r="AI35" i="45"/>
  <c r="AI33" i="45"/>
  <c r="AL10" i="27"/>
  <c r="AL11" i="28"/>
  <c r="AL16" i="28"/>
  <c r="AE18" i="45" a="1"/>
  <c r="AE18" i="45"/>
  <c r="AE23" i="45"/>
  <c r="AE25" i="45"/>
  <c r="AE24" i="28"/>
  <c r="AE26" i="28"/>
  <c r="AE28" i="28"/>
  <c r="AH42" i="45"/>
  <c r="AH32" i="45"/>
  <c r="AH34" i="45"/>
  <c r="AH36" i="45"/>
  <c r="AH37" i="45"/>
  <c r="AJ20" i="28"/>
  <c r="AJ35" i="45"/>
  <c r="AJ33" i="45"/>
  <c r="L28" i="45"/>
  <c r="U28" i="45"/>
  <c r="E36" i="45"/>
  <c r="E37" i="45"/>
  <c r="H36" i="45"/>
  <c r="H37" i="45"/>
  <c r="AJ42" i="45"/>
  <c r="AJ32" i="45"/>
  <c r="AJ34" i="45"/>
  <c r="AJ36" i="45"/>
  <c r="AJ37" i="45"/>
  <c r="AF18" i="45" a="1"/>
  <c r="AF18" i="45"/>
  <c r="AF23" i="45"/>
  <c r="AF25" i="45"/>
  <c r="AK20" i="28"/>
  <c r="AF24" i="28"/>
  <c r="AF26" i="28"/>
  <c r="AF28" i="28"/>
  <c r="AE41" i="45"/>
  <c r="AE43" i="45"/>
  <c r="AE28" i="45"/>
  <c r="AE30" i="45"/>
  <c r="AE31" i="45"/>
  <c r="AG14" i="45" a="1"/>
  <c r="AG14" i="45"/>
  <c r="AL20" i="28"/>
  <c r="AI32" i="45"/>
  <c r="AI34" i="45"/>
  <c r="AI36" i="45"/>
  <c r="AI37" i="45"/>
  <c r="AI42" i="45"/>
  <c r="AG27" i="27"/>
  <c r="AG29" i="27"/>
  <c r="AG31" i="27"/>
  <c r="AG22" i="28"/>
  <c r="AJ8" i="27"/>
  <c r="AJ12" i="27"/>
  <c r="AJ17" i="27"/>
  <c r="AJ21" i="27"/>
  <c r="AJ25" i="27"/>
  <c r="AH16" i="45" a="1"/>
  <c r="AH16" i="45"/>
  <c r="N22" i="28"/>
  <c r="N26" i="28"/>
  <c r="N28" i="28"/>
  <c r="N27" i="27"/>
  <c r="N29" i="27"/>
  <c r="N31" i="27"/>
  <c r="X22" i="28"/>
  <c r="X24" i="28"/>
  <c r="X27" i="27"/>
  <c r="X29" i="27"/>
  <c r="X31" i="27"/>
  <c r="W22" i="28"/>
  <c r="W24" i="28"/>
  <c r="W27" i="27"/>
  <c r="W29" i="27"/>
  <c r="W31" i="27"/>
  <c r="B34" i="45"/>
  <c r="AK8" i="27"/>
  <c r="AK12" i="27"/>
  <c r="AK17" i="27"/>
  <c r="AK21" i="27"/>
  <c r="AK25" i="27"/>
  <c r="AI16" i="45" a="1"/>
  <c r="AI16" i="45"/>
  <c r="AG18" i="45" a="1"/>
  <c r="AG18" i="45"/>
  <c r="AG23" i="45"/>
  <c r="AG25" i="45"/>
  <c r="AH22" i="28"/>
  <c r="AH27" i="27"/>
  <c r="AH29" i="27"/>
  <c r="AH31" i="27"/>
  <c r="AG24" i="28"/>
  <c r="AG26" i="28"/>
  <c r="AG28" i="28"/>
  <c r="AL8" i="27"/>
  <c r="AL12" i="27"/>
  <c r="AL17" i="27"/>
  <c r="AL21" i="27"/>
  <c r="AL25" i="27"/>
  <c r="AJ16" i="45" a="1"/>
  <c r="AJ16" i="45"/>
  <c r="AF28" i="45"/>
  <c r="AF41" i="45"/>
  <c r="AF43" i="45"/>
  <c r="AF30" i="45"/>
  <c r="AF31" i="45"/>
  <c r="AH14" i="45" a="1"/>
  <c r="AH14" i="45"/>
  <c r="W26" i="28"/>
  <c r="W28" i="28"/>
  <c r="N24" i="28"/>
  <c r="X26" i="28"/>
  <c r="X28" i="28"/>
  <c r="B36" i="45"/>
  <c r="B37" i="45"/>
  <c r="F26" i="9"/>
  <c r="F28" i="9"/>
  <c r="F30" i="45"/>
  <c r="F31" i="45"/>
  <c r="L34" i="45"/>
  <c r="U34" i="45"/>
  <c r="H27" i="27"/>
  <c r="H29" i="27"/>
  <c r="H31" i="27"/>
  <c r="AH24" i="28"/>
  <c r="AH26" i="28"/>
  <c r="AH28" i="28"/>
  <c r="AJ14" i="45" a="1"/>
  <c r="AJ14" i="45"/>
  <c r="AI27" i="27"/>
  <c r="AI29" i="27"/>
  <c r="AI31" i="27"/>
  <c r="AI22" i="28"/>
  <c r="AG41" i="45"/>
  <c r="AG43" i="45"/>
  <c r="AG30" i="45"/>
  <c r="AG31" i="45"/>
  <c r="AG28" i="45"/>
  <c r="AH18" i="45" a="1"/>
  <c r="AH18" i="45"/>
  <c r="AH23" i="45"/>
  <c r="AH25" i="45"/>
  <c r="AI14" i="45" a="1"/>
  <c r="AI14" i="45"/>
  <c r="H22" i="28"/>
  <c r="F28" i="45"/>
  <c r="L36" i="45"/>
  <c r="L37" i="45"/>
  <c r="U36" i="45"/>
  <c r="U37" i="45"/>
  <c r="AI24" i="28"/>
  <c r="AI26" i="28"/>
  <c r="AI28" i="28"/>
  <c r="AH41" i="45"/>
  <c r="AH43" i="45"/>
  <c r="AH28" i="45"/>
  <c r="AH30" i="45"/>
  <c r="AH31" i="45"/>
  <c r="AJ27" i="27"/>
  <c r="AJ29" i="27"/>
  <c r="AJ31" i="27"/>
  <c r="AJ22" i="28"/>
  <c r="AJ18" i="45" a="1"/>
  <c r="AJ18" i="45"/>
  <c r="AJ23" i="45"/>
  <c r="AJ25" i="45"/>
  <c r="AI18" i="45" a="1"/>
  <c r="AI18" i="45"/>
  <c r="AI23" i="45"/>
  <c r="AI25" i="45"/>
  <c r="H26" i="28"/>
  <c r="H28" i="28"/>
  <c r="H24" i="28"/>
  <c r="F54" i="9"/>
  <c r="F56" i="9"/>
  <c r="F43" i="9"/>
  <c r="F44" i="9"/>
  <c r="F41" i="9"/>
  <c r="F45" i="9"/>
  <c r="F47" i="9"/>
  <c r="F49" i="9"/>
  <c r="F50" i="9"/>
  <c r="AI28" i="45"/>
  <c r="AI41" i="45"/>
  <c r="AI43" i="45"/>
  <c r="AI30" i="45"/>
  <c r="AI31" i="45"/>
  <c r="AL27" i="27"/>
  <c r="AL29" i="27"/>
  <c r="AL31" i="27"/>
  <c r="AL22" i="28"/>
  <c r="AK27" i="27"/>
  <c r="AK29" i="27"/>
  <c r="AK31" i="27"/>
  <c r="AK22" i="28"/>
  <c r="AJ41" i="45"/>
  <c r="AJ43" i="45"/>
  <c r="AJ30" i="45"/>
  <c r="AJ31" i="45"/>
  <c r="AJ28" i="45"/>
  <c r="AJ24" i="28"/>
  <c r="AJ26" i="28"/>
  <c r="AJ28" i="28"/>
  <c r="F34" i="45"/>
  <c r="AL24" i="28"/>
  <c r="AL26" i="28"/>
  <c r="AL28" i="28"/>
  <c r="AK24" i="28"/>
  <c r="AK26" i="28"/>
  <c r="AK28" i="28"/>
  <c r="O30" i="45"/>
  <c r="O31" i="45"/>
  <c r="R30" i="45"/>
  <c r="R31" i="45"/>
  <c r="P30" i="45"/>
  <c r="P31" i="45"/>
  <c r="F36" i="45"/>
  <c r="F37" i="45"/>
  <c r="R22" i="28"/>
  <c r="R24" i="28"/>
  <c r="R27" i="27"/>
  <c r="R29" i="27"/>
  <c r="R31" i="27"/>
  <c r="T22" i="28"/>
  <c r="T24" i="28"/>
  <c r="T27" i="27"/>
  <c r="T29" i="27"/>
  <c r="T31" i="27"/>
  <c r="P28" i="45"/>
  <c r="R28" i="45"/>
  <c r="O28" i="45"/>
  <c r="R26" i="28"/>
  <c r="R28" i="28"/>
  <c r="T26" i="28"/>
  <c r="T28" i="28"/>
  <c r="Q22" i="28"/>
  <c r="Q24" i="28"/>
  <c r="Q27" i="27"/>
  <c r="Q29" i="27"/>
  <c r="Q31" i="27"/>
  <c r="Q26" i="28"/>
  <c r="Q28" i="28"/>
  <c r="P34" i="45"/>
  <c r="G30" i="45"/>
  <c r="G31" i="45"/>
  <c r="R34" i="45"/>
  <c r="O34" i="45"/>
  <c r="G28" i="45"/>
  <c r="P36" i="45"/>
  <c r="P37" i="45"/>
  <c r="R36" i="45"/>
  <c r="R37" i="45"/>
  <c r="O36" i="45"/>
  <c r="O37" i="45"/>
  <c r="I22" i="28"/>
  <c r="I24" i="28"/>
  <c r="I27" i="27"/>
  <c r="I29" i="27"/>
  <c r="I31" i="27"/>
  <c r="I26" i="28"/>
  <c r="I28" i="28"/>
  <c r="G34" i="45"/>
  <c r="S30" i="45"/>
  <c r="S31" i="45"/>
  <c r="G36" i="45"/>
  <c r="G37" i="45"/>
  <c r="S28" i="45"/>
  <c r="U22" i="28"/>
  <c r="U26" i="28"/>
  <c r="U28" i="28"/>
  <c r="U27" i="27"/>
  <c r="U29" i="27"/>
  <c r="U31" i="27"/>
  <c r="D26" i="9"/>
  <c r="D30" i="45"/>
  <c r="D31" i="45"/>
  <c r="U24" i="28"/>
  <c r="D28" i="9"/>
  <c r="D28" i="45"/>
  <c r="S34" i="45"/>
  <c r="F22" i="28"/>
  <c r="F24" i="28"/>
  <c r="F27" i="27"/>
  <c r="F29" i="27"/>
  <c r="F31" i="27"/>
  <c r="D54" i="9"/>
  <c r="D56" i="9"/>
  <c r="D41" i="9"/>
  <c r="D43" i="9"/>
  <c r="D44" i="9"/>
  <c r="S36" i="45"/>
  <c r="S37" i="45"/>
  <c r="D45" i="9"/>
  <c r="D47" i="9"/>
  <c r="D49" i="9"/>
  <c r="F26" i="28"/>
  <c r="F28" i="28"/>
  <c r="D34" i="45"/>
  <c r="D50" i="9"/>
  <c r="D36" i="45"/>
  <c r="D37" i="45"/>
  <c r="C26" i="9"/>
  <c r="C30" i="45"/>
  <c r="C31" i="45"/>
  <c r="C28" i="9"/>
  <c r="C28" i="45"/>
  <c r="T30" i="45"/>
  <c r="E22" i="28"/>
  <c r="E24" i="28"/>
  <c r="E27" i="27"/>
  <c r="E29" i="27"/>
  <c r="E31" i="27"/>
  <c r="C54" i="9"/>
  <c r="C56" i="9"/>
  <c r="C41" i="9"/>
  <c r="C43" i="9"/>
  <c r="C44" i="9"/>
  <c r="T28" i="45"/>
  <c r="T31" i="45"/>
  <c r="C45" i="9"/>
  <c r="C47" i="9"/>
  <c r="C49" i="9"/>
  <c r="E26" i="28"/>
  <c r="E28" i="28"/>
  <c r="V22" i="28"/>
  <c r="V24" i="28"/>
  <c r="V27" i="27"/>
  <c r="V29" i="27"/>
  <c r="V31" i="27"/>
  <c r="C34" i="45"/>
  <c r="C50" i="9"/>
  <c r="V26" i="28"/>
  <c r="V28" i="28"/>
  <c r="C36" i="45"/>
  <c r="C37" i="45"/>
  <c r="T34" i="45"/>
  <c r="T36" i="45"/>
  <c r="T37" i="45"/>
  <c r="I14" i="45" a="1"/>
  <c r="I14" i="45"/>
  <c r="I18" i="45" a="1"/>
  <c r="I18" i="45"/>
  <c r="I23" i="45"/>
  <c r="I25" i="45"/>
  <c r="I41" i="45"/>
  <c r="I43" i="45"/>
  <c r="I30" i="45"/>
  <c r="I28" i="45"/>
  <c r="I31" i="45"/>
  <c r="K22" i="28"/>
  <c r="K24" i="28"/>
  <c r="K27" i="27"/>
  <c r="K29" i="27"/>
  <c r="K31" i="27"/>
  <c r="K26" i="28"/>
  <c r="K28" i="28"/>
  <c r="I34" i="45"/>
  <c r="I36" i="45"/>
  <c r="I37" i="45"/>
  <c r="J30" i="45"/>
  <c r="J28" i="45"/>
  <c r="J31" i="45"/>
  <c r="L22" i="28"/>
  <c r="L24" i="28"/>
  <c r="L27" i="27"/>
  <c r="L29" i="27"/>
  <c r="L31" i="27"/>
  <c r="L26" i="28"/>
  <c r="L28" i="28"/>
  <c r="J34" i="45"/>
  <c r="J36" i="45"/>
  <c r="J37" i="45"/>
  <c r="L31" i="45"/>
  <c r="D16" i="28"/>
  <c r="D20" i="28"/>
  <c r="B15" i="9"/>
  <c r="D8" i="27"/>
  <c r="D12" i="27"/>
  <c r="D17" i="27"/>
  <c r="D21" i="27"/>
  <c r="B14" i="45" a="1"/>
  <c r="B14" i="45"/>
  <c r="D25" i="27"/>
  <c r="B17" i="9"/>
  <c r="B16" i="45" a="1"/>
  <c r="B16" i="45"/>
  <c r="B19" i="9"/>
  <c r="B26" i="9"/>
  <c r="B18" i="45" a="1"/>
  <c r="B18" i="45"/>
  <c r="B23" i="45"/>
  <c r="B25" i="45"/>
  <c r="B28" i="9"/>
  <c r="B30" i="45"/>
  <c r="B31" i="45"/>
  <c r="B28" i="45"/>
  <c r="B41" i="45"/>
  <c r="B43" i="45"/>
  <c r="B36" i="9"/>
  <c r="B37" i="9"/>
  <c r="B54" i="9"/>
  <c r="B56" i="9"/>
  <c r="B43" i="9"/>
  <c r="B44" i="9"/>
  <c r="D22" i="28"/>
  <c r="D24" i="28"/>
  <c r="B41" i="9"/>
  <c r="D27" i="27"/>
  <c r="D29" i="27"/>
  <c r="D31" i="27"/>
  <c r="B38" i="9"/>
  <c r="B45" i="9"/>
  <c r="B47" i="9"/>
  <c r="D26" i="28"/>
  <c r="D28" i="28"/>
  <c r="B49" i="9"/>
  <c r="B5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<sst xmlns="http://schemas.openxmlformats.org/spreadsheetml/2006/main" count="519" uniqueCount="353">
  <si>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</si>
  <si>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</si>
  <si>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</si>
  <si>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</si>
  <si>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</si>
  <si>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</si>
  <si>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</si>
  <si>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</si>
  <si>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</si>
  <si>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</si>
  <si>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</si>
  <si>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</si>
  <si>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</si>
  <si>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</si>
  <si>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</si>
  <si>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</si>
  <si>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</si>
  <si>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</si>
  <si>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</si>
  <si>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</si>
  <si>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</si>
  <si>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</si>
  <si>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</si>
  <si>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</si>
  <si>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</si>
  <si>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</si>
  <si>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</si>
  <si>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</si>
  <si>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</si>
  <si>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</si>
  <si>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</si>
  <si>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</si>
  <si>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</si>
  <si>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</si>
  <si>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</si>
  <si>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</si>
  <si>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</si>
  <si>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</si>
  <si>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</si>
  <si>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</si>
  <si>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</si>
  <si>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</si>
  <si>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</si>
  <si>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</si>
  <si>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</si>
  <si>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</si>
  <si>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</si>
  <si>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</si>
  <si>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</si>
  <si>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</si>
  <si>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</si>
  <si>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</si>
  <si>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</si>
  <si>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</si>
  <si>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</si>
  <si>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</si>
  <si>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</si>
  <si>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</si>
  <si>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</si>
  <si>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</si>
  <si>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</si>
  <si>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</si>
  <si>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</si>
  <si>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</si>
  <si>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</si>
  <si>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</si>
  <si>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</si>
  <si>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</si>
  <si>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</si>
  <si>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</si>
  <si>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</si>
  <si>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</si>
  <si>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</si>
  <si>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</si>
  <si>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</si>
  <si>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</si>
  <si>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</si>
  <si>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</si>
  <si>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</si>
  <si>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</si>
  <si>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</si>
  <si>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</si>
  <si>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</si>
  <si>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</si>
  <si>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</si>
  <si>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</si>
  <si>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</si>
  <si>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</si>
  <si>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</si>
  <si>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</si>
  <si>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</si>
  <si>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</si>
  <si>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</si>
  <si>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</si>
  <si>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</si>
  <si>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</si>
  <si>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</si>
  <si>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</si>
  <si>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</si>
  <si>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</si>
  <si>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</si>
  <si>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</si>
  <si>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</si>
  <si>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</si>
  <si>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</si>
  <si>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</si>
  <si>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</si>
  <si>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</si>
  <si>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</si>
  <si>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</si>
  <si>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</si>
  <si>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</si>
  <si>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</si>
  <si>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</si>
  <si>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</si>
  <si>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</si>
  <si>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</si>
  <si>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</si>
  <si>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</si>
  <si>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</si>
  <si>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</si>
  <si>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</si>
  <si>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</si>
  <si>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</si>
  <si>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</si>
  <si>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</si>
  <si>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</si>
  <si>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</si>
  <si>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</si>
  <si>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</si>
  <si>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</si>
  <si>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</si>
  <si>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</si>
  <si>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</si>
  <si>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</si>
  <si>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</si>
  <si>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</si>
  <si>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</si>
  <si>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</si>
  <si>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</si>
  <si>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</si>
  <si>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</si>
  <si>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</si>
  <si>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</si>
  <si>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</si>
  <si>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</si>
  <si>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</si>
  <si>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</si>
  <si>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</si>
  <si>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</si>
  <si>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</si>
  <si>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</si>
  <si>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</si>
  <si>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</si>
  <si>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</si>
  <si>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</si>
  <si>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</si>
  <si>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</si>
  <si>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</si>
  <si>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</si>
  <si>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</si>
  <si>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</si>
  <si>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</si>
  <si>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</si>
  <si>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</si>
  <si>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</si>
  <si>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</si>
  <si>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</si>
  <si>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</si>
  <si>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</si>
  <si>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</si>
  <si>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</si>
  <si>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</si>
  <si>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</si>
  <si>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</si>
  <si>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</si>
  <si>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</si>
  <si>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</si>
  <si>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</si>
  <si>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</si>
  <si>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</si>
  <si>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</si>
  <si>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</si>
  <si>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</si>
  <si>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</si>
  <si>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</si>
  <si>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</si>
  <si>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</si>
  <si>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</si>
  <si>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</si>
  <si>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</si>
  <si>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</si>
  <si>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</si>
  <si>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</si>
  <si>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</si>
  <si>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</si>
  <si>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</si>
  <si>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</si>
  <si>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</si>
  <si>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</si>
  <si>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</si>
  <si>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</si>
  <si>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</si>
  <si>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</si>
  <si>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</si>
  <si>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</si>
  <si>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</si>
  <si>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</si>
  <si>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</si>
  <si>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</si>
  <si>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</si>
  <si>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</si>
  <si>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</si>
  <si>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</si>
  <si>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</si>
  <si>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</si>
  <si>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</si>
  <si>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</si>
  <si>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</si>
  <si>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</si>
  <si>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</si>
  <si>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</si>
  <si>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</si>
  <si>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</si>
  <si>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</si>
  <si>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</si>
  <si>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</si>
  <si>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</si>
  <si>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</si>
  <si>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</si>
  <si>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</si>
  <si>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</si>
  <si>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</si>
  <si>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</si>
  <si>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</si>
  <si>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</si>
  <si>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</si>
  <si>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</si>
  <si>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</si>
  <si>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</si>
  <si>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</si>
  <si>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</si>
  <si>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</si>
  <si>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</si>
  <si>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</si>
  <si>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</si>
  <si>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</si>
  <si>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</si>
  <si>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</si>
  <si>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</si>
  <si>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</si>
  <si>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</si>
  <si>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</si>
  <si>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</si>
  <si>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</si>
  <si>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</si>
  <si>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</si>
  <si>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</si>
  <si>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</si>
  <si>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</si>
  <si>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</si>
  <si>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</si>
  <si>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</si>
  <si>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</si>
  <si>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</si>
  <si>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</si>
  <si>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</si>
  <si>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</si>
  <si>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</si>
  <si>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</si>
  <si>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</si>
  <si>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</si>
  <si>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</si>
  <si>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</si>
  <si>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</si>
  <si>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</si>
  <si>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</si>
  <si>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</si>
  <si>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</si>
  <si>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</si>
  <si>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</si>
  <si>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</si>
  <si>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</si>
  <si>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</si>
  <si>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</si>
  <si>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</si>
  <si>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</si>
  <si>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</si>
  <si>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</si>
  <si>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</si>
  <si>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</si>
  <si>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</si>
  <si>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</si>
  <si>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</si>
  <si>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</si>
  <si>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</si>
  <si>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</si>
  <si>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</si>
  <si>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</si>
  <si>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</si>
  <si>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</si>
  <si>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</si>
  <si>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</si>
  <si>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</si>
  <si>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</si>
  <si>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</si>
  <si>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</si>
  <si>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</si>
  <si>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</si>
  <si>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</si>
  <si>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</si>
  <si>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</si>
  <si>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</si>
  <si>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</si>
  <si>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</si>
  <si>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</si>
  <si>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</si>
  <si>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</si>
  <si>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</si>
  <si>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</si>
  <si>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</si>
  <si>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</si>
  <si>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Option 3: New Mechanical Draft Cooling Tower</t>
  </si>
  <si>
    <t>Total Present Value Rev Requirement 10 Yr</t>
  </si>
  <si>
    <t>Avg Revenue Rrequirement 10 Yr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</si>
  <si>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</si>
  <si>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</si>
  <si>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</si>
  <si>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</si>
  <si>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</si>
  <si>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</si>
  <si>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</si>
  <si>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</si>
  <si>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</si>
  <si>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</si>
  <si>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</si>
  <si>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</si>
  <si>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</si>
  <si>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</si>
  <si>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</si>
  <si>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</si>
  <si>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</si>
  <si>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</si>
  <si>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</si>
  <si>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</si>
  <si>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</si>
  <si>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</si>
  <si>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</si>
  <si>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</si>
  <si>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</si>
  <si>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</si>
  <si>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</si>
  <si>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 xml:space="preserve">APCO WV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</si>
</sst>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57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164" fontId="31" fillId="0" borderId="0" xfId="424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8" fillId="0" borderId="0" xfId="0" applyFont="1"/>
    <xf numFmtId="0" fontId="329" fillId="0" borderId="0" xfId="0" applyFont="1"/>
    <xf numFmtId="0" fontId="328" fillId="0" borderId="0" xfId="1158" applyFont="1"/>
    <xf numFmtId="0" fontId="330" fillId="0" borderId="0" xfId="1158" applyFont="1"/>
    <xf numFmtId="0" fontId="328" fillId="0" borderId="0" xfId="1158" applyFont="1" applyAlignment="1">
      <alignment horizontal="center"/>
    </xf>
    <xf numFmtId="0" fontId="330" fillId="0" borderId="0" xfId="1158" applyFont="1" applyAlignment="1">
      <alignment horizontal="center"/>
    </xf>
    <xf numFmtId="49" fontId="330" fillId="0" borderId="0" xfId="1158" applyNumberFormat="1" applyFont="1" applyAlignment="1">
      <alignment horizontal="center"/>
    </xf>
    <xf numFmtId="0" fontId="331" fillId="0" borderId="0" xfId="1158" applyFont="1" applyAlignment="1">
      <alignment horizontal="center"/>
    </xf>
    <xf numFmtId="0" fontId="330" fillId="0" borderId="7" xfId="1158" applyFont="1" applyBorder="1" applyAlignment="1">
      <alignment horizontal="center"/>
    </xf>
    <xf numFmtId="49" fontId="330" fillId="0" borderId="0" xfId="2343" applyNumberFormat="1" applyFont="1" applyAlignment="1">
      <alignment horizontal="center"/>
    </xf>
    <xf numFmtId="3" fontId="330" fillId="0" borderId="0" xfId="1158" applyNumberFormat="1" applyFont="1"/>
    <xf numFmtId="165" fontId="330" fillId="0" borderId="0" xfId="2807" applyNumberFormat="1" applyFont="1" applyFill="1" applyAlignment="1">
      <alignment horizontal="right"/>
    </xf>
    <xf numFmtId="10" fontId="330" fillId="0" borderId="0" xfId="553" applyNumberFormat="1" applyFont="1" applyFill="1" applyAlignment="1">
      <alignment horizontal="right"/>
    </xf>
    <xf numFmtId="0" fontId="330" fillId="0" borderId="0" xfId="2807" applyNumberFormat="1" applyFont="1" applyFill="1" applyAlignment="1">
      <alignment horizontal="right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3" fontId="330" fillId="0" borderId="0" xfId="1158" applyNumberFormat="1" applyFont="1" applyAlignment="1">
      <alignment horizontal="center"/>
    </xf>
    <xf numFmtId="165" fontId="330" fillId="0" borderId="0" xfId="1158" applyNumberFormat="1" applyFont="1"/>
    <xf numFmtId="10" fontId="330" fillId="0" borderId="0" xfId="2807" applyNumberFormat="1" applyFont="1" applyFill="1"/>
    <xf numFmtId="165" fontId="330" fillId="0" borderId="0" xfId="1158" applyNumberFormat="1" applyFont="1" applyAlignment="1">
      <alignment horizontal="right"/>
    </xf>
    <xf numFmtId="3" fontId="332" fillId="0" borderId="0" xfId="1158" applyNumberFormat="1" applyFont="1"/>
    <xf numFmtId="165" fontId="332" fillId="0" borderId="0" xfId="1158" applyNumberFormat="1" applyFont="1"/>
    <xf numFmtId="9" fontId="330" fillId="0" borderId="0" xfId="2807" applyFont="1" applyFill="1"/>
    <xf numFmtId="0" fontId="330" fillId="0" borderId="0" xfId="0" applyFont="1"/>
    <xf numFmtId="166" fontId="330" fillId="0" borderId="0" xfId="553" applyNumberFormat="1" applyFont="1" applyFill="1"/>
    <xf numFmtId="164" fontId="23" fillId="0" borderId="0" xfId="424" applyNumberFormat="1" applyFont="1" applyFill="1"/>
    <xf numFmtId="43" fontId="0" fillId="0" borderId="0" xfId="424" applyFont="1" applyFill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79" borderId="0" xfId="0" applyFont="1" applyFill="1"/>
    <xf numFmtId="0" fontId="23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0" fillId="79" borderId="0" xfId="0" applyNumberFormat="1" applyFill="1"/>
    <xf numFmtId="164" fontId="1" fillId="79" borderId="0" xfId="0" applyNumberFormat="1" applyFont="1" applyFill="1"/>
    <xf numFmtId="43" fontId="0" fillId="79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7"/>
  <sheetViews>
    <sheetView tabSelected="1" zoomScaleNormal="100" workbookViewId="0">
      <selection activeCell="K18" sqref="K18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312</v>
      </c>
    </row>
    <row r="2" spans="1:45">
      <c r="A2" s="4" t="s">
        <v>106</v>
      </c>
      <c r="B2" s="150" t="s">
        <v>208</v>
      </c>
      <c r="D2" s="144"/>
      <c r="E2" s="145" t="s">
        <v>205</v>
      </c>
    </row>
    <row r="3" spans="1:45">
      <c r="A3" s="4" t="s">
        <v>183</v>
      </c>
      <c r="B3" s="150" t="s">
        <v>209</v>
      </c>
      <c r="D3" s="142"/>
      <c r="E3" s="146"/>
      <c r="F3" s="103"/>
      <c r="I3" s="103"/>
      <c r="J3" s="103" t="s">
        <v>319</v>
      </c>
      <c r="K3" s="204">
        <v>1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2" t="s">
        <v>120</v>
      </c>
      <c r="E4" s="149">
        <f>B8</f>
        <v>1560</v>
      </c>
      <c r="F4" s="84"/>
      <c r="J4" s="4" t="s">
        <v>317</v>
      </c>
      <c r="K4" s="248"/>
      <c r="L4" s="200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200"/>
    </row>
    <row r="5" spans="1:45">
      <c r="A5" s="4" t="s">
        <v>121</v>
      </c>
      <c r="B5" s="85" t="s">
        <v>322</v>
      </c>
      <c r="D5" s="142"/>
      <c r="E5" s="146"/>
    </row>
    <row r="6" spans="1:45">
      <c r="A6" s="4" t="s">
        <v>122</v>
      </c>
      <c r="B6" s="85" t="s">
        <v>314</v>
      </c>
      <c r="D6" s="142" t="s">
        <v>38</v>
      </c>
      <c r="E6" s="147">
        <f>B10</f>
        <v>164217000</v>
      </c>
      <c r="AS6" s="51"/>
    </row>
    <row r="7" spans="1:45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45">
      <c r="A8" s="4" t="s">
        <v>120</v>
      </c>
      <c r="B8" s="86">
        <v>1560</v>
      </c>
      <c r="D8" s="142" t="s">
        <v>321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9"/>
    </row>
    <row r="9" spans="1:45">
      <c r="D9" s="143" t="s">
        <v>70</v>
      </c>
      <c r="E9" s="148">
        <f>B18</f>
        <v>164217000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34">
        <f>'Cash Flow of U2'!H4</f>
        <v>164217000</v>
      </c>
      <c r="C10" s="201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321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2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296</v>
      </c>
      <c r="E13" s="139">
        <f>Allocators!G10</f>
        <v>1</v>
      </c>
      <c r="F13" s="202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2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9"/>
    </row>
    <row r="15" spans="1:45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2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2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9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2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9"/>
    </row>
    <row r="18" spans="1:27" ht="12" customHeight="1">
      <c r="A18" s="4" t="s">
        <v>70</v>
      </c>
      <c r="B18" s="57">
        <f>B10+B17+B11</f>
        <v>164217000</v>
      </c>
      <c r="F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9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9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9"/>
    </row>
    <row r="21" spans="1:27" ht="12" customHeight="1">
      <c r="A21" s="102" t="s">
        <v>182</v>
      </c>
      <c r="B21" s="119">
        <v>25</v>
      </c>
      <c r="C21" s="200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9"/>
    </row>
    <row r="22" spans="1:27" ht="12" customHeight="1">
      <c r="A22" s="116" t="s">
        <v>199</v>
      </c>
      <c r="B22" s="120">
        <f>IF(B30&lt;&gt;0,(B30+E9)/B21/E9,1/B21)</f>
        <v>0.04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9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9"/>
    </row>
    <row r="24" spans="1:27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9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2"/>
      <c r="E33" s="118"/>
      <c r="K33" s="83"/>
    </row>
    <row r="34" spans="1:45">
      <c r="A34" s="116" t="s">
        <v>51</v>
      </c>
      <c r="B34" s="139">
        <f>GRCF!C16</f>
        <v>5.0065000000000005E-2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201"/>
      <c r="AB36" s="201"/>
      <c r="AC36" s="104"/>
      <c r="AD36" s="104"/>
      <c r="AE36" s="104"/>
      <c r="AF36" s="104"/>
      <c r="AG36" s="104"/>
      <c r="AH36" s="104"/>
      <c r="AI36" s="104"/>
    </row>
    <row r="37" spans="1:45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04"/>
      <c r="AB37" s="104"/>
      <c r="AC37" s="104"/>
      <c r="AD37" s="104"/>
      <c r="AE37" s="104"/>
      <c r="AF37" s="104"/>
      <c r="AG37" s="104"/>
      <c r="AH37" s="104"/>
      <c r="AI37" s="104"/>
    </row>
    <row r="38" spans="1:45">
      <c r="A38" s="88" t="str">
        <f>IF(B5="","",B5)</f>
        <v>Option 3: New Mechanical Draft Cooling Tower</v>
      </c>
      <c r="B38" s="93">
        <f>B7</f>
        <v>2028</v>
      </c>
      <c r="C38" s="93">
        <f>B38+1</f>
        <v>2029</v>
      </c>
      <c r="D38" s="93">
        <f t="shared" ref="D38:Z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93">
        <f t="shared" si="0"/>
        <v>2041</v>
      </c>
      <c r="P38" s="93">
        <f t="shared" si="0"/>
        <v>2042</v>
      </c>
      <c r="Q38" s="93">
        <f t="shared" si="0"/>
        <v>2043</v>
      </c>
      <c r="R38" s="93">
        <f t="shared" si="0"/>
        <v>2044</v>
      </c>
      <c r="S38" s="93">
        <f t="shared" si="0"/>
        <v>2045</v>
      </c>
      <c r="T38" s="93">
        <f t="shared" si="0"/>
        <v>2046</v>
      </c>
      <c r="U38" s="93">
        <f t="shared" si="0"/>
        <v>2047</v>
      </c>
      <c r="V38" s="93">
        <f t="shared" si="0"/>
        <v>2048</v>
      </c>
      <c r="W38" s="93">
        <f t="shared" si="0"/>
        <v>2049</v>
      </c>
      <c r="X38" s="93">
        <f t="shared" si="0"/>
        <v>2050</v>
      </c>
      <c r="Y38" s="93">
        <f t="shared" si="0"/>
        <v>2051</v>
      </c>
      <c r="Z38" s="93">
        <f t="shared" si="0"/>
        <v>2052</v>
      </c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97"/>
      <c r="AO38" s="197"/>
      <c r="AP38" s="197"/>
      <c r="AQ38" s="197"/>
      <c r="AR38" s="197"/>
      <c r="AS38" s="84"/>
    </row>
    <row r="39" spans="1:45">
      <c r="A39" s="144" t="s">
        <v>172</v>
      </c>
      <c r="B39" s="90">
        <v>0</v>
      </c>
      <c r="C39" s="90">
        <v>28917000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84"/>
    </row>
    <row r="40" spans="1:45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84"/>
    </row>
    <row r="41" spans="1:45">
      <c r="A41" s="142" t="s">
        <v>3</v>
      </c>
      <c r="B41" s="101">
        <f>B39+B40</f>
        <v>0</v>
      </c>
      <c r="C41" s="101">
        <f>C39+C40</f>
        <v>28917000</v>
      </c>
      <c r="D41" s="101">
        <f t="shared" ref="D41:M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01"/>
      <c r="AO41" s="101"/>
      <c r="AP41" s="101"/>
      <c r="AQ41" s="101"/>
      <c r="AR41" s="101"/>
    </row>
    <row r="42" spans="1:45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</row>
    <row r="43" spans="1:45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</row>
    <row r="44" spans="1:45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</row>
    <row r="45" spans="1:45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84"/>
    </row>
    <row r="46" spans="1:45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01"/>
      <c r="AO46" s="101"/>
      <c r="AP46" s="101"/>
      <c r="AQ46" s="101"/>
      <c r="AR46" s="101"/>
    </row>
    <row r="47" spans="1:45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/>
      <c r="AQ47" s="198"/>
      <c r="AR47" s="198"/>
    </row>
    <row r="48" spans="1:45">
      <c r="A48" s="142" t="s">
        <v>115</v>
      </c>
      <c r="B48" s="198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200"/>
      <c r="AB48" s="200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8"/>
      <c r="AO48" s="198"/>
      <c r="AP48" s="198"/>
      <c r="AQ48" s="198"/>
      <c r="AR48" s="198"/>
    </row>
    <row r="49" spans="1:44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</row>
    <row r="50" spans="1:44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200"/>
      <c r="AB50" s="200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</row>
    <row r="51" spans="1:44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</row>
    <row r="52" spans="1:44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</row>
    <row r="53" spans="1:44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01"/>
      <c r="AO53" s="101"/>
      <c r="AP53" s="101"/>
      <c r="AQ53" s="101"/>
      <c r="AR53" s="101"/>
    </row>
    <row r="57" spans="1:44">
      <c r="A57"/>
    </row>
  </sheetData>
  <phoneticPr fontId="309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topLeftCell="N1" zoomScaleNormal="100" workbookViewId="0">
      <selection activeCell="C8" sqref="C8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>
        <f>'Retail Rev Req'!O4</f>
        <v>2041</v>
      </c>
      <c r="R3" s="128">
        <f>'Retail Rev Req'!P4</f>
        <v>2042</v>
      </c>
      <c r="S3" s="128">
        <f>'Retail Rev Req'!Q4</f>
        <v>2043</v>
      </c>
      <c r="T3" s="128">
        <f>'Retail Rev Req'!R4</f>
        <v>2044</v>
      </c>
      <c r="U3" s="128">
        <f>'Retail Rev Req'!S4</f>
        <v>2045</v>
      </c>
      <c r="V3" s="128">
        <f>'Retail Rev Req'!T4</f>
        <v>2046</v>
      </c>
      <c r="W3" s="128">
        <f>'Retail Rev Req'!U4</f>
        <v>2047</v>
      </c>
      <c r="X3" s="128">
        <f>'Retail Rev Req'!V4</f>
        <v>2048</v>
      </c>
      <c r="Y3" s="128">
        <f>'Retail Rev Req'!W4</f>
        <v>2049</v>
      </c>
      <c r="Z3" s="128">
        <f>'Retail Rev Req'!X4</f>
        <v>2050</v>
      </c>
      <c r="AA3" s="128">
        <f>'Retail Rev Req'!Y4</f>
        <v>2051</v>
      </c>
      <c r="AB3" s="128">
        <f>'Retail Rev Req'!Z4</f>
        <v>2052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6568680</v>
      </c>
      <c r="E7" s="124">
        <f>'OPCO Rev Req'!C14</f>
        <v>7725360.0000000009</v>
      </c>
      <c r="F7" s="124">
        <f>'OPCO Rev Req'!D14</f>
        <v>7725360.0000000009</v>
      </c>
      <c r="G7" s="124">
        <f>'OPCO Rev Req'!E14</f>
        <v>7725360.0000000009</v>
      </c>
      <c r="H7" s="124">
        <f>'OPCO Rev Req'!F14</f>
        <v>7725360.0000000009</v>
      </c>
      <c r="I7" s="124">
        <f>'OPCO Rev Req'!G14</f>
        <v>7725360.0000000009</v>
      </c>
      <c r="J7" s="124">
        <f>'OPCO Rev Req'!H14</f>
        <v>7725360.0000000009</v>
      </c>
      <c r="K7" s="124">
        <f>'OPCO Rev Req'!I14</f>
        <v>7725360.0000000009</v>
      </c>
      <c r="L7" s="124">
        <f>'OPCO Rev Req'!J14</f>
        <v>7725360.0000000009</v>
      </c>
      <c r="M7" s="124">
        <f>'OPCO Rev Req'!K14</f>
        <v>7725360.0000000009</v>
      </c>
      <c r="N7" s="124">
        <f>'OPCO Rev Req'!L14</f>
        <v>7725360.0000000009</v>
      </c>
      <c r="O7" s="124">
        <f>'OPCO Rev Req'!M14</f>
        <v>7725360.0000000009</v>
      </c>
      <c r="P7" s="124">
        <f>'OPCO Rev Req'!N14</f>
        <v>7725360.0000000009</v>
      </c>
      <c r="Q7" s="124">
        <f>'OPCO Rev Req'!O14</f>
        <v>7725360.0000000009</v>
      </c>
      <c r="R7" s="124">
        <f>'OPCO Rev Req'!P14</f>
        <v>7725360.0000000009</v>
      </c>
      <c r="S7" s="124">
        <f>'OPCO Rev Req'!Q14</f>
        <v>7725360.0000000009</v>
      </c>
      <c r="T7" s="124">
        <f>'OPCO Rev Req'!R14</f>
        <v>7725360.0000000009</v>
      </c>
      <c r="U7" s="124">
        <f>'OPCO Rev Req'!S14</f>
        <v>7725360.0000000009</v>
      </c>
      <c r="V7" s="124">
        <f>'OPCO Rev Req'!T14</f>
        <v>7725360.0000000009</v>
      </c>
      <c r="W7" s="124">
        <f>'OPCO Rev Req'!U14</f>
        <v>7725360.0000000009</v>
      </c>
      <c r="X7" s="124">
        <f>'OPCO Rev Req'!V14</f>
        <v>7725360.0000000009</v>
      </c>
      <c r="Y7" s="124">
        <f>'OPCO Rev Req'!W14</f>
        <v>7725360.0000000009</v>
      </c>
      <c r="Z7" s="124">
        <f>'OPCO Rev Req'!X14</f>
        <v>7725360.0000000009</v>
      </c>
      <c r="AA7" s="124">
        <f>'OPCO Rev Req'!Y14</f>
        <v>7725360.0000000009</v>
      </c>
      <c r="AB7" s="124">
        <f>'OPCO Rev Req'!Z14</f>
        <v>7725360.0000000009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4230632.7401040765</v>
      </c>
      <c r="E9" s="125">
        <f>'OPCO Rev Req'!C23*(WACD)</f>
        <v>4764065.7464509141</v>
      </c>
      <c r="F9" s="125">
        <f>'OPCO Rev Req'!D23*(WACD)</f>
        <v>4521232.5864054943</v>
      </c>
      <c r="G9" s="125">
        <f>'OPCO Rev Req'!E23*(WACD)</f>
        <v>4284943.535222332</v>
      </c>
      <c r="H9" s="125">
        <f>'OPCO Rev Req'!F23*(WACD)</f>
        <v>4054721.6576278382</v>
      </c>
      <c r="I9" s="125">
        <f>'OPCO Rev Req'!G23*(WACD)</f>
        <v>3830101.630113557</v>
      </c>
      <c r="J9" s="125">
        <f>'OPCO Rev Req'!H23*(WACD)</f>
        <v>3610673.0809651515</v>
      </c>
      <c r="K9" s="125">
        <f>'OPCO Rev Req'!I23*(WACD)</f>
        <v>3396035.3149392307</v>
      </c>
      <c r="L9" s="125">
        <f>'OPCO Rev Req'!J23*(WACD)</f>
        <v>3182765.2881163163</v>
      </c>
      <c r="M9" s="125">
        <f>'OPCO Rev Req'!K23*(WACD)</f>
        <v>2969622.369303647</v>
      </c>
      <c r="N9" s="125">
        <f>'OPCO Rev Req'!L23*(WACD)</f>
        <v>2756470.395426346</v>
      </c>
      <c r="O9" s="125">
        <f>'OPCO Rev Req'!M23*(WACD)</f>
        <v>2543327.4766136762</v>
      </c>
      <c r="P9" s="125">
        <f>'OPCO Rev Req'!N23*(WACD)</f>
        <v>2330175.5027363743</v>
      </c>
      <c r="Q9" s="125">
        <f>'OPCO Rev Req'!O23*(WACD)</f>
        <v>2117032.5839237049</v>
      </c>
      <c r="R9" s="125">
        <f>'OPCO Rev Req'!P23*(WACD)</f>
        <v>1903880.6100464032</v>
      </c>
      <c r="S9" s="125">
        <f>'OPCO Rev Req'!Q23*(WACD)</f>
        <v>1690737.6912337332</v>
      </c>
      <c r="T9" s="125">
        <f>'OPCO Rev Req'!R23*(WACD)</f>
        <v>1477585.7173564318</v>
      </c>
      <c r="U9" s="125">
        <f>'OPCO Rev Req'!S23*(WACD)</f>
        <v>1264442.7985437624</v>
      </c>
      <c r="V9" s="125">
        <f>'OPCO Rev Req'!T23*(WACD)</f>
        <v>1051290.8246664612</v>
      </c>
      <c r="W9" s="125">
        <f>'OPCO Rev Req'!U23*(WACD)</f>
        <v>838147.90585379186</v>
      </c>
      <c r="X9" s="125">
        <f>'OPCO Rev Req'!V23*(WACD)</f>
        <v>649515.42250871914</v>
      </c>
      <c r="Y9" s="125">
        <f>'OPCO Rev Req'!W23*(WACD)</f>
        <v>489718.13574040367</v>
      </c>
      <c r="Z9" s="125">
        <f>'OPCO Rev Req'!X23*(WACD)</f>
        <v>334238.49031080748</v>
      </c>
      <c r="AA9" s="125">
        <f>'OPCO Rev Req'!Y23*(WACD)</f>
        <v>178758.84488121132</v>
      </c>
      <c r="AB9" s="125">
        <f>'OPCO Rev Req'!Z23*(WACD)</f>
        <v>23279.199451615092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-10799312.740104076</v>
      </c>
      <c r="E11" s="31">
        <f>E4-E6-E7-E8-E9</f>
        <v>-12489425.746450916</v>
      </c>
      <c r="F11" s="31">
        <f>F4-F6-F7-F8-F9</f>
        <v>-12246592.586405495</v>
      </c>
      <c r="G11" s="31">
        <f>G4-G6-G7-G8-G9</f>
        <v>-12010303.535222333</v>
      </c>
      <c r="H11" s="31">
        <f t="shared" ref="H11:X11" si="0">H4-H6-H7-H8-H9</f>
        <v>-11780081.65762784</v>
      </c>
      <c r="I11" s="31">
        <f t="shared" si="0"/>
        <v>-11555461.630113557</v>
      </c>
      <c r="J11" s="31">
        <f t="shared" si="0"/>
        <v>-11336033.080965152</v>
      </c>
      <c r="K11" s="31">
        <f t="shared" si="0"/>
        <v>-11121395.314939231</v>
      </c>
      <c r="L11" s="31">
        <f t="shared" si="0"/>
        <v>-10908125.288116317</v>
      </c>
      <c r="M11" s="31">
        <f t="shared" si="0"/>
        <v>-10694982.369303647</v>
      </c>
      <c r="N11" s="31">
        <f t="shared" si="0"/>
        <v>-10481830.395426348</v>
      </c>
      <c r="O11" s="31">
        <f t="shared" si="0"/>
        <v>-10268687.476613678</v>
      </c>
      <c r="P11" s="31">
        <f t="shared" si="0"/>
        <v>-10055535.502736375</v>
      </c>
      <c r="Q11" s="31">
        <f t="shared" si="0"/>
        <v>-9842392.5839237049</v>
      </c>
      <c r="R11" s="31">
        <f t="shared" si="0"/>
        <v>-9629240.6100464035</v>
      </c>
      <c r="S11" s="31">
        <f t="shared" si="0"/>
        <v>-9416097.6912337337</v>
      </c>
      <c r="T11" s="31">
        <f t="shared" si="0"/>
        <v>-9202945.7173564322</v>
      </c>
      <c r="U11" s="31">
        <f t="shared" si="0"/>
        <v>-8989802.7985437624</v>
      </c>
      <c r="V11" s="31">
        <f t="shared" si="0"/>
        <v>-8776650.8246664628</v>
      </c>
      <c r="W11" s="31">
        <f t="shared" si="0"/>
        <v>-8563507.905853793</v>
      </c>
      <c r="X11" s="31">
        <f t="shared" si="0"/>
        <v>-8374875.4225087203</v>
      </c>
      <c r="Y11" s="31">
        <f t="shared" ref="Y11:AK11" si="1">Y4-Y6-Y7-Y8-Y9</f>
        <v>-8215078.1357404049</v>
      </c>
      <c r="Z11" s="31">
        <f t="shared" si="1"/>
        <v>-8059598.4903108086</v>
      </c>
      <c r="AA11" s="31">
        <f t="shared" si="1"/>
        <v>-7904118.8448812123</v>
      </c>
      <c r="AB11" s="31">
        <f t="shared" si="1"/>
        <v>-7748639.199451616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410542.50000000047</v>
      </c>
      <c r="E14" s="124">
        <f>-('Rate Base - coal'!D59-'Rate Base - coal'!D19)*1000</f>
        <v>-5213852.7300000004</v>
      </c>
      <c r="F14" s="124">
        <f>-('Rate Base - coal'!E59-'Rate Base - coal'!E19)*1000</f>
        <v>-5326927.3199999984</v>
      </c>
      <c r="G14" s="124">
        <f>-('Rate Base - coal'!F59-'Rate Base - coal'!F19)*1000</f>
        <v>-4349112.18</v>
      </c>
      <c r="H14" s="124">
        <f>-('Rate Base - coal'!G59-'Rate Base - coal'!G19)*1000</f>
        <v>-3442560.3000000012</v>
      </c>
      <c r="I14" s="124">
        <f>-('Rate Base - coal'!H59-'Rate Base - coal'!H19)*1000</f>
        <v>-2605536.6599999997</v>
      </c>
      <c r="J14" s="124">
        <f>-('Rate Base - coal'!I59-'Rate Base - coal'!I19)*1000</f>
        <v>-1829830.4099999988</v>
      </c>
      <c r="K14" s="124">
        <f>-('Rate Base - coal'!J59-'Rate Base - coal'!J19)*1000</f>
        <v>-1113995.6999999995</v>
      </c>
      <c r="L14" s="124">
        <f>-('Rate Base - coal'!K59-'Rate Base - coal'!K19)*1000</f>
        <v>-909629.27999999921</v>
      </c>
      <c r="M14" s="124">
        <f>-('Rate Base - coal'!L59-'Rate Base - coal'!L19)*1000</f>
        <v>-890636.90999999922</v>
      </c>
      <c r="N14" s="124">
        <f>-('Rate Base - coal'!M59-'Rate Base - coal'!M19)*1000</f>
        <v>-891989.91000000027</v>
      </c>
      <c r="O14" s="124">
        <f>-('Rate Base - coal'!N59-'Rate Base - coal'!N19)*1000</f>
        <v>-890636.90999999922</v>
      </c>
      <c r="P14" s="124">
        <f>-('Rate Base - coal'!O59-'Rate Base - coal'!O19)*1000</f>
        <v>-891989.91000000027</v>
      </c>
      <c r="Q14" s="124">
        <f>-('Rate Base - coal'!P59-'Rate Base - coal'!P19)*1000</f>
        <v>-890636.90999999922</v>
      </c>
      <c r="R14" s="124">
        <f>-('Rate Base - coal'!Q59-'Rate Base - coal'!Q19)*1000</f>
        <v>-891989.91000000027</v>
      </c>
      <c r="S14" s="124">
        <f>-('Rate Base - coal'!R59-'Rate Base - coal'!R19)*1000</f>
        <v>-890636.90999999922</v>
      </c>
      <c r="T14" s="124">
        <f>-('Rate Base - coal'!S59-'Rate Base - coal'!S19)*1000</f>
        <v>-891989.91000000027</v>
      </c>
      <c r="U14" s="124">
        <f>-('Rate Base - coal'!T59-'Rate Base - coal'!T19)*1000</f>
        <v>-890636.90999999922</v>
      </c>
      <c r="V14" s="124">
        <f>-('Rate Base - coal'!U59-'Rate Base - coal'!U19)*1000</f>
        <v>-891989.91000000027</v>
      </c>
      <c r="W14" s="124">
        <f>-('Rate Base - coal'!V59-'Rate Base - coal'!V19)*1000</f>
        <v>-890636.90999999922</v>
      </c>
      <c r="X14" s="124">
        <f>-('Rate Base - coal'!W59-'Rate Base - coal'!W19)*1000</f>
        <v>2771691.3600000008</v>
      </c>
      <c r="Y14" s="124">
        <f>-('Rate Base - coal'!X59-'Rate Base - coal'!X19)*1000</f>
        <v>7080221.7300000004</v>
      </c>
      <c r="Z14" s="124">
        <f>-('Rate Base - coal'!Y59-'Rate Base - coal'!Y19)*1000</f>
        <v>7725360.0000000009</v>
      </c>
      <c r="AA14" s="124">
        <f>-('Rate Base - coal'!Z59-'Rate Base - coal'!Z19)*1000</f>
        <v>7725360.0000000009</v>
      </c>
      <c r="AB14" s="124">
        <f>-('Rate Base - coal'!AA59-'Rate Base - coal'!AA19)*1000</f>
        <v>7725360.0000000009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-10388770.240104076</v>
      </c>
      <c r="E16" s="33">
        <f>SUM(E11:E14)</f>
        <v>-17703278.476450916</v>
      </c>
      <c r="F16" s="33">
        <f>SUM(F11:F14)</f>
        <v>-17573519.906405494</v>
      </c>
      <c r="G16" s="33">
        <f>SUM(G11:G14)</f>
        <v>-16359415.715222333</v>
      </c>
      <c r="H16" s="33">
        <f t="shared" ref="H16:X16" si="2">SUM(H11:H14)</f>
        <v>-15222641.95762784</v>
      </c>
      <c r="I16" s="33">
        <f t="shared" si="2"/>
        <v>-14160998.290113557</v>
      </c>
      <c r="J16" s="33">
        <f t="shared" si="2"/>
        <v>-13165863.49096515</v>
      </c>
      <c r="K16" s="33">
        <f t="shared" si="2"/>
        <v>-12235391.01493923</v>
      </c>
      <c r="L16" s="33">
        <f t="shared" si="2"/>
        <v>-11817754.568116317</v>
      </c>
      <c r="M16" s="33">
        <f t="shared" si="2"/>
        <v>-11585619.279303648</v>
      </c>
      <c r="N16" s="33">
        <f t="shared" si="2"/>
        <v>-11373820.305426348</v>
      </c>
      <c r="O16" s="33">
        <f t="shared" si="2"/>
        <v>-11159324.386613678</v>
      </c>
      <c r="P16" s="33">
        <f t="shared" si="2"/>
        <v>-10947525.412736375</v>
      </c>
      <c r="Q16" s="33">
        <f t="shared" si="2"/>
        <v>-10733029.493923705</v>
      </c>
      <c r="R16" s="33">
        <f t="shared" si="2"/>
        <v>-10521230.520046404</v>
      </c>
      <c r="S16" s="33">
        <f t="shared" si="2"/>
        <v>-10306734.601233732</v>
      </c>
      <c r="T16" s="33">
        <f t="shared" si="2"/>
        <v>-10094935.627356432</v>
      </c>
      <c r="U16" s="33">
        <f t="shared" si="2"/>
        <v>-9880439.7085437626</v>
      </c>
      <c r="V16" s="33">
        <f t="shared" si="2"/>
        <v>-9668640.734666463</v>
      </c>
      <c r="W16" s="33">
        <f t="shared" si="2"/>
        <v>-9454144.8158537932</v>
      </c>
      <c r="X16" s="33">
        <f t="shared" si="2"/>
        <v>-5603184.062508719</v>
      </c>
      <c r="Y16" s="33">
        <f t="shared" ref="Y16:AK16" si="3">SUM(Y11:Y14)</f>
        <v>-1134856.4057404045</v>
      </c>
      <c r="Z16" s="33">
        <f t="shared" si="3"/>
        <v>-334238.49031080771</v>
      </c>
      <c r="AA16" s="33">
        <f t="shared" si="3"/>
        <v>-178758.84488121141</v>
      </c>
      <c r="AB16" s="33">
        <f t="shared" si="3"/>
        <v>-23279.199451615103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-520113.78207081062</v>
      </c>
      <c r="E20" s="132">
        <f>E16*E18</f>
        <v>-886314.63692351524</v>
      </c>
      <c r="F20" s="132">
        <f>F16*F18</f>
        <v>-879818.27411419118</v>
      </c>
      <c r="G20" s="132">
        <f>G16*G18</f>
        <v>-819034.14778260619</v>
      </c>
      <c r="H20" s="132">
        <f t="shared" ref="H20:X20" si="4">H16*H18</f>
        <v>-762121.56960863795</v>
      </c>
      <c r="I20" s="132">
        <f t="shared" si="4"/>
        <v>-708970.37939453532</v>
      </c>
      <c r="J20" s="132">
        <f t="shared" si="4"/>
        <v>-659148.95567517029</v>
      </c>
      <c r="K20" s="132">
        <f t="shared" si="4"/>
        <v>-612564.85116293258</v>
      </c>
      <c r="L20" s="132">
        <f t="shared" si="4"/>
        <v>-591655.88245274348</v>
      </c>
      <c r="M20" s="132">
        <f t="shared" si="4"/>
        <v>-580034.02921833715</v>
      </c>
      <c r="N20" s="132">
        <f t="shared" si="4"/>
        <v>-569430.31359117012</v>
      </c>
      <c r="O20" s="132">
        <f t="shared" si="4"/>
        <v>-558691.57541581383</v>
      </c>
      <c r="P20" s="132">
        <f t="shared" si="4"/>
        <v>-548087.85978864669</v>
      </c>
      <c r="Q20" s="132">
        <f t="shared" si="4"/>
        <v>-537349.12161329039</v>
      </c>
      <c r="R20" s="132">
        <f t="shared" si="4"/>
        <v>-526745.40598612325</v>
      </c>
      <c r="S20" s="132">
        <f t="shared" si="4"/>
        <v>-516006.66781076684</v>
      </c>
      <c r="T20" s="132">
        <f t="shared" si="4"/>
        <v>-505402.95218359982</v>
      </c>
      <c r="U20" s="132">
        <f t="shared" si="4"/>
        <v>-494664.21400824352</v>
      </c>
      <c r="V20" s="132">
        <f t="shared" si="4"/>
        <v>-484060.4983810765</v>
      </c>
      <c r="W20" s="132">
        <f t="shared" si="4"/>
        <v>-473321.7602057202</v>
      </c>
      <c r="X20" s="132">
        <f t="shared" si="4"/>
        <v>-280523.41008949903</v>
      </c>
      <c r="Y20" s="132">
        <f t="shared" ref="Y20:AK20" si="5">Y16*Y18</f>
        <v>-56816.585953393354</v>
      </c>
      <c r="Z20" s="132">
        <f t="shared" si="5"/>
        <v>-16733.650017410589</v>
      </c>
      <c r="AA20" s="132">
        <f t="shared" si="5"/>
        <v>-8949.5615689778497</v>
      </c>
      <c r="AB20" s="132">
        <f t="shared" si="5"/>
        <v>-1165.4731205451103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19679905.542875417</v>
      </c>
      <c r="E22" s="124">
        <f>'OPCO Rev Req'!C28</f>
        <v>22488119.743186001</v>
      </c>
      <c r="F22" s="124">
        <f>'OPCO Rev Req'!D28</f>
        <v>21733672.154255047</v>
      </c>
      <c r="G22" s="124">
        <f>'OPCO Rev Req'!E28</f>
        <v>20999556.1672845</v>
      </c>
      <c r="H22" s="124">
        <f>'OPCO Rev Req'!F28</f>
        <v>20284290.013198145</v>
      </c>
      <c r="I22" s="124">
        <f>'OPCO Rev Req'!G28</f>
        <v>19586427.998998526</v>
      </c>
      <c r="J22" s="124">
        <f>'OPCO Rev Req'!H28</f>
        <v>18904695.158983316</v>
      </c>
      <c r="K22" s="124">
        <f>'OPCO Rev Req'!I28</f>
        <v>18237846.590849154</v>
      </c>
      <c r="L22" s="124">
        <f>'OPCO Rev Req'!J28</f>
        <v>17575247.391062383</v>
      </c>
      <c r="M22" s="124">
        <f>'OPCO Rev Req'!K28</f>
        <v>16913043.097522534</v>
      </c>
      <c r="N22" s="124">
        <f>'OPCO Rev Req'!L28</f>
        <v>16250810.671203472</v>
      </c>
      <c r="O22" s="124">
        <f>'OPCO Rev Req'!M28</f>
        <v>15588606.377663627</v>
      </c>
      <c r="P22" s="124">
        <f>'OPCO Rev Req'!N28</f>
        <v>14926373.951344561</v>
      </c>
      <c r="Q22" s="124">
        <f>'OPCO Rev Req'!O28</f>
        <v>14264169.657804715</v>
      </c>
      <c r="R22" s="124">
        <f>'OPCO Rev Req'!P28</f>
        <v>13601937.231485652</v>
      </c>
      <c r="S22" s="124">
        <f>'OPCO Rev Req'!Q28</f>
        <v>12939732.937945804</v>
      </c>
      <c r="T22" s="124">
        <f>'OPCO Rev Req'!R28</f>
        <v>12277500.511626739</v>
      </c>
      <c r="U22" s="124">
        <f>'OPCO Rev Req'!S28</f>
        <v>11615296.218086895</v>
      </c>
      <c r="V22" s="124">
        <f>'OPCO Rev Req'!T28</f>
        <v>10953063.791767832</v>
      </c>
      <c r="W22" s="124">
        <f>'OPCO Rev Req'!U28</f>
        <v>10290859.498227987</v>
      </c>
      <c r="X22" s="124">
        <f>'OPCO Rev Req'!V28</f>
        <v>9704805.5909810103</v>
      </c>
      <c r="Y22" s="124">
        <f>'OPCO Rev Req'!W28</f>
        <v>9208338.4787566569</v>
      </c>
      <c r="Z22" s="124">
        <f>'OPCO Rev Req'!X28</f>
        <v>8725285.6551626362</v>
      </c>
      <c r="AA22" s="124">
        <f>'OPCO Rev Req'!Y28</f>
        <v>8242232.8315686136</v>
      </c>
      <c r="AB22" s="124">
        <f>'OPCO Rev Req'!Z28</f>
        <v>7759180.007974592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8880592.8027713411</v>
      </c>
      <c r="E24" s="127">
        <f t="shared" si="6"/>
        <v>9998693.9967350848</v>
      </c>
      <c r="F24" s="127">
        <f t="shared" si="6"/>
        <v>9487079.5678495523</v>
      </c>
      <c r="G24" s="127">
        <f t="shared" si="6"/>
        <v>8989252.6320621669</v>
      </c>
      <c r="H24" s="127">
        <f t="shared" si="6"/>
        <v>8504208.3555703051</v>
      </c>
      <c r="I24" s="127">
        <f t="shared" si="6"/>
        <v>8030966.3688849695</v>
      </c>
      <c r="J24" s="127">
        <f t="shared" si="6"/>
        <v>7568662.0780181643</v>
      </c>
      <c r="K24" s="127">
        <f t="shared" si="6"/>
        <v>7116451.275909923</v>
      </c>
      <c r="L24" s="127">
        <f t="shared" si="6"/>
        <v>6667122.1029460654</v>
      </c>
      <c r="M24" s="127">
        <f t="shared" si="6"/>
        <v>6218060.728218887</v>
      </c>
      <c r="N24" s="127">
        <f t="shared" si="6"/>
        <v>5768980.2757771239</v>
      </c>
      <c r="O24" s="127">
        <f t="shared" si="6"/>
        <v>5319918.9010499492</v>
      </c>
      <c r="P24" s="127">
        <f t="shared" si="6"/>
        <v>4870838.4486081861</v>
      </c>
      <c r="Q24" s="127">
        <f t="shared" si="6"/>
        <v>4421777.0738810096</v>
      </c>
      <c r="R24" s="127">
        <f t="shared" si="6"/>
        <v>3972696.6214392483</v>
      </c>
      <c r="S24" s="127">
        <f t="shared" si="6"/>
        <v>3523635.24671207</v>
      </c>
      <c r="T24" s="127">
        <f t="shared" si="6"/>
        <v>3074554.7942703068</v>
      </c>
      <c r="U24" s="127">
        <f t="shared" si="6"/>
        <v>2625493.4195431322</v>
      </c>
      <c r="V24" s="127">
        <f t="shared" si="6"/>
        <v>2176412.9671013691</v>
      </c>
      <c r="W24" s="127">
        <f t="shared" si="6"/>
        <v>1727351.5923741944</v>
      </c>
      <c r="X24" s="127">
        <f t="shared" si="6"/>
        <v>1329930.16847229</v>
      </c>
      <c r="Y24" s="127">
        <f t="shared" ref="Y24:AK24" si="7">Y22+Y11</f>
        <v>993260.34301625192</v>
      </c>
      <c r="Z24" s="127">
        <f t="shared" si="7"/>
        <v>665687.16485182755</v>
      </c>
      <c r="AA24" s="127">
        <f t="shared" si="7"/>
        <v>338113.98668740131</v>
      </c>
      <c r="AB24" s="127">
        <f t="shared" si="7"/>
        <v>10540.808522976004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9291135.3027713411</v>
      </c>
      <c r="E26" s="127">
        <f t="shared" si="8"/>
        <v>4784841.2667350844</v>
      </c>
      <c r="F26" s="127">
        <f t="shared" si="8"/>
        <v>4160152.2478495538</v>
      </c>
      <c r="G26" s="127">
        <f t="shared" si="8"/>
        <v>4640140.4520621672</v>
      </c>
      <c r="H26" s="127">
        <f t="shared" si="8"/>
        <v>5061648.0555703044</v>
      </c>
      <c r="I26" s="127">
        <f t="shared" si="8"/>
        <v>5425429.7088849694</v>
      </c>
      <c r="J26" s="127">
        <f t="shared" si="8"/>
        <v>5738831.668018166</v>
      </c>
      <c r="K26" s="127">
        <f t="shared" si="8"/>
        <v>6002455.5759099238</v>
      </c>
      <c r="L26" s="127">
        <f t="shared" si="8"/>
        <v>5757492.822946066</v>
      </c>
      <c r="M26" s="127">
        <f t="shared" si="8"/>
        <v>5327423.8182188869</v>
      </c>
      <c r="N26" s="127">
        <f t="shared" si="8"/>
        <v>4876990.3657771237</v>
      </c>
      <c r="O26" s="127">
        <f t="shared" si="8"/>
        <v>4429281.9910499491</v>
      </c>
      <c r="P26" s="127">
        <f t="shared" si="8"/>
        <v>3978848.5386081859</v>
      </c>
      <c r="Q26" s="127">
        <f t="shared" si="8"/>
        <v>3531140.1638810094</v>
      </c>
      <c r="R26" s="127">
        <f t="shared" si="8"/>
        <v>3080706.7114392482</v>
      </c>
      <c r="S26" s="127">
        <f t="shared" si="8"/>
        <v>2632998.3367120717</v>
      </c>
      <c r="T26" s="127">
        <f t="shared" si="8"/>
        <v>2182564.8842703067</v>
      </c>
      <c r="U26" s="127">
        <f t="shared" si="8"/>
        <v>1734856.509543132</v>
      </c>
      <c r="V26" s="127">
        <f t="shared" si="8"/>
        <v>1284423.0571013689</v>
      </c>
      <c r="W26" s="127">
        <f t="shared" si="8"/>
        <v>836714.68237419426</v>
      </c>
      <c r="X26" s="127">
        <f t="shared" si="8"/>
        <v>4101621.5284722913</v>
      </c>
      <c r="Y26" s="127">
        <f t="shared" ref="Y26:AK26" si="9">Y16+Y22</f>
        <v>8073482.0730162524</v>
      </c>
      <c r="Z26" s="127">
        <f t="shared" si="9"/>
        <v>8391047.1648518294</v>
      </c>
      <c r="AA26" s="127">
        <f t="shared" si="9"/>
        <v>8063473.9866874022</v>
      </c>
      <c r="AB26" s="127">
        <f t="shared" si="9"/>
        <v>7735900.8085229769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465160.68893324723</v>
      </c>
      <c r="E28" s="132">
        <f t="shared" si="10"/>
        <v>239553.07801909203</v>
      </c>
      <c r="F28" s="132">
        <f t="shared" si="10"/>
        <v>208278.02228858793</v>
      </c>
      <c r="G28" s="132">
        <f t="shared" si="10"/>
        <v>232308.63173249242</v>
      </c>
      <c r="H28" s="132">
        <f t="shared" si="10"/>
        <v>253411.40990212731</v>
      </c>
      <c r="I28" s="132">
        <f t="shared" si="10"/>
        <v>271624.138375326</v>
      </c>
      <c r="J28" s="132">
        <f t="shared" si="10"/>
        <v>287314.60745932953</v>
      </c>
      <c r="K28" s="132">
        <f t="shared" si="10"/>
        <v>300512.93840793037</v>
      </c>
      <c r="L28" s="132">
        <f t="shared" si="10"/>
        <v>288248.87818079483</v>
      </c>
      <c r="M28" s="132">
        <f t="shared" si="10"/>
        <v>266717.47345912858</v>
      </c>
      <c r="N28" s="132">
        <f t="shared" si="10"/>
        <v>244166.52266263173</v>
      </c>
      <c r="O28" s="132">
        <f t="shared" si="10"/>
        <v>221752.00288191572</v>
      </c>
      <c r="P28" s="132">
        <f t="shared" si="10"/>
        <v>199201.05208541884</v>
      </c>
      <c r="Q28" s="132">
        <f t="shared" si="10"/>
        <v>176786.53230470276</v>
      </c>
      <c r="R28" s="132">
        <f t="shared" si="10"/>
        <v>154235.58150820597</v>
      </c>
      <c r="S28" s="132">
        <f t="shared" si="10"/>
        <v>131821.06172748987</v>
      </c>
      <c r="T28" s="132">
        <f t="shared" si="10"/>
        <v>109270.11093099292</v>
      </c>
      <c r="U28" s="132">
        <f t="shared" si="10"/>
        <v>86855.591150276916</v>
      </c>
      <c r="V28" s="132">
        <f t="shared" si="10"/>
        <v>64304.640353780043</v>
      </c>
      <c r="W28" s="132">
        <f t="shared" si="10"/>
        <v>41890.120573064043</v>
      </c>
      <c r="X28" s="132">
        <f t="shared" si="10"/>
        <v>205347.6818229653</v>
      </c>
      <c r="Y28" s="132">
        <f t="shared" ref="Y28:AK28" si="11">Y18*Y26</f>
        <v>404198.87998555874</v>
      </c>
      <c r="Z28" s="132">
        <f t="shared" si="11"/>
        <v>420097.7763083069</v>
      </c>
      <c r="AA28" s="132">
        <f t="shared" si="11"/>
        <v>403697.82514350483</v>
      </c>
      <c r="AB28" s="132">
        <f t="shared" si="11"/>
        <v>387297.87397870288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E37" sqref="E37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>
        <f>SIT!Q3</f>
        <v>2041</v>
      </c>
      <c r="R2" s="128">
        <f>SIT!R3</f>
        <v>2042</v>
      </c>
      <c r="S2" s="128">
        <f>SIT!S3</f>
        <v>2043</v>
      </c>
      <c r="T2" s="128">
        <f>SIT!T3</f>
        <v>2044</v>
      </c>
      <c r="U2" s="128">
        <f>SIT!U3</f>
        <v>2045</v>
      </c>
      <c r="V2" s="128">
        <f>SIT!V3</f>
        <v>2046</v>
      </c>
      <c r="W2" s="128">
        <f>SIT!W3</f>
        <v>2047</v>
      </c>
      <c r="X2" s="128">
        <f>SIT!X3</f>
        <v>2048</v>
      </c>
      <c r="Y2" s="128">
        <f>SIT!Y3</f>
        <v>2049</v>
      </c>
      <c r="Z2" s="128">
        <f>SIT!Z3</f>
        <v>2050</v>
      </c>
      <c r="AA2" s="128">
        <f>SIT!AA3</f>
        <v>2051</v>
      </c>
      <c r="AB2" s="128">
        <f>SIT!AB3</f>
        <v>2052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6568680</v>
      </c>
      <c r="E7" s="28">
        <f>'OPCO Rev Req'!C14</f>
        <v>7725360.0000000009</v>
      </c>
      <c r="F7" s="28">
        <f>'OPCO Rev Req'!D14</f>
        <v>7725360.0000000009</v>
      </c>
      <c r="G7" s="28">
        <f>'OPCO Rev Req'!E14</f>
        <v>7725360.0000000009</v>
      </c>
      <c r="H7" s="28">
        <f>'OPCO Rev Req'!F14</f>
        <v>7725360.0000000009</v>
      </c>
      <c r="I7" s="28">
        <f>'OPCO Rev Req'!G14</f>
        <v>7725360.0000000009</v>
      </c>
      <c r="J7" s="28">
        <f>'OPCO Rev Req'!H14</f>
        <v>7725360.0000000009</v>
      </c>
      <c r="K7" s="28">
        <f>'OPCO Rev Req'!I14</f>
        <v>7725360.0000000009</v>
      </c>
      <c r="L7" s="28">
        <f>'OPCO Rev Req'!J14</f>
        <v>7725360.0000000009</v>
      </c>
      <c r="M7" s="28">
        <f>'OPCO Rev Req'!K14</f>
        <v>7725360.0000000009</v>
      </c>
      <c r="N7" s="28">
        <f>'OPCO Rev Req'!L14</f>
        <v>7725360.0000000009</v>
      </c>
      <c r="O7" s="28">
        <f>'OPCO Rev Req'!M14</f>
        <v>7725360.0000000009</v>
      </c>
      <c r="P7" s="28">
        <f>'OPCO Rev Req'!N14</f>
        <v>7725360.0000000009</v>
      </c>
      <c r="Q7" s="28">
        <f>'OPCO Rev Req'!O14</f>
        <v>7725360.0000000009</v>
      </c>
      <c r="R7" s="28">
        <f>'OPCO Rev Req'!P14</f>
        <v>7725360.0000000009</v>
      </c>
      <c r="S7" s="28">
        <f>'OPCO Rev Req'!Q14</f>
        <v>7725360.0000000009</v>
      </c>
      <c r="T7" s="28">
        <f>'OPCO Rev Req'!R14</f>
        <v>7725360.0000000009</v>
      </c>
      <c r="U7" s="28">
        <f>'OPCO Rev Req'!S14</f>
        <v>7725360.0000000009</v>
      </c>
      <c r="V7" s="28">
        <f>'OPCO Rev Req'!T14</f>
        <v>7725360.0000000009</v>
      </c>
      <c r="W7" s="28">
        <f>'OPCO Rev Req'!U14</f>
        <v>7725360.0000000009</v>
      </c>
      <c r="X7" s="28">
        <f>'OPCO Rev Req'!V14</f>
        <v>7725360.0000000009</v>
      </c>
      <c r="Y7" s="28">
        <f>'OPCO Rev Req'!W14</f>
        <v>7725360.0000000009</v>
      </c>
      <c r="Z7" s="28">
        <f>'OPCO Rev Req'!X14</f>
        <v>7725360.0000000009</v>
      </c>
      <c r="AA7" s="28">
        <f>'OPCO Rev Req'!Y14</f>
        <v>7725360.0000000009</v>
      </c>
      <c r="AB7" s="28">
        <f>'OPCO Rev Req'!Z14</f>
        <v>7725360.0000000009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-520113.78207081062</v>
      </c>
      <c r="E8" s="30">
        <f>SIT!E20</f>
        <v>-886314.63692351524</v>
      </c>
      <c r="F8" s="30">
        <f>SIT!F20</f>
        <v>-879818.27411419118</v>
      </c>
      <c r="G8" s="30">
        <f>SIT!G20</f>
        <v>-819034.14778260619</v>
      </c>
      <c r="H8" s="30">
        <f>SIT!H20</f>
        <v>-762121.56960863795</v>
      </c>
      <c r="I8" s="30">
        <f>SIT!I20</f>
        <v>-708970.37939453532</v>
      </c>
      <c r="J8" s="30">
        <f>SIT!J20</f>
        <v>-659148.95567517029</v>
      </c>
      <c r="K8" s="30">
        <f>SIT!K20</f>
        <v>-612564.85116293258</v>
      </c>
      <c r="L8" s="30">
        <f>SIT!L20</f>
        <v>-591655.88245274348</v>
      </c>
      <c r="M8" s="30">
        <f>SIT!M20</f>
        <v>-580034.02921833715</v>
      </c>
      <c r="N8" s="30">
        <f>SIT!N20</f>
        <v>-569430.31359117012</v>
      </c>
      <c r="O8" s="30">
        <f>SIT!O20</f>
        <v>-558691.57541581383</v>
      </c>
      <c r="P8" s="30">
        <f>SIT!P20</f>
        <v>-548087.85978864669</v>
      </c>
      <c r="Q8" s="30">
        <f>SIT!Q20</f>
        <v>-537349.12161329039</v>
      </c>
      <c r="R8" s="30">
        <f>SIT!R20</f>
        <v>-526745.40598612325</v>
      </c>
      <c r="S8" s="30">
        <f>SIT!S20</f>
        <v>-516006.66781076684</v>
      </c>
      <c r="T8" s="30">
        <f>SIT!T20</f>
        <v>-505402.95218359982</v>
      </c>
      <c r="U8" s="30">
        <f>SIT!U20</f>
        <v>-494664.21400824352</v>
      </c>
      <c r="V8" s="30">
        <f>SIT!V20</f>
        <v>-484060.4983810765</v>
      </c>
      <c r="W8" s="30">
        <f>SIT!W20</f>
        <v>-473321.7602057202</v>
      </c>
      <c r="X8" s="30">
        <f>SIT!X20</f>
        <v>-280523.41008949903</v>
      </c>
      <c r="Y8" s="30">
        <f>SIT!Y20</f>
        <v>-56816.585953393354</v>
      </c>
      <c r="Z8" s="30">
        <f>SIT!Z20</f>
        <v>-16733.650017410589</v>
      </c>
      <c r="AA8" s="30">
        <f>SIT!AA20</f>
        <v>-8949.5615689778497</v>
      </c>
      <c r="AB8" s="30">
        <f>SIT!AB20</f>
        <v>-1165.4731205451103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4230632.7401040765</v>
      </c>
      <c r="E10" s="29">
        <f>SIT!E9</f>
        <v>4764065.7464509141</v>
      </c>
      <c r="F10" s="29">
        <f>SIT!F9</f>
        <v>4521232.5864054943</v>
      </c>
      <c r="G10" s="29">
        <f>SIT!G9</f>
        <v>4284943.535222332</v>
      </c>
      <c r="H10" s="29">
        <f>SIT!H9</f>
        <v>4054721.6576278382</v>
      </c>
      <c r="I10" s="29">
        <f>SIT!I9</f>
        <v>3830101.630113557</v>
      </c>
      <c r="J10" s="29">
        <f>SIT!J9</f>
        <v>3610673.0809651515</v>
      </c>
      <c r="K10" s="29">
        <f>SIT!K9</f>
        <v>3396035.3149392307</v>
      </c>
      <c r="L10" s="29">
        <f>SIT!L9</f>
        <v>3182765.2881163163</v>
      </c>
      <c r="M10" s="29">
        <f>SIT!M9</f>
        <v>2969622.369303647</v>
      </c>
      <c r="N10" s="29">
        <f>SIT!N9</f>
        <v>2756470.395426346</v>
      </c>
      <c r="O10" s="29">
        <f>SIT!O9</f>
        <v>2543327.4766136762</v>
      </c>
      <c r="P10" s="29">
        <f>SIT!P9</f>
        <v>2330175.5027363743</v>
      </c>
      <c r="Q10" s="29">
        <f>SIT!Q9</f>
        <v>2117032.5839237049</v>
      </c>
      <c r="R10" s="29">
        <f>SIT!R9</f>
        <v>1903880.6100464032</v>
      </c>
      <c r="S10" s="29">
        <f>SIT!S9</f>
        <v>1690737.6912337332</v>
      </c>
      <c r="T10" s="29">
        <f>SIT!T9</f>
        <v>1477585.7173564318</v>
      </c>
      <c r="U10" s="29">
        <f>SIT!U9</f>
        <v>1264442.7985437624</v>
      </c>
      <c r="V10" s="29">
        <f>SIT!V9</f>
        <v>1051290.8246664612</v>
      </c>
      <c r="W10" s="29">
        <f>SIT!W9</f>
        <v>838147.90585379186</v>
      </c>
      <c r="X10" s="29">
        <f>SIT!X9</f>
        <v>649515.42250871914</v>
      </c>
      <c r="Y10" s="29">
        <f>SIT!Y9</f>
        <v>489718.13574040367</v>
      </c>
      <c r="Z10" s="29">
        <f>SIT!Z9</f>
        <v>334238.49031080748</v>
      </c>
      <c r="AA10" s="29">
        <f>SIT!AA9</f>
        <v>178758.84488121132</v>
      </c>
      <c r="AB10" s="29">
        <f>SIT!AB9</f>
        <v>23279.199451615092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-10279198.958033266</v>
      </c>
      <c r="E12" s="31">
        <f t="shared" ref="E12:N12" si="0">E4-E6-E7-E8-E9-E10</f>
        <v>-11603111.1095274</v>
      </c>
      <c r="F12" s="31">
        <f t="shared" si="0"/>
        <v>-11366774.312291304</v>
      </c>
      <c r="G12" s="31">
        <f t="shared" si="0"/>
        <v>-11191269.387439728</v>
      </c>
      <c r="H12" s="31">
        <f t="shared" si="0"/>
        <v>-11017960.088019202</v>
      </c>
      <c r="I12" s="31">
        <f t="shared" si="0"/>
        <v>-10846491.250719022</v>
      </c>
      <c r="J12" s="31">
        <f t="shared" si="0"/>
        <v>-10676884.125289982</v>
      </c>
      <c r="K12" s="31">
        <f t="shared" si="0"/>
        <v>-10508830.463776298</v>
      </c>
      <c r="L12" s="31">
        <f t="shared" si="0"/>
        <v>-10316469.405663574</v>
      </c>
      <c r="M12" s="31">
        <f t="shared" si="0"/>
        <v>-10114948.340085311</v>
      </c>
      <c r="N12" s="31">
        <f t="shared" si="0"/>
        <v>-9912400.0818351768</v>
      </c>
      <c r="O12" s="31">
        <f t="shared" ref="O12:X12" si="1">O4-O6-O7-O8-O9-O10</f>
        <v>-9709995.9011978637</v>
      </c>
      <c r="P12" s="31">
        <f t="shared" si="1"/>
        <v>-9507447.6429477278</v>
      </c>
      <c r="Q12" s="31">
        <f t="shared" si="1"/>
        <v>-9305043.4623104148</v>
      </c>
      <c r="R12" s="31">
        <f t="shared" si="1"/>
        <v>-9102495.2040602807</v>
      </c>
      <c r="S12" s="31">
        <f t="shared" si="1"/>
        <v>-8900091.0234229676</v>
      </c>
      <c r="T12" s="31">
        <f t="shared" si="1"/>
        <v>-8697542.7651728336</v>
      </c>
      <c r="U12" s="31">
        <f t="shared" si="1"/>
        <v>-8495138.5845355205</v>
      </c>
      <c r="V12" s="31">
        <f t="shared" si="1"/>
        <v>-8292590.3262853855</v>
      </c>
      <c r="W12" s="31">
        <f t="shared" si="1"/>
        <v>-8090186.1456480725</v>
      </c>
      <c r="X12" s="31">
        <f t="shared" si="1"/>
        <v>-8094352.012419221</v>
      </c>
      <c r="Y12" s="31">
        <f t="shared" ref="Y12:AL12" si="2">Y4-Y6-Y7-Y8-Y9-Y10</f>
        <v>-8158261.5497870119</v>
      </c>
      <c r="Z12" s="31">
        <f t="shared" si="2"/>
        <v>-8042864.8402933981</v>
      </c>
      <c r="AA12" s="31">
        <f t="shared" si="2"/>
        <v>-7895169.2833122341</v>
      </c>
      <c r="AB12" s="31">
        <f t="shared" si="2"/>
        <v>-7747473.726331071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410542.50000000047</v>
      </c>
      <c r="E15" s="34">
        <f>SIT!E14</f>
        <v>-5213852.7300000004</v>
      </c>
      <c r="F15" s="34">
        <f>SIT!F14</f>
        <v>-5326927.3199999984</v>
      </c>
      <c r="G15" s="34">
        <f>SIT!G14</f>
        <v>-4349112.18</v>
      </c>
      <c r="H15" s="34">
        <f>SIT!H14</f>
        <v>-3442560.3000000012</v>
      </c>
      <c r="I15" s="34">
        <f>SIT!I14</f>
        <v>-2605536.6599999997</v>
      </c>
      <c r="J15" s="34">
        <f>SIT!J14</f>
        <v>-1829830.4099999988</v>
      </c>
      <c r="K15" s="34">
        <f>SIT!K14</f>
        <v>-1113995.6999999995</v>
      </c>
      <c r="L15" s="34">
        <f>SIT!L14</f>
        <v>-909629.27999999921</v>
      </c>
      <c r="M15" s="34">
        <f>SIT!M14</f>
        <v>-890636.90999999922</v>
      </c>
      <c r="N15" s="34">
        <f>SIT!N14</f>
        <v>-891989.91000000027</v>
      </c>
      <c r="O15" s="34">
        <f>SIT!O14</f>
        <v>-890636.90999999922</v>
      </c>
      <c r="P15" s="34">
        <f>SIT!P14</f>
        <v>-891989.91000000027</v>
      </c>
      <c r="Q15" s="34">
        <f>SIT!Q14</f>
        <v>-890636.90999999922</v>
      </c>
      <c r="R15" s="34">
        <f>SIT!R14</f>
        <v>-891989.91000000027</v>
      </c>
      <c r="S15" s="34">
        <f>SIT!S14</f>
        <v>-890636.90999999922</v>
      </c>
      <c r="T15" s="34">
        <f>SIT!T14</f>
        <v>-891989.91000000027</v>
      </c>
      <c r="U15" s="34">
        <f>SIT!U14</f>
        <v>-890636.90999999922</v>
      </c>
      <c r="V15" s="34">
        <f>SIT!V14</f>
        <v>-891989.91000000027</v>
      </c>
      <c r="W15" s="34">
        <f>SIT!W14</f>
        <v>-890636.90999999922</v>
      </c>
      <c r="X15" s="34">
        <f>SIT!X14</f>
        <v>2771691.3600000008</v>
      </c>
      <c r="Y15" s="34">
        <f>SIT!Y14</f>
        <v>7080221.7300000004</v>
      </c>
      <c r="Z15" s="34">
        <f>SIT!Z14</f>
        <v>7725360.0000000009</v>
      </c>
      <c r="AA15" s="34">
        <f>SIT!AA14</f>
        <v>7725360.0000000009</v>
      </c>
      <c r="AB15" s="34">
        <f>SIT!AB14</f>
        <v>7725360.0000000009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-9868656.4580332655</v>
      </c>
      <c r="E17" s="35">
        <f t="shared" ref="E17:N17" si="3">SUM(E12:E15)</f>
        <v>-16816963.839527398</v>
      </c>
      <c r="F17" s="35">
        <f t="shared" si="3"/>
        <v>-16693701.632291302</v>
      </c>
      <c r="G17" s="35">
        <f t="shared" si="3"/>
        <v>-15540381.567439727</v>
      </c>
      <c r="H17" s="35">
        <f t="shared" si="3"/>
        <v>-14460520.388019202</v>
      </c>
      <c r="I17" s="35">
        <f t="shared" si="3"/>
        <v>-13452027.910719022</v>
      </c>
      <c r="J17" s="35">
        <f t="shared" si="3"/>
        <v>-12506714.53528998</v>
      </c>
      <c r="K17" s="35">
        <f t="shared" si="3"/>
        <v>-11622826.163776297</v>
      </c>
      <c r="L17" s="35">
        <f t="shared" si="3"/>
        <v>-11226098.685663573</v>
      </c>
      <c r="M17" s="35">
        <f t="shared" si="3"/>
        <v>-11005585.250085309</v>
      </c>
      <c r="N17" s="35">
        <f t="shared" si="3"/>
        <v>-10804389.991835177</v>
      </c>
      <c r="O17" s="35">
        <f t="shared" ref="O17:X17" si="4">SUM(O12:O15)</f>
        <v>-10600632.811197862</v>
      </c>
      <c r="P17" s="35">
        <f t="shared" si="4"/>
        <v>-10399437.552947728</v>
      </c>
      <c r="Q17" s="35">
        <f t="shared" si="4"/>
        <v>-10195680.372310415</v>
      </c>
      <c r="R17" s="35">
        <f t="shared" si="4"/>
        <v>-9994485.1140602808</v>
      </c>
      <c r="S17" s="35">
        <f t="shared" si="4"/>
        <v>-9790727.9334229678</v>
      </c>
      <c r="T17" s="35">
        <f t="shared" si="4"/>
        <v>-9589532.6751728337</v>
      </c>
      <c r="U17" s="35">
        <f t="shared" si="4"/>
        <v>-9385775.4945355207</v>
      </c>
      <c r="V17" s="35">
        <f t="shared" si="4"/>
        <v>-9184580.2362853866</v>
      </c>
      <c r="W17" s="35">
        <f t="shared" si="4"/>
        <v>-8980823.0556480717</v>
      </c>
      <c r="X17" s="35">
        <f t="shared" si="4"/>
        <v>-5322660.6524192207</v>
      </c>
      <c r="Y17" s="35">
        <f t="shared" ref="Y17:AL17" si="5">SUM(Y12:Y15)</f>
        <v>-1078039.8197870115</v>
      </c>
      <c r="Z17" s="35">
        <f t="shared" si="5"/>
        <v>-317504.8402933972</v>
      </c>
      <c r="AA17" s="35">
        <f t="shared" si="5"/>
        <v>-169809.28331223316</v>
      </c>
      <c r="AB17" s="35">
        <f t="shared" si="5"/>
        <v>-22113.726331070065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-2072417.8561869857</v>
      </c>
      <c r="E21" s="35">
        <f t="shared" ref="E21:N21" si="6">E19*E17</f>
        <v>-3531562.4063007534</v>
      </c>
      <c r="F21" s="35">
        <f t="shared" si="6"/>
        <v>-3505677.3427811735</v>
      </c>
      <c r="G21" s="35">
        <f t="shared" si="6"/>
        <v>-3263480.1291623428</v>
      </c>
      <c r="H21" s="35">
        <f t="shared" si="6"/>
        <v>-3036709.2814840325</v>
      </c>
      <c r="I21" s="35">
        <f t="shared" si="6"/>
        <v>-2824925.8612509947</v>
      </c>
      <c r="J21" s="35">
        <f t="shared" si="6"/>
        <v>-2626410.0524108959</v>
      </c>
      <c r="K21" s="35">
        <f t="shared" si="6"/>
        <v>-2440793.4943930223</v>
      </c>
      <c r="L21" s="35">
        <f t="shared" si="6"/>
        <v>-2357480.7239893503</v>
      </c>
      <c r="M21" s="35">
        <f t="shared" si="6"/>
        <v>-2311172.9025179148</v>
      </c>
      <c r="N21" s="35">
        <f t="shared" si="6"/>
        <v>-2268921.8982853871</v>
      </c>
      <c r="O21" s="35">
        <f t="shared" ref="O21:X21" si="7">O19*O17</f>
        <v>-2226132.8903515511</v>
      </c>
      <c r="P21" s="35">
        <f t="shared" si="7"/>
        <v>-2183881.886119023</v>
      </c>
      <c r="Q21" s="35">
        <f t="shared" si="7"/>
        <v>-2141092.878185187</v>
      </c>
      <c r="R21" s="35">
        <f t="shared" si="7"/>
        <v>-2098841.8739526588</v>
      </c>
      <c r="S21" s="35">
        <f t="shared" si="7"/>
        <v>-2056052.8660188231</v>
      </c>
      <c r="T21" s="35">
        <f t="shared" si="7"/>
        <v>-2013801.861786295</v>
      </c>
      <c r="U21" s="35">
        <f t="shared" si="7"/>
        <v>-1971012.8538524592</v>
      </c>
      <c r="V21" s="35">
        <f t="shared" si="7"/>
        <v>-1928761.8496199311</v>
      </c>
      <c r="W21" s="35">
        <f t="shared" si="7"/>
        <v>-1885972.8416860949</v>
      </c>
      <c r="X21" s="35">
        <f t="shared" si="7"/>
        <v>-1117758.7370080363</v>
      </c>
      <c r="Y21" s="35">
        <f t="shared" ref="Y21:AL21" si="8">Y19*Y17</f>
        <v>-226388.36215527239</v>
      </c>
      <c r="Z21" s="35">
        <f t="shared" si="8"/>
        <v>-66676.016461613413</v>
      </c>
      <c r="AA21" s="35">
        <f t="shared" si="8"/>
        <v>-35659.949495568966</v>
      </c>
      <c r="AB21" s="35">
        <f t="shared" si="8"/>
        <v>-4643.8825295247134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-2072417.8561869857</v>
      </c>
      <c r="E25" s="132">
        <f t="shared" ref="E25:N25" si="9">E21</f>
        <v>-3531562.4063007534</v>
      </c>
      <c r="F25" s="132">
        <f t="shared" si="9"/>
        <v>-3505677.3427811735</v>
      </c>
      <c r="G25" s="132">
        <f t="shared" si="9"/>
        <v>-3263480.1291623428</v>
      </c>
      <c r="H25" s="132">
        <f t="shared" si="9"/>
        <v>-3036709.2814840325</v>
      </c>
      <c r="I25" s="132">
        <f t="shared" si="9"/>
        <v>-2824925.8612509947</v>
      </c>
      <c r="J25" s="132">
        <f t="shared" si="9"/>
        <v>-2626410.0524108959</v>
      </c>
      <c r="K25" s="132">
        <f t="shared" si="9"/>
        <v>-2440793.4943930223</v>
      </c>
      <c r="L25" s="132">
        <f t="shared" si="9"/>
        <v>-2357480.7239893503</v>
      </c>
      <c r="M25" s="132">
        <f t="shared" si="9"/>
        <v>-2311172.9025179148</v>
      </c>
      <c r="N25" s="132">
        <f t="shared" si="9"/>
        <v>-2268921.8982853871</v>
      </c>
      <c r="O25" s="132">
        <f t="shared" ref="O25:X25" si="10">O21</f>
        <v>-2226132.8903515511</v>
      </c>
      <c r="P25" s="132">
        <f t="shared" si="10"/>
        <v>-2183881.886119023</v>
      </c>
      <c r="Q25" s="132">
        <f t="shared" si="10"/>
        <v>-2141092.878185187</v>
      </c>
      <c r="R25" s="132">
        <f t="shared" si="10"/>
        <v>-2098841.8739526588</v>
      </c>
      <c r="S25" s="132">
        <f t="shared" si="10"/>
        <v>-2056052.8660188231</v>
      </c>
      <c r="T25" s="132">
        <f t="shared" si="10"/>
        <v>-2013801.861786295</v>
      </c>
      <c r="U25" s="132">
        <f t="shared" si="10"/>
        <v>-1971012.8538524592</v>
      </c>
      <c r="V25" s="132">
        <f t="shared" si="10"/>
        <v>-1928761.8496199311</v>
      </c>
      <c r="W25" s="132">
        <f t="shared" si="10"/>
        <v>-1885972.8416860949</v>
      </c>
      <c r="X25" s="132">
        <f t="shared" si="10"/>
        <v>-1117758.7370080363</v>
      </c>
      <c r="Y25" s="132">
        <f t="shared" ref="Y25:AL25" si="11">Y21</f>
        <v>-226388.36215527239</v>
      </c>
      <c r="Z25" s="132">
        <f t="shared" si="11"/>
        <v>-66676.016461613413</v>
      </c>
      <c r="AA25" s="132">
        <f t="shared" si="11"/>
        <v>-35659.949495568966</v>
      </c>
      <c r="AB25" s="132">
        <f t="shared" si="11"/>
        <v>-4643.8825295247134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19679905.542875417</v>
      </c>
      <c r="E27" s="124">
        <f>'OPCO Rev Req'!C28</f>
        <v>22488119.743186001</v>
      </c>
      <c r="F27" s="124">
        <f>'OPCO Rev Req'!D28</f>
        <v>21733672.154255047</v>
      </c>
      <c r="G27" s="124">
        <f>'OPCO Rev Req'!E28</f>
        <v>20999556.1672845</v>
      </c>
      <c r="H27" s="124">
        <f>'OPCO Rev Req'!F28</f>
        <v>20284290.013198145</v>
      </c>
      <c r="I27" s="124">
        <f>'OPCO Rev Req'!G28</f>
        <v>19586427.998998526</v>
      </c>
      <c r="J27" s="124">
        <f>'OPCO Rev Req'!H28</f>
        <v>18904695.158983316</v>
      </c>
      <c r="K27" s="124">
        <f>'OPCO Rev Req'!I28</f>
        <v>18237846.590849154</v>
      </c>
      <c r="L27" s="124">
        <f>'OPCO Rev Req'!J28</f>
        <v>17575247.391062383</v>
      </c>
      <c r="M27" s="124">
        <f>'OPCO Rev Req'!K28</f>
        <v>16913043.097522534</v>
      </c>
      <c r="N27" s="124">
        <f>'OPCO Rev Req'!L28</f>
        <v>16250810.671203472</v>
      </c>
      <c r="O27" s="124">
        <f>'OPCO Rev Req'!M28</f>
        <v>15588606.377663627</v>
      </c>
      <c r="P27" s="124">
        <f>'OPCO Rev Req'!N28</f>
        <v>14926373.951344561</v>
      </c>
      <c r="Q27" s="124">
        <f>'OPCO Rev Req'!O28</f>
        <v>14264169.657804715</v>
      </c>
      <c r="R27" s="124">
        <f>'OPCO Rev Req'!P28</f>
        <v>13601937.231485652</v>
      </c>
      <c r="S27" s="124">
        <f>'OPCO Rev Req'!Q28</f>
        <v>12939732.937945804</v>
      </c>
      <c r="T27" s="124">
        <f>'OPCO Rev Req'!R28</f>
        <v>12277500.511626739</v>
      </c>
      <c r="U27" s="124">
        <f>'OPCO Rev Req'!S28</f>
        <v>11615296.218086895</v>
      </c>
      <c r="V27" s="124">
        <f>'OPCO Rev Req'!T28</f>
        <v>10953063.791767832</v>
      </c>
      <c r="W27" s="124">
        <f>'OPCO Rev Req'!U28</f>
        <v>10290859.498227987</v>
      </c>
      <c r="X27" s="124">
        <f>'OPCO Rev Req'!V28</f>
        <v>9704805.5909810103</v>
      </c>
      <c r="Y27" s="124">
        <f>'OPCO Rev Req'!W28</f>
        <v>9208338.4787566569</v>
      </c>
      <c r="Z27" s="124">
        <f>'OPCO Rev Req'!X28</f>
        <v>8725285.6551626362</v>
      </c>
      <c r="AA27" s="124">
        <f>'OPCO Rev Req'!Y28</f>
        <v>8242232.8315686136</v>
      </c>
      <c r="AB27" s="124">
        <f>'OPCO Rev Req'!Z28</f>
        <v>7759180.007974592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9811249.084842151</v>
      </c>
      <c r="E29" s="127">
        <f t="shared" ref="E29:X29" si="12">E27+E17</f>
        <v>5671155.9036586024</v>
      </c>
      <c r="F29" s="127">
        <f t="shared" si="12"/>
        <v>5039970.5219637454</v>
      </c>
      <c r="G29" s="127">
        <f t="shared" si="12"/>
        <v>5459174.5998447724</v>
      </c>
      <c r="H29" s="127">
        <f t="shared" si="12"/>
        <v>5823769.6251789425</v>
      </c>
      <c r="I29" s="127">
        <f t="shared" si="12"/>
        <v>6134400.0882795043</v>
      </c>
      <c r="J29" s="127">
        <f t="shared" si="12"/>
        <v>6397980.6236933358</v>
      </c>
      <c r="K29" s="127">
        <f t="shared" si="12"/>
        <v>6615020.4270728566</v>
      </c>
      <c r="L29" s="127">
        <f t="shared" si="12"/>
        <v>6349148.7053988092</v>
      </c>
      <c r="M29" s="127">
        <f t="shared" si="12"/>
        <v>5907457.8474372253</v>
      </c>
      <c r="N29" s="127">
        <f t="shared" si="12"/>
        <v>5446420.6793682948</v>
      </c>
      <c r="O29" s="127">
        <f t="shared" si="12"/>
        <v>4987973.5664657652</v>
      </c>
      <c r="P29" s="127">
        <f t="shared" si="12"/>
        <v>4526936.3983968329</v>
      </c>
      <c r="Q29" s="127">
        <f t="shared" si="12"/>
        <v>4068489.2854942996</v>
      </c>
      <c r="R29" s="127">
        <f t="shared" si="12"/>
        <v>3607452.117425371</v>
      </c>
      <c r="S29" s="127">
        <f t="shared" si="12"/>
        <v>3149005.0045228358</v>
      </c>
      <c r="T29" s="127">
        <f t="shared" si="12"/>
        <v>2687967.8364539053</v>
      </c>
      <c r="U29" s="127">
        <f t="shared" si="12"/>
        <v>2229520.7235513739</v>
      </c>
      <c r="V29" s="127">
        <f t="shared" si="12"/>
        <v>1768483.5554824453</v>
      </c>
      <c r="W29" s="127">
        <f t="shared" si="12"/>
        <v>1310036.4425799157</v>
      </c>
      <c r="X29" s="127">
        <f t="shared" si="12"/>
        <v>4382144.9385617897</v>
      </c>
      <c r="Y29" s="127">
        <f t="shared" ref="Y29:AL29" si="13">Y27+Y17</f>
        <v>8130298.6589696454</v>
      </c>
      <c r="Z29" s="127">
        <f t="shared" si="13"/>
        <v>8407780.8148692399</v>
      </c>
      <c r="AA29" s="127">
        <f t="shared" si="13"/>
        <v>8072423.5482563805</v>
      </c>
      <c r="AB29" s="127">
        <f t="shared" si="13"/>
        <v>7737066.281643522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2060362.3078168517</v>
      </c>
      <c r="E31" s="132">
        <f t="shared" ref="E31:X31" si="14">E29*E19</f>
        <v>1190942.7397683065</v>
      </c>
      <c r="F31" s="132">
        <f t="shared" si="14"/>
        <v>1058393.8096123864</v>
      </c>
      <c r="G31" s="132">
        <f t="shared" si="14"/>
        <v>1146426.665967402</v>
      </c>
      <c r="H31" s="132">
        <f t="shared" si="14"/>
        <v>1222991.6212875778</v>
      </c>
      <c r="I31" s="132">
        <f t="shared" si="14"/>
        <v>1288224.0185386958</v>
      </c>
      <c r="J31" s="132">
        <f t="shared" si="14"/>
        <v>1343575.9309756004</v>
      </c>
      <c r="K31" s="132">
        <f t="shared" si="14"/>
        <v>1389154.2896852999</v>
      </c>
      <c r="L31" s="132">
        <f t="shared" si="14"/>
        <v>1333321.2281337499</v>
      </c>
      <c r="M31" s="132">
        <f t="shared" si="14"/>
        <v>1240566.1479618172</v>
      </c>
      <c r="N31" s="132">
        <f t="shared" si="14"/>
        <v>1143748.3426673419</v>
      </c>
      <c r="O31" s="132">
        <f t="shared" si="14"/>
        <v>1047474.4489578106</v>
      </c>
      <c r="P31" s="132">
        <f t="shared" si="14"/>
        <v>950656.64366333489</v>
      </c>
      <c r="Q31" s="132">
        <f t="shared" si="14"/>
        <v>854382.74995380291</v>
      </c>
      <c r="R31" s="132">
        <f t="shared" si="14"/>
        <v>757564.94465932786</v>
      </c>
      <c r="S31" s="132">
        <f t="shared" si="14"/>
        <v>661291.05094979552</v>
      </c>
      <c r="T31" s="132">
        <f t="shared" si="14"/>
        <v>564473.24565532012</v>
      </c>
      <c r="U31" s="132">
        <f t="shared" si="14"/>
        <v>468199.35194578848</v>
      </c>
      <c r="V31" s="132">
        <f t="shared" si="14"/>
        <v>371381.54665131349</v>
      </c>
      <c r="W31" s="132">
        <f t="shared" si="14"/>
        <v>275107.65294178232</v>
      </c>
      <c r="X31" s="132">
        <f t="shared" si="14"/>
        <v>920250.43709797575</v>
      </c>
      <c r="Y31" s="132">
        <f t="shared" ref="Y31:AL31" si="15">Y29*Y19</f>
        <v>1707362.7183836254</v>
      </c>
      <c r="Z31" s="132">
        <f t="shared" si="15"/>
        <v>1765633.9711225403</v>
      </c>
      <c r="AA31" s="132">
        <f t="shared" si="15"/>
        <v>1695208.9451338397</v>
      </c>
      <c r="AB31" s="132">
        <f t="shared" si="15"/>
        <v>1624783.9191451396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I6"/>
  <sheetViews>
    <sheetView zoomScaleNormal="100" workbookViewId="0">
      <selection activeCell="H4" sqref="H4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9">
      <c r="C3">
        <v>2025</v>
      </c>
      <c r="D3">
        <v>2026</v>
      </c>
      <c r="E3">
        <v>2027</v>
      </c>
      <c r="F3">
        <v>2028</v>
      </c>
      <c r="G3">
        <v>2029</v>
      </c>
    </row>
    <row r="4" spans="2:9">
      <c r="B4" t="s">
        <v>320</v>
      </c>
      <c r="C4" s="153">
        <v>1633000</v>
      </c>
      <c r="D4" s="205">
        <f>34632000+2100000</f>
        <v>36732000</v>
      </c>
      <c r="E4" s="153">
        <v>103101000</v>
      </c>
      <c r="F4" s="153">
        <v>22751000</v>
      </c>
      <c r="G4" s="153">
        <v>0</v>
      </c>
      <c r="H4" s="127">
        <f>SUM(C4:G4)</f>
        <v>164217000</v>
      </c>
      <c r="I4" s="200"/>
    </row>
    <row r="5" spans="2:9">
      <c r="C5" s="203"/>
      <c r="D5" s="203"/>
      <c r="E5" s="203"/>
      <c r="F5" s="203"/>
      <c r="G5" s="203"/>
      <c r="H5" s="127"/>
    </row>
    <row r="6" spans="2:9">
      <c r="C6" s="153"/>
      <c r="D6" s="153"/>
      <c r="E6" s="153"/>
      <c r="F6" s="153"/>
      <c r="G6" s="153"/>
    </row>
  </sheetData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activeCell="B30" sqref="B30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49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pans="1:20">
      <c r="A2" s="250"/>
      <c r="B2" s="251"/>
      <c r="C2" s="251"/>
      <c r="D2" s="251"/>
      <c r="E2" s="251"/>
      <c r="F2" s="252"/>
      <c r="G2" s="251"/>
      <c r="H2" s="251"/>
      <c r="I2" s="251"/>
      <c r="J2" s="251"/>
      <c r="K2" s="251"/>
      <c r="L2" s="251"/>
      <c r="M2" s="251"/>
      <c r="N2" s="251"/>
      <c r="O2" s="251"/>
      <c r="P2" s="252"/>
      <c r="Q2" s="250"/>
      <c r="R2" s="250"/>
      <c r="S2" s="250"/>
      <c r="T2" s="250"/>
    </row>
    <row r="3" spans="1:20">
      <c r="A3" s="252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0"/>
    </row>
    <row r="4" spans="1:20" ht="15">
      <c r="A4" s="250"/>
      <c r="B4" s="253"/>
      <c r="C4" s="253"/>
      <c r="D4" s="253"/>
      <c r="E4" s="254"/>
      <c r="F4" s="254"/>
      <c r="G4" s="254"/>
      <c r="H4" s="253"/>
      <c r="I4" s="254"/>
      <c r="J4" s="253"/>
      <c r="K4" s="253"/>
      <c r="L4" s="254"/>
      <c r="M4" s="255"/>
      <c r="N4" s="255"/>
      <c r="O4" s="255"/>
      <c r="P4" s="252"/>
      <c r="Q4" s="256"/>
      <c r="R4" s="254"/>
      <c r="S4" s="254"/>
      <c r="T4" s="254"/>
    </row>
    <row r="5" spans="1:20" ht="15">
      <c r="A5" s="250"/>
      <c r="B5" s="253"/>
      <c r="C5" s="253"/>
      <c r="D5" s="253"/>
      <c r="E5" s="254"/>
      <c r="F5" s="254"/>
      <c r="G5" s="254"/>
      <c r="H5" s="253"/>
      <c r="I5" s="254"/>
      <c r="J5" s="253"/>
      <c r="K5" s="253"/>
      <c r="L5" s="254"/>
      <c r="M5" s="255"/>
      <c r="N5" s="255"/>
      <c r="O5" s="255"/>
      <c r="P5" s="255"/>
      <c r="Q5" s="256"/>
      <c r="R5" s="254"/>
      <c r="S5" s="254"/>
      <c r="T5" s="254"/>
    </row>
    <row r="6" spans="1:20" ht="15">
      <c r="A6" s="250"/>
      <c r="B6" s="253"/>
      <c r="C6" s="253"/>
      <c r="D6" s="253"/>
      <c r="E6" s="254"/>
      <c r="F6" s="254"/>
      <c r="G6" s="254"/>
      <c r="H6" s="253"/>
      <c r="I6" s="254"/>
      <c r="J6" s="253"/>
      <c r="K6" s="253"/>
      <c r="L6" s="254"/>
      <c r="M6" s="255"/>
      <c r="N6" s="255"/>
      <c r="O6" s="255"/>
      <c r="P6" s="255"/>
      <c r="Q6" s="256"/>
      <c r="R6" s="254"/>
      <c r="S6" s="254"/>
      <c r="T6" s="254"/>
    </row>
    <row r="7" spans="1:20" ht="15">
      <c r="A7" s="250"/>
      <c r="B7" s="253"/>
      <c r="C7" s="253"/>
      <c r="D7" s="253"/>
      <c r="E7" s="254"/>
      <c r="F7" s="254"/>
      <c r="G7" s="254"/>
      <c r="H7" s="253"/>
      <c r="I7" s="254"/>
      <c r="J7" s="253"/>
      <c r="K7" s="253"/>
      <c r="L7" s="254"/>
      <c r="M7" s="255"/>
      <c r="N7" s="255"/>
      <c r="O7" s="255"/>
      <c r="P7" s="255"/>
      <c r="Q7" s="256"/>
      <c r="R7" s="254"/>
      <c r="S7" s="254"/>
      <c r="T7" s="254"/>
    </row>
    <row r="8" spans="1:20" ht="15">
      <c r="A8" s="250"/>
      <c r="B8" s="253"/>
      <c r="C8" s="253"/>
      <c r="D8" s="253"/>
      <c r="E8" s="254"/>
      <c r="F8" s="254"/>
      <c r="G8" s="254"/>
      <c r="H8" s="253"/>
      <c r="I8" s="254"/>
      <c r="J8" s="253"/>
      <c r="K8" s="253"/>
      <c r="L8" s="254"/>
      <c r="M8" s="255"/>
      <c r="N8" s="255"/>
      <c r="O8" s="255"/>
      <c r="P8" s="255"/>
      <c r="Q8" s="256"/>
      <c r="R8" s="254"/>
      <c r="S8" s="254"/>
      <c r="T8" s="254"/>
    </row>
    <row r="9" spans="1:20" ht="15">
      <c r="A9" s="250"/>
      <c r="B9" s="253"/>
      <c r="C9" s="253"/>
      <c r="D9" s="253"/>
      <c r="E9" s="254"/>
      <c r="F9" s="254"/>
      <c r="G9" s="254"/>
      <c r="H9" s="253"/>
      <c r="I9" s="254"/>
      <c r="J9" s="253"/>
      <c r="K9" s="253"/>
      <c r="L9" s="254"/>
      <c r="M9" s="255"/>
      <c r="N9" s="255"/>
      <c r="O9" s="255"/>
      <c r="P9" s="255"/>
      <c r="Q9" s="256"/>
      <c r="R9" s="254"/>
      <c r="S9" s="254"/>
      <c r="T9" s="254"/>
    </row>
    <row r="10" spans="1:20" ht="15">
      <c r="A10" s="250"/>
      <c r="B10" s="253"/>
      <c r="C10" s="253"/>
      <c r="D10" s="253"/>
      <c r="E10" s="254"/>
      <c r="F10" s="254"/>
      <c r="G10" s="254"/>
      <c r="H10" s="253"/>
      <c r="I10" s="254"/>
      <c r="J10" s="253"/>
      <c r="K10" s="253"/>
      <c r="L10" s="254"/>
      <c r="M10" s="255"/>
      <c r="N10" s="255"/>
      <c r="O10" s="255"/>
      <c r="P10" s="255"/>
      <c r="Q10" s="256"/>
      <c r="R10" s="254"/>
      <c r="S10" s="254"/>
      <c r="T10" s="254"/>
    </row>
    <row r="11" spans="1:20" ht="15">
      <c r="A11" s="250"/>
      <c r="B11" s="253"/>
      <c r="C11" s="253"/>
      <c r="D11" s="253"/>
      <c r="E11" s="254"/>
      <c r="F11" s="254"/>
      <c r="G11" s="254"/>
      <c r="H11" s="253"/>
      <c r="I11" s="254"/>
      <c r="J11" s="253"/>
      <c r="K11" s="253"/>
      <c r="L11" s="254"/>
      <c r="M11" s="255"/>
      <c r="N11" s="255"/>
      <c r="O11" s="255"/>
      <c r="P11" s="255"/>
      <c r="Q11" s="256"/>
      <c r="R11" s="254"/>
      <c r="S11" s="254"/>
      <c r="T11" s="254"/>
    </row>
    <row r="12" spans="1:20">
      <c r="A12" s="250"/>
      <c r="B12" s="250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</row>
    <row r="13" spans="1:20">
      <c r="A13" s="249"/>
      <c r="B13" s="251"/>
      <c r="C13" s="251"/>
      <c r="D13" s="251"/>
      <c r="E13" s="251"/>
      <c r="F13" s="252"/>
      <c r="G13" s="251"/>
      <c r="H13" s="251"/>
      <c r="I13" s="251"/>
      <c r="J13" s="251"/>
      <c r="K13" s="251"/>
      <c r="L13" s="251"/>
      <c r="M13" s="251"/>
      <c r="N13" s="251"/>
      <c r="O13" s="251"/>
      <c r="P13" s="252"/>
      <c r="Q13" s="250"/>
      <c r="R13" s="250"/>
      <c r="S13" s="250"/>
      <c r="T13" s="250"/>
    </row>
    <row r="14" spans="1:20">
      <c r="A14" s="252"/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0"/>
    </row>
    <row r="15" spans="1:20" ht="15">
      <c r="A15" s="250"/>
      <c r="B15" s="254"/>
      <c r="C15" s="254"/>
      <c r="D15" s="253"/>
      <c r="E15" s="254"/>
      <c r="F15" s="254"/>
      <c r="G15" s="254"/>
      <c r="H15" s="254"/>
      <c r="I15" s="254"/>
      <c r="J15" s="254"/>
      <c r="K15" s="254"/>
      <c r="L15" s="254"/>
      <c r="M15" s="255"/>
      <c r="N15" s="255"/>
      <c r="O15" s="255"/>
      <c r="P15" s="250"/>
      <c r="Q15" s="256"/>
      <c r="R15" s="254"/>
      <c r="S15" s="254"/>
      <c r="T15" s="254"/>
    </row>
    <row r="16" spans="1:20" ht="15">
      <c r="A16" s="250"/>
      <c r="B16" s="254"/>
      <c r="C16" s="254"/>
      <c r="D16" s="253"/>
      <c r="E16" s="254"/>
      <c r="F16" s="254"/>
      <c r="G16" s="254"/>
      <c r="H16" s="254"/>
      <c r="I16" s="254"/>
      <c r="J16" s="254"/>
      <c r="K16" s="254"/>
      <c r="L16" s="254"/>
      <c r="M16" s="255"/>
      <c r="N16" s="255"/>
      <c r="O16" s="255"/>
      <c r="P16" s="250"/>
      <c r="Q16" s="256"/>
      <c r="R16" s="254"/>
      <c r="S16" s="254"/>
      <c r="T16" s="254"/>
    </row>
    <row r="17" spans="1:20" ht="15">
      <c r="A17" s="250"/>
      <c r="B17" s="254"/>
      <c r="C17" s="254"/>
      <c r="D17" s="253"/>
      <c r="E17" s="254"/>
      <c r="F17" s="254"/>
      <c r="G17" s="254"/>
      <c r="H17" s="254"/>
      <c r="I17" s="254"/>
      <c r="J17" s="254"/>
      <c r="K17" s="254"/>
      <c r="L17" s="254"/>
      <c r="M17" s="255"/>
      <c r="N17" s="255"/>
      <c r="O17" s="255"/>
      <c r="P17" s="250"/>
      <c r="Q17" s="256"/>
      <c r="R17" s="254"/>
      <c r="S17" s="254"/>
      <c r="T17" s="254"/>
    </row>
    <row r="18" spans="1:20" ht="15">
      <c r="A18" s="250"/>
      <c r="B18" s="254"/>
      <c r="C18" s="254"/>
      <c r="D18" s="253"/>
      <c r="E18" s="254"/>
      <c r="F18" s="254"/>
      <c r="G18" s="254"/>
      <c r="H18" s="254"/>
      <c r="I18" s="254"/>
      <c r="J18" s="254"/>
      <c r="K18" s="254"/>
      <c r="L18" s="254"/>
      <c r="M18" s="255"/>
      <c r="N18" s="255"/>
      <c r="O18" s="255"/>
      <c r="P18" s="250"/>
      <c r="Q18" s="256"/>
      <c r="R18" s="254"/>
      <c r="S18" s="254"/>
      <c r="T18" s="254"/>
    </row>
    <row r="19" spans="1:20" ht="15">
      <c r="A19" s="250"/>
      <c r="B19" s="254"/>
      <c r="C19" s="254"/>
      <c r="D19" s="253"/>
      <c r="E19" s="254"/>
      <c r="F19" s="254"/>
      <c r="G19" s="254"/>
      <c r="H19" s="254"/>
      <c r="I19" s="254"/>
      <c r="J19" s="254"/>
      <c r="K19" s="254"/>
      <c r="L19" s="254"/>
      <c r="M19" s="255"/>
      <c r="N19" s="255"/>
      <c r="O19" s="255"/>
      <c r="P19" s="250"/>
      <c r="Q19" s="256"/>
      <c r="R19" s="254"/>
      <c r="S19" s="254"/>
      <c r="T19" s="254"/>
    </row>
    <row r="20" spans="1:20" ht="15">
      <c r="A20" s="250"/>
      <c r="B20" s="254"/>
      <c r="C20" s="254"/>
      <c r="D20" s="253"/>
      <c r="E20" s="254"/>
      <c r="F20" s="254"/>
      <c r="G20" s="254"/>
      <c r="H20" s="254"/>
      <c r="I20" s="254"/>
      <c r="J20" s="254"/>
      <c r="K20" s="254"/>
      <c r="L20" s="254"/>
      <c r="M20" s="255"/>
      <c r="N20" s="255"/>
      <c r="O20" s="255"/>
      <c r="P20" s="250"/>
      <c r="Q20" s="256"/>
      <c r="R20" s="254"/>
      <c r="S20" s="254"/>
      <c r="T20" s="254"/>
    </row>
    <row r="21" spans="1:20" ht="15">
      <c r="A21" s="250"/>
      <c r="B21" s="254"/>
      <c r="C21" s="254"/>
      <c r="D21" s="253"/>
      <c r="E21" s="254"/>
      <c r="F21" s="254"/>
      <c r="G21" s="254"/>
      <c r="H21" s="254"/>
      <c r="I21" s="254"/>
      <c r="J21" s="254"/>
      <c r="K21" s="254"/>
      <c r="L21" s="254"/>
      <c r="M21" s="255"/>
      <c r="N21" s="255"/>
      <c r="O21" s="255"/>
      <c r="P21" s="250"/>
      <c r="Q21" s="256"/>
      <c r="R21" s="254"/>
      <c r="S21" s="254"/>
      <c r="T21" s="254"/>
    </row>
    <row r="22" spans="1:20" ht="15">
      <c r="A22" s="250"/>
      <c r="B22" s="254"/>
      <c r="C22" s="254"/>
      <c r="D22" s="253"/>
      <c r="E22" s="254"/>
      <c r="F22" s="254"/>
      <c r="G22" s="254"/>
      <c r="H22" s="254"/>
      <c r="I22" s="254"/>
      <c r="J22" s="254"/>
      <c r="K22" s="254"/>
      <c r="L22" s="254"/>
      <c r="M22" s="255"/>
      <c r="N22" s="255"/>
      <c r="O22" s="255"/>
      <c r="P22" s="250"/>
      <c r="Q22" s="256"/>
      <c r="R22" s="254"/>
      <c r="S22" s="254"/>
      <c r="T22" s="254"/>
    </row>
    <row r="23" spans="1:20">
      <c r="A23" s="250"/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</row>
    <row r="24" spans="1:20">
      <c r="A24" s="250"/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</row>
    <row r="25" spans="1:20">
      <c r="A25" s="250"/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</row>
    <row r="102" spans="3:32" s="235" customFormat="1">
      <c r="C102"/>
      <c r="D102"/>
    </row>
    <row r="103" spans="3:32" s="235" customFormat="1">
      <c r="C103"/>
      <c r="D103"/>
    </row>
    <row r="104" spans="3:32" s="235" customFormat="1">
      <c r="C104"/>
      <c r="D104"/>
    </row>
    <row r="105" spans="3:32" s="235" customFormat="1">
      <c r="C105"/>
      <c r="D105"/>
    </row>
    <row r="106" spans="3:32" s="235" customFormat="1">
      <c r="C106"/>
      <c r="D106"/>
    </row>
    <row r="107" spans="3:32"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</row>
    <row r="108" spans="3:32"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</row>
    <row r="109" spans="3:32"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</row>
    <row r="110" spans="3:32"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</row>
    <row r="111" spans="3:32">
      <c r="E111" s="236"/>
      <c r="F111" s="236"/>
      <c r="G111" s="236"/>
      <c r="H111" s="236"/>
      <c r="I111" s="236"/>
      <c r="J111" s="236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6"/>
      <c r="V111" s="236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</row>
    <row r="112" spans="3:32"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</row>
    <row r="113" spans="5:32">
      <c r="E113" s="236"/>
      <c r="F113" s="236"/>
      <c r="G113" s="236"/>
      <c r="H113" s="236"/>
      <c r="I113" s="236"/>
      <c r="J113" s="236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6"/>
      <c r="V113" s="236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</row>
    <row r="114" spans="5:32"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</row>
    <row r="115" spans="5:32"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</row>
    <row r="116" spans="5:32">
      <c r="E116" s="236"/>
      <c r="F116" s="236"/>
      <c r="G116" s="236"/>
      <c r="H116" s="236"/>
      <c r="I116" s="236"/>
      <c r="J116" s="236"/>
      <c r="K116" s="236"/>
      <c r="L116" s="236"/>
      <c r="M116" s="236"/>
      <c r="N116" s="236"/>
      <c r="O116" s="236"/>
      <c r="P116" s="236"/>
      <c r="Q116" s="236"/>
      <c r="R116" s="236"/>
      <c r="S116" s="236"/>
      <c r="T116" s="236"/>
      <c r="U116" s="236"/>
      <c r="V116" s="236"/>
      <c r="W116" s="236"/>
      <c r="X116" s="236"/>
      <c r="Y116" s="236"/>
      <c r="Z116" s="236"/>
      <c r="AA116" s="236"/>
      <c r="AB116" s="236"/>
      <c r="AC116" s="236"/>
      <c r="AD116" s="236"/>
      <c r="AE116" s="236"/>
      <c r="AF116" s="236"/>
    </row>
    <row r="117" spans="5:32"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</row>
    <row r="118" spans="5:32">
      <c r="E118" s="236"/>
      <c r="F118" s="236"/>
      <c r="G118" s="236"/>
      <c r="H118" s="236"/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6"/>
      <c r="V118" s="236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</row>
    <row r="119" spans="5:32">
      <c r="E119" s="236"/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</row>
    <row r="120" spans="5:32">
      <c r="E120" s="236"/>
      <c r="F120" s="236"/>
      <c r="G120" s="236"/>
      <c r="H120" s="236"/>
      <c r="I120" s="236"/>
      <c r="J120" s="236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6"/>
      <c r="V120" s="236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</row>
    <row r="121" spans="5:32">
      <c r="E121" s="236"/>
      <c r="F121" s="236"/>
      <c r="G121" s="236"/>
      <c r="H121" s="236"/>
      <c r="I121" s="236"/>
      <c r="J121" s="236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</row>
    <row r="122" spans="5:32">
      <c r="E122" s="236"/>
      <c r="F122" s="236"/>
      <c r="G122" s="236"/>
      <c r="H122" s="236"/>
      <c r="I122" s="236"/>
      <c r="J122" s="236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6"/>
      <c r="V122" s="236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</row>
    <row r="123" spans="5:32">
      <c r="E123" s="236"/>
      <c r="F123" s="236"/>
      <c r="G123" s="236"/>
      <c r="H123" s="236"/>
      <c r="I123" s="236"/>
      <c r="J123" s="236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6"/>
      <c r="V123" s="236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</row>
    <row r="124" spans="5:32">
      <c r="E124" s="236"/>
      <c r="F124" s="236"/>
      <c r="G124" s="236"/>
      <c r="H124" s="236"/>
      <c r="I124" s="236"/>
      <c r="J124" s="236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6"/>
      <c r="V124" s="236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</row>
    <row r="125" spans="5:32">
      <c r="E125" s="236"/>
      <c r="F125" s="236"/>
      <c r="G125" s="236"/>
      <c r="H125" s="236"/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  <c r="U125" s="236"/>
      <c r="V125" s="236"/>
      <c r="W125" s="236"/>
      <c r="X125" s="236"/>
      <c r="Y125" s="236"/>
      <c r="Z125" s="236"/>
      <c r="AA125" s="236"/>
      <c r="AB125" s="236"/>
      <c r="AC125" s="236"/>
      <c r="AD125" s="236"/>
      <c r="AE125" s="236"/>
      <c r="AF125" s="236"/>
    </row>
    <row r="126" spans="5:32">
      <c r="E126" s="236"/>
      <c r="F126" s="236"/>
      <c r="G126" s="236"/>
      <c r="H126" s="236"/>
      <c r="I126" s="236"/>
      <c r="J126" s="236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6"/>
      <c r="V126" s="236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</row>
    <row r="127" spans="5:32"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6"/>
      <c r="V127" s="236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</row>
    <row r="128" spans="5:32"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6"/>
      <c r="V128" s="236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</row>
    <row r="129" spans="3:32">
      <c r="E129" s="236"/>
      <c r="F129" s="236"/>
      <c r="G129" s="236"/>
      <c r="H129" s="236"/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</row>
    <row r="130" spans="3:32">
      <c r="E130" s="236"/>
      <c r="F130" s="236"/>
      <c r="G130" s="236"/>
      <c r="H130" s="236"/>
      <c r="I130" s="236"/>
      <c r="J130" s="236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6"/>
      <c r="V130" s="236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</row>
    <row r="131" spans="3:32">
      <c r="E131" s="236"/>
      <c r="F131" s="236"/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6"/>
      <c r="V131" s="236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</row>
    <row r="132" spans="3:32">
      <c r="E132" s="236"/>
      <c r="F132" s="236"/>
      <c r="G132" s="236"/>
      <c r="H132" s="236"/>
      <c r="I132" s="236"/>
      <c r="J132" s="236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6"/>
      <c r="V132" s="236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</row>
    <row r="133" spans="3:32">
      <c r="E133" s="236"/>
      <c r="F133" s="236"/>
      <c r="G133" s="236"/>
      <c r="H133" s="236"/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</row>
    <row r="134" spans="3:32">
      <c r="E134" s="236"/>
      <c r="F134" s="236"/>
      <c r="G134" s="236"/>
      <c r="H134" s="236"/>
      <c r="I134" s="236"/>
      <c r="J134" s="236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6"/>
      <c r="V134" s="236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</row>
    <row r="135" spans="3:32">
      <c r="E135" s="236"/>
      <c r="F135" s="236"/>
      <c r="G135" s="236"/>
      <c r="H135" s="236"/>
      <c r="I135" s="236"/>
      <c r="J135" s="236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6"/>
      <c r="V135" s="236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</row>
    <row r="136" spans="3:32">
      <c r="E136" s="236"/>
      <c r="F136" s="236"/>
      <c r="G136" s="236"/>
      <c r="H136" s="236"/>
      <c r="I136" s="236"/>
      <c r="J136" s="236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6"/>
      <c r="V136" s="236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</row>
    <row r="137" spans="3:32" s="235" customFormat="1">
      <c r="C137"/>
      <c r="D137"/>
    </row>
    <row r="138" spans="3:32" s="235" customFormat="1">
      <c r="C138"/>
      <c r="D138"/>
    </row>
    <row r="139" spans="3:32" s="235" customFormat="1">
      <c r="C139"/>
      <c r="D139"/>
    </row>
    <row r="140" spans="3:32" s="235" customFormat="1">
      <c r="C140"/>
      <c r="D140"/>
    </row>
    <row r="141" spans="3:32" s="235" customFormat="1">
      <c r="C141"/>
      <c r="D141"/>
    </row>
    <row r="172" spans="3:4" s="237" customFormat="1">
      <c r="C172"/>
      <c r="D172"/>
    </row>
    <row r="173" spans="3:4" s="237" customFormat="1">
      <c r="C173"/>
      <c r="D173"/>
    </row>
    <row r="174" spans="3:4" s="237" customFormat="1">
      <c r="C174"/>
      <c r="D174"/>
    </row>
    <row r="175" spans="3:4" s="237" customFormat="1">
      <c r="C175"/>
      <c r="D175"/>
    </row>
    <row r="176" spans="3:4" s="237" customFormat="1">
      <c r="C176" s="238"/>
      <c r="D176" s="238"/>
    </row>
    <row r="247" spans="5:32">
      <c r="E247" s="236"/>
      <c r="F247" s="236"/>
      <c r="G247" s="236"/>
      <c r="H247" s="236"/>
      <c r="I247" s="236"/>
      <c r="J247" s="236"/>
      <c r="K247" s="236"/>
      <c r="L247" s="236"/>
      <c r="M247" s="236"/>
      <c r="N247" s="236"/>
      <c r="O247" s="236"/>
      <c r="P247" s="236"/>
      <c r="Q247" s="236"/>
      <c r="R247" s="236"/>
      <c r="S247" s="236"/>
      <c r="T247" s="236"/>
      <c r="U247" s="236"/>
      <c r="V247" s="236"/>
      <c r="W247" s="236"/>
      <c r="X247" s="236"/>
      <c r="Y247" s="236"/>
      <c r="Z247" s="236"/>
      <c r="AA247" s="236"/>
      <c r="AB247" s="236"/>
      <c r="AC247" s="236"/>
      <c r="AD247" s="236"/>
      <c r="AE247" s="236"/>
      <c r="AF247" s="236"/>
    </row>
    <row r="248" spans="5:32">
      <c r="E248" s="236"/>
      <c r="F248" s="236"/>
      <c r="G248" s="236"/>
      <c r="H248" s="236"/>
      <c r="I248" s="236"/>
      <c r="J248" s="236"/>
      <c r="K248" s="236"/>
      <c r="L248" s="236"/>
      <c r="M248" s="236"/>
      <c r="N248" s="236"/>
      <c r="O248" s="236"/>
      <c r="P248" s="236"/>
      <c r="Q248" s="236"/>
      <c r="R248" s="236"/>
      <c r="S248" s="236"/>
      <c r="T248" s="236"/>
      <c r="U248" s="236"/>
      <c r="V248" s="236"/>
      <c r="W248" s="236"/>
      <c r="X248" s="236"/>
      <c r="Y248" s="236"/>
      <c r="Z248" s="236"/>
      <c r="AA248" s="236"/>
      <c r="AB248" s="236"/>
      <c r="AC248" s="236"/>
      <c r="AD248" s="236"/>
      <c r="AE248" s="236"/>
      <c r="AF248" s="236"/>
    </row>
    <row r="249" spans="5:32">
      <c r="E249" s="236"/>
      <c r="F249" s="236"/>
      <c r="G249" s="236"/>
      <c r="H249" s="236"/>
      <c r="I249" s="236"/>
      <c r="J249" s="236"/>
      <c r="K249" s="236"/>
      <c r="L249" s="236"/>
      <c r="M249" s="236"/>
      <c r="N249" s="236"/>
      <c r="O249" s="236"/>
      <c r="P249" s="236"/>
      <c r="Q249" s="236"/>
      <c r="R249" s="236"/>
      <c r="S249" s="236"/>
      <c r="T249" s="236"/>
      <c r="U249" s="236"/>
      <c r="V249" s="236"/>
      <c r="W249" s="236"/>
      <c r="X249" s="236"/>
      <c r="Y249" s="236"/>
      <c r="Z249" s="236"/>
      <c r="AA249" s="236"/>
      <c r="AB249" s="236"/>
      <c r="AC249" s="236"/>
      <c r="AD249" s="236"/>
      <c r="AE249" s="236"/>
      <c r="AF249" s="236"/>
    </row>
    <row r="250" spans="5:32">
      <c r="E250" s="236"/>
      <c r="F250" s="236"/>
      <c r="G250" s="236"/>
      <c r="H250" s="236"/>
      <c r="I250" s="236"/>
      <c r="J250" s="236"/>
      <c r="K250" s="236"/>
      <c r="L250" s="236"/>
      <c r="M250" s="236"/>
      <c r="N250" s="236"/>
      <c r="O250" s="236"/>
      <c r="P250" s="236"/>
      <c r="Q250" s="236"/>
      <c r="R250" s="236"/>
      <c r="S250" s="236"/>
      <c r="T250" s="236"/>
      <c r="U250" s="236"/>
      <c r="V250" s="236"/>
      <c r="W250" s="236"/>
      <c r="X250" s="236"/>
      <c r="Y250" s="236"/>
      <c r="Z250" s="236"/>
      <c r="AA250" s="236"/>
      <c r="AB250" s="236"/>
      <c r="AC250" s="236"/>
      <c r="AD250" s="236"/>
      <c r="AE250" s="236"/>
      <c r="AF250" s="236"/>
    </row>
    <row r="251" spans="5:32">
      <c r="E251" s="236"/>
      <c r="F251" s="236"/>
      <c r="G251" s="236"/>
      <c r="H251" s="236"/>
      <c r="I251" s="236"/>
      <c r="J251" s="236"/>
      <c r="K251" s="236"/>
      <c r="L251" s="236"/>
      <c r="M251" s="236"/>
      <c r="N251" s="236"/>
      <c r="O251" s="236"/>
      <c r="P251" s="236"/>
      <c r="Q251" s="236"/>
      <c r="R251" s="236"/>
      <c r="S251" s="236"/>
      <c r="T251" s="236"/>
      <c r="U251" s="236"/>
      <c r="V251" s="236"/>
      <c r="W251" s="236"/>
      <c r="X251" s="236"/>
      <c r="Y251" s="236"/>
      <c r="Z251" s="236"/>
      <c r="AA251" s="236"/>
      <c r="AB251" s="236"/>
      <c r="AC251" s="236"/>
      <c r="AD251" s="236"/>
      <c r="AE251" s="236"/>
      <c r="AF251" s="236"/>
    </row>
    <row r="252" spans="5:32">
      <c r="E252" s="236"/>
      <c r="F252" s="236"/>
      <c r="G252" s="236"/>
      <c r="H252" s="236"/>
      <c r="I252" s="236"/>
      <c r="J252" s="236"/>
      <c r="K252" s="236"/>
      <c r="L252" s="236"/>
      <c r="M252" s="236"/>
      <c r="N252" s="236"/>
      <c r="O252" s="236"/>
      <c r="P252" s="236"/>
      <c r="Q252" s="236"/>
      <c r="R252" s="236"/>
      <c r="S252" s="236"/>
      <c r="T252" s="236"/>
      <c r="U252" s="236"/>
      <c r="V252" s="236"/>
      <c r="W252" s="236"/>
      <c r="X252" s="236"/>
      <c r="Y252" s="236"/>
      <c r="Z252" s="236"/>
      <c r="AA252" s="236"/>
      <c r="AB252" s="236"/>
      <c r="AC252" s="236"/>
      <c r="AD252" s="236"/>
      <c r="AE252" s="236"/>
      <c r="AF252" s="236"/>
    </row>
    <row r="253" spans="5:32">
      <c r="E253" s="236"/>
      <c r="F253" s="236"/>
      <c r="G253" s="236"/>
      <c r="H253" s="236"/>
      <c r="I253" s="236"/>
      <c r="J253" s="236"/>
      <c r="K253" s="236"/>
      <c r="L253" s="236"/>
      <c r="M253" s="236"/>
      <c r="N253" s="236"/>
      <c r="O253" s="236"/>
      <c r="P253" s="236"/>
      <c r="Q253" s="236"/>
      <c r="R253" s="236"/>
      <c r="S253" s="236"/>
      <c r="T253" s="236"/>
      <c r="U253" s="236"/>
      <c r="V253" s="236"/>
      <c r="W253" s="236"/>
      <c r="X253" s="236"/>
      <c r="Y253" s="236"/>
      <c r="Z253" s="236"/>
      <c r="AA253" s="236"/>
      <c r="AB253" s="236"/>
      <c r="AC253" s="236"/>
      <c r="AD253" s="236"/>
      <c r="AE253" s="236"/>
      <c r="AF253" s="236"/>
    </row>
    <row r="254" spans="5:32">
      <c r="E254" s="236"/>
      <c r="F254" s="236"/>
      <c r="G254" s="236"/>
      <c r="H254" s="236"/>
      <c r="I254" s="236"/>
      <c r="J254" s="236"/>
      <c r="K254" s="236"/>
      <c r="L254" s="236"/>
      <c r="M254" s="236"/>
      <c r="N254" s="236"/>
      <c r="O254" s="236"/>
      <c r="P254" s="236"/>
      <c r="Q254" s="236"/>
      <c r="R254" s="236"/>
      <c r="S254" s="236"/>
      <c r="T254" s="236"/>
      <c r="U254" s="236"/>
      <c r="V254" s="236"/>
      <c r="W254" s="236"/>
      <c r="X254" s="236"/>
      <c r="Y254" s="236"/>
      <c r="Z254" s="236"/>
      <c r="AA254" s="236"/>
      <c r="AB254" s="236"/>
      <c r="AC254" s="236"/>
      <c r="AD254" s="236"/>
      <c r="AE254" s="236"/>
      <c r="AF254" s="236"/>
    </row>
    <row r="255" spans="5:32">
      <c r="E255" s="236"/>
      <c r="F255" s="236"/>
      <c r="G255" s="236"/>
      <c r="H255" s="236"/>
      <c r="I255" s="236"/>
      <c r="J255" s="236"/>
      <c r="K255" s="236"/>
      <c r="L255" s="236"/>
      <c r="M255" s="236"/>
      <c r="N255" s="236"/>
      <c r="O255" s="236"/>
      <c r="P255" s="236"/>
      <c r="Q255" s="236"/>
      <c r="R255" s="236"/>
      <c r="S255" s="236"/>
      <c r="T255" s="236"/>
      <c r="U255" s="236"/>
      <c r="V255" s="236"/>
      <c r="W255" s="236"/>
      <c r="X255" s="236"/>
      <c r="Y255" s="236"/>
      <c r="Z255" s="236"/>
      <c r="AA255" s="236"/>
      <c r="AB255" s="236"/>
      <c r="AC255" s="236"/>
      <c r="AD255" s="236"/>
      <c r="AE255" s="236"/>
      <c r="AF255" s="236"/>
    </row>
    <row r="256" spans="5:32">
      <c r="E256" s="236"/>
      <c r="F256" s="236"/>
      <c r="G256" s="236"/>
      <c r="H256" s="236"/>
      <c r="I256" s="236"/>
      <c r="J256" s="236"/>
      <c r="K256" s="236"/>
      <c r="L256" s="236"/>
      <c r="M256" s="236"/>
      <c r="N256" s="236"/>
      <c r="O256" s="236"/>
      <c r="P256" s="236"/>
      <c r="Q256" s="236"/>
      <c r="R256" s="236"/>
      <c r="S256" s="236"/>
      <c r="T256" s="236"/>
      <c r="U256" s="236"/>
      <c r="V256" s="236"/>
      <c r="W256" s="236"/>
      <c r="X256" s="236"/>
      <c r="Y256" s="236"/>
      <c r="Z256" s="236"/>
      <c r="AA256" s="236"/>
      <c r="AB256" s="236"/>
      <c r="AC256" s="236"/>
      <c r="AD256" s="236"/>
      <c r="AE256" s="236"/>
      <c r="AF256" s="236"/>
    </row>
    <row r="257" spans="5:32">
      <c r="E257" s="236"/>
      <c r="F257" s="236"/>
      <c r="G257" s="236"/>
      <c r="H257" s="236"/>
      <c r="I257" s="236"/>
      <c r="J257" s="236"/>
      <c r="K257" s="236"/>
      <c r="L257" s="236"/>
      <c r="M257" s="236"/>
      <c r="N257" s="236"/>
      <c r="O257" s="236"/>
      <c r="P257" s="236"/>
      <c r="Q257" s="236"/>
      <c r="R257" s="236"/>
      <c r="S257" s="236"/>
      <c r="T257" s="236"/>
      <c r="U257" s="236"/>
      <c r="V257" s="236"/>
      <c r="W257" s="236"/>
      <c r="X257" s="236"/>
      <c r="Y257" s="236"/>
      <c r="Z257" s="236"/>
      <c r="AA257" s="236"/>
      <c r="AB257" s="236"/>
      <c r="AC257" s="236"/>
      <c r="AD257" s="236"/>
      <c r="AE257" s="236"/>
      <c r="AF257" s="236"/>
    </row>
    <row r="258" spans="5:32">
      <c r="E258" s="236"/>
      <c r="F258" s="236"/>
      <c r="G258" s="236"/>
      <c r="H258" s="236"/>
      <c r="I258" s="236"/>
      <c r="J258" s="236"/>
      <c r="K258" s="236"/>
      <c r="L258" s="236"/>
      <c r="M258" s="236"/>
      <c r="N258" s="236"/>
      <c r="O258" s="236"/>
      <c r="P258" s="236"/>
      <c r="Q258" s="236"/>
      <c r="R258" s="236"/>
      <c r="S258" s="236"/>
      <c r="T258" s="236"/>
      <c r="U258" s="236"/>
      <c r="V258" s="236"/>
      <c r="W258" s="236"/>
      <c r="X258" s="236"/>
      <c r="Y258" s="236"/>
      <c r="Z258" s="236"/>
      <c r="AA258" s="236"/>
      <c r="AB258" s="236"/>
      <c r="AC258" s="236"/>
      <c r="AD258" s="236"/>
      <c r="AE258" s="236"/>
      <c r="AF258" s="236"/>
    </row>
    <row r="259" spans="5:32">
      <c r="E259" s="236"/>
      <c r="F259" s="236"/>
      <c r="G259" s="236"/>
      <c r="H259" s="236"/>
      <c r="I259" s="236"/>
      <c r="J259" s="236"/>
      <c r="K259" s="236"/>
      <c r="L259" s="236"/>
      <c r="M259" s="236"/>
      <c r="N259" s="236"/>
      <c r="O259" s="236"/>
      <c r="P259" s="236"/>
      <c r="Q259" s="236"/>
      <c r="R259" s="236"/>
      <c r="S259" s="236"/>
      <c r="T259" s="236"/>
      <c r="U259" s="236"/>
      <c r="V259" s="236"/>
      <c r="W259" s="236"/>
      <c r="X259" s="236"/>
      <c r="Y259" s="236"/>
      <c r="Z259" s="236"/>
      <c r="AA259" s="236"/>
      <c r="AB259" s="236"/>
      <c r="AC259" s="236"/>
      <c r="AD259" s="236"/>
      <c r="AE259" s="236"/>
      <c r="AF259" s="236"/>
    </row>
    <row r="260" spans="5:32">
      <c r="E260" s="236"/>
      <c r="F260" s="236"/>
      <c r="G260" s="236"/>
      <c r="H260" s="236"/>
      <c r="I260" s="236"/>
      <c r="J260" s="236"/>
      <c r="K260" s="236"/>
      <c r="L260" s="236"/>
      <c r="M260" s="236"/>
      <c r="N260" s="236"/>
      <c r="O260" s="236"/>
      <c r="P260" s="236"/>
      <c r="Q260" s="236"/>
      <c r="R260" s="236"/>
      <c r="S260" s="236"/>
      <c r="T260" s="236"/>
      <c r="U260" s="236"/>
      <c r="V260" s="236"/>
      <c r="W260" s="236"/>
      <c r="X260" s="236"/>
      <c r="Y260" s="236"/>
      <c r="Z260" s="236"/>
      <c r="AA260" s="236"/>
      <c r="AB260" s="236"/>
      <c r="AC260" s="236"/>
      <c r="AD260" s="236"/>
      <c r="AE260" s="236"/>
      <c r="AF260" s="236"/>
    </row>
    <row r="261" spans="5:32">
      <c r="E261" s="236"/>
      <c r="F261" s="236"/>
      <c r="G261" s="236"/>
      <c r="H261" s="236"/>
      <c r="I261" s="236"/>
      <c r="J261" s="236"/>
      <c r="K261" s="236"/>
      <c r="L261" s="236"/>
      <c r="M261" s="236"/>
      <c r="N261" s="236"/>
      <c r="O261" s="236"/>
      <c r="P261" s="236"/>
      <c r="Q261" s="236"/>
      <c r="R261" s="236"/>
      <c r="S261" s="236"/>
      <c r="T261" s="236"/>
      <c r="U261" s="236"/>
      <c r="V261" s="236"/>
      <c r="W261" s="236"/>
      <c r="X261" s="236"/>
      <c r="Y261" s="236"/>
      <c r="Z261" s="236"/>
      <c r="AA261" s="236"/>
      <c r="AB261" s="236"/>
      <c r="AC261" s="236"/>
      <c r="AD261" s="236"/>
      <c r="AE261" s="236"/>
      <c r="AF261" s="236"/>
    </row>
    <row r="262" spans="5:32">
      <c r="E262" s="236"/>
      <c r="F262" s="236"/>
      <c r="G262" s="236"/>
      <c r="H262" s="236"/>
      <c r="I262" s="236"/>
      <c r="J262" s="236"/>
      <c r="K262" s="236"/>
      <c r="L262" s="236"/>
      <c r="M262" s="236"/>
      <c r="N262" s="236"/>
      <c r="O262" s="236"/>
      <c r="P262" s="236"/>
      <c r="Q262" s="236"/>
      <c r="R262" s="236"/>
      <c r="S262" s="236"/>
      <c r="T262" s="236"/>
      <c r="U262" s="236"/>
      <c r="V262" s="236"/>
      <c r="W262" s="236"/>
      <c r="X262" s="236"/>
      <c r="Y262" s="236"/>
      <c r="Z262" s="236"/>
      <c r="AA262" s="236"/>
      <c r="AB262" s="236"/>
      <c r="AC262" s="236"/>
      <c r="AD262" s="236"/>
      <c r="AE262" s="236"/>
      <c r="AF262" s="236"/>
    </row>
    <row r="263" spans="5:32">
      <c r="E263" s="236"/>
      <c r="F263" s="236"/>
      <c r="G263" s="236"/>
      <c r="H263" s="236"/>
      <c r="I263" s="236"/>
      <c r="J263" s="236"/>
      <c r="K263" s="236"/>
      <c r="L263" s="236"/>
      <c r="M263" s="236"/>
      <c r="N263" s="236"/>
      <c r="O263" s="236"/>
      <c r="P263" s="236"/>
      <c r="Q263" s="236"/>
      <c r="R263" s="236"/>
      <c r="S263" s="236"/>
      <c r="T263" s="236"/>
      <c r="U263" s="236"/>
      <c r="V263" s="236"/>
      <c r="W263" s="236"/>
      <c r="X263" s="236"/>
      <c r="Y263" s="236"/>
      <c r="Z263" s="236"/>
      <c r="AA263" s="236"/>
      <c r="AB263" s="236"/>
      <c r="AC263" s="236"/>
      <c r="AD263" s="236"/>
      <c r="AE263" s="236"/>
      <c r="AF263" s="236"/>
    </row>
    <row r="264" spans="5:32">
      <c r="E264" s="236"/>
      <c r="F264" s="236"/>
      <c r="G264" s="236"/>
      <c r="H264" s="236"/>
      <c r="I264" s="236"/>
      <c r="J264" s="236"/>
      <c r="K264" s="236"/>
      <c r="L264" s="236"/>
      <c r="M264" s="236"/>
      <c r="N264" s="236"/>
      <c r="O264" s="236"/>
      <c r="P264" s="236"/>
      <c r="Q264" s="236"/>
      <c r="R264" s="236"/>
      <c r="S264" s="236"/>
      <c r="T264" s="236"/>
      <c r="U264" s="236"/>
      <c r="V264" s="236"/>
      <c r="W264" s="236"/>
      <c r="X264" s="236"/>
      <c r="Y264" s="236"/>
      <c r="Z264" s="236"/>
      <c r="AA264" s="236"/>
      <c r="AB264" s="236"/>
      <c r="AC264" s="236"/>
      <c r="AD264" s="236"/>
      <c r="AE264" s="236"/>
      <c r="AF264" s="236"/>
    </row>
    <row r="265" spans="5:32">
      <c r="E265" s="236"/>
      <c r="F265" s="236"/>
      <c r="G265" s="236"/>
      <c r="H265" s="236"/>
      <c r="I265" s="236"/>
      <c r="J265" s="236"/>
      <c r="K265" s="236"/>
      <c r="L265" s="236"/>
      <c r="M265" s="236"/>
      <c r="N265" s="236"/>
      <c r="O265" s="236"/>
      <c r="P265" s="236"/>
      <c r="Q265" s="236"/>
      <c r="R265" s="236"/>
      <c r="S265" s="236"/>
      <c r="T265" s="236"/>
      <c r="U265" s="236"/>
      <c r="V265" s="236"/>
      <c r="W265" s="236"/>
      <c r="X265" s="236"/>
      <c r="Y265" s="236"/>
      <c r="Z265" s="236"/>
      <c r="AA265" s="236"/>
      <c r="AB265" s="236"/>
      <c r="AC265" s="236"/>
      <c r="AD265" s="236"/>
      <c r="AE265" s="236"/>
      <c r="AF265" s="236"/>
    </row>
    <row r="266" spans="5:32">
      <c r="E266" s="236"/>
      <c r="F266" s="236"/>
      <c r="G266" s="236"/>
      <c r="H266" s="236"/>
      <c r="I266" s="236"/>
      <c r="J266" s="236"/>
      <c r="K266" s="236"/>
      <c r="L266" s="236"/>
      <c r="M266" s="236"/>
      <c r="N266" s="236"/>
      <c r="O266" s="236"/>
      <c r="P266" s="236"/>
      <c r="Q266" s="236"/>
      <c r="R266" s="236"/>
      <c r="S266" s="236"/>
      <c r="T266" s="236"/>
      <c r="U266" s="236"/>
      <c r="V266" s="236"/>
      <c r="W266" s="236"/>
      <c r="X266" s="236"/>
      <c r="Y266" s="236"/>
      <c r="Z266" s="236"/>
      <c r="AA266" s="236"/>
      <c r="AB266" s="236"/>
      <c r="AC266" s="236"/>
      <c r="AD266" s="236"/>
      <c r="AE266" s="236"/>
      <c r="AF266" s="236"/>
    </row>
    <row r="267" spans="5:32">
      <c r="E267" s="236"/>
      <c r="F267" s="236"/>
      <c r="G267" s="236"/>
      <c r="H267" s="236"/>
      <c r="I267" s="236"/>
      <c r="J267" s="236"/>
      <c r="K267" s="236"/>
      <c r="L267" s="236"/>
      <c r="M267" s="236"/>
      <c r="N267" s="236"/>
      <c r="O267" s="236"/>
      <c r="P267" s="236"/>
      <c r="Q267" s="236"/>
      <c r="R267" s="236"/>
      <c r="S267" s="236"/>
      <c r="T267" s="236"/>
      <c r="U267" s="236"/>
      <c r="V267" s="236"/>
      <c r="W267" s="236"/>
      <c r="X267" s="236"/>
      <c r="Y267" s="236"/>
      <c r="Z267" s="236"/>
      <c r="AA267" s="236"/>
      <c r="AB267" s="236"/>
      <c r="AC267" s="236"/>
      <c r="AD267" s="236"/>
      <c r="AE267" s="236"/>
      <c r="AF267" s="236"/>
    </row>
    <row r="268" spans="5:32">
      <c r="E268" s="236"/>
      <c r="F268" s="236"/>
      <c r="G268" s="236"/>
      <c r="H268" s="236"/>
      <c r="I268" s="236"/>
      <c r="J268" s="236"/>
      <c r="K268" s="236"/>
      <c r="L268" s="236"/>
      <c r="M268" s="236"/>
      <c r="N268" s="236"/>
      <c r="O268" s="236"/>
      <c r="P268" s="236"/>
      <c r="Q268" s="236"/>
      <c r="R268" s="236"/>
      <c r="S268" s="236"/>
      <c r="T268" s="236"/>
      <c r="U268" s="236"/>
      <c r="V268" s="236"/>
      <c r="W268" s="236"/>
      <c r="X268" s="236"/>
      <c r="Y268" s="236"/>
      <c r="Z268" s="236"/>
      <c r="AA268" s="236"/>
      <c r="AB268" s="236"/>
      <c r="AC268" s="236"/>
      <c r="AD268" s="236"/>
      <c r="AE268" s="236"/>
      <c r="AF268" s="236"/>
    </row>
    <row r="269" spans="5:32">
      <c r="E269" s="236"/>
      <c r="F269" s="236"/>
      <c r="G269" s="236"/>
      <c r="H269" s="236"/>
      <c r="I269" s="236"/>
      <c r="J269" s="236"/>
      <c r="K269" s="236"/>
      <c r="L269" s="236"/>
      <c r="M269" s="236"/>
      <c r="N269" s="236"/>
      <c r="O269" s="236"/>
      <c r="P269" s="236"/>
      <c r="Q269" s="236"/>
      <c r="R269" s="236"/>
      <c r="S269" s="236"/>
      <c r="T269" s="236"/>
      <c r="U269" s="236"/>
      <c r="V269" s="236"/>
      <c r="W269" s="236"/>
      <c r="X269" s="236"/>
      <c r="Y269" s="236"/>
      <c r="Z269" s="236"/>
      <c r="AA269" s="236"/>
      <c r="AB269" s="236"/>
      <c r="AC269" s="236"/>
      <c r="AD269" s="236"/>
      <c r="AE269" s="236"/>
      <c r="AF269" s="236"/>
    </row>
    <row r="270" spans="5:32">
      <c r="E270" s="236"/>
      <c r="F270" s="236"/>
      <c r="G270" s="236"/>
      <c r="H270" s="236"/>
      <c r="I270" s="236"/>
      <c r="J270" s="236"/>
      <c r="K270" s="236"/>
      <c r="L270" s="236"/>
      <c r="M270" s="236"/>
      <c r="N270" s="236"/>
      <c r="O270" s="236"/>
      <c r="P270" s="236"/>
      <c r="Q270" s="236"/>
      <c r="R270" s="236"/>
      <c r="S270" s="236"/>
      <c r="T270" s="236"/>
      <c r="U270" s="236"/>
      <c r="V270" s="236"/>
      <c r="W270" s="236"/>
      <c r="X270" s="236"/>
      <c r="Y270" s="236"/>
      <c r="Z270" s="236"/>
      <c r="AA270" s="236"/>
      <c r="AB270" s="236"/>
      <c r="AC270" s="236"/>
      <c r="AD270" s="236"/>
      <c r="AE270" s="236"/>
      <c r="AF270" s="236"/>
    </row>
    <row r="271" spans="5:32">
      <c r="E271" s="236"/>
      <c r="F271" s="236"/>
      <c r="G271" s="236"/>
      <c r="H271" s="236"/>
      <c r="I271" s="236"/>
      <c r="J271" s="236"/>
      <c r="K271" s="236"/>
      <c r="L271" s="236"/>
      <c r="M271" s="236"/>
      <c r="N271" s="236"/>
      <c r="O271" s="236"/>
      <c r="P271" s="236"/>
      <c r="Q271" s="236"/>
      <c r="R271" s="236"/>
      <c r="S271" s="236"/>
      <c r="T271" s="236"/>
      <c r="U271" s="236"/>
      <c r="V271" s="236"/>
      <c r="W271" s="236"/>
      <c r="X271" s="236"/>
      <c r="Y271" s="236"/>
      <c r="Z271" s="236"/>
      <c r="AA271" s="236"/>
      <c r="AB271" s="236"/>
      <c r="AC271" s="236"/>
      <c r="AD271" s="236"/>
      <c r="AE271" s="236"/>
      <c r="AF271" s="236"/>
    </row>
    <row r="272" spans="5:32">
      <c r="E272" s="236"/>
      <c r="F272" s="236"/>
      <c r="G272" s="236"/>
      <c r="H272" s="236"/>
      <c r="I272" s="236"/>
      <c r="J272" s="236"/>
      <c r="K272" s="236"/>
      <c r="L272" s="236"/>
      <c r="M272" s="236"/>
      <c r="N272" s="236"/>
      <c r="O272" s="236"/>
      <c r="P272" s="236"/>
      <c r="Q272" s="236"/>
      <c r="R272" s="236"/>
      <c r="S272" s="236"/>
      <c r="T272" s="236"/>
      <c r="U272" s="236"/>
      <c r="V272" s="236"/>
      <c r="W272" s="236"/>
      <c r="X272" s="236"/>
      <c r="Y272" s="236"/>
      <c r="Z272" s="236"/>
      <c r="AA272" s="236"/>
      <c r="AB272" s="236"/>
      <c r="AC272" s="236"/>
      <c r="AD272" s="236"/>
      <c r="AE272" s="236"/>
      <c r="AF272" s="236"/>
    </row>
    <row r="273" spans="3:32">
      <c r="E273" s="236"/>
      <c r="F273" s="236"/>
      <c r="G273" s="236"/>
      <c r="H273" s="236"/>
      <c r="I273" s="236"/>
      <c r="J273" s="236"/>
      <c r="K273" s="236"/>
      <c r="L273" s="236"/>
      <c r="M273" s="236"/>
      <c r="N273" s="236"/>
      <c r="O273" s="236"/>
      <c r="P273" s="236"/>
      <c r="Q273" s="236"/>
      <c r="R273" s="236"/>
      <c r="S273" s="236"/>
      <c r="T273" s="236"/>
      <c r="U273" s="236"/>
      <c r="V273" s="236"/>
      <c r="W273" s="236"/>
      <c r="X273" s="236"/>
      <c r="Y273" s="236"/>
      <c r="Z273" s="236"/>
      <c r="AA273" s="236"/>
      <c r="AB273" s="236"/>
      <c r="AC273" s="236"/>
      <c r="AD273" s="236"/>
      <c r="AE273" s="236"/>
      <c r="AF273" s="236"/>
    </row>
    <row r="274" spans="3:32">
      <c r="E274" s="236"/>
      <c r="F274" s="236"/>
      <c r="G274" s="236"/>
      <c r="H274" s="236"/>
      <c r="I274" s="236"/>
      <c r="J274" s="236"/>
      <c r="K274" s="236"/>
      <c r="L274" s="236"/>
      <c r="M274" s="236"/>
      <c r="N274" s="236"/>
      <c r="O274" s="236"/>
      <c r="P274" s="236"/>
      <c r="Q274" s="236"/>
      <c r="R274" s="236"/>
      <c r="S274" s="236"/>
      <c r="T274" s="236"/>
      <c r="U274" s="236"/>
      <c r="V274" s="236"/>
      <c r="W274" s="236"/>
      <c r="X274" s="236"/>
      <c r="Y274" s="236"/>
      <c r="Z274" s="236"/>
      <c r="AA274" s="236"/>
      <c r="AB274" s="236"/>
      <c r="AC274" s="236"/>
      <c r="AD274" s="236"/>
      <c r="AE274" s="236"/>
      <c r="AF274" s="236"/>
    </row>
    <row r="275" spans="3:32">
      <c r="E275" s="236"/>
      <c r="F275" s="236"/>
      <c r="G275" s="236"/>
      <c r="H275" s="236"/>
      <c r="I275" s="236"/>
      <c r="J275" s="236"/>
      <c r="K275" s="236"/>
      <c r="L275" s="236"/>
      <c r="M275" s="236"/>
      <c r="N275" s="236"/>
      <c r="O275" s="236"/>
      <c r="P275" s="236"/>
      <c r="Q275" s="236"/>
      <c r="R275" s="236"/>
      <c r="S275" s="236"/>
      <c r="T275" s="236"/>
      <c r="U275" s="236"/>
      <c r="V275" s="236"/>
      <c r="W275" s="236"/>
      <c r="X275" s="236"/>
      <c r="Y275" s="236"/>
      <c r="Z275" s="236"/>
      <c r="AA275" s="236"/>
      <c r="AB275" s="236"/>
      <c r="AC275" s="236"/>
      <c r="AD275" s="236"/>
      <c r="AE275" s="236"/>
      <c r="AF275" s="236"/>
    </row>
    <row r="276" spans="3:32">
      <c r="E276" s="236"/>
      <c r="F276" s="236"/>
      <c r="G276" s="236"/>
      <c r="H276" s="236"/>
      <c r="I276" s="236"/>
      <c r="J276" s="236"/>
      <c r="K276" s="236"/>
      <c r="L276" s="236"/>
      <c r="M276" s="236"/>
      <c r="N276" s="236"/>
      <c r="O276" s="236"/>
      <c r="P276" s="236"/>
      <c r="Q276" s="236"/>
      <c r="R276" s="236"/>
      <c r="S276" s="236"/>
      <c r="T276" s="236"/>
      <c r="U276" s="236"/>
      <c r="V276" s="236"/>
      <c r="W276" s="236"/>
      <c r="X276" s="236"/>
      <c r="Y276" s="236"/>
      <c r="Z276" s="236"/>
      <c r="AA276" s="236"/>
      <c r="AB276" s="236"/>
      <c r="AC276" s="236"/>
      <c r="AD276" s="236"/>
      <c r="AE276" s="236"/>
      <c r="AF276" s="236"/>
    </row>
    <row r="277" spans="3:32" s="175" customFormat="1">
      <c r="C277"/>
      <c r="D277"/>
    </row>
    <row r="278" spans="3:32" s="175" customFormat="1">
      <c r="C278"/>
      <c r="D278"/>
    </row>
    <row r="279" spans="3:32" s="175" customFormat="1">
      <c r="C279"/>
      <c r="D279"/>
    </row>
    <row r="280" spans="3:32" s="175" customFormat="1">
      <c r="C280"/>
      <c r="D280"/>
    </row>
    <row r="281" spans="3:32" s="175" customFormat="1">
      <c r="C281" s="238"/>
      <c r="D281" s="238"/>
    </row>
    <row r="282" spans="3:32">
      <c r="E282" s="236"/>
      <c r="F282" s="236"/>
      <c r="G282" s="236"/>
      <c r="H282" s="236"/>
      <c r="I282" s="236"/>
      <c r="J282" s="236"/>
      <c r="K282" s="236"/>
      <c r="L282" s="236"/>
      <c r="M282" s="236"/>
      <c r="N282" s="236"/>
      <c r="O282" s="236"/>
      <c r="P282" s="236"/>
      <c r="Q282" s="236"/>
      <c r="R282" s="236"/>
      <c r="S282" s="236"/>
      <c r="T282" s="236"/>
      <c r="U282" s="236"/>
      <c r="V282" s="236"/>
      <c r="W282" s="236"/>
      <c r="X282" s="236"/>
      <c r="Y282" s="236"/>
      <c r="Z282" s="236"/>
      <c r="AA282" s="236"/>
      <c r="AB282" s="236"/>
      <c r="AC282" s="236"/>
      <c r="AD282" s="236"/>
      <c r="AE282" s="236"/>
    </row>
    <row r="283" spans="3:32">
      <c r="E283" s="236"/>
      <c r="F283" s="236"/>
      <c r="G283" s="236"/>
      <c r="H283" s="236"/>
      <c r="I283" s="236"/>
      <c r="J283" s="236"/>
      <c r="K283" s="236"/>
      <c r="L283" s="236"/>
      <c r="M283" s="236"/>
      <c r="N283" s="236"/>
      <c r="O283" s="236"/>
      <c r="P283" s="236"/>
      <c r="Q283" s="236"/>
      <c r="R283" s="236"/>
      <c r="S283" s="236"/>
      <c r="T283" s="236"/>
      <c r="U283" s="236"/>
      <c r="V283" s="236"/>
      <c r="W283" s="236"/>
      <c r="X283" s="236"/>
      <c r="Y283" s="236"/>
      <c r="Z283" s="236"/>
      <c r="AA283" s="236"/>
      <c r="AB283" s="236"/>
      <c r="AC283" s="236"/>
      <c r="AD283" s="236"/>
      <c r="AE283" s="236"/>
    </row>
    <row r="284" spans="3:32">
      <c r="E284" s="236"/>
      <c r="F284" s="236"/>
      <c r="G284" s="236"/>
      <c r="H284" s="236"/>
      <c r="I284" s="236"/>
      <c r="J284" s="236"/>
      <c r="K284" s="236"/>
      <c r="L284" s="236"/>
      <c r="M284" s="236"/>
      <c r="N284" s="236"/>
      <c r="O284" s="236"/>
      <c r="P284" s="236"/>
      <c r="Q284" s="236"/>
      <c r="R284" s="236"/>
      <c r="S284" s="236"/>
      <c r="T284" s="236"/>
      <c r="U284" s="236"/>
      <c r="V284" s="236"/>
      <c r="W284" s="236"/>
      <c r="X284" s="236"/>
      <c r="Y284" s="236"/>
      <c r="Z284" s="236"/>
      <c r="AA284" s="236"/>
      <c r="AB284" s="236"/>
      <c r="AC284" s="236"/>
      <c r="AD284" s="236"/>
      <c r="AE284" s="236"/>
    </row>
    <row r="285" spans="3:32">
      <c r="E285" s="236"/>
      <c r="F285" s="236"/>
      <c r="G285" s="236"/>
      <c r="H285" s="236"/>
      <c r="I285" s="236"/>
      <c r="J285" s="236"/>
      <c r="K285" s="236"/>
      <c r="L285" s="236"/>
      <c r="M285" s="236"/>
      <c r="N285" s="236"/>
      <c r="O285" s="236"/>
      <c r="P285" s="236"/>
      <c r="Q285" s="236"/>
      <c r="R285" s="236"/>
      <c r="S285" s="236"/>
      <c r="T285" s="236"/>
      <c r="U285" s="236"/>
      <c r="V285" s="236"/>
      <c r="W285" s="236"/>
      <c r="X285" s="236"/>
      <c r="Y285" s="236"/>
      <c r="Z285" s="236"/>
      <c r="AA285" s="236"/>
      <c r="AB285" s="236"/>
      <c r="AC285" s="236"/>
      <c r="AD285" s="236"/>
      <c r="AE285" s="236"/>
    </row>
    <row r="286" spans="3:32">
      <c r="E286" s="236"/>
      <c r="F286" s="236"/>
      <c r="G286" s="236"/>
      <c r="H286" s="236"/>
      <c r="I286" s="236"/>
      <c r="J286" s="236"/>
      <c r="K286" s="236"/>
      <c r="L286" s="236"/>
      <c r="M286" s="236"/>
      <c r="N286" s="236"/>
      <c r="O286" s="236"/>
      <c r="P286" s="236"/>
      <c r="Q286" s="236"/>
      <c r="R286" s="236"/>
      <c r="S286" s="236"/>
      <c r="T286" s="236"/>
      <c r="U286" s="236"/>
      <c r="V286" s="236"/>
      <c r="W286" s="236"/>
      <c r="X286" s="236"/>
      <c r="Y286" s="236"/>
      <c r="Z286" s="236"/>
      <c r="AA286" s="236"/>
      <c r="AB286" s="236"/>
      <c r="AC286" s="236"/>
      <c r="AD286" s="236"/>
      <c r="AE286" s="236"/>
    </row>
    <row r="287" spans="3:32">
      <c r="E287" s="236"/>
      <c r="F287" s="236"/>
      <c r="G287" s="236"/>
      <c r="H287" s="236"/>
      <c r="I287" s="236"/>
      <c r="J287" s="236"/>
      <c r="K287" s="236"/>
      <c r="L287" s="236"/>
      <c r="M287" s="236"/>
      <c r="N287" s="236"/>
      <c r="O287" s="236"/>
      <c r="P287" s="236"/>
      <c r="Q287" s="236"/>
      <c r="R287" s="236"/>
      <c r="S287" s="236"/>
      <c r="T287" s="236"/>
      <c r="U287" s="236"/>
      <c r="V287" s="236"/>
      <c r="W287" s="236"/>
      <c r="X287" s="236"/>
      <c r="Y287" s="236"/>
      <c r="Z287" s="236"/>
      <c r="AA287" s="236"/>
      <c r="AB287" s="236"/>
      <c r="AC287" s="236"/>
      <c r="AD287" s="236"/>
      <c r="AE287" s="236"/>
    </row>
    <row r="288" spans="3:32">
      <c r="E288" s="236"/>
      <c r="F288" s="236"/>
      <c r="G288" s="236"/>
      <c r="H288" s="236"/>
      <c r="I288" s="236"/>
      <c r="J288" s="236"/>
      <c r="K288" s="236"/>
      <c r="L288" s="236"/>
      <c r="M288" s="236"/>
      <c r="N288" s="236"/>
      <c r="O288" s="236"/>
      <c r="P288" s="236"/>
      <c r="Q288" s="236"/>
      <c r="R288" s="236"/>
      <c r="S288" s="236"/>
      <c r="T288" s="236"/>
      <c r="U288" s="236"/>
      <c r="V288" s="236"/>
      <c r="W288" s="236"/>
      <c r="X288" s="236"/>
      <c r="Y288" s="236"/>
      <c r="Z288" s="236"/>
      <c r="AA288" s="236"/>
      <c r="AB288" s="236"/>
      <c r="AC288" s="236"/>
      <c r="AD288" s="236"/>
      <c r="AE288" s="236"/>
    </row>
    <row r="289" spans="5:31">
      <c r="E289" s="236"/>
      <c r="F289" s="236"/>
      <c r="G289" s="236"/>
      <c r="H289" s="236"/>
      <c r="I289" s="236"/>
      <c r="J289" s="236"/>
      <c r="K289" s="236"/>
      <c r="L289" s="236"/>
      <c r="M289" s="236"/>
      <c r="N289" s="236"/>
      <c r="O289" s="236"/>
      <c r="P289" s="236"/>
      <c r="Q289" s="236"/>
      <c r="R289" s="236"/>
      <c r="S289" s="236"/>
      <c r="T289" s="236"/>
      <c r="U289" s="236"/>
      <c r="V289" s="236"/>
      <c r="W289" s="236"/>
      <c r="X289" s="236"/>
      <c r="Y289" s="236"/>
      <c r="Z289" s="236"/>
      <c r="AA289" s="236"/>
      <c r="AB289" s="236"/>
      <c r="AC289" s="236"/>
      <c r="AD289" s="236"/>
      <c r="AE289" s="236"/>
    </row>
    <row r="290" spans="5:31">
      <c r="E290" s="236"/>
      <c r="F290" s="236"/>
      <c r="G290" s="236"/>
      <c r="H290" s="236"/>
      <c r="I290" s="236"/>
      <c r="J290" s="236"/>
      <c r="K290" s="236"/>
      <c r="L290" s="236"/>
      <c r="M290" s="236"/>
      <c r="N290" s="236"/>
      <c r="O290" s="236"/>
      <c r="P290" s="236"/>
      <c r="Q290" s="236"/>
      <c r="R290" s="236"/>
      <c r="S290" s="236"/>
      <c r="T290" s="236"/>
      <c r="U290" s="236"/>
      <c r="V290" s="236"/>
      <c r="W290" s="236"/>
      <c r="X290" s="236"/>
      <c r="Y290" s="236"/>
      <c r="Z290" s="236"/>
      <c r="AA290" s="236"/>
      <c r="AB290" s="236"/>
      <c r="AC290" s="236"/>
      <c r="AD290" s="236"/>
      <c r="AE290" s="236"/>
    </row>
    <row r="291" spans="5:31">
      <c r="E291" s="236"/>
      <c r="F291" s="236"/>
      <c r="G291" s="236"/>
      <c r="H291" s="236"/>
      <c r="I291" s="236"/>
      <c r="J291" s="236"/>
      <c r="K291" s="236"/>
      <c r="L291" s="236"/>
      <c r="M291" s="236"/>
      <c r="N291" s="236"/>
      <c r="O291" s="236"/>
      <c r="P291" s="236"/>
      <c r="Q291" s="236"/>
      <c r="R291" s="236"/>
      <c r="S291" s="236"/>
      <c r="T291" s="236"/>
      <c r="U291" s="236"/>
      <c r="V291" s="236"/>
      <c r="W291" s="236"/>
      <c r="X291" s="236"/>
      <c r="Y291" s="236"/>
      <c r="Z291" s="236"/>
      <c r="AA291" s="236"/>
      <c r="AB291" s="236"/>
      <c r="AC291" s="236"/>
      <c r="AD291" s="236"/>
      <c r="AE291" s="236"/>
    </row>
    <row r="292" spans="5:31">
      <c r="E292" s="236"/>
      <c r="F292" s="236"/>
      <c r="G292" s="236"/>
      <c r="H292" s="236"/>
      <c r="I292" s="236"/>
      <c r="J292" s="236"/>
      <c r="K292" s="236"/>
      <c r="L292" s="236"/>
      <c r="M292" s="236"/>
      <c r="N292" s="236"/>
      <c r="O292" s="236"/>
      <c r="P292" s="236"/>
      <c r="Q292" s="236"/>
      <c r="R292" s="236"/>
      <c r="S292" s="236"/>
      <c r="T292" s="236"/>
      <c r="U292" s="236"/>
      <c r="V292" s="236"/>
      <c r="W292" s="236"/>
      <c r="X292" s="236"/>
      <c r="Y292" s="236"/>
      <c r="Z292" s="236"/>
      <c r="AA292" s="236"/>
      <c r="AB292" s="236"/>
      <c r="AC292" s="236"/>
      <c r="AD292" s="236"/>
      <c r="AE292" s="236"/>
    </row>
    <row r="293" spans="5:31">
      <c r="E293" s="236"/>
      <c r="F293" s="236"/>
      <c r="G293" s="236"/>
      <c r="H293" s="236"/>
      <c r="I293" s="236"/>
      <c r="J293" s="236"/>
      <c r="K293" s="236"/>
      <c r="L293" s="236"/>
      <c r="M293" s="236"/>
      <c r="N293" s="236"/>
      <c r="O293" s="236"/>
      <c r="P293" s="236"/>
      <c r="Q293" s="236"/>
      <c r="R293" s="236"/>
      <c r="S293" s="236"/>
      <c r="T293" s="236"/>
      <c r="U293" s="236"/>
      <c r="V293" s="236"/>
      <c r="W293" s="236"/>
      <c r="X293" s="236"/>
      <c r="Y293" s="236"/>
      <c r="Z293" s="236"/>
      <c r="AA293" s="236"/>
      <c r="AB293" s="236"/>
      <c r="AC293" s="236"/>
      <c r="AD293" s="236"/>
      <c r="AE293" s="236"/>
    </row>
    <row r="294" spans="5:31">
      <c r="E294" s="236"/>
      <c r="F294" s="236"/>
      <c r="G294" s="236"/>
      <c r="H294" s="236"/>
      <c r="I294" s="236"/>
      <c r="J294" s="236"/>
      <c r="K294" s="236"/>
      <c r="L294" s="236"/>
      <c r="M294" s="236"/>
      <c r="N294" s="236"/>
      <c r="O294" s="236"/>
      <c r="P294" s="236"/>
      <c r="Q294" s="236"/>
      <c r="R294" s="236"/>
      <c r="S294" s="236"/>
      <c r="T294" s="236"/>
      <c r="U294" s="236"/>
      <c r="V294" s="236"/>
      <c r="W294" s="236"/>
      <c r="X294" s="236"/>
      <c r="Y294" s="236"/>
      <c r="Z294" s="236"/>
      <c r="AA294" s="236"/>
      <c r="AB294" s="236"/>
      <c r="AC294" s="236"/>
      <c r="AD294" s="236"/>
      <c r="AE294" s="236"/>
    </row>
    <row r="295" spans="5:31">
      <c r="E295" s="236"/>
      <c r="F295" s="236"/>
      <c r="G295" s="236"/>
      <c r="H295" s="236"/>
      <c r="I295" s="236"/>
      <c r="J295" s="236"/>
      <c r="K295" s="236"/>
      <c r="L295" s="236"/>
      <c r="M295" s="236"/>
      <c r="N295" s="236"/>
      <c r="O295" s="236"/>
      <c r="P295" s="236"/>
      <c r="Q295" s="236"/>
      <c r="R295" s="236"/>
      <c r="S295" s="236"/>
      <c r="T295" s="236"/>
      <c r="U295" s="236"/>
      <c r="V295" s="236"/>
      <c r="W295" s="236"/>
      <c r="X295" s="236"/>
      <c r="Y295" s="236"/>
      <c r="Z295" s="236"/>
      <c r="AA295" s="236"/>
      <c r="AB295" s="236"/>
      <c r="AC295" s="236"/>
      <c r="AD295" s="236"/>
      <c r="AE295" s="236"/>
    </row>
    <row r="296" spans="5:31">
      <c r="E296" s="236"/>
      <c r="F296" s="236"/>
      <c r="G296" s="236"/>
      <c r="H296" s="236"/>
      <c r="I296" s="236"/>
      <c r="J296" s="236"/>
      <c r="K296" s="236"/>
      <c r="L296" s="236"/>
      <c r="M296" s="236"/>
      <c r="N296" s="236"/>
      <c r="O296" s="236"/>
      <c r="P296" s="236"/>
      <c r="Q296" s="236"/>
      <c r="R296" s="236"/>
      <c r="S296" s="236"/>
      <c r="T296" s="236"/>
      <c r="U296" s="236"/>
      <c r="V296" s="236"/>
      <c r="W296" s="236"/>
      <c r="X296" s="236"/>
      <c r="Y296" s="236"/>
      <c r="Z296" s="236"/>
      <c r="AA296" s="236"/>
      <c r="AB296" s="236"/>
      <c r="AC296" s="236"/>
      <c r="AD296" s="236"/>
      <c r="AE296" s="236"/>
    </row>
    <row r="297" spans="5:31">
      <c r="E297" s="236"/>
      <c r="F297" s="236"/>
      <c r="G297" s="236"/>
      <c r="H297" s="236"/>
      <c r="I297" s="236"/>
      <c r="J297" s="236"/>
      <c r="K297" s="236"/>
      <c r="L297" s="236"/>
      <c r="M297" s="236"/>
      <c r="N297" s="236"/>
      <c r="O297" s="236"/>
      <c r="P297" s="236"/>
      <c r="Q297" s="236"/>
      <c r="R297" s="236"/>
      <c r="S297" s="236"/>
      <c r="T297" s="236"/>
      <c r="U297" s="236"/>
      <c r="V297" s="236"/>
      <c r="W297" s="236"/>
      <c r="X297" s="236"/>
      <c r="Y297" s="236"/>
      <c r="Z297" s="236"/>
      <c r="AA297" s="236"/>
      <c r="AB297" s="236"/>
      <c r="AC297" s="236"/>
      <c r="AD297" s="236"/>
      <c r="AE297" s="236"/>
    </row>
    <row r="298" spans="5:31">
      <c r="E298" s="236"/>
      <c r="F298" s="236"/>
      <c r="G298" s="236"/>
      <c r="H298" s="236"/>
      <c r="I298" s="236"/>
      <c r="J298" s="236"/>
      <c r="K298" s="236"/>
      <c r="L298" s="236"/>
      <c r="M298" s="236"/>
      <c r="N298" s="236"/>
      <c r="O298" s="236"/>
      <c r="P298" s="236"/>
      <c r="Q298" s="236"/>
      <c r="R298" s="236"/>
      <c r="S298" s="236"/>
      <c r="T298" s="236"/>
      <c r="U298" s="236"/>
      <c r="V298" s="236"/>
      <c r="W298" s="236"/>
      <c r="X298" s="236"/>
      <c r="Y298" s="236"/>
      <c r="Z298" s="236"/>
      <c r="AA298" s="236"/>
      <c r="AB298" s="236"/>
      <c r="AC298" s="236"/>
      <c r="AD298" s="236"/>
      <c r="AE298" s="236"/>
    </row>
    <row r="299" spans="5:31">
      <c r="E299" s="236"/>
      <c r="F299" s="236"/>
      <c r="G299" s="236"/>
      <c r="H299" s="236"/>
      <c r="I299" s="236"/>
      <c r="J299" s="236"/>
      <c r="K299" s="236"/>
      <c r="L299" s="236"/>
      <c r="M299" s="236"/>
      <c r="N299" s="236"/>
      <c r="O299" s="236"/>
      <c r="P299" s="236"/>
      <c r="Q299" s="236"/>
      <c r="R299" s="236"/>
      <c r="S299" s="236"/>
      <c r="T299" s="236"/>
      <c r="U299" s="236"/>
      <c r="V299" s="236"/>
      <c r="W299" s="236"/>
      <c r="X299" s="236"/>
      <c r="Y299" s="236"/>
      <c r="Z299" s="236"/>
      <c r="AA299" s="236"/>
      <c r="AB299" s="236"/>
      <c r="AC299" s="236"/>
      <c r="AD299" s="236"/>
      <c r="AE299" s="236"/>
    </row>
    <row r="300" spans="5:31">
      <c r="E300" s="236"/>
      <c r="F300" s="236"/>
      <c r="G300" s="236"/>
      <c r="H300" s="236"/>
      <c r="I300" s="236"/>
      <c r="J300" s="236"/>
      <c r="K300" s="236"/>
      <c r="L300" s="236"/>
      <c r="M300" s="236"/>
      <c r="N300" s="236"/>
      <c r="O300" s="236"/>
      <c r="P300" s="236"/>
      <c r="Q300" s="236"/>
      <c r="R300" s="236"/>
      <c r="S300" s="236"/>
      <c r="T300" s="236"/>
      <c r="U300" s="236"/>
      <c r="V300" s="236"/>
      <c r="W300" s="236"/>
      <c r="X300" s="236"/>
      <c r="Y300" s="236"/>
      <c r="Z300" s="236"/>
      <c r="AA300" s="236"/>
      <c r="AB300" s="236"/>
      <c r="AC300" s="236"/>
      <c r="AD300" s="236"/>
      <c r="AE300" s="236"/>
    </row>
    <row r="301" spans="5:31">
      <c r="E301" s="236"/>
      <c r="F301" s="236"/>
      <c r="G301" s="236"/>
      <c r="H301" s="236"/>
      <c r="I301" s="236"/>
      <c r="J301" s="236"/>
      <c r="K301" s="236"/>
      <c r="L301" s="236"/>
      <c r="M301" s="236"/>
      <c r="N301" s="236"/>
      <c r="O301" s="236"/>
      <c r="P301" s="236"/>
      <c r="Q301" s="236"/>
      <c r="R301" s="236"/>
      <c r="S301" s="236"/>
      <c r="T301" s="236"/>
      <c r="U301" s="236"/>
      <c r="V301" s="236"/>
      <c r="W301" s="236"/>
      <c r="X301" s="236"/>
      <c r="Y301" s="236"/>
      <c r="Z301" s="236"/>
      <c r="AA301" s="236"/>
      <c r="AB301" s="236"/>
      <c r="AC301" s="236"/>
      <c r="AD301" s="236"/>
      <c r="AE301" s="236"/>
    </row>
    <row r="302" spans="5:31">
      <c r="E302" s="236"/>
      <c r="F302" s="236"/>
      <c r="G302" s="236"/>
      <c r="H302" s="236"/>
      <c r="I302" s="236"/>
      <c r="J302" s="236"/>
      <c r="K302" s="236"/>
      <c r="L302" s="236"/>
      <c r="M302" s="236"/>
      <c r="N302" s="236"/>
      <c r="O302" s="236"/>
      <c r="P302" s="236"/>
      <c r="Q302" s="236"/>
      <c r="R302" s="236"/>
      <c r="S302" s="236"/>
      <c r="T302" s="236"/>
      <c r="U302" s="236"/>
      <c r="V302" s="236"/>
      <c r="W302" s="236"/>
      <c r="X302" s="236"/>
      <c r="Y302" s="236"/>
      <c r="Z302" s="236"/>
      <c r="AA302" s="236"/>
      <c r="AB302" s="236"/>
      <c r="AC302" s="236"/>
      <c r="AD302" s="236"/>
      <c r="AE302" s="236"/>
    </row>
    <row r="303" spans="5:31">
      <c r="E303" s="236"/>
      <c r="F303" s="236"/>
      <c r="G303" s="236"/>
      <c r="H303" s="236"/>
      <c r="I303" s="236"/>
      <c r="J303" s="236"/>
      <c r="K303" s="236"/>
      <c r="L303" s="236"/>
      <c r="M303" s="236"/>
      <c r="N303" s="236"/>
      <c r="O303" s="236"/>
      <c r="P303" s="236"/>
      <c r="Q303" s="236"/>
      <c r="R303" s="236"/>
      <c r="S303" s="236"/>
      <c r="T303" s="236"/>
      <c r="U303" s="236"/>
      <c r="V303" s="236"/>
      <c r="W303" s="236"/>
      <c r="X303" s="236"/>
      <c r="Y303" s="236"/>
      <c r="Z303" s="236"/>
      <c r="AA303" s="236"/>
      <c r="AB303" s="236"/>
      <c r="AC303" s="236"/>
      <c r="AD303" s="236"/>
      <c r="AE303" s="236"/>
    </row>
    <row r="304" spans="5:31">
      <c r="E304" s="236"/>
      <c r="F304" s="236"/>
      <c r="G304" s="236"/>
      <c r="H304" s="236"/>
      <c r="I304" s="236"/>
      <c r="J304" s="236"/>
      <c r="K304" s="236"/>
      <c r="L304" s="236"/>
      <c r="M304" s="236"/>
      <c r="N304" s="236"/>
      <c r="O304" s="236"/>
      <c r="P304" s="236"/>
      <c r="Q304" s="236"/>
      <c r="R304" s="236"/>
      <c r="S304" s="236"/>
      <c r="T304" s="236"/>
      <c r="U304" s="236"/>
      <c r="V304" s="236"/>
      <c r="W304" s="236"/>
      <c r="X304" s="236"/>
      <c r="Y304" s="236"/>
      <c r="Z304" s="236"/>
      <c r="AA304" s="236"/>
      <c r="AB304" s="236"/>
      <c r="AC304" s="236"/>
      <c r="AD304" s="236"/>
      <c r="AE304" s="236"/>
    </row>
    <row r="305" spans="1:32">
      <c r="E305" s="236"/>
      <c r="F305" s="236"/>
      <c r="G305" s="236"/>
      <c r="H305" s="236"/>
      <c r="I305" s="236"/>
      <c r="J305" s="236"/>
      <c r="K305" s="236"/>
      <c r="L305" s="236"/>
      <c r="M305" s="236"/>
      <c r="N305" s="236"/>
      <c r="O305" s="236"/>
      <c r="P305" s="236"/>
      <c r="Q305" s="236"/>
      <c r="R305" s="236"/>
      <c r="S305" s="236"/>
      <c r="T305" s="236"/>
      <c r="U305" s="236"/>
      <c r="V305" s="236"/>
      <c r="W305" s="236"/>
      <c r="X305" s="236"/>
      <c r="Y305" s="236"/>
      <c r="Z305" s="236"/>
      <c r="AA305" s="236"/>
      <c r="AB305" s="236"/>
      <c r="AC305" s="236"/>
      <c r="AD305" s="236"/>
      <c r="AE305" s="236"/>
    </row>
    <row r="306" spans="1:32">
      <c r="E306" s="236"/>
      <c r="F306" s="236"/>
      <c r="G306" s="236"/>
      <c r="H306" s="236"/>
      <c r="I306" s="236"/>
      <c r="J306" s="236"/>
      <c r="K306" s="236"/>
      <c r="L306" s="236"/>
      <c r="M306" s="236"/>
      <c r="N306" s="236"/>
      <c r="O306" s="236"/>
      <c r="P306" s="236"/>
      <c r="Q306" s="236"/>
      <c r="R306" s="236"/>
      <c r="S306" s="236"/>
      <c r="T306" s="236"/>
      <c r="U306" s="236"/>
      <c r="V306" s="236"/>
      <c r="W306" s="236"/>
      <c r="X306" s="236"/>
      <c r="Y306" s="236"/>
      <c r="Z306" s="236"/>
      <c r="AA306" s="236"/>
      <c r="AB306" s="236"/>
      <c r="AC306" s="236"/>
      <c r="AD306" s="236"/>
      <c r="AE306" s="236"/>
    </row>
    <row r="307" spans="1:32">
      <c r="E307" s="236"/>
      <c r="F307" s="236"/>
      <c r="G307" s="236"/>
      <c r="H307" s="236"/>
      <c r="I307" s="236"/>
      <c r="J307" s="236"/>
      <c r="K307" s="236"/>
      <c r="L307" s="236"/>
      <c r="M307" s="236"/>
      <c r="N307" s="236"/>
      <c r="O307" s="236"/>
      <c r="P307" s="236"/>
      <c r="Q307" s="236"/>
      <c r="R307" s="236"/>
      <c r="S307" s="236"/>
      <c r="T307" s="236"/>
      <c r="U307" s="236"/>
      <c r="V307" s="236"/>
      <c r="W307" s="236"/>
      <c r="X307" s="236"/>
      <c r="Y307" s="236"/>
      <c r="Z307" s="236"/>
      <c r="AA307" s="236"/>
      <c r="AB307" s="236"/>
      <c r="AC307" s="236"/>
      <c r="AD307" s="236"/>
      <c r="AE307" s="236"/>
    </row>
    <row r="308" spans="1:32">
      <c r="E308" s="236"/>
      <c r="F308" s="236"/>
      <c r="G308" s="236"/>
      <c r="H308" s="236"/>
      <c r="I308" s="236"/>
      <c r="J308" s="236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</row>
    <row r="309" spans="1:32">
      <c r="E309" s="236"/>
      <c r="F309" s="236"/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6"/>
      <c r="Z309" s="236"/>
      <c r="AA309" s="236"/>
      <c r="AB309" s="236"/>
      <c r="AC309" s="236"/>
      <c r="AD309" s="236"/>
      <c r="AE309" s="236"/>
    </row>
    <row r="310" spans="1:32">
      <c r="E310" s="236"/>
      <c r="F310" s="236"/>
      <c r="G310" s="236"/>
      <c r="H310" s="236"/>
      <c r="I310" s="236"/>
      <c r="J310" s="236"/>
      <c r="K310" s="236"/>
      <c r="L310" s="236"/>
      <c r="M310" s="236"/>
      <c r="N310" s="236"/>
      <c r="O310" s="236"/>
      <c r="P310" s="236"/>
      <c r="Q310" s="236"/>
      <c r="R310" s="236"/>
      <c r="S310" s="236"/>
      <c r="T310" s="236"/>
      <c r="U310" s="236"/>
      <c r="V310" s="236"/>
      <c r="W310" s="236"/>
      <c r="X310" s="236"/>
      <c r="Y310" s="236"/>
      <c r="Z310" s="236"/>
      <c r="AA310" s="236"/>
      <c r="AB310" s="236"/>
      <c r="AC310" s="236"/>
      <c r="AD310" s="236"/>
      <c r="AE310" s="236"/>
    </row>
    <row r="311" spans="1:32">
      <c r="E311" s="236"/>
      <c r="F311" s="236"/>
      <c r="G311" s="236"/>
      <c r="H311" s="236"/>
      <c r="I311" s="236"/>
      <c r="J311" s="236"/>
      <c r="K311" s="236"/>
      <c r="L311" s="236"/>
      <c r="M311" s="236"/>
      <c r="N311" s="236"/>
      <c r="O311" s="236"/>
      <c r="P311" s="236"/>
      <c r="Q311" s="236"/>
      <c r="R311" s="236"/>
      <c r="S311" s="236"/>
      <c r="T311" s="236"/>
      <c r="U311" s="236"/>
      <c r="V311" s="236"/>
      <c r="W311" s="236"/>
      <c r="X311" s="236"/>
      <c r="Y311" s="236"/>
      <c r="Z311" s="236"/>
      <c r="AA311" s="236"/>
      <c r="AB311" s="236"/>
      <c r="AC311" s="236"/>
      <c r="AD311" s="236"/>
      <c r="AE311" s="236"/>
    </row>
    <row r="312" spans="1:32" s="175" customFormat="1">
      <c r="C312"/>
      <c r="D312"/>
    </row>
    <row r="313" spans="1:32" s="175" customFormat="1">
      <c r="C313"/>
      <c r="D313"/>
    </row>
    <row r="314" spans="1:32" s="175" customFormat="1">
      <c r="C314"/>
      <c r="D314"/>
    </row>
    <row r="315" spans="1:32" s="175" customFormat="1">
      <c r="C315"/>
      <c r="D315"/>
    </row>
    <row r="316" spans="1:32" s="175" customFormat="1">
      <c r="C316" s="238"/>
      <c r="D316" s="238"/>
    </row>
    <row r="319" spans="1:32">
      <c r="A319" s="175"/>
      <c r="X319" s="236"/>
      <c r="Y319" s="236"/>
      <c r="AF319" s="236"/>
    </row>
    <row r="320" spans="1:32">
      <c r="A320" s="175"/>
      <c r="X320" s="236"/>
      <c r="Y320" s="236"/>
      <c r="AF320" s="236"/>
    </row>
    <row r="321" spans="1:32">
      <c r="A321" s="175"/>
      <c r="X321" s="236"/>
      <c r="Y321" s="236"/>
      <c r="AF321" s="236"/>
    </row>
    <row r="322" spans="1:32">
      <c r="A322" s="175"/>
      <c r="X322" s="236"/>
      <c r="Y322" s="236"/>
      <c r="AF322" s="236"/>
    </row>
    <row r="323" spans="1:32">
      <c r="A323" s="175"/>
      <c r="X323" s="236"/>
      <c r="Y323" s="236"/>
      <c r="AF323" s="236"/>
    </row>
    <row r="324" spans="1:32">
      <c r="A324" s="175"/>
      <c r="X324" s="236"/>
      <c r="Y324" s="236"/>
      <c r="AF324" s="239"/>
    </row>
    <row r="325" spans="1:32">
      <c r="A325" s="175"/>
      <c r="X325" s="236"/>
      <c r="Y325" s="236"/>
      <c r="AF325" s="239"/>
    </row>
    <row r="326" spans="1:32">
      <c r="A326" s="175"/>
      <c r="X326" s="236"/>
      <c r="Y326" s="236"/>
      <c r="AF326" s="239"/>
    </row>
    <row r="327" spans="1:32">
      <c r="A327" s="175"/>
      <c r="X327" s="236"/>
      <c r="Y327" s="236"/>
      <c r="AF327" s="239"/>
    </row>
    <row r="328" spans="1:32">
      <c r="A328" s="175"/>
      <c r="X328" s="236"/>
      <c r="Y328" s="236"/>
      <c r="AF328" s="239"/>
    </row>
    <row r="329" spans="1:32">
      <c r="A329" s="175"/>
      <c r="X329" s="236"/>
      <c r="Y329" s="236"/>
      <c r="AF329" s="239"/>
    </row>
    <row r="330" spans="1:32">
      <c r="A330" s="175"/>
      <c r="X330" s="236"/>
      <c r="Y330" s="236"/>
      <c r="AF330" s="239"/>
    </row>
    <row r="331" spans="1:32">
      <c r="A331" s="175"/>
      <c r="X331" s="236"/>
      <c r="Y331" s="236"/>
      <c r="AF331" s="239"/>
    </row>
    <row r="332" spans="1:32">
      <c r="A332" s="175"/>
      <c r="X332" s="236"/>
      <c r="Y332" s="236"/>
      <c r="AF332" s="239"/>
    </row>
    <row r="333" spans="1:32">
      <c r="A333" s="175"/>
      <c r="X333" s="236"/>
      <c r="Y333" s="236"/>
      <c r="AF333" s="239"/>
    </row>
    <row r="334" spans="1:32">
      <c r="A334" s="175"/>
      <c r="X334" s="236"/>
      <c r="Y334" s="236"/>
      <c r="AF334" s="239"/>
    </row>
    <row r="335" spans="1:32">
      <c r="X335" s="236"/>
      <c r="Y335" s="236"/>
    </row>
    <row r="336" spans="1:32">
      <c r="X336" s="236"/>
      <c r="Y336" s="236"/>
    </row>
    <row r="337" spans="24:25">
      <c r="X337" s="236"/>
      <c r="Y337" s="236"/>
    </row>
    <row r="338" spans="24:25">
      <c r="X338" s="236"/>
      <c r="Y338" s="236"/>
    </row>
    <row r="339" spans="24:25">
      <c r="X339" s="236"/>
      <c r="Y339" s="236"/>
    </row>
    <row r="340" spans="24:25">
      <c r="X340" s="236"/>
      <c r="Y340" s="236"/>
    </row>
    <row r="341" spans="24:25">
      <c r="X341" s="236"/>
      <c r="Y341" s="236"/>
    </row>
    <row r="342" spans="24:25">
      <c r="X342" s="236"/>
      <c r="Y342" s="236"/>
    </row>
    <row r="343" spans="24:25">
      <c r="X343" s="236"/>
      <c r="Y343" s="236"/>
    </row>
    <row r="344" spans="24:25">
      <c r="X344" s="236"/>
      <c r="Y344" s="236"/>
    </row>
    <row r="345" spans="24:25">
      <c r="X345" s="236"/>
      <c r="Y345" s="236"/>
    </row>
    <row r="346" spans="24:25">
      <c r="X346" s="236"/>
      <c r="Y346" s="236"/>
    </row>
    <row r="347" spans="24:25">
      <c r="X347" s="236"/>
      <c r="Y347" s="236"/>
    </row>
    <row r="348" spans="24:25">
      <c r="X348" s="236"/>
      <c r="Y348" s="236"/>
    </row>
    <row r="349" spans="24:25">
      <c r="X349" s="236"/>
      <c r="Y349" s="236"/>
    </row>
    <row r="350" spans="24:25">
      <c r="X350" s="236"/>
      <c r="Y350" s="236"/>
    </row>
    <row r="351" spans="24:25">
      <c r="X351" s="236"/>
      <c r="Y351" s="236"/>
    </row>
    <row r="352" spans="24:25">
      <c r="X352" s="236"/>
      <c r="Y352" s="236"/>
    </row>
    <row r="353" spans="3:25">
      <c r="C353" s="238"/>
      <c r="D353" s="238"/>
      <c r="X353" s="236"/>
      <c r="Y353" s="236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zoomScaleNormal="100" workbookViewId="0">
      <selection activeCell="E43" sqref="E43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41" t="s">
        <v>210</v>
      </c>
      <c r="C1" s="242"/>
      <c r="D1" s="155"/>
    </row>
    <row r="2" spans="1:4">
      <c r="A2" s="51"/>
      <c r="B2" s="241" t="s">
        <v>235</v>
      </c>
      <c r="C2" s="242"/>
      <c r="D2" s="155"/>
    </row>
    <row r="3" spans="1:4">
      <c r="A3" s="51"/>
      <c r="B3" s="241" t="s">
        <v>236</v>
      </c>
      <c r="C3" s="242"/>
      <c r="D3" s="155"/>
    </row>
    <row r="4" spans="1:4">
      <c r="A4" s="51"/>
      <c r="B4" s="241" t="s">
        <v>212</v>
      </c>
      <c r="C4" s="242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352</v>
      </c>
      <c r="E29" s="51" t="s">
        <v>325</v>
      </c>
    </row>
    <row r="30" spans="1:5">
      <c r="A30" s="51" t="s">
        <v>41</v>
      </c>
      <c r="E30" s="51" t="s">
        <v>326</v>
      </c>
    </row>
    <row r="31" spans="1:5">
      <c r="A31" s="115" t="s">
        <v>221</v>
      </c>
      <c r="C31" s="115" t="s">
        <v>327</v>
      </c>
      <c r="E31" s="115" t="s">
        <v>328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329</v>
      </c>
      <c r="C33" s="179">
        <v>1.642E-3</v>
      </c>
      <c r="E33" s="206">
        <f>ROUND(E32*C33,6)</f>
        <v>1.642E-3</v>
      </c>
    </row>
    <row r="34" spans="1:5">
      <c r="A34" s="51">
        <f t="shared" ref="A34:A41" si="0">+A33+1</f>
        <v>3</v>
      </c>
      <c r="B34" s="4" t="s">
        <v>330</v>
      </c>
      <c r="E34" s="179">
        <f>+E32-E33</f>
        <v>0.99835799999999997</v>
      </c>
    </row>
    <row r="35" spans="1:5">
      <c r="A35" s="51">
        <f t="shared" si="0"/>
        <v>4</v>
      </c>
      <c r="B35" s="4" t="s">
        <v>331</v>
      </c>
      <c r="C35" s="179">
        <v>0</v>
      </c>
      <c r="E35" s="206">
        <f>ROUND(E34*C35,6)</f>
        <v>0</v>
      </c>
    </row>
    <row r="36" spans="1:5">
      <c r="A36" s="51">
        <f t="shared" si="0"/>
        <v>5</v>
      </c>
      <c r="B36" s="4" t="s">
        <v>332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333</v>
      </c>
      <c r="C37" s="179">
        <v>3.3529999999999997E-2</v>
      </c>
      <c r="E37" s="206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334</v>
      </c>
      <c r="C39" s="179">
        <v>0.21</v>
      </c>
      <c r="E39" s="206">
        <f>ROUND(E38*C39,6)</f>
        <v>0.202625</v>
      </c>
    </row>
    <row r="40" spans="1:5">
      <c r="A40" s="51">
        <f t="shared" si="0"/>
        <v>9</v>
      </c>
      <c r="B40" s="4" t="s">
        <v>247</v>
      </c>
      <c r="E40" s="207">
        <f>E38-E39</f>
        <v>0.76225799999999988</v>
      </c>
    </row>
    <row r="41" spans="1:5" ht="13.5" thickBot="1">
      <c r="A41" s="51">
        <f t="shared" si="0"/>
        <v>10</v>
      </c>
      <c r="B41" s="4" t="s">
        <v>335</v>
      </c>
      <c r="E41" s="208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5" zoomScaleNormal="100" workbookViewId="0">
      <selection activeCell="G10" sqref="G10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3"/>
      <c r="B5" s="244"/>
      <c r="C5" s="244"/>
      <c r="D5" s="244"/>
      <c r="E5" s="244"/>
      <c r="F5" s="244"/>
      <c r="G5" s="244"/>
      <c r="H5" s="244"/>
      <c r="I5" s="244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topLeftCell="A7" zoomScaleNormal="100" workbookViewId="0">
      <selection activeCell="H27" sqref="H27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5" t="s">
        <v>210</v>
      </c>
      <c r="B2" s="245"/>
      <c r="C2" s="245"/>
      <c r="D2" s="245"/>
    </row>
    <row r="3" spans="1:12">
      <c r="A3" s="245" t="s">
        <v>211</v>
      </c>
      <c r="B3" s="245"/>
      <c r="C3" s="245"/>
      <c r="D3" s="245"/>
      <c r="E3" s="240"/>
      <c r="F3" s="240"/>
      <c r="G3" s="240"/>
      <c r="H3" s="240"/>
      <c r="I3" s="240"/>
      <c r="J3" s="240"/>
      <c r="K3" s="240"/>
      <c r="L3" s="240"/>
    </row>
    <row r="4" spans="1:12">
      <c r="A4" s="245" t="s">
        <v>212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09" t="s">
        <v>336</v>
      </c>
      <c r="B22" s="210"/>
      <c r="C22" s="210"/>
      <c r="D22" s="210"/>
      <c r="E22" s="210"/>
      <c r="F22" s="210"/>
    </row>
    <row r="23" spans="1:8" ht="16.5">
      <c r="A23" s="209" t="s">
        <v>337</v>
      </c>
      <c r="B23" s="211"/>
      <c r="C23" s="211"/>
      <c r="D23" s="211"/>
      <c r="E23" s="211"/>
      <c r="F23" s="211"/>
    </row>
    <row r="24" spans="1:8" ht="16.5">
      <c r="A24" s="209" t="s">
        <v>338</v>
      </c>
      <c r="B24" s="212"/>
      <c r="C24" s="212"/>
      <c r="D24" s="212"/>
      <c r="E24" s="212"/>
      <c r="F24" s="212"/>
    </row>
    <row r="25" spans="1:8" ht="16.5">
      <c r="A25" s="213"/>
      <c r="B25" s="214"/>
      <c r="C25" s="214"/>
      <c r="D25" s="215"/>
      <c r="E25" s="214"/>
      <c r="F25" s="214"/>
    </row>
    <row r="26" spans="1:8" ht="16.5">
      <c r="A26" s="212"/>
      <c r="B26" s="212"/>
      <c r="C26" s="212"/>
      <c r="D26" s="212"/>
      <c r="E26" s="212"/>
      <c r="F26" s="214"/>
    </row>
    <row r="27" spans="1:8" ht="16.5">
      <c r="A27" s="212"/>
      <c r="B27" s="212"/>
      <c r="C27" s="212"/>
      <c r="D27" s="212"/>
      <c r="E27" s="214"/>
      <c r="F27" s="214" t="s">
        <v>175</v>
      </c>
    </row>
    <row r="28" spans="1:8" ht="16.5">
      <c r="A28" s="214"/>
      <c r="B28" s="212"/>
      <c r="C28" s="214" t="s">
        <v>339</v>
      </c>
      <c r="D28" s="214" t="s">
        <v>340</v>
      </c>
      <c r="E28" s="214" t="s">
        <v>341</v>
      </c>
      <c r="F28" s="214" t="s">
        <v>342</v>
      </c>
    </row>
    <row r="29" spans="1:8" ht="16.5">
      <c r="A29" s="216"/>
      <c r="B29" s="216" t="s">
        <v>43</v>
      </c>
      <c r="C29" s="217" t="s">
        <v>343</v>
      </c>
      <c r="D29" s="217" t="s">
        <v>4</v>
      </c>
      <c r="E29" s="217" t="s">
        <v>179</v>
      </c>
      <c r="F29" s="217" t="s">
        <v>0</v>
      </c>
    </row>
    <row r="30" spans="1:8" ht="16.5">
      <c r="A30" s="214"/>
      <c r="B30" s="212"/>
      <c r="C30" s="218" t="s">
        <v>344</v>
      </c>
      <c r="D30" s="214" t="s">
        <v>345</v>
      </c>
      <c r="E30" s="214" t="s">
        <v>345</v>
      </c>
      <c r="F30" s="214" t="s">
        <v>345</v>
      </c>
    </row>
    <row r="31" spans="1:8" ht="16.5">
      <c r="A31" s="214"/>
      <c r="B31" s="212" t="s">
        <v>229</v>
      </c>
      <c r="C31" s="219">
        <v>166679.05163999999</v>
      </c>
      <c r="D31" s="220">
        <v>1.323782990293202E-2</v>
      </c>
      <c r="E31" s="221">
        <v>5.7267152353394676E-2</v>
      </c>
      <c r="F31" s="220">
        <v>7.5809282187953191E-4</v>
      </c>
    </row>
    <row r="32" spans="1:8" ht="16.5">
      <c r="A32" s="214"/>
      <c r="B32" s="212" t="s">
        <v>346</v>
      </c>
      <c r="C32" s="219">
        <v>6269464.2536400007</v>
      </c>
      <c r="D32" s="220">
        <v>0.49792760731236296</v>
      </c>
      <c r="E32" s="221">
        <v>4.9714869475391985E-2</v>
      </c>
      <c r="F32" s="220">
        <v>2.4754406005728362E-2</v>
      </c>
    </row>
    <row r="33" spans="1:6" ht="16.5">
      <c r="A33" s="214"/>
      <c r="B33" s="212" t="s">
        <v>347</v>
      </c>
      <c r="C33" s="219">
        <v>0</v>
      </c>
      <c r="D33" s="220">
        <v>0</v>
      </c>
      <c r="E33" s="222"/>
      <c r="F33" s="220">
        <v>0</v>
      </c>
    </row>
    <row r="34" spans="1:6" ht="16.5">
      <c r="A34" s="214"/>
      <c r="B34" s="212" t="s">
        <v>348</v>
      </c>
      <c r="C34" s="223">
        <v>6154972.6753749996</v>
      </c>
      <c r="D34" s="224">
        <v>0.48883456278470505</v>
      </c>
      <c r="E34" s="221">
        <v>9.2499999999999999E-2</v>
      </c>
      <c r="F34" s="220">
        <v>4.5217197057585215E-2</v>
      </c>
    </row>
    <row r="35" spans="1:6" ht="16.5">
      <c r="A35" s="214"/>
      <c r="B35" s="212"/>
      <c r="C35" s="225" t="s">
        <v>349</v>
      </c>
      <c r="D35" s="226"/>
      <c r="E35" s="227"/>
      <c r="F35" s="228" t="s">
        <v>349</v>
      </c>
    </row>
    <row r="36" spans="1:6" ht="16.5">
      <c r="A36" s="214"/>
      <c r="B36" s="212" t="s">
        <v>4</v>
      </c>
      <c r="C36" s="229">
        <v>12591115.980655</v>
      </c>
      <c r="D36" s="230">
        <v>1</v>
      </c>
      <c r="E36" s="227"/>
      <c r="F36" s="230">
        <v>7.0729695885193108E-2</v>
      </c>
    </row>
    <row r="37" spans="1:6" ht="16.5">
      <c r="A37" s="214"/>
      <c r="B37" s="212"/>
      <c r="C37" s="214" t="s">
        <v>349</v>
      </c>
      <c r="D37" s="212"/>
      <c r="E37" s="231"/>
      <c r="F37" s="212"/>
    </row>
    <row r="38" spans="1:6" ht="16.5">
      <c r="A38" s="212"/>
      <c r="B38" s="232"/>
      <c r="C38" s="212"/>
      <c r="D38" s="233"/>
      <c r="E38" s="212"/>
      <c r="F38" s="232"/>
    </row>
    <row r="39" spans="1:6" ht="16.5">
      <c r="A39" s="212"/>
      <c r="B39" s="212" t="s">
        <v>350</v>
      </c>
      <c r="C39" s="212"/>
      <c r="D39" s="233"/>
      <c r="E39" s="212"/>
      <c r="F39" s="232"/>
    </row>
    <row r="40" spans="1:6" ht="16.5">
      <c r="A40" s="232"/>
      <c r="B40" s="212" t="s">
        <v>351</v>
      </c>
      <c r="C40" s="232"/>
      <c r="D40" s="232"/>
      <c r="E40" s="232"/>
      <c r="F40" s="23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SC 2-11 Confidential Attachment 2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D10" sqref="D10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6" t="s">
        <v>315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28917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164217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164217</v>
      </c>
      <c r="C6" s="91">
        <f t="shared" ref="C6:N6" si="14">B6+C4</f>
        <v>164217</v>
      </c>
      <c r="D6" s="91">
        <f t="shared" si="14"/>
        <v>193134</v>
      </c>
      <c r="E6" s="91">
        <f t="shared" si="14"/>
        <v>193134</v>
      </c>
      <c r="F6" s="91">
        <f t="shared" si="14"/>
        <v>193134</v>
      </c>
      <c r="G6" s="91">
        <f t="shared" si="14"/>
        <v>193134</v>
      </c>
      <c r="H6" s="91">
        <f t="shared" si="14"/>
        <v>193134</v>
      </c>
      <c r="I6" s="91">
        <f t="shared" si="14"/>
        <v>193134</v>
      </c>
      <c r="J6" s="91">
        <f t="shared" si="14"/>
        <v>193134</v>
      </c>
      <c r="K6" s="91">
        <f t="shared" si="14"/>
        <v>193134</v>
      </c>
      <c r="L6" s="91">
        <f t="shared" si="14"/>
        <v>193134</v>
      </c>
      <c r="M6" s="91">
        <f t="shared" si="14"/>
        <v>193134</v>
      </c>
      <c r="N6" s="91">
        <f t="shared" si="14"/>
        <v>193134</v>
      </c>
      <c r="O6" s="91">
        <f t="shared" ref="O6" si="15">N6+O4</f>
        <v>193134</v>
      </c>
      <c r="P6" s="91">
        <f t="shared" ref="P6" si="16">O6+P4</f>
        <v>193134</v>
      </c>
      <c r="Q6" s="91">
        <f t="shared" ref="Q6" si="17">P6+Q4</f>
        <v>193134</v>
      </c>
      <c r="R6" s="91">
        <f t="shared" ref="R6" si="18">Q6+R4</f>
        <v>193134</v>
      </c>
      <c r="S6" s="91">
        <f t="shared" ref="S6" si="19">R6+S4</f>
        <v>193134</v>
      </c>
      <c r="T6" s="91">
        <f t="shared" ref="T6" si="20">S6+T4</f>
        <v>193134</v>
      </c>
      <c r="U6" s="91">
        <f t="shared" ref="U6" si="21">T6+U4</f>
        <v>193134</v>
      </c>
      <c r="V6" s="91">
        <f t="shared" ref="V6" si="22">U6+V4</f>
        <v>193134</v>
      </c>
      <c r="W6" s="91">
        <f t="shared" ref="W6" si="23">V6+W4</f>
        <v>193134</v>
      </c>
      <c r="X6" s="91">
        <f t="shared" ref="X6" si="24">W6+X4</f>
        <v>193134</v>
      </c>
      <c r="Y6" s="91">
        <f t="shared" ref="Y6" si="25">X6+Y4</f>
        <v>193134</v>
      </c>
      <c r="Z6" s="91">
        <f t="shared" ref="Z6" si="26">Y6+Z4</f>
        <v>193134</v>
      </c>
      <c r="AA6" s="91">
        <f t="shared" ref="AA6" si="27">Z6+AA4</f>
        <v>193134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164217</v>
      </c>
      <c r="D10" s="66">
        <f t="shared" ref="D10:I10" si="28">D6</f>
        <v>193134</v>
      </c>
      <c r="E10" s="66">
        <f t="shared" si="28"/>
        <v>193134</v>
      </c>
      <c r="F10" s="66">
        <f t="shared" si="28"/>
        <v>193134</v>
      </c>
      <c r="G10" s="66">
        <f t="shared" si="28"/>
        <v>193134</v>
      </c>
      <c r="H10" s="66">
        <f t="shared" si="28"/>
        <v>193134</v>
      </c>
      <c r="I10" s="66">
        <f t="shared" si="28"/>
        <v>193134</v>
      </c>
      <c r="J10" s="66">
        <f t="shared" ref="J10:N10" si="29">J6</f>
        <v>193134</v>
      </c>
      <c r="K10" s="66">
        <f t="shared" si="29"/>
        <v>193134</v>
      </c>
      <c r="L10" s="66">
        <f t="shared" si="29"/>
        <v>193134</v>
      </c>
      <c r="M10" s="66">
        <f t="shared" si="29"/>
        <v>193134</v>
      </c>
      <c r="N10" s="66">
        <f t="shared" si="29"/>
        <v>193134</v>
      </c>
      <c r="O10" s="66">
        <f t="shared" ref="O10:AA10" si="30">O6</f>
        <v>193134</v>
      </c>
      <c r="P10" s="66">
        <f t="shared" si="30"/>
        <v>193134</v>
      </c>
      <c r="Q10" s="66">
        <f t="shared" si="30"/>
        <v>193134</v>
      </c>
      <c r="R10" s="66">
        <f t="shared" si="30"/>
        <v>193134</v>
      </c>
      <c r="S10" s="66">
        <f t="shared" si="30"/>
        <v>193134</v>
      </c>
      <c r="T10" s="66">
        <f t="shared" si="30"/>
        <v>193134</v>
      </c>
      <c r="U10" s="66">
        <f t="shared" si="30"/>
        <v>193134</v>
      </c>
      <c r="V10" s="66">
        <f t="shared" si="30"/>
        <v>193134</v>
      </c>
      <c r="W10" s="66">
        <f t="shared" si="30"/>
        <v>193134</v>
      </c>
      <c r="X10" s="66">
        <f t="shared" si="30"/>
        <v>193134</v>
      </c>
      <c r="Y10" s="66">
        <f t="shared" si="30"/>
        <v>193134</v>
      </c>
      <c r="Z10" s="66">
        <f t="shared" si="30"/>
        <v>193134</v>
      </c>
      <c r="AA10" s="66">
        <f t="shared" si="30"/>
        <v>193134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6568.68</v>
      </c>
      <c r="D11" s="66">
        <f t="shared" ref="D11:I11" si="31">D20</f>
        <v>14294.04</v>
      </c>
      <c r="E11" s="66">
        <f t="shared" si="31"/>
        <v>22019.4</v>
      </c>
      <c r="F11" s="66">
        <f t="shared" si="31"/>
        <v>29744.760000000002</v>
      </c>
      <c r="G11" s="66">
        <f t="shared" si="31"/>
        <v>37470.120000000003</v>
      </c>
      <c r="H11" s="66">
        <f t="shared" si="31"/>
        <v>45195.48</v>
      </c>
      <c r="I11" s="66">
        <f t="shared" si="31"/>
        <v>52920.840000000004</v>
      </c>
      <c r="J11" s="66">
        <f t="shared" ref="J11:N11" si="32">J20</f>
        <v>60646.200000000004</v>
      </c>
      <c r="K11" s="66">
        <f t="shared" si="32"/>
        <v>68371.56</v>
      </c>
      <c r="L11" s="66">
        <f t="shared" si="32"/>
        <v>76096.92</v>
      </c>
      <c r="M11" s="66">
        <f t="shared" si="32"/>
        <v>83822.28</v>
      </c>
      <c r="N11" s="66">
        <f t="shared" si="32"/>
        <v>91547.64</v>
      </c>
      <c r="O11" s="66">
        <f t="shared" ref="O11:AA11" si="33">O20</f>
        <v>99273</v>
      </c>
      <c r="P11" s="66">
        <f t="shared" si="33"/>
        <v>106998.36</v>
      </c>
      <c r="Q11" s="66">
        <f t="shared" si="33"/>
        <v>114723.72</v>
      </c>
      <c r="R11" s="66">
        <f t="shared" si="33"/>
        <v>122449.08</v>
      </c>
      <c r="S11" s="66">
        <f t="shared" si="33"/>
        <v>130174.44</v>
      </c>
      <c r="T11" s="66">
        <f t="shared" si="33"/>
        <v>137899.79999999999</v>
      </c>
      <c r="U11" s="66">
        <f t="shared" si="33"/>
        <v>145625.15999999997</v>
      </c>
      <c r="V11" s="66">
        <f t="shared" si="33"/>
        <v>153350.51999999996</v>
      </c>
      <c r="W11" s="66">
        <f t="shared" si="33"/>
        <v>161075.87999999995</v>
      </c>
      <c r="X11" s="66">
        <f t="shared" si="33"/>
        <v>168801.23999999993</v>
      </c>
      <c r="Y11" s="66">
        <f t="shared" si="33"/>
        <v>176526.59999999992</v>
      </c>
      <c r="Z11" s="66">
        <f t="shared" si="33"/>
        <v>184251.9599999999</v>
      </c>
      <c r="AA11" s="66">
        <f t="shared" si="33"/>
        <v>191977.31999999989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-81.897624844875097</v>
      </c>
      <c r="D12" s="66">
        <f t="shared" si="34"/>
        <v>958.19482570036041</v>
      </c>
      <c r="E12" s="66">
        <f t="shared" si="34"/>
        <v>2020.8441134824423</v>
      </c>
      <c r="F12" s="66">
        <f t="shared" si="34"/>
        <v>2888.4326280111854</v>
      </c>
      <c r="G12" s="66">
        <f t="shared" si="34"/>
        <v>3575.1764169130906</v>
      </c>
      <c r="H12" s="66">
        <f t="shared" si="34"/>
        <v>4094.9454150076813</v>
      </c>
      <c r="I12" s="66">
        <f t="shared" si="34"/>
        <v>4459.9716046175845</v>
      </c>
      <c r="J12" s="66">
        <f t="shared" ref="J12:N12" si="35">J64+J68</f>
        <v>4682.1985407262791</v>
      </c>
      <c r="K12" s="66">
        <f t="shared" si="35"/>
        <v>4863.6571656466067</v>
      </c>
      <c r="L12" s="66">
        <f t="shared" si="35"/>
        <v>5041.3270719977845</v>
      </c>
      <c r="M12" s="66">
        <f t="shared" si="35"/>
        <v>5219.2668833805128</v>
      </c>
      <c r="N12" s="66">
        <f t="shared" si="35"/>
        <v>5396.9367897316915</v>
      </c>
      <c r="O12" s="66">
        <f t="shared" ref="O12:AA12" si="36">O64+O68</f>
        <v>5574.8766011144198</v>
      </c>
      <c r="P12" s="66">
        <f t="shared" si="36"/>
        <v>5752.5465074655986</v>
      </c>
      <c r="Q12" s="66">
        <f t="shared" si="36"/>
        <v>5930.4863188483268</v>
      </c>
      <c r="R12" s="66">
        <f t="shared" si="36"/>
        <v>6108.1562251995047</v>
      </c>
      <c r="S12" s="66">
        <f t="shared" si="36"/>
        <v>6286.096036582233</v>
      </c>
      <c r="T12" s="66">
        <f t="shared" si="36"/>
        <v>6463.7659429334108</v>
      </c>
      <c r="U12" s="66">
        <f t="shared" si="36"/>
        <v>6641.7057543161391</v>
      </c>
      <c r="V12" s="66">
        <f t="shared" si="36"/>
        <v>6819.3756606673178</v>
      </c>
      <c r="W12" s="66">
        <f t="shared" si="36"/>
        <v>6266.4610679343814</v>
      </c>
      <c r="X12" s="66">
        <f t="shared" si="36"/>
        <v>4854.0534778259962</v>
      </c>
      <c r="Y12" s="66">
        <f t="shared" si="36"/>
        <v>3312.9496089899962</v>
      </c>
      <c r="Z12" s="66">
        <f t="shared" si="36"/>
        <v>1771.8457401539963</v>
      </c>
      <c r="AA12" s="66">
        <f t="shared" si="36"/>
        <v>230.74187131799621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-20.553810262500026</v>
      </c>
      <c r="D13" s="66">
        <f t="shared" ref="D13:I13" si="37">D66</f>
        <v>240.47772666495004</v>
      </c>
      <c r="E13" s="66">
        <f t="shared" si="37"/>
        <v>507.17034294075006</v>
      </c>
      <c r="F13" s="66">
        <f t="shared" si="37"/>
        <v>724.90864423245011</v>
      </c>
      <c r="G13" s="66">
        <f t="shared" si="37"/>
        <v>897.26042565195019</v>
      </c>
      <c r="H13" s="66">
        <f t="shared" si="37"/>
        <v>1027.7066185348501</v>
      </c>
      <c r="I13" s="66">
        <f t="shared" si="37"/>
        <v>1119.3170780115001</v>
      </c>
      <c r="J13" s="66">
        <f t="shared" ref="J13:N13" si="38">J66</f>
        <v>1175.0892727320002</v>
      </c>
      <c r="K13" s="66">
        <f t="shared" si="38"/>
        <v>1220.6298626352002</v>
      </c>
      <c r="L13" s="66">
        <f t="shared" si="38"/>
        <v>1265.2195995343502</v>
      </c>
      <c r="M13" s="66">
        <f t="shared" si="38"/>
        <v>1309.8770743785003</v>
      </c>
      <c r="N13" s="66">
        <f t="shared" si="38"/>
        <v>1354.4668112776503</v>
      </c>
      <c r="O13" s="66">
        <f t="shared" ref="O13:AA13" si="39">O66</f>
        <v>1399.1242861218004</v>
      </c>
      <c r="P13" s="66">
        <f t="shared" si="39"/>
        <v>1443.7140230209504</v>
      </c>
      <c r="Q13" s="66">
        <f t="shared" si="39"/>
        <v>1488.3714978651005</v>
      </c>
      <c r="R13" s="66">
        <f t="shared" si="39"/>
        <v>1532.9612347642505</v>
      </c>
      <c r="S13" s="66">
        <f t="shared" si="39"/>
        <v>1577.6187096084006</v>
      </c>
      <c r="T13" s="66">
        <f t="shared" si="39"/>
        <v>1622.2084465075507</v>
      </c>
      <c r="U13" s="66">
        <f t="shared" si="39"/>
        <v>1666.8659213517008</v>
      </c>
      <c r="V13" s="66">
        <f t="shared" si="39"/>
        <v>1711.4556582508508</v>
      </c>
      <c r="W13" s="66">
        <f t="shared" si="39"/>
        <v>1572.6909303124507</v>
      </c>
      <c r="X13" s="66">
        <f t="shared" si="39"/>
        <v>1218.2196294000007</v>
      </c>
      <c r="Y13" s="66">
        <f t="shared" si="39"/>
        <v>831.44948100000056</v>
      </c>
      <c r="Z13" s="66">
        <f t="shared" si="39"/>
        <v>444.67933260000046</v>
      </c>
      <c r="AA13" s="66">
        <f t="shared" si="39"/>
        <v>57.909184200000368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157750.7714351074</v>
      </c>
      <c r="D16" s="134">
        <f t="shared" ref="D16:I16" si="40">D10-D11-D12-D13+D14</f>
        <v>177641.28744763468</v>
      </c>
      <c r="E16" s="134">
        <f t="shared" si="40"/>
        <v>168586.5855435768</v>
      </c>
      <c r="F16" s="134">
        <f t="shared" si="40"/>
        <v>159775.89872775634</v>
      </c>
      <c r="G16" s="134">
        <f t="shared" si="40"/>
        <v>151191.44315743499</v>
      </c>
      <c r="H16" s="134">
        <f>H10-H11-H12-H13+H14</f>
        <v>142815.86796645747</v>
      </c>
      <c r="I16" s="134">
        <f t="shared" si="40"/>
        <v>134633.87131737094</v>
      </c>
      <c r="J16" s="134">
        <f t="shared" ref="J16:N16" si="41">J10-J11-J12-J13+J14</f>
        <v>126630.5121865417</v>
      </c>
      <c r="K16" s="134">
        <f t="shared" si="41"/>
        <v>118678.15297171818</v>
      </c>
      <c r="L16" s="134">
        <f t="shared" si="41"/>
        <v>110730.53332846786</v>
      </c>
      <c r="M16" s="134">
        <f>M10-M11-M12-M13+M14</f>
        <v>102782.57604224099</v>
      </c>
      <c r="N16" s="134">
        <f t="shared" si="41"/>
        <v>94834.95639899066</v>
      </c>
      <c r="O16" s="134">
        <f t="shared" ref="O16:AA16" si="42">O10-O11-O12-O13+O14</f>
        <v>86886.999112763777</v>
      </c>
      <c r="P16" s="134">
        <f t="shared" si="42"/>
        <v>78939.379469513457</v>
      </c>
      <c r="Q16" s="134">
        <f t="shared" si="42"/>
        <v>70991.422183286573</v>
      </c>
      <c r="R16" s="134">
        <f t="shared" si="42"/>
        <v>63043.802540036238</v>
      </c>
      <c r="S16" s="134">
        <f t="shared" si="42"/>
        <v>55095.845253809362</v>
      </c>
      <c r="T16" s="134">
        <f t="shared" si="42"/>
        <v>47148.22561055905</v>
      </c>
      <c r="U16" s="134">
        <f t="shared" si="42"/>
        <v>39200.268324332188</v>
      </c>
      <c r="V16" s="134">
        <f t="shared" si="42"/>
        <v>31252.648681081868</v>
      </c>
      <c r="W16" s="134">
        <f t="shared" si="42"/>
        <v>24218.968001753219</v>
      </c>
      <c r="X16" s="134">
        <f t="shared" si="42"/>
        <v>18260.486892774068</v>
      </c>
      <c r="Y16" s="134">
        <f t="shared" si="42"/>
        <v>12463.000910010083</v>
      </c>
      <c r="Z16" s="134">
        <f t="shared" si="42"/>
        <v>6665.5149272460985</v>
      </c>
      <c r="AA16" s="134">
        <f t="shared" si="42"/>
        <v>868.02894448211282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0.04</v>
      </c>
      <c r="C19" s="72">
        <f>IF(C3-$C$3&lt;Input!$B$21,C6*$B$19,0)</f>
        <v>6568.68</v>
      </c>
      <c r="D19" s="72">
        <f>IF(D3-$C$3&lt;Input!$B$21,D6*$B$19,0)</f>
        <v>7725.3600000000006</v>
      </c>
      <c r="E19" s="72">
        <f>IF(E3-$C$3&lt;Input!$B$21,E6*$B$19,0)</f>
        <v>7725.3600000000006</v>
      </c>
      <c r="F19" s="72">
        <f>IF(F3-$C$3&lt;Input!$B$21,F6*$B$19,0)</f>
        <v>7725.3600000000006</v>
      </c>
      <c r="G19" s="72">
        <f>IF(G3-$C$3&lt;Input!$B$21,G6*$B$19,0)</f>
        <v>7725.3600000000006</v>
      </c>
      <c r="H19" s="72">
        <f>IF(H3-$C$3&lt;Input!$B$21,H6*$B$19,0)</f>
        <v>7725.3600000000006</v>
      </c>
      <c r="I19" s="72">
        <f>IF(I3-$C$3&lt;Input!$B$21,I6*$B$19,0)</f>
        <v>7725.3600000000006</v>
      </c>
      <c r="J19" s="72">
        <f>IF(J3-$C$3&lt;Input!$B$21,J6*$B$19,0)</f>
        <v>7725.3600000000006</v>
      </c>
      <c r="K19" s="72">
        <f>IF(K3-$C$3&lt;Input!$B$21,K6*$B$19,0)</f>
        <v>7725.3600000000006</v>
      </c>
      <c r="L19" s="72">
        <f>IF(L3-$C$3&lt;Input!$B$21,L6*$B$19,0)</f>
        <v>7725.3600000000006</v>
      </c>
      <c r="M19" s="72">
        <f>IF(M3-$C$3&lt;Input!$B$21,M6*$B$19,0)</f>
        <v>7725.3600000000006</v>
      </c>
      <c r="N19" s="72">
        <f>IF(N3-$C$3&lt;Input!$B$21,N6*$B$19,0)</f>
        <v>7725.3600000000006</v>
      </c>
      <c r="O19" s="72">
        <f>IF(O3-$C$3&lt;Input!$B$21,O6*$B$19,0)</f>
        <v>7725.3600000000006</v>
      </c>
      <c r="P19" s="72">
        <f>IF(P3-$C$3&lt;Input!$B$21,P6*$B$19,0)</f>
        <v>7725.3600000000006</v>
      </c>
      <c r="Q19" s="72">
        <f>IF(Q3-$C$3&lt;Input!$B$21,Q6*$B$19,0)</f>
        <v>7725.3600000000006</v>
      </c>
      <c r="R19" s="72">
        <f>IF(R3-$C$3&lt;Input!$B$21,R6*$B$19,0)</f>
        <v>7725.3600000000006</v>
      </c>
      <c r="S19" s="72">
        <f>IF(S3-$C$3&lt;Input!$B$21,S6*$B$19,0)</f>
        <v>7725.3600000000006</v>
      </c>
      <c r="T19" s="72">
        <f>IF(T3-$C$3&lt;Input!$B$21,T6*$B$19,0)</f>
        <v>7725.3600000000006</v>
      </c>
      <c r="U19" s="72">
        <f>IF(U3-$C$3&lt;Input!$B$21,U6*$B$19,0)</f>
        <v>7725.3600000000006</v>
      </c>
      <c r="V19" s="72">
        <f>IF(V3-$C$3&lt;Input!$B$21,V6*$B$19,0)</f>
        <v>7725.3600000000006</v>
      </c>
      <c r="W19" s="72">
        <f>IF(W3-$C$3&lt;Input!$B$21,W6*$B$19,0)</f>
        <v>7725.3600000000006</v>
      </c>
      <c r="X19" s="72">
        <f>IF(X3-$C$3&lt;Input!$B$21,X6*$B$19,0)</f>
        <v>7725.3600000000006</v>
      </c>
      <c r="Y19" s="72">
        <f>IF(Y3-$C$3&lt;Input!$B$21,Y6*$B$19,0)</f>
        <v>7725.3600000000006</v>
      </c>
      <c r="Z19" s="72">
        <f>IF(Z3-$C$3&lt;Input!$B$21,Z6*$B$19,0)</f>
        <v>7725.3600000000006</v>
      </c>
      <c r="AA19" s="72">
        <f>IF(AA3-$C$3&lt;Input!$B$21,AA6*$B$19,0)</f>
        <v>7725.3600000000006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6568.68</v>
      </c>
      <c r="D20" s="69">
        <f t="shared" ref="D20:N20" si="43">C20+D19</f>
        <v>14294.04</v>
      </c>
      <c r="E20" s="69">
        <f t="shared" si="43"/>
        <v>22019.4</v>
      </c>
      <c r="F20" s="69">
        <f t="shared" si="43"/>
        <v>29744.760000000002</v>
      </c>
      <c r="G20" s="69">
        <f t="shared" si="43"/>
        <v>37470.120000000003</v>
      </c>
      <c r="H20" s="69">
        <f t="shared" si="43"/>
        <v>45195.48</v>
      </c>
      <c r="I20" s="69">
        <f t="shared" si="43"/>
        <v>52920.840000000004</v>
      </c>
      <c r="J20" s="69">
        <f t="shared" si="43"/>
        <v>60646.200000000004</v>
      </c>
      <c r="K20" s="69">
        <f t="shared" si="43"/>
        <v>68371.56</v>
      </c>
      <c r="L20" s="69">
        <f t="shared" si="43"/>
        <v>76096.92</v>
      </c>
      <c r="M20" s="69">
        <f t="shared" si="43"/>
        <v>83822.28</v>
      </c>
      <c r="N20" s="69">
        <f t="shared" si="43"/>
        <v>91547.64</v>
      </c>
      <c r="O20" s="69">
        <f t="shared" ref="O20" si="44">N20+O19</f>
        <v>99273</v>
      </c>
      <c r="P20" s="69">
        <f t="shared" ref="P20" si="45">O20+P19</f>
        <v>106998.36</v>
      </c>
      <c r="Q20" s="69">
        <f t="shared" ref="Q20" si="46">P20+Q19</f>
        <v>114723.72</v>
      </c>
      <c r="R20" s="69">
        <f t="shared" ref="R20" si="47">Q20+R19</f>
        <v>122449.08</v>
      </c>
      <c r="S20" s="69">
        <f t="shared" ref="S20" si="48">R20+S19</f>
        <v>130174.44</v>
      </c>
      <c r="T20" s="69">
        <f t="shared" ref="T20" si="49">S20+T19</f>
        <v>137899.79999999999</v>
      </c>
      <c r="U20" s="69">
        <f t="shared" ref="U20" si="50">T20+U19</f>
        <v>145625.15999999997</v>
      </c>
      <c r="V20" s="69">
        <f t="shared" ref="V20" si="51">U20+V19</f>
        <v>153350.51999999996</v>
      </c>
      <c r="W20" s="69">
        <f t="shared" ref="W20" si="52">V20+W19</f>
        <v>161075.87999999995</v>
      </c>
      <c r="X20" s="69">
        <f t="shared" ref="X20" si="53">W20+X19</f>
        <v>168801.23999999993</v>
      </c>
      <c r="Y20" s="69">
        <f t="shared" ref="Y20" si="54">X20+Y19</f>
        <v>176526.59999999992</v>
      </c>
      <c r="Z20" s="69">
        <f t="shared" ref="Z20" si="55">Y20+Z19</f>
        <v>184251.9599999999</v>
      </c>
      <c r="AA20" s="69">
        <f t="shared" ref="AA20" si="56">Z20+AA19</f>
        <v>191977.31999999989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28917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164217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6" cm="1">
        <f t="array" ref="N27">_xlfn.XLOOKUP($B$27,MACRS!$B$1:$G$1,_xlfn.XLOOKUP('Rate Base - coal'!N26,MACRS!$A$2:$A$22,MACRS!$B$2:$G$22))</f>
        <v>4.4609999999999997E-2</v>
      </c>
      <c r="O27" s="196" cm="1">
        <f t="array" ref="O27">_xlfn.XLOOKUP($B$27,MACRS!$B$1:$G$1,_xlfn.XLOOKUP('Rate Base - coal'!O26,MACRS!$A$2:$A$22,MACRS!$B$2:$G$22))</f>
        <v>4.462E-2</v>
      </c>
      <c r="P27" s="196" cm="1">
        <f t="array" ref="P27">_xlfn.XLOOKUP($B$27,MACRS!$B$1:$G$1,_xlfn.XLOOKUP('Rate Base - coal'!P26,MACRS!$A$2:$A$22,MACRS!$B$2:$G$22))</f>
        <v>4.4609999999999997E-2</v>
      </c>
      <c r="Q27" s="196" cm="1">
        <f t="array" ref="Q27">_xlfn.XLOOKUP($B$27,MACRS!$B$1:$G$1,_xlfn.XLOOKUP('Rate Base - coal'!Q26,MACRS!$A$2:$A$22,MACRS!$B$2:$G$22))</f>
        <v>4.462E-2</v>
      </c>
      <c r="R27" s="196" cm="1">
        <f t="array" ref="R27">_xlfn.XLOOKUP($B$27,MACRS!$B$1:$G$1,_xlfn.XLOOKUP('Rate Base - coal'!R26,MACRS!$A$2:$A$22,MACRS!$B$2:$G$22))</f>
        <v>4.4609999999999997E-2</v>
      </c>
      <c r="S27" s="196" cm="1">
        <f t="array" ref="S27">_xlfn.XLOOKUP($B$27,MACRS!$B$1:$G$1,_xlfn.XLOOKUP('Rate Base - coal'!S26,MACRS!$A$2:$A$22,MACRS!$B$2:$G$22))</f>
        <v>4.462E-2</v>
      </c>
      <c r="T27" s="196" cm="1">
        <f t="array" ref="T27">_xlfn.XLOOKUP($B$27,MACRS!$B$1:$G$1,_xlfn.XLOOKUP('Rate Base - coal'!T26,MACRS!$A$2:$A$22,MACRS!$B$2:$G$22))</f>
        <v>4.4609999999999997E-2</v>
      </c>
      <c r="U27" s="196" cm="1">
        <f t="array" ref="U27">_xlfn.XLOOKUP($B$27,MACRS!$B$1:$G$1,_xlfn.XLOOKUP('Rate Base - coal'!U26,MACRS!$A$2:$A$22,MACRS!$B$2:$G$22))</f>
        <v>4.462E-2</v>
      </c>
      <c r="V27" s="196" cm="1">
        <f t="array" ref="V27">_xlfn.XLOOKUP($B$27,MACRS!$B$1:$G$1,_xlfn.XLOOKUP('Rate Base - coal'!V26,MACRS!$A$2:$A$22,MACRS!$B$2:$G$22))</f>
        <v>4.4609999999999997E-2</v>
      </c>
      <c r="W27" s="196" cm="1">
        <f t="array" ref="W27">_xlfn.XLOOKUP($B$27,MACRS!$B$1:$G$1,_xlfn.XLOOKUP('Rate Base - coal'!W26,MACRS!$A$2:$A$22,MACRS!$B$2:$G$22))</f>
        <v>2.231E-2</v>
      </c>
      <c r="X27" s="196">
        <v>0</v>
      </c>
      <c r="Y27" s="196">
        <v>0</v>
      </c>
      <c r="Z27" s="196">
        <v>0</v>
      </c>
      <c r="AA27" s="196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6158.1374999999998</v>
      </c>
      <c r="D28" s="69">
        <f t="shared" ref="D28:AA28" si="61">($C$25+$C$24)*D$27</f>
        <v>11854.82523</v>
      </c>
      <c r="E28" s="69">
        <f t="shared" si="61"/>
        <v>10964.76909</v>
      </c>
      <c r="F28" s="69">
        <f t="shared" si="61"/>
        <v>10143.684090000001</v>
      </c>
      <c r="G28" s="69">
        <f t="shared" si="61"/>
        <v>9381.7172100000007</v>
      </c>
      <c r="H28" s="69">
        <f t="shared" si="61"/>
        <v>8678.8684499999999</v>
      </c>
      <c r="I28" s="69">
        <f t="shared" si="61"/>
        <v>8026.9269599999998</v>
      </c>
      <c r="J28" s="69">
        <f t="shared" si="61"/>
        <v>7425.8927400000002</v>
      </c>
      <c r="K28" s="69">
        <f t="shared" si="61"/>
        <v>7327.3625400000001</v>
      </c>
      <c r="L28" s="69">
        <f t="shared" si="61"/>
        <v>7325.7203699999991</v>
      </c>
      <c r="M28" s="69">
        <f t="shared" si="61"/>
        <v>7327.3625400000001</v>
      </c>
      <c r="N28" s="69">
        <f t="shared" si="61"/>
        <v>7325.7203699999991</v>
      </c>
      <c r="O28" s="69">
        <f t="shared" si="61"/>
        <v>7327.3625400000001</v>
      </c>
      <c r="P28" s="69">
        <f t="shared" si="61"/>
        <v>7325.7203699999991</v>
      </c>
      <c r="Q28" s="69">
        <f t="shared" si="61"/>
        <v>7327.3625400000001</v>
      </c>
      <c r="R28" s="69">
        <f t="shared" si="61"/>
        <v>7325.7203699999991</v>
      </c>
      <c r="S28" s="69">
        <f t="shared" si="61"/>
        <v>7327.3625400000001</v>
      </c>
      <c r="T28" s="69">
        <f t="shared" si="61"/>
        <v>7325.7203699999991</v>
      </c>
      <c r="U28" s="69">
        <f t="shared" si="61"/>
        <v>7327.3625400000001</v>
      </c>
      <c r="V28" s="69">
        <f t="shared" si="61"/>
        <v>7325.7203699999991</v>
      </c>
      <c r="W28" s="69">
        <f t="shared" si="61"/>
        <v>3663.68127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1084.3875</v>
      </c>
      <c r="E29" s="69">
        <f t="shared" ref="E29:N29" si="62">($D$24*D$27)</f>
        <v>2087.5182300000001</v>
      </c>
      <c r="F29" s="69">
        <f t="shared" si="62"/>
        <v>1930.7880899999998</v>
      </c>
      <c r="G29" s="69">
        <f t="shared" si="62"/>
        <v>1786.20309</v>
      </c>
      <c r="H29" s="69">
        <f t="shared" si="62"/>
        <v>1652.0282099999999</v>
      </c>
      <c r="I29" s="69">
        <f t="shared" si="62"/>
        <v>1528.2634499999999</v>
      </c>
      <c r="J29" s="69">
        <f t="shared" si="62"/>
        <v>1413.4629600000001</v>
      </c>
      <c r="K29" s="69">
        <f t="shared" si="62"/>
        <v>1307.6267400000002</v>
      </c>
      <c r="L29" s="69">
        <f t="shared" si="62"/>
        <v>1290.2765400000001</v>
      </c>
      <c r="M29" s="69">
        <f t="shared" si="62"/>
        <v>1289.9873699999998</v>
      </c>
      <c r="N29" s="69">
        <f t="shared" si="62"/>
        <v>1290.2765400000001</v>
      </c>
      <c r="O29" s="69">
        <f t="shared" ref="O29" si="63">($D$24*N$27)</f>
        <v>1289.9873699999998</v>
      </c>
      <c r="P29" s="69">
        <f t="shared" ref="P29" si="64">($D$24*O$27)</f>
        <v>1290.2765400000001</v>
      </c>
      <c r="Q29" s="69">
        <f t="shared" ref="Q29" si="65">($D$24*P$27)</f>
        <v>1289.9873699999998</v>
      </c>
      <c r="R29" s="69">
        <f t="shared" ref="R29" si="66">($D$24*Q$27)</f>
        <v>1290.2765400000001</v>
      </c>
      <c r="S29" s="69">
        <f t="shared" ref="S29" si="67">($D$24*R$27)</f>
        <v>1289.9873699999998</v>
      </c>
      <c r="T29" s="69">
        <f t="shared" ref="T29" si="68">($D$24*S$27)</f>
        <v>1290.2765400000001</v>
      </c>
      <c r="U29" s="69">
        <f t="shared" ref="U29" si="69">($D$24*T$27)</f>
        <v>1289.9873699999998</v>
      </c>
      <c r="V29" s="69">
        <f t="shared" ref="V29" si="70">($D$24*U$27)</f>
        <v>1290.2765400000001</v>
      </c>
      <c r="W29" s="69">
        <f t="shared" ref="W29" si="71">($D$24*V$27)</f>
        <v>1289.9873699999998</v>
      </c>
      <c r="X29" s="69">
        <f t="shared" ref="X29" si="72">($D$24*W$27)</f>
        <v>645.13827000000003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6158.1374999999998</v>
      </c>
      <c r="D59" s="69">
        <f t="shared" si="201"/>
        <v>12939.212730000001</v>
      </c>
      <c r="E59" s="69">
        <f t="shared" si="201"/>
        <v>13052.287319999999</v>
      </c>
      <c r="F59" s="69">
        <f t="shared" si="201"/>
        <v>12074.472180000001</v>
      </c>
      <c r="G59" s="69">
        <f t="shared" si="201"/>
        <v>11167.920300000002</v>
      </c>
      <c r="H59" s="69">
        <f t="shared" si="201"/>
        <v>10330.89666</v>
      </c>
      <c r="I59" s="69">
        <f t="shared" si="201"/>
        <v>9555.1904099999992</v>
      </c>
      <c r="J59" s="69">
        <f t="shared" ref="J59:N59" si="202">SUM(J28:J57)</f>
        <v>8839.3557000000001</v>
      </c>
      <c r="K59" s="69">
        <f t="shared" si="202"/>
        <v>8634.9892799999998</v>
      </c>
      <c r="L59" s="69">
        <f t="shared" si="202"/>
        <v>8615.9969099999998</v>
      </c>
      <c r="M59" s="69">
        <f t="shared" si="202"/>
        <v>8617.3499100000008</v>
      </c>
      <c r="N59" s="69">
        <f t="shared" si="202"/>
        <v>8615.9969099999998</v>
      </c>
      <c r="O59" s="69">
        <f t="shared" ref="O59:AA59" si="203">SUM(O28:O57)</f>
        <v>8617.3499100000008</v>
      </c>
      <c r="P59" s="69">
        <f t="shared" si="203"/>
        <v>8615.9969099999998</v>
      </c>
      <c r="Q59" s="69">
        <f t="shared" si="203"/>
        <v>8617.3499100000008</v>
      </c>
      <c r="R59" s="69">
        <f t="shared" si="203"/>
        <v>8615.9969099999998</v>
      </c>
      <c r="S59" s="69">
        <f t="shared" si="203"/>
        <v>8617.3499100000008</v>
      </c>
      <c r="T59" s="69">
        <f t="shared" si="203"/>
        <v>8615.9969099999998</v>
      </c>
      <c r="U59" s="69">
        <f t="shared" si="203"/>
        <v>8617.3499100000008</v>
      </c>
      <c r="V59" s="69">
        <f t="shared" si="203"/>
        <v>8615.9969099999998</v>
      </c>
      <c r="W59" s="69">
        <f t="shared" si="203"/>
        <v>4953.6686399999999</v>
      </c>
      <c r="X59" s="69">
        <f t="shared" si="203"/>
        <v>645.13827000000003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6158.1374999999998</v>
      </c>
      <c r="D60" s="69">
        <f t="shared" ref="D60:N60" si="204">D59+C60</f>
        <v>19097.35023</v>
      </c>
      <c r="E60" s="69">
        <f t="shared" si="204"/>
        <v>32149.637549999999</v>
      </c>
      <c r="F60" s="69">
        <f t="shared" si="204"/>
        <v>44224.109729999996</v>
      </c>
      <c r="G60" s="69">
        <f t="shared" si="204"/>
        <v>55392.030029999994</v>
      </c>
      <c r="H60" s="69">
        <f t="shared" si="204"/>
        <v>65722.926689999993</v>
      </c>
      <c r="I60" s="69">
        <f t="shared" si="204"/>
        <v>75278.117099999989</v>
      </c>
      <c r="J60" s="69">
        <f t="shared" si="204"/>
        <v>84117.472799999989</v>
      </c>
      <c r="K60" s="69">
        <f t="shared" si="204"/>
        <v>92752.462079999983</v>
      </c>
      <c r="L60" s="69">
        <f t="shared" si="204"/>
        <v>101368.45898999998</v>
      </c>
      <c r="M60" s="69">
        <f t="shared" si="204"/>
        <v>109985.80889999999</v>
      </c>
      <c r="N60" s="69">
        <f t="shared" si="204"/>
        <v>118601.80580999999</v>
      </c>
      <c r="O60" s="69">
        <f t="shared" ref="O60" si="205">O59+N60</f>
        <v>127219.15572</v>
      </c>
      <c r="P60" s="69">
        <f t="shared" ref="P60" si="206">P59+O60</f>
        <v>135835.15263</v>
      </c>
      <c r="Q60" s="69">
        <f t="shared" ref="Q60" si="207">Q59+P60</f>
        <v>144452.50253999999</v>
      </c>
      <c r="R60" s="69">
        <f t="shared" ref="R60" si="208">R59+Q60</f>
        <v>153068.49944999997</v>
      </c>
      <c r="S60" s="69">
        <f t="shared" ref="S60" si="209">S59+R60</f>
        <v>161685.84935999996</v>
      </c>
      <c r="T60" s="69">
        <f t="shared" ref="T60" si="210">T59+S60</f>
        <v>170301.84626999995</v>
      </c>
      <c r="U60" s="69">
        <f t="shared" ref="U60" si="211">U59+T60</f>
        <v>178919.19617999994</v>
      </c>
      <c r="V60" s="69">
        <f t="shared" ref="V60" si="212">V59+U60</f>
        <v>187535.19308999993</v>
      </c>
      <c r="W60" s="69">
        <f t="shared" ref="W60" si="213">W59+V60</f>
        <v>192488.86172999992</v>
      </c>
      <c r="X60" s="69">
        <f t="shared" ref="X60" si="214">X59+W60</f>
        <v>193133.99999999991</v>
      </c>
      <c r="Y60" s="69">
        <f t="shared" ref="Y60" si="215">Y59+X60</f>
        <v>193133.99999999991</v>
      </c>
      <c r="Z60" s="69">
        <f t="shared" ref="Z60" si="216">Z59+Y60</f>
        <v>193133.99999999991</v>
      </c>
      <c r="AA60" s="69">
        <f t="shared" ref="AA60" si="217">AA59+Z60</f>
        <v>193133.99999999991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-86.213925000000103</v>
      </c>
      <c r="D63" s="79">
        <f>+(D59-D19)*Input!$B$35</f>
        <v>1094.9090733</v>
      </c>
      <c r="E63" s="79">
        <f>+(E59-E19)*Input!$B$35</f>
        <v>1118.6547371999998</v>
      </c>
      <c r="F63" s="79">
        <f>+(F59-F19)*Input!$B$35</f>
        <v>913.31355780000001</v>
      </c>
      <c r="G63" s="79">
        <f>+(G59-G19)*Input!$B$35</f>
        <v>722.93766300000016</v>
      </c>
      <c r="H63" s="79">
        <f>+(H59-H19)*Input!$B$35</f>
        <v>547.16269859999989</v>
      </c>
      <c r="I63" s="79">
        <f>+(I59-I19)*Input!$B$35</f>
        <v>384.26438609999968</v>
      </c>
      <c r="J63" s="79">
        <f>+(J59-J19)*Input!$B$35</f>
        <v>233.93909699999989</v>
      </c>
      <c r="K63" s="79">
        <f>+(K59-K19)*Input!$B$35</f>
        <v>191.02214879999983</v>
      </c>
      <c r="L63" s="79">
        <f>+(L59-L19)*Input!$B$35</f>
        <v>187.03375109999985</v>
      </c>
      <c r="M63" s="79">
        <f>+(M59-M19)*Input!$B$35</f>
        <v>187.31788110000005</v>
      </c>
      <c r="N63" s="79">
        <f>+(N59-N19)*Input!$B$35</f>
        <v>187.03375109999985</v>
      </c>
      <c r="O63" s="79">
        <f>+(O59-O19)*Input!$B$35</f>
        <v>187.31788110000005</v>
      </c>
      <c r="P63" s="79">
        <f>+(P59-P19)*Input!$B$35</f>
        <v>187.03375109999985</v>
      </c>
      <c r="Q63" s="79">
        <f>+(Q59-Q19)*Input!$B$35</f>
        <v>187.31788110000005</v>
      </c>
      <c r="R63" s="79">
        <f>+(R59-R19)*Input!$B$35</f>
        <v>187.03375109999985</v>
      </c>
      <c r="S63" s="79">
        <f>+(S59-S19)*Input!$B$35</f>
        <v>187.31788110000005</v>
      </c>
      <c r="T63" s="79">
        <f>+(T59-T19)*Input!$B$35</f>
        <v>187.03375109999985</v>
      </c>
      <c r="U63" s="79">
        <f>+(U59-U19)*Input!$B$35</f>
        <v>187.31788110000005</v>
      </c>
      <c r="V63" s="79">
        <f>+(V59-V19)*Input!$B$35</f>
        <v>187.03375109999985</v>
      </c>
      <c r="W63" s="79">
        <f>+(W59-W19)*Input!$B$35</f>
        <v>-582.05518560000007</v>
      </c>
      <c r="X63" s="79">
        <f>+(X59-X19)*Input!$B$35</f>
        <v>-1486.8465633000001</v>
      </c>
      <c r="Y63" s="79">
        <f>+(Y59-Y19)*Input!$B$35</f>
        <v>-1622.3256000000001</v>
      </c>
      <c r="Z63" s="79">
        <f>+(Z59-Z19)*Input!$B$35</f>
        <v>-1622.3256000000001</v>
      </c>
      <c r="AA63" s="79">
        <f>+(AA59-AA19)*Input!$B$35</f>
        <v>-1622.3256000000001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-86.213925000000103</v>
      </c>
      <c r="D64" s="94">
        <f t="shared" ref="D64:N64" si="218">C64+D63</f>
        <v>1008.6951482999999</v>
      </c>
      <c r="E64" s="94">
        <f t="shared" si="218"/>
        <v>2127.3498854999998</v>
      </c>
      <c r="F64" s="94">
        <f t="shared" si="218"/>
        <v>3040.6634432999999</v>
      </c>
      <c r="G64" s="94">
        <f t="shared" si="218"/>
        <v>3763.6011063000001</v>
      </c>
      <c r="H64" s="94">
        <f>G64+H63</f>
        <v>4310.7638048999997</v>
      </c>
      <c r="I64" s="94">
        <f t="shared" si="218"/>
        <v>4695.0281909999994</v>
      </c>
      <c r="J64" s="94">
        <f t="shared" si="218"/>
        <v>4928.9672879999989</v>
      </c>
      <c r="K64" s="94">
        <f t="shared" si="218"/>
        <v>5119.9894367999987</v>
      </c>
      <c r="L64" s="94">
        <f t="shared" si="218"/>
        <v>5307.0231878999984</v>
      </c>
      <c r="M64" s="94">
        <f t="shared" si="218"/>
        <v>5494.3410689999982</v>
      </c>
      <c r="N64" s="69">
        <f t="shared" si="218"/>
        <v>5681.374820099998</v>
      </c>
      <c r="O64" s="69">
        <f t="shared" ref="O64" si="219">N64+O63</f>
        <v>5868.6927011999978</v>
      </c>
      <c r="P64" s="69">
        <f t="shared" ref="P64" si="220">O64+P63</f>
        <v>6055.7264522999976</v>
      </c>
      <c r="Q64" s="69">
        <f t="shared" ref="Q64" si="221">P64+Q63</f>
        <v>6243.0443333999974</v>
      </c>
      <c r="R64" s="69">
        <f t="shared" ref="R64" si="222">Q64+R63</f>
        <v>6430.0780844999972</v>
      </c>
      <c r="S64" s="69">
        <f t="shared" ref="S64" si="223">R64+S63</f>
        <v>6617.395965599997</v>
      </c>
      <c r="T64" s="69">
        <f t="shared" ref="T64" si="224">S64+T63</f>
        <v>6804.4297166999968</v>
      </c>
      <c r="U64" s="69">
        <f t="shared" ref="U64" si="225">T64+U63</f>
        <v>6991.7475977999966</v>
      </c>
      <c r="V64" s="69">
        <f t="shared" ref="V64" si="226">U64+V63</f>
        <v>7178.7813488999964</v>
      </c>
      <c r="W64" s="69">
        <f t="shared" ref="W64" si="227">V64+W63</f>
        <v>6596.7261632999962</v>
      </c>
      <c r="X64" s="69">
        <f t="shared" ref="X64" si="228">W64+X63</f>
        <v>5109.8795999999966</v>
      </c>
      <c r="Y64" s="69">
        <f t="shared" ref="Y64" si="229">X64+Y63</f>
        <v>3487.5539999999964</v>
      </c>
      <c r="Z64" s="69">
        <f t="shared" ref="Z64" si="230">Y64+Z63</f>
        <v>1865.2283999999963</v>
      </c>
      <c r="AA64" s="69">
        <f t="shared" ref="AA64" si="231">Z64+AA63</f>
        <v>242.9027999999962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-20.553810262500026</v>
      </c>
      <c r="D65" s="69">
        <f>+(D59-D19)*Input!$B$34</f>
        <v>261.03153692745008</v>
      </c>
      <c r="E65" s="69">
        <f>+(E59-E19)*Input!$B$34</f>
        <v>266.69261627579999</v>
      </c>
      <c r="F65" s="69">
        <f>+(F59-F19)*Input!$B$34</f>
        <v>217.73830129170003</v>
      </c>
      <c r="G65" s="69">
        <f>+(G59-G19)*Input!$B$34</f>
        <v>172.35178141950007</v>
      </c>
      <c r="H65" s="69">
        <f>+(H59-H19)*Input!$B$34</f>
        <v>130.44619288289999</v>
      </c>
      <c r="I65" s="69">
        <f>+(I59-I19)*Input!$B$34</f>
        <v>91.610459476649936</v>
      </c>
      <c r="J65" s="69">
        <f>+(J59-J19)*Input!$B$34</f>
        <v>55.772194720499982</v>
      </c>
      <c r="K65" s="69">
        <f>+(K59-K19)*Input!$B$34</f>
        <v>45.540589903199965</v>
      </c>
      <c r="L65" s="69">
        <f>+(L59-L19)*Input!$B$34</f>
        <v>44.589736899149969</v>
      </c>
      <c r="M65" s="69">
        <f>+(M59-M19)*Input!$B$34</f>
        <v>44.657474844150016</v>
      </c>
      <c r="N65" s="69">
        <f>+(N59-N19)*Input!$B$34</f>
        <v>44.589736899149969</v>
      </c>
      <c r="O65" s="69">
        <f>+(O59-O19)*Input!$B$34</f>
        <v>44.657474844150016</v>
      </c>
      <c r="P65" s="69">
        <f>+(P59-P19)*Input!$B$34</f>
        <v>44.589736899149969</v>
      </c>
      <c r="Q65" s="69">
        <f>+(Q59-Q19)*Input!$B$34</f>
        <v>44.657474844150016</v>
      </c>
      <c r="R65" s="69">
        <f>+(R59-R19)*Input!$B$34</f>
        <v>44.589736899149969</v>
      </c>
      <c r="S65" s="69">
        <f>+(S59-S19)*Input!$B$34</f>
        <v>44.657474844150016</v>
      </c>
      <c r="T65" s="69">
        <f>+(T59-T19)*Input!$B$34</f>
        <v>44.589736899149969</v>
      </c>
      <c r="U65" s="69">
        <f>+(U59-U19)*Input!$B$34</f>
        <v>44.657474844150016</v>
      </c>
      <c r="V65" s="69">
        <f>+(V59-V19)*Input!$B$34</f>
        <v>44.589736899149969</v>
      </c>
      <c r="W65" s="69">
        <f>+(W59-W19)*Input!$B$34</f>
        <v>-138.76472793840006</v>
      </c>
      <c r="X65" s="69">
        <f>+(X59-X19)*Input!$B$34</f>
        <v>-354.47130091245003</v>
      </c>
      <c r="Y65" s="69">
        <f>+(Y59-Y19)*Input!$B$34</f>
        <v>-386.7701484000001</v>
      </c>
      <c r="Z65" s="69">
        <f>+(Z59-Z19)*Input!$B$34</f>
        <v>-386.7701484000001</v>
      </c>
      <c r="AA65" s="69">
        <f>+(AA59-AA19)*Input!$B$34</f>
        <v>-386.7701484000001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-20.553810262500026</v>
      </c>
      <c r="D66" s="69">
        <f>+C66+D65</f>
        <v>240.47772666495004</v>
      </c>
      <c r="E66" s="69">
        <f t="shared" ref="E66:N66" si="232">D66+E65</f>
        <v>507.17034294075006</v>
      </c>
      <c r="F66" s="69">
        <f t="shared" si="232"/>
        <v>724.90864423245011</v>
      </c>
      <c r="G66" s="69">
        <f t="shared" si="232"/>
        <v>897.26042565195019</v>
      </c>
      <c r="H66" s="69">
        <f t="shared" si="232"/>
        <v>1027.7066185348501</v>
      </c>
      <c r="I66" s="69">
        <f t="shared" si="232"/>
        <v>1119.3170780115001</v>
      </c>
      <c r="J66" s="69">
        <f t="shared" si="232"/>
        <v>1175.0892727320002</v>
      </c>
      <c r="K66" s="69">
        <f t="shared" si="232"/>
        <v>1220.6298626352002</v>
      </c>
      <c r="L66" s="69">
        <f t="shared" si="232"/>
        <v>1265.2195995343502</v>
      </c>
      <c r="M66" s="69">
        <f t="shared" si="232"/>
        <v>1309.8770743785003</v>
      </c>
      <c r="N66" s="69">
        <f t="shared" si="232"/>
        <v>1354.4668112776503</v>
      </c>
      <c r="O66" s="69">
        <f t="shared" ref="O66" si="233">N66+O65</f>
        <v>1399.1242861218004</v>
      </c>
      <c r="P66" s="69">
        <f t="shared" ref="P66" si="234">O66+P65</f>
        <v>1443.7140230209504</v>
      </c>
      <c r="Q66" s="69">
        <f t="shared" ref="Q66" si="235">P66+Q65</f>
        <v>1488.3714978651005</v>
      </c>
      <c r="R66" s="69">
        <f t="shared" ref="R66" si="236">Q66+R65</f>
        <v>1532.9612347642505</v>
      </c>
      <c r="S66" s="69">
        <f t="shared" ref="S66" si="237">R66+S65</f>
        <v>1577.6187096084006</v>
      </c>
      <c r="T66" s="69">
        <f t="shared" ref="T66" si="238">S66+T65</f>
        <v>1622.2084465075507</v>
      </c>
      <c r="U66" s="69">
        <f t="shared" ref="U66" si="239">T66+U65</f>
        <v>1666.8659213517008</v>
      </c>
      <c r="V66" s="69">
        <f t="shared" ref="V66" si="240">U66+V65</f>
        <v>1711.4556582508508</v>
      </c>
      <c r="W66" s="69">
        <f t="shared" ref="W66" si="241">V66+W65</f>
        <v>1572.6909303124507</v>
      </c>
      <c r="X66" s="69">
        <f t="shared" ref="X66" si="242">W66+X65</f>
        <v>1218.2196294000007</v>
      </c>
      <c r="Y66" s="69">
        <f t="shared" ref="Y66" si="243">X66+Y65</f>
        <v>831.44948100000056</v>
      </c>
      <c r="Z66" s="69">
        <f t="shared" ref="Z66" si="244">Y66+Z65</f>
        <v>444.67933260000046</v>
      </c>
      <c r="AA66" s="69">
        <f t="shared" ref="AA66" si="245">Z66+AA65</f>
        <v>57.909184200000368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4.3163001551250053</v>
      </c>
      <c r="D67" s="94">
        <f>-D65*Input!$B$35</f>
        <v>-54.816622754764516</v>
      </c>
      <c r="E67" s="69">
        <f>-E65*Input!$B$35</f>
        <v>-56.005449417917994</v>
      </c>
      <c r="F67" s="69">
        <f>-F65*Input!$B$35</f>
        <v>-45.725043271257</v>
      </c>
      <c r="G67" s="69">
        <f>-G65*Input!$B$35</f>
        <v>-36.193874098095016</v>
      </c>
      <c r="H67" s="69">
        <f>-H65*Input!$B$35</f>
        <v>-27.393700505408997</v>
      </c>
      <c r="I67" s="69">
        <f>-I65*Input!$B$35</f>
        <v>-19.238196490096485</v>
      </c>
      <c r="J67" s="69">
        <f>-J65*Input!$B$35</f>
        <v>-11.712160891304995</v>
      </c>
      <c r="K67" s="69">
        <f>-K65*Input!$B$35</f>
        <v>-9.5635238796719921</v>
      </c>
      <c r="L67" s="69">
        <f>-L65*Input!$B$35</f>
        <v>-9.363844748821494</v>
      </c>
      <c r="M67" s="69">
        <f>-M65*Input!$B$35</f>
        <v>-9.3780697172715026</v>
      </c>
      <c r="N67" s="69">
        <f>-N65*Input!$B$35</f>
        <v>-9.363844748821494</v>
      </c>
      <c r="O67" s="69">
        <f>-O65*Input!$B$35</f>
        <v>-9.3780697172715026</v>
      </c>
      <c r="P67" s="69">
        <f>-P65*Input!$B$35</f>
        <v>-9.363844748821494</v>
      </c>
      <c r="Q67" s="69">
        <f>-Q65*Input!$B$35</f>
        <v>-9.3780697172715026</v>
      </c>
      <c r="R67" s="69">
        <f>-R65*Input!$B$35</f>
        <v>-9.363844748821494</v>
      </c>
      <c r="S67" s="69">
        <f>-S65*Input!$B$35</f>
        <v>-9.3780697172715026</v>
      </c>
      <c r="T67" s="69">
        <f>-T65*Input!$B$35</f>
        <v>-9.363844748821494</v>
      </c>
      <c r="U67" s="69">
        <f>-U65*Input!$B$35</f>
        <v>-9.3780697172715026</v>
      </c>
      <c r="V67" s="69">
        <f>-V65*Input!$B$35</f>
        <v>-9.363844748821494</v>
      </c>
      <c r="W67" s="69">
        <f>-W65*Input!$B$35</f>
        <v>29.140592867064012</v>
      </c>
      <c r="X67" s="69">
        <f>-X65*Input!$B$35</f>
        <v>74.438973191614508</v>
      </c>
      <c r="Y67" s="69">
        <f>-Y65*Input!$B$35</f>
        <v>81.221731164000019</v>
      </c>
      <c r="Z67" s="69">
        <f>-Z65*Input!$B$35</f>
        <v>81.221731164000019</v>
      </c>
      <c r="AA67" s="69">
        <f>-AA65*Input!$B$35</f>
        <v>81.221731164000019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4.3163001551250053</v>
      </c>
      <c r="D68" s="69">
        <f>+C68+D67</f>
        <v>-50.50032259963951</v>
      </c>
      <c r="E68" s="69">
        <f t="shared" ref="E68:N68" si="246">D68+E67</f>
        <v>-106.5057720175575</v>
      </c>
      <c r="F68" s="69">
        <f t="shared" si="246"/>
        <v>-152.23081528881451</v>
      </c>
      <c r="G68" s="69">
        <f t="shared" si="246"/>
        <v>-188.42468938690953</v>
      </c>
      <c r="H68" s="69">
        <f t="shared" si="246"/>
        <v>-215.81838989231852</v>
      </c>
      <c r="I68" s="69">
        <f t="shared" si="246"/>
        <v>-235.05658638241499</v>
      </c>
      <c r="J68" s="69">
        <f t="shared" si="246"/>
        <v>-246.76874727371998</v>
      </c>
      <c r="K68" s="69">
        <f t="shared" si="246"/>
        <v>-256.33227115339196</v>
      </c>
      <c r="L68" s="69">
        <f t="shared" si="246"/>
        <v>-265.69611590221348</v>
      </c>
      <c r="M68" s="69">
        <f t="shared" si="246"/>
        <v>-275.07418561948498</v>
      </c>
      <c r="N68" s="69">
        <f t="shared" si="246"/>
        <v>-284.4380303683065</v>
      </c>
      <c r="O68" s="69">
        <f t="shared" ref="O68" si="247">N68+O67</f>
        <v>-293.816100085578</v>
      </c>
      <c r="P68" s="69">
        <f t="shared" ref="P68" si="248">O68+P67</f>
        <v>-303.17994483439952</v>
      </c>
      <c r="Q68" s="69">
        <f t="shared" ref="Q68" si="249">P68+Q67</f>
        <v>-312.55801455167102</v>
      </c>
      <c r="R68" s="69">
        <f t="shared" ref="R68" si="250">Q68+R67</f>
        <v>-321.92185930049254</v>
      </c>
      <c r="S68" s="69">
        <f t="shared" ref="S68" si="251">R68+S67</f>
        <v>-331.29992901776404</v>
      </c>
      <c r="T68" s="69">
        <f t="shared" ref="T68" si="252">S68+T67</f>
        <v>-340.66377376658556</v>
      </c>
      <c r="U68" s="69">
        <f t="shared" ref="U68" si="253">T68+U67</f>
        <v>-350.04184348385706</v>
      </c>
      <c r="V68" s="69">
        <f t="shared" ref="V68" si="254">U68+V67</f>
        <v>-359.40568823267859</v>
      </c>
      <c r="W68" s="69">
        <f t="shared" ref="W68" si="255">V68+W67</f>
        <v>-330.26509536561457</v>
      </c>
      <c r="X68" s="69">
        <f t="shared" ref="X68" si="256">W68+X67</f>
        <v>-255.82612217400006</v>
      </c>
      <c r="Y68" s="69">
        <f t="shared" ref="Y68" si="257">X68+Y67</f>
        <v>-174.60439101000003</v>
      </c>
      <c r="Z68" s="69">
        <f t="shared" ref="Z68" si="258">Y68+Z67</f>
        <v>-93.38265984600001</v>
      </c>
      <c r="AA68" s="69">
        <f t="shared" ref="AA68" si="259">Z68+AA67</f>
        <v>-12.160928681999991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SC 2-11 Confidential Attachment 2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zoomScaleNormal="100" zoomScaleSheetLayoutView="50" workbookViewId="0">
      <selection activeCell="B32" sqref="B32:I32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47" t="str">
        <f>Input!B2&amp;" Total Company"</f>
        <v>KPCO Total Company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7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297</v>
      </c>
      <c r="X4" s="96" t="s">
        <v>298</v>
      </c>
      <c r="Y4" s="96" t="s">
        <v>299</v>
      </c>
      <c r="Z4" s="96" t="s">
        <v>300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5">
        <f t="shared" ref="O5" si="3">N5+1</f>
        <v>2041</v>
      </c>
      <c r="P5" s="95">
        <f t="shared" ref="P5" si="4">O5+1</f>
        <v>2042</v>
      </c>
      <c r="Q5" s="95">
        <f t="shared" ref="Q5" si="5">P5+1</f>
        <v>2043</v>
      </c>
      <c r="R5" s="95">
        <f t="shared" ref="R5" si="6">Q5+1</f>
        <v>2044</v>
      </c>
      <c r="S5" s="95">
        <f t="shared" ref="S5" si="7">R5+1</f>
        <v>2045</v>
      </c>
      <c r="T5" s="95">
        <f t="shared" ref="T5" si="8">S5+1</f>
        <v>2046</v>
      </c>
      <c r="U5" s="95">
        <f t="shared" ref="U5" si="9">T5+1</f>
        <v>2047</v>
      </c>
      <c r="V5" s="95">
        <f t="shared" ref="V5" si="10">U5+1</f>
        <v>2048</v>
      </c>
      <c r="W5" s="95">
        <f t="shared" ref="W5" si="11">V5+1</f>
        <v>2049</v>
      </c>
      <c r="X5" s="95">
        <f t="shared" ref="X5" si="12">W5+1</f>
        <v>2050</v>
      </c>
      <c r="Y5" s="95">
        <f t="shared" ref="Y5" si="13">X5+1</f>
        <v>2051</v>
      </c>
      <c r="Z5" s="95">
        <f t="shared" ref="Z5" si="14">Y5+1</f>
        <v>2052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>
        <f>Input!O46</f>
        <v>0</v>
      </c>
      <c r="P6" s="3">
        <f>Input!P46</f>
        <v>0</v>
      </c>
      <c r="Q6" s="3">
        <f>Input!Q46</f>
        <v>0</v>
      </c>
      <c r="R6" s="3">
        <f>Input!R46</f>
        <v>0</v>
      </c>
      <c r="S6" s="3">
        <f>Input!S46</f>
        <v>0</v>
      </c>
      <c r="T6" s="3">
        <f>Input!T46</f>
        <v>0</v>
      </c>
      <c r="U6" s="3">
        <f>Input!U46</f>
        <v>0</v>
      </c>
      <c r="V6" s="3">
        <f>Input!V46</f>
        <v>0</v>
      </c>
      <c r="W6" s="3">
        <f>Input!W46</f>
        <v>0</v>
      </c>
      <c r="X6" s="3">
        <f>Input!X46</f>
        <v>0</v>
      </c>
      <c r="Y6" s="3">
        <f>Input!Y46</f>
        <v>0</v>
      </c>
      <c r="Z6" s="3">
        <f>Input!Z46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>
        <f>Input!O48</f>
        <v>0</v>
      </c>
      <c r="P7" s="3">
        <f>Input!P48</f>
        <v>0</v>
      </c>
      <c r="Q7" s="3">
        <f>Input!Q48</f>
        <v>0</v>
      </c>
      <c r="R7" s="3">
        <f>Input!R48</f>
        <v>0</v>
      </c>
      <c r="S7" s="3">
        <f>Input!S48</f>
        <v>0</v>
      </c>
      <c r="T7" s="3">
        <f>Input!T48</f>
        <v>0</v>
      </c>
      <c r="U7" s="3">
        <f>Input!U48</f>
        <v>0</v>
      </c>
      <c r="V7" s="3">
        <f>Input!V48</f>
        <v>0</v>
      </c>
      <c r="W7" s="3">
        <f>Input!W48</f>
        <v>0</v>
      </c>
      <c r="X7" s="3">
        <f>Input!X48</f>
        <v>0</v>
      </c>
      <c r="Y7" s="3">
        <f>Input!Y48</f>
        <v>0</v>
      </c>
      <c r="Z7" s="3">
        <f>Input!Z48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>
        <f>Input!O49</f>
        <v>0</v>
      </c>
      <c r="P9" s="3">
        <f>Input!P49</f>
        <v>0</v>
      </c>
      <c r="Q9" s="3">
        <f>Input!Q49</f>
        <v>0</v>
      </c>
      <c r="R9" s="3">
        <f>Input!R49</f>
        <v>0</v>
      </c>
      <c r="S9" s="3">
        <f>Input!S49</f>
        <v>0</v>
      </c>
      <c r="T9" s="3">
        <f>Input!T49</f>
        <v>0</v>
      </c>
      <c r="U9" s="3">
        <f>Input!U49</f>
        <v>0</v>
      </c>
      <c r="V9" s="3">
        <f>Input!V49</f>
        <v>0</v>
      </c>
      <c r="W9" s="3">
        <f>Input!W49</f>
        <v>0</v>
      </c>
      <c r="X9" s="3">
        <f>Input!X49</f>
        <v>0</v>
      </c>
      <c r="Y9" s="3">
        <f>Input!Y49</f>
        <v>0</v>
      </c>
      <c r="Z9" s="3">
        <f>Input!Z49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>
        <f>Input!O50</f>
        <v>0</v>
      </c>
      <c r="P10" s="3">
        <f>Input!P50</f>
        <v>0</v>
      </c>
      <c r="Q10" s="3">
        <f>Input!Q50</f>
        <v>0</v>
      </c>
      <c r="R10" s="3">
        <f>Input!R50</f>
        <v>0</v>
      </c>
      <c r="S10" s="3">
        <f>Input!S50</f>
        <v>0</v>
      </c>
      <c r="T10" s="3">
        <f>Input!T50</f>
        <v>0</v>
      </c>
      <c r="U10" s="3">
        <f>Input!U50</f>
        <v>0</v>
      </c>
      <c r="V10" s="3">
        <f>Input!V50</f>
        <v>0</v>
      </c>
      <c r="W10" s="3">
        <f>Input!W50</f>
        <v>0</v>
      </c>
      <c r="X10" s="3">
        <f>Input!X50</f>
        <v>0</v>
      </c>
      <c r="Y10" s="3">
        <f>Input!Y50</f>
        <v>0</v>
      </c>
      <c r="Z10" s="3">
        <f>Input!Z50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>
        <f>Input!O51</f>
        <v>0</v>
      </c>
      <c r="P11" s="3">
        <f>Input!P51</f>
        <v>0</v>
      </c>
      <c r="Q11" s="3">
        <f>Input!Q51</f>
        <v>0</v>
      </c>
      <c r="R11" s="3">
        <f>Input!R51</f>
        <v>0</v>
      </c>
      <c r="S11" s="3">
        <f>Input!S51</f>
        <v>0</v>
      </c>
      <c r="T11" s="3">
        <f>Input!T51</f>
        <v>0</v>
      </c>
      <c r="U11" s="3">
        <f>Input!U51</f>
        <v>0</v>
      </c>
      <c r="V11" s="3">
        <f>Input!V51</f>
        <v>0</v>
      </c>
      <c r="W11" s="3">
        <f>Input!W51</f>
        <v>0</v>
      </c>
      <c r="X11" s="3">
        <f>Input!X51</f>
        <v>0</v>
      </c>
      <c r="Y11" s="3">
        <f>Input!Y51</f>
        <v>0</v>
      </c>
      <c r="Z11" s="3">
        <f>Input!Z51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>
        <f>Input!O52</f>
        <v>0</v>
      </c>
      <c r="P12" s="3">
        <f>Input!P52</f>
        <v>0</v>
      </c>
      <c r="Q12" s="3">
        <f>Input!Q52</f>
        <v>0</v>
      </c>
      <c r="R12" s="3">
        <f>Input!R52</f>
        <v>0</v>
      </c>
      <c r="S12" s="3">
        <f>Input!S52</f>
        <v>0</v>
      </c>
      <c r="T12" s="3">
        <f>Input!T52</f>
        <v>0</v>
      </c>
      <c r="U12" s="3">
        <f>Input!U52</f>
        <v>0</v>
      </c>
      <c r="V12" s="3">
        <f>Input!V52</f>
        <v>0</v>
      </c>
      <c r="W12" s="3">
        <f>Input!W52</f>
        <v>0</v>
      </c>
      <c r="X12" s="3">
        <f>Input!X52</f>
        <v>0</v>
      </c>
      <c r="Y12" s="3">
        <f>Input!Y52</f>
        <v>0</v>
      </c>
      <c r="Z12" s="3">
        <f>Input!Z52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5">SUM(G6:G12)</f>
        <v>0</v>
      </c>
      <c r="H13" s="54">
        <f t="shared" si="15"/>
        <v>0</v>
      </c>
      <c r="I13" s="54">
        <f t="shared" si="15"/>
        <v>0</v>
      </c>
      <c r="J13" s="54">
        <f t="shared" si="15"/>
        <v>0</v>
      </c>
      <c r="K13" s="54">
        <f t="shared" si="15"/>
        <v>0</v>
      </c>
      <c r="L13" s="54">
        <f t="shared" si="15"/>
        <v>0</v>
      </c>
      <c r="M13" s="54">
        <f t="shared" ref="M13" si="16">SUM(M6:M12)</f>
        <v>0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6568680</v>
      </c>
      <c r="C14" s="3">
        <f>'Rate Base - coal'!D19*1000</f>
        <v>7725360.0000000009</v>
      </c>
      <c r="D14" s="3">
        <f>'Rate Base - coal'!E19*1000</f>
        <v>7725360.0000000009</v>
      </c>
      <c r="E14" s="3">
        <f>'Rate Base - coal'!F19*1000</f>
        <v>7725360.0000000009</v>
      </c>
      <c r="F14" s="3">
        <f>'Rate Base - coal'!G19*1000</f>
        <v>7725360.0000000009</v>
      </c>
      <c r="G14" s="3">
        <f>'Rate Base - coal'!H19*1000</f>
        <v>7725360.0000000009</v>
      </c>
      <c r="H14" s="3">
        <f>'Rate Base - coal'!I19*1000</f>
        <v>7725360.0000000009</v>
      </c>
      <c r="I14" s="3">
        <f>'Rate Base - coal'!J19*1000</f>
        <v>7725360.0000000009</v>
      </c>
      <c r="J14" s="3">
        <f>'Rate Base - coal'!K19*1000</f>
        <v>7725360.0000000009</v>
      </c>
      <c r="K14" s="3">
        <f>'Rate Base - coal'!L19*1000</f>
        <v>7725360.0000000009</v>
      </c>
      <c r="L14" s="3">
        <f>'Rate Base - coal'!M19*1000</f>
        <v>7725360.0000000009</v>
      </c>
      <c r="M14" s="3">
        <f>'Rate Base - coal'!N19*1000</f>
        <v>7725360.0000000009</v>
      </c>
      <c r="N14" s="3">
        <f>'Rate Base - coal'!O19*1000</f>
        <v>7725360.0000000009</v>
      </c>
      <c r="O14" s="3">
        <f>'Rate Base - coal'!P19*1000</f>
        <v>7725360.0000000009</v>
      </c>
      <c r="P14" s="3">
        <f>'Rate Base - coal'!Q19*1000</f>
        <v>7725360.0000000009</v>
      </c>
      <c r="Q14" s="3">
        <f>'Rate Base - coal'!R19*1000</f>
        <v>7725360.0000000009</v>
      </c>
      <c r="R14" s="3">
        <f>'Rate Base - coal'!S19*1000</f>
        <v>7725360.0000000009</v>
      </c>
      <c r="S14" s="3">
        <f>'Rate Base - coal'!T19*1000</f>
        <v>7725360.0000000009</v>
      </c>
      <c r="T14" s="3">
        <f>'Rate Base - coal'!U19*1000</f>
        <v>7725360.0000000009</v>
      </c>
      <c r="U14" s="3">
        <f>'Rate Base - coal'!V19*1000</f>
        <v>7725360.0000000009</v>
      </c>
      <c r="V14" s="3">
        <f>'Rate Base - coal'!W19*1000</f>
        <v>7725360.0000000009</v>
      </c>
      <c r="W14" s="3">
        <f>'Rate Base - coal'!X19*1000</f>
        <v>7725360.0000000009</v>
      </c>
      <c r="X14" s="3">
        <f>'Rate Base - coal'!Y19*1000</f>
        <v>7725360.0000000009</v>
      </c>
      <c r="Y14" s="3">
        <f>'Rate Base - coal'!Z19*1000</f>
        <v>7725360.0000000009</v>
      </c>
      <c r="Z14" s="3">
        <f>'Rate Base - coal'!AA19*1000</f>
        <v>7725360.0000000009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-520113.78207081062</v>
      </c>
      <c r="C15" s="3">
        <f>SIT!E20</f>
        <v>-886314.63692351524</v>
      </c>
      <c r="D15" s="3">
        <f>SIT!F20</f>
        <v>-879818.27411419118</v>
      </c>
      <c r="E15" s="3">
        <f>SIT!G20</f>
        <v>-819034.14778260619</v>
      </c>
      <c r="F15" s="3">
        <f>SIT!H20</f>
        <v>-762121.56960863795</v>
      </c>
      <c r="G15" s="3">
        <f>SIT!I20</f>
        <v>-708970.37939453532</v>
      </c>
      <c r="H15" s="3">
        <f>SIT!J20</f>
        <v>-659148.95567517029</v>
      </c>
      <c r="I15" s="3">
        <f>SIT!K20</f>
        <v>-612564.85116293258</v>
      </c>
      <c r="J15" s="3">
        <f>SIT!L20</f>
        <v>-591655.88245274348</v>
      </c>
      <c r="K15" s="3">
        <f>SIT!M20</f>
        <v>-580034.02921833715</v>
      </c>
      <c r="L15" s="3">
        <f>SIT!N20</f>
        <v>-569430.31359117012</v>
      </c>
      <c r="M15" s="3">
        <f>SIT!O20</f>
        <v>-558691.57541581383</v>
      </c>
      <c r="N15" s="3">
        <f>SIT!P20</f>
        <v>-548087.85978864669</v>
      </c>
      <c r="O15" s="3">
        <f>SIT!Q20</f>
        <v>-537349.12161329039</v>
      </c>
      <c r="P15" s="3">
        <f>SIT!R20</f>
        <v>-526745.40598612325</v>
      </c>
      <c r="Q15" s="3">
        <f>SIT!S20</f>
        <v>-516006.66781076684</v>
      </c>
      <c r="R15" s="3">
        <f>SIT!T20</f>
        <v>-505402.95218359982</v>
      </c>
      <c r="S15" s="3">
        <f>SIT!U20</f>
        <v>-494664.21400824352</v>
      </c>
      <c r="T15" s="3">
        <f>SIT!V20</f>
        <v>-484060.4983810765</v>
      </c>
      <c r="U15" s="3">
        <f>SIT!W20</f>
        <v>-473321.7602057202</v>
      </c>
      <c r="V15" s="3">
        <f>SIT!X20</f>
        <v>-280523.41008949903</v>
      </c>
      <c r="W15" s="3">
        <f>SIT!Y20</f>
        <v>-56816.585953393354</v>
      </c>
      <c r="X15" s="3">
        <f>SIT!Z20</f>
        <v>-16733.650017410589</v>
      </c>
      <c r="Y15" s="3">
        <f>SIT!AA20</f>
        <v>-8949.5615689778497</v>
      </c>
      <c r="Z15" s="3">
        <f>SIT!AB20</f>
        <v>-1165.4731205451103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-20553.810262500025</v>
      </c>
      <c r="C16" s="3">
        <f>('Rate Base - coal'!D65)*1000</f>
        <v>261031.53692745007</v>
      </c>
      <c r="D16" s="3">
        <f>('Rate Base - coal'!E65)*1000</f>
        <v>266692.61627579998</v>
      </c>
      <c r="E16" s="3">
        <f>('Rate Base - coal'!F65)*1000</f>
        <v>217738.30129170002</v>
      </c>
      <c r="F16" s="3">
        <f>('Rate Base - coal'!G65)*1000</f>
        <v>172351.78141950007</v>
      </c>
      <c r="G16" s="3">
        <f>('Rate Base - coal'!H65)*1000</f>
        <v>130446.1928829</v>
      </c>
      <c r="H16" s="3">
        <f>('Rate Base - coal'!I65)*1000</f>
        <v>91610.459476649936</v>
      </c>
      <c r="I16" s="3">
        <f>('Rate Base - coal'!J65)*1000</f>
        <v>55772.194720499981</v>
      </c>
      <c r="J16" s="3">
        <f>('Rate Base - coal'!K65)*1000</f>
        <v>45540.589903199965</v>
      </c>
      <c r="K16" s="3">
        <f>('Rate Base - coal'!L65)*1000</f>
        <v>44589.736899149968</v>
      </c>
      <c r="L16" s="3">
        <f>('Rate Base - coal'!M65)*1000</f>
        <v>44657.47484415002</v>
      </c>
      <c r="M16" s="3">
        <f>('Rate Base - coal'!N65)*1000</f>
        <v>44589.736899149968</v>
      </c>
      <c r="N16" s="3">
        <f>('Rate Base - coal'!O65)*1000</f>
        <v>44657.47484415002</v>
      </c>
      <c r="O16" s="3">
        <f>('Rate Base - coal'!P65)*1000</f>
        <v>44589.736899149968</v>
      </c>
      <c r="P16" s="3">
        <f>('Rate Base - coal'!Q65)*1000</f>
        <v>44657.47484415002</v>
      </c>
      <c r="Q16" s="3">
        <f>('Rate Base - coal'!R65)*1000</f>
        <v>44589.736899149968</v>
      </c>
      <c r="R16" s="3">
        <f>('Rate Base - coal'!S65)*1000</f>
        <v>44657.47484415002</v>
      </c>
      <c r="S16" s="3">
        <f>('Rate Base - coal'!T65)*1000</f>
        <v>44589.736899149968</v>
      </c>
      <c r="T16" s="3">
        <f>('Rate Base - coal'!U65)*1000</f>
        <v>44657.47484415002</v>
      </c>
      <c r="U16" s="3">
        <f>('Rate Base - coal'!V65)*1000</f>
        <v>44589.736899149968</v>
      </c>
      <c r="V16" s="3">
        <f>('Rate Base - coal'!W65)*1000</f>
        <v>-138764.72793840006</v>
      </c>
      <c r="W16" s="3">
        <f>('Rate Base - coal'!X65)*1000</f>
        <v>-354471.30091245001</v>
      </c>
      <c r="X16" s="3">
        <f>('Rate Base - coal'!Y65)*1000</f>
        <v>-386770.14840000012</v>
      </c>
      <c r="Y16" s="3">
        <f>('Rate Base - coal'!Z65)*1000</f>
        <v>-386770.14840000012</v>
      </c>
      <c r="Z16" s="3">
        <f>('Rate Base - coal'!AA65)*1000</f>
        <v>-386770.14840000012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-2072417.8561869857</v>
      </c>
      <c r="C17" s="3">
        <f>FIT!E25</f>
        <v>-3531562.4063007534</v>
      </c>
      <c r="D17" s="3">
        <f>FIT!F25</f>
        <v>-3505677.3427811735</v>
      </c>
      <c r="E17" s="3">
        <f>FIT!G25</f>
        <v>-3263480.1291623428</v>
      </c>
      <c r="F17" s="3">
        <f>FIT!H25</f>
        <v>-3036709.2814840325</v>
      </c>
      <c r="G17" s="3">
        <f>FIT!I25</f>
        <v>-2824925.8612509947</v>
      </c>
      <c r="H17" s="3">
        <f>FIT!J25</f>
        <v>-2626410.0524108959</v>
      </c>
      <c r="I17" s="3">
        <f>FIT!K25</f>
        <v>-2440793.4943930223</v>
      </c>
      <c r="J17" s="3">
        <f>FIT!L25</f>
        <v>-2357480.7239893503</v>
      </c>
      <c r="K17" s="3">
        <f>FIT!M25</f>
        <v>-2311172.9025179148</v>
      </c>
      <c r="L17" s="3">
        <f>FIT!N25</f>
        <v>-2268921.8982853871</v>
      </c>
      <c r="M17" s="3">
        <f>FIT!O25</f>
        <v>-2226132.8903515511</v>
      </c>
      <c r="N17" s="3">
        <f>FIT!P25</f>
        <v>-2183881.886119023</v>
      </c>
      <c r="O17" s="3">
        <f>FIT!Q25</f>
        <v>-2141092.878185187</v>
      </c>
      <c r="P17" s="3">
        <f>FIT!R25</f>
        <v>-2098841.8739526588</v>
      </c>
      <c r="Q17" s="3">
        <f>FIT!S25</f>
        <v>-2056052.8660188231</v>
      </c>
      <c r="R17" s="3">
        <f>FIT!T25</f>
        <v>-2013801.861786295</v>
      </c>
      <c r="S17" s="3">
        <f>FIT!U25</f>
        <v>-1971012.8538524592</v>
      </c>
      <c r="T17" s="3">
        <f>FIT!V25</f>
        <v>-1928761.8496199311</v>
      </c>
      <c r="U17" s="3">
        <f>FIT!W25</f>
        <v>-1885972.8416860949</v>
      </c>
      <c r="V17" s="3">
        <f>FIT!X25</f>
        <v>-1117758.7370080363</v>
      </c>
      <c r="W17" s="3">
        <f>FIT!Y25</f>
        <v>-226388.36215527239</v>
      </c>
      <c r="X17" s="3">
        <f>FIT!Z25</f>
        <v>-66676.016461613413</v>
      </c>
      <c r="Y17" s="3">
        <f>FIT!AA25</f>
        <v>-35659.949495568966</v>
      </c>
      <c r="Z17" s="3">
        <f>FIT!AB25</f>
        <v>-4643.8825295247134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-81897.624844875099</v>
      </c>
      <c r="C18" s="3">
        <f>('Rate Base - coal'!D63+'Rate Base - coal'!D67)*1000</f>
        <v>1040092.4505452355</v>
      </c>
      <c r="D18" s="3">
        <f>('Rate Base - coal'!E63+'Rate Base - coal'!E67)*1000</f>
        <v>1062649.2877820816</v>
      </c>
      <c r="E18" s="3">
        <f>('Rate Base - coal'!F63+'Rate Base - coal'!F67)*1000</f>
        <v>867588.51452874299</v>
      </c>
      <c r="F18" s="3">
        <f>('Rate Base - coal'!G63+'Rate Base - coal'!G67)*1000</f>
        <v>686743.78890190518</v>
      </c>
      <c r="G18" s="3">
        <f>('Rate Base - coal'!H63+'Rate Base - coal'!H67)*1000</f>
        <v>519768.99809459085</v>
      </c>
      <c r="H18" s="3">
        <f>('Rate Base - coal'!I63+'Rate Base - coal'!I67)*1000</f>
        <v>365026.1896099032</v>
      </c>
      <c r="I18" s="3">
        <f>('Rate Base - coal'!J63+'Rate Base - coal'!J67)*1000</f>
        <v>222226.93610869491</v>
      </c>
      <c r="J18" s="3">
        <f>('Rate Base - coal'!K63+'Rate Base - coal'!K67)*1000</f>
        <v>181458.62492032783</v>
      </c>
      <c r="K18" s="3">
        <f>('Rate Base - coal'!L63+'Rate Base - coal'!L67)*1000</f>
        <v>177669.90635117836</v>
      </c>
      <c r="L18" s="3">
        <f>('Rate Base - coal'!M63+'Rate Base - coal'!M67)*1000</f>
        <v>177939.81138272854</v>
      </c>
      <c r="M18" s="3">
        <f>('Rate Base - coal'!N63+'Rate Base - coal'!N67)*1000</f>
        <v>177669.90635117836</v>
      </c>
      <c r="N18" s="3">
        <f>('Rate Base - coal'!O63+'Rate Base - coal'!O67)*1000</f>
        <v>177939.81138272854</v>
      </c>
      <c r="O18" s="3">
        <f>('Rate Base - coal'!P63+'Rate Base - coal'!P67)*1000</f>
        <v>177669.90635117836</v>
      </c>
      <c r="P18" s="3">
        <f>('Rate Base - coal'!Q63+'Rate Base - coal'!Q67)*1000</f>
        <v>177939.81138272854</v>
      </c>
      <c r="Q18" s="3">
        <f>('Rate Base - coal'!R63+'Rate Base - coal'!R67)*1000</f>
        <v>177669.90635117836</v>
      </c>
      <c r="R18" s="3">
        <f>('Rate Base - coal'!S63+'Rate Base - coal'!S67)*1000</f>
        <v>177939.81138272854</v>
      </c>
      <c r="S18" s="3">
        <f>('Rate Base - coal'!T63+'Rate Base - coal'!T67)*1000</f>
        <v>177669.90635117836</v>
      </c>
      <c r="T18" s="3">
        <f>('Rate Base - coal'!U63+'Rate Base - coal'!U67)*1000</f>
        <v>177939.81138272854</v>
      </c>
      <c r="U18" s="3">
        <f>('Rate Base - coal'!V63+'Rate Base - coal'!V67)*1000</f>
        <v>177669.90635117836</v>
      </c>
      <c r="V18" s="3">
        <f>('Rate Base - coal'!W63+'Rate Base - coal'!W67)*1000</f>
        <v>-552914.59273293603</v>
      </c>
      <c r="W18" s="3">
        <f>('Rate Base - coal'!X63+'Rate Base - coal'!X67)*1000</f>
        <v>-1412407.5901083855</v>
      </c>
      <c r="X18" s="3">
        <f>('Rate Base - coal'!Y63+'Rate Base - coal'!Y67)*1000</f>
        <v>-1541103.8688360001</v>
      </c>
      <c r="Y18" s="3">
        <f>('Rate Base - coal'!Z63+'Rate Base - coal'!Z67)*1000</f>
        <v>-1541103.8688360001</v>
      </c>
      <c r="Z18" s="3">
        <f>('Rate Base - coal'!AA63+'Rate Base - coal'!AA67)*1000</f>
        <v>-1541103.8688360001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3873696.9266348276</v>
      </c>
      <c r="C19" s="22">
        <f>SUM(C13:C18)</f>
        <v>4608606.9442484183</v>
      </c>
      <c r="D19" s="22">
        <f>SUM(D13:D18)</f>
        <v>4669206.2871625181</v>
      </c>
      <c r="E19" s="22">
        <f>SUM(E13:E18)</f>
        <v>4728172.538875496</v>
      </c>
      <c r="F19" s="22">
        <f>SUM(F13:F18)</f>
        <v>4785624.7192287352</v>
      </c>
      <c r="G19" s="22">
        <f t="shared" ref="G19:L19" si="18">SUM(G13:G18)</f>
        <v>4841678.9503319617</v>
      </c>
      <c r="H19" s="22">
        <f t="shared" si="18"/>
        <v>4896437.6410004869</v>
      </c>
      <c r="I19" s="22">
        <f t="shared" si="18"/>
        <v>4950000.7852732409</v>
      </c>
      <c r="J19" s="22">
        <f t="shared" si="18"/>
        <v>5003222.6083814362</v>
      </c>
      <c r="K19" s="22">
        <f t="shared" si="18"/>
        <v>5056412.7115140762</v>
      </c>
      <c r="L19" s="22">
        <f t="shared" si="18"/>
        <v>5109605.0743503226</v>
      </c>
      <c r="M19" s="22">
        <f t="shared" ref="M19:Z19" si="19">SUM(M13:M18)</f>
        <v>5162795.1774829635</v>
      </c>
      <c r="N19" s="22">
        <f t="shared" si="19"/>
        <v>5215987.5403192099</v>
      </c>
      <c r="O19" s="22">
        <f t="shared" si="19"/>
        <v>5269177.6434518518</v>
      </c>
      <c r="P19" s="22">
        <f t="shared" si="19"/>
        <v>5322370.0062880972</v>
      </c>
      <c r="Q19" s="22">
        <f t="shared" si="19"/>
        <v>5375560.1094207382</v>
      </c>
      <c r="R19" s="22">
        <f t="shared" si="19"/>
        <v>5428752.4722569855</v>
      </c>
      <c r="S19" s="22">
        <f t="shared" si="19"/>
        <v>5481942.5753896255</v>
      </c>
      <c r="T19" s="22">
        <f t="shared" si="19"/>
        <v>5535134.9382258719</v>
      </c>
      <c r="U19" s="22">
        <f t="shared" si="19"/>
        <v>5588325.0413585128</v>
      </c>
      <c r="V19" s="22">
        <f t="shared" si="19"/>
        <v>5635398.5322311297</v>
      </c>
      <c r="W19" s="22">
        <f t="shared" si="19"/>
        <v>5675276.1608704999</v>
      </c>
      <c r="X19" s="22">
        <f t="shared" si="19"/>
        <v>5714076.3162849769</v>
      </c>
      <c r="Y19" s="22">
        <f t="shared" si="19"/>
        <v>5752876.4716994539</v>
      </c>
      <c r="Z19" s="22">
        <f t="shared" si="19"/>
        <v>5791676.6271139309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6.9533995942596558E-2</v>
      </c>
      <c r="C21" s="53">
        <f t="shared" si="20"/>
        <v>6.9533995942596558E-2</v>
      </c>
      <c r="D21" s="53">
        <f t="shared" si="20"/>
        <v>6.9533995942596558E-2</v>
      </c>
      <c r="E21" s="53">
        <f t="shared" si="20"/>
        <v>6.9533995942596558E-2</v>
      </c>
      <c r="F21" s="53">
        <f t="shared" si="20"/>
        <v>6.9533995942596558E-2</v>
      </c>
      <c r="G21" s="53">
        <f t="shared" si="20"/>
        <v>6.9533995942596558E-2</v>
      </c>
      <c r="H21" s="53">
        <f t="shared" si="20"/>
        <v>6.9533995942596558E-2</v>
      </c>
      <c r="I21" s="53">
        <f t="shared" si="20"/>
        <v>6.9533995942596558E-2</v>
      </c>
      <c r="J21" s="53">
        <f t="shared" si="20"/>
        <v>6.9533995942596558E-2</v>
      </c>
      <c r="K21" s="53">
        <f t="shared" si="20"/>
        <v>6.9533995942596558E-2</v>
      </c>
      <c r="L21" s="53">
        <f t="shared" si="20"/>
        <v>6.9533995942596558E-2</v>
      </c>
      <c r="M21" s="53">
        <f t="shared" si="20"/>
        <v>6.9533995942596558E-2</v>
      </c>
      <c r="N21" s="53">
        <f t="shared" si="20"/>
        <v>6.9533995942596558E-2</v>
      </c>
      <c r="O21" s="53">
        <f t="shared" si="20"/>
        <v>6.9533995942596558E-2</v>
      </c>
      <c r="P21" s="53">
        <f t="shared" si="20"/>
        <v>6.9533995942596558E-2</v>
      </c>
      <c r="Q21" s="53">
        <f t="shared" si="20"/>
        <v>6.9533995942596558E-2</v>
      </c>
      <c r="R21" s="53">
        <f t="shared" si="20"/>
        <v>6.9533995942596558E-2</v>
      </c>
      <c r="S21" s="53">
        <f t="shared" si="20"/>
        <v>6.9533995942596558E-2</v>
      </c>
      <c r="T21" s="53">
        <f t="shared" si="20"/>
        <v>6.9533995942596558E-2</v>
      </c>
      <c r="U21" s="53">
        <f t="shared" si="20"/>
        <v>6.9533995942596558E-2</v>
      </c>
      <c r="V21" s="53">
        <f t="shared" si="20"/>
        <v>6.9533995942596558E-2</v>
      </c>
      <c r="W21" s="53">
        <f t="shared" si="20"/>
        <v>6.9533995942596558E-2</v>
      </c>
      <c r="X21" s="53">
        <f t="shared" si="20"/>
        <v>6.9533995942596558E-2</v>
      </c>
      <c r="Y21" s="53">
        <f t="shared" si="20"/>
        <v>6.9533995942596558E-2</v>
      </c>
      <c r="Z21" s="53">
        <f t="shared" si="20"/>
        <v>6.9533995942596558E-2</v>
      </c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157750771.43510741</v>
      </c>
      <c r="C23" s="7">
        <f>('Rate Base - coal'!D16)*1000</f>
        <v>177641287.44763467</v>
      </c>
      <c r="D23" s="7">
        <f>('Rate Base - coal'!E16)*1000</f>
        <v>168586585.54357681</v>
      </c>
      <c r="E23" s="7">
        <f>('Rate Base - coal'!F16)*1000</f>
        <v>159775898.72775635</v>
      </c>
      <c r="F23" s="7">
        <f>('Rate Base - coal'!G16)*1000</f>
        <v>151191443.157435</v>
      </c>
      <c r="G23" s="7">
        <f>('Rate Base - coal'!H16)*1000</f>
        <v>142815867.96645749</v>
      </c>
      <c r="H23" s="7">
        <f>('Rate Base - coal'!I16)*1000</f>
        <v>134633871.31737095</v>
      </c>
      <c r="I23" s="7">
        <f>('Rate Base - coal'!J16)*1000</f>
        <v>126630512.18654171</v>
      </c>
      <c r="J23" s="7">
        <f>('Rate Base - coal'!K16)*1000</f>
        <v>118678152.97171818</v>
      </c>
      <c r="K23" s="7">
        <f>('Rate Base - coal'!L16)*1000</f>
        <v>110730533.32846786</v>
      </c>
      <c r="L23" s="7">
        <f>('Rate Base - coal'!M16)*1000</f>
        <v>102782576.04224099</v>
      </c>
      <c r="M23" s="7">
        <f>('Rate Base - coal'!N16)*1000</f>
        <v>94834956.398990661</v>
      </c>
      <c r="N23" s="7">
        <f>('Rate Base - coal'!O16)*1000</f>
        <v>86886999.112763777</v>
      </c>
      <c r="O23" s="7">
        <f>('Rate Base - coal'!P16)*1000</f>
        <v>78939379.469513461</v>
      </c>
      <c r="P23" s="7">
        <f>('Rate Base - coal'!Q16)*1000</f>
        <v>70991422.183286577</v>
      </c>
      <c r="Q23" s="7">
        <f>('Rate Base - coal'!R16)*1000</f>
        <v>63043802.540036239</v>
      </c>
      <c r="R23" s="7">
        <f>('Rate Base - coal'!S16)*1000</f>
        <v>55095845.253809363</v>
      </c>
      <c r="S23" s="7">
        <f>('Rate Base - coal'!T16)*1000</f>
        <v>47148225.610559046</v>
      </c>
      <c r="T23" s="7">
        <f>('Rate Base - coal'!U16)*1000</f>
        <v>39200268.324332185</v>
      </c>
      <c r="U23" s="7">
        <f>('Rate Base - coal'!V16)*1000</f>
        <v>31252648.681081869</v>
      </c>
      <c r="V23" s="7">
        <f>('Rate Base - coal'!W16)*1000</f>
        <v>24218968.001753218</v>
      </c>
      <c r="W23" s="7">
        <f>('Rate Base - coal'!X16)*1000</f>
        <v>18260486.892774068</v>
      </c>
      <c r="X23" s="7">
        <f>('Rate Base - coal'!Y16)*1000</f>
        <v>12463000.910010083</v>
      </c>
      <c r="Y23" s="7">
        <f>('Rate Base - coal'!Z16)*1000</f>
        <v>6665514.9272460984</v>
      </c>
      <c r="Z23" s="7">
        <f>('Rate Base - coal'!AA16)*1000</f>
        <v>868028.94448211277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10969041.500910236</v>
      </c>
      <c r="C24" s="7">
        <f>C23*C21</f>
        <v>12352108.560621457</v>
      </c>
      <c r="D24" s="7">
        <f>D23*D21</f>
        <v>11722498.955163278</v>
      </c>
      <c r="E24" s="7">
        <f>E23*E21</f>
        <v>11109856.693860529</v>
      </c>
      <c r="F24" s="7">
        <f>F23*F21</f>
        <v>10512945.195064403</v>
      </c>
      <c r="G24" s="7">
        <f t="shared" ref="G24:L24" si="21">G23*G21</f>
        <v>9930557.98371806</v>
      </c>
      <c r="H24" s="7">
        <f t="shared" si="21"/>
        <v>9361631.0619181395</v>
      </c>
      <c r="I24" s="7">
        <f t="shared" si="21"/>
        <v>8805125.5205879156</v>
      </c>
      <c r="J24" s="7">
        <f t="shared" si="21"/>
        <v>8252166.2072103051</v>
      </c>
      <c r="K24" s="7">
        <f t="shared" si="21"/>
        <v>7699536.4551832369</v>
      </c>
      <c r="L24" s="7">
        <f t="shared" si="21"/>
        <v>7146883.2254908076</v>
      </c>
      <c r="M24" s="7">
        <f t="shared" ref="M24:Z24" si="22">M23*M21</f>
        <v>6594253.4734637383</v>
      </c>
      <c r="N24" s="7">
        <f t="shared" si="22"/>
        <v>6041600.2437713072</v>
      </c>
      <c r="O24" s="7">
        <f t="shared" si="22"/>
        <v>5488970.4917442389</v>
      </c>
      <c r="P24" s="7">
        <f t="shared" si="22"/>
        <v>4936317.2620518077</v>
      </c>
      <c r="Q24" s="7">
        <f t="shared" si="22"/>
        <v>4383687.5100247385</v>
      </c>
      <c r="R24" s="7">
        <f t="shared" si="22"/>
        <v>3831034.2803323078</v>
      </c>
      <c r="S24" s="7">
        <f t="shared" si="22"/>
        <v>3278404.52830524</v>
      </c>
      <c r="T24" s="7">
        <f t="shared" si="22"/>
        <v>2725751.2986128107</v>
      </c>
      <c r="U24" s="7">
        <f t="shared" si="22"/>
        <v>2173121.5465857424</v>
      </c>
      <c r="V24" s="7">
        <f t="shared" si="22"/>
        <v>1684041.6227677842</v>
      </c>
      <c r="W24" s="7">
        <f t="shared" si="22"/>
        <v>1269724.6215119897</v>
      </c>
      <c r="X24" s="7">
        <f t="shared" si="22"/>
        <v>866602.25470921828</v>
      </c>
      <c r="Y24" s="7">
        <f t="shared" si="22"/>
        <v>463479.88790644699</v>
      </c>
      <c r="Z24" s="7">
        <f t="shared" si="22"/>
        <v>60357.521103675601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14842738.427545063</v>
      </c>
      <c r="C26" s="38">
        <f>C24+C19</f>
        <v>16960715.504869875</v>
      </c>
      <c r="D26" s="38">
        <f>D24+D19</f>
        <v>16391705.242325796</v>
      </c>
      <c r="E26" s="38">
        <f>E24+E19</f>
        <v>15838029.232736025</v>
      </c>
      <c r="F26" s="38">
        <f>F24+F19</f>
        <v>15298569.914293138</v>
      </c>
      <c r="G26" s="38">
        <f t="shared" ref="G26:L26" si="23">G24+G19</f>
        <v>14772236.934050022</v>
      </c>
      <c r="H26" s="38">
        <f t="shared" si="23"/>
        <v>14258068.702918626</v>
      </c>
      <c r="I26" s="38">
        <f t="shared" si="23"/>
        <v>13755126.305861156</v>
      </c>
      <c r="J26" s="38">
        <f t="shared" si="23"/>
        <v>13255388.815591741</v>
      </c>
      <c r="K26" s="38">
        <f t="shared" si="23"/>
        <v>12755949.166697312</v>
      </c>
      <c r="L26" s="38">
        <f t="shared" si="23"/>
        <v>12256488.29984113</v>
      </c>
      <c r="M26" s="38">
        <f t="shared" ref="M26:Z26" si="24">M24+M19</f>
        <v>11757048.650946703</v>
      </c>
      <c r="N26" s="38">
        <f t="shared" si="24"/>
        <v>11257587.784090517</v>
      </c>
      <c r="O26" s="38">
        <f t="shared" si="24"/>
        <v>10758148.13519609</v>
      </c>
      <c r="P26" s="38">
        <f t="shared" si="24"/>
        <v>10258687.268339906</v>
      </c>
      <c r="Q26" s="38">
        <f t="shared" si="24"/>
        <v>9759247.6194454767</v>
      </c>
      <c r="R26" s="38">
        <f t="shared" si="24"/>
        <v>9259786.7525892928</v>
      </c>
      <c r="S26" s="38">
        <f t="shared" si="24"/>
        <v>8760347.1036948655</v>
      </c>
      <c r="T26" s="38">
        <f t="shared" si="24"/>
        <v>8260886.2368386826</v>
      </c>
      <c r="U26" s="38">
        <f t="shared" si="24"/>
        <v>7761446.5879442552</v>
      </c>
      <c r="V26" s="38">
        <f t="shared" si="24"/>
        <v>7319440.1549989134</v>
      </c>
      <c r="W26" s="38">
        <f t="shared" si="24"/>
        <v>6945000.7823824901</v>
      </c>
      <c r="X26" s="38">
        <f t="shared" si="24"/>
        <v>6580678.5709941955</v>
      </c>
      <c r="Y26" s="38">
        <f t="shared" si="24"/>
        <v>6216356.3596059009</v>
      </c>
      <c r="Z26" s="38">
        <f t="shared" si="24"/>
        <v>5852034.1482176064</v>
      </c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Z27" si="25">GRCF</f>
        <v>1.3258945200000001</v>
      </c>
      <c r="C27" s="122">
        <f t="shared" si="25"/>
        <v>1.3258945200000001</v>
      </c>
      <c r="D27" s="122">
        <f t="shared" si="25"/>
        <v>1.3258945200000001</v>
      </c>
      <c r="E27" s="122">
        <f t="shared" si="25"/>
        <v>1.3258945200000001</v>
      </c>
      <c r="F27" s="122">
        <f t="shared" si="25"/>
        <v>1.3258945200000001</v>
      </c>
      <c r="G27" s="122">
        <f t="shared" si="25"/>
        <v>1.3258945200000001</v>
      </c>
      <c r="H27" s="122">
        <f t="shared" si="25"/>
        <v>1.3258945200000001</v>
      </c>
      <c r="I27" s="122">
        <f t="shared" si="25"/>
        <v>1.3258945200000001</v>
      </c>
      <c r="J27" s="122">
        <f t="shared" si="25"/>
        <v>1.3258945200000001</v>
      </c>
      <c r="K27" s="122">
        <f t="shared" si="25"/>
        <v>1.3258945200000001</v>
      </c>
      <c r="L27" s="122">
        <f t="shared" si="25"/>
        <v>1.3258945200000001</v>
      </c>
      <c r="M27" s="122">
        <f t="shared" si="25"/>
        <v>1.3258945200000001</v>
      </c>
      <c r="N27" s="122">
        <f t="shared" si="25"/>
        <v>1.3258945200000001</v>
      </c>
      <c r="O27" s="122">
        <f t="shared" si="25"/>
        <v>1.3258945200000001</v>
      </c>
      <c r="P27" s="122">
        <f t="shared" si="25"/>
        <v>1.3258945200000001</v>
      </c>
      <c r="Q27" s="122">
        <f t="shared" si="25"/>
        <v>1.3258945200000001</v>
      </c>
      <c r="R27" s="122">
        <f t="shared" si="25"/>
        <v>1.3258945200000001</v>
      </c>
      <c r="S27" s="122">
        <f t="shared" si="25"/>
        <v>1.3258945200000001</v>
      </c>
      <c r="T27" s="122">
        <f t="shared" si="25"/>
        <v>1.3258945200000001</v>
      </c>
      <c r="U27" s="122">
        <f t="shared" si="25"/>
        <v>1.3258945200000001</v>
      </c>
      <c r="V27" s="122">
        <f t="shared" si="25"/>
        <v>1.3258945200000001</v>
      </c>
      <c r="W27" s="122">
        <f t="shared" si="25"/>
        <v>1.3258945200000001</v>
      </c>
      <c r="X27" s="122">
        <f t="shared" si="25"/>
        <v>1.3258945200000001</v>
      </c>
      <c r="Y27" s="122">
        <f t="shared" si="25"/>
        <v>1.3258945200000001</v>
      </c>
      <c r="Z27" s="122">
        <f t="shared" si="25"/>
        <v>1.3258945200000001</v>
      </c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19679905.542875417</v>
      </c>
      <c r="C28" s="5">
        <f>C26*C27</f>
        <v>22488119.743186001</v>
      </c>
      <c r="D28" s="5">
        <f>D26*D27</f>
        <v>21733672.154255047</v>
      </c>
      <c r="E28" s="5">
        <f>E26*E27</f>
        <v>20999556.1672845</v>
      </c>
      <c r="F28" s="5">
        <f>F26*F27</f>
        <v>20284290.013198145</v>
      </c>
      <c r="G28" s="5">
        <f t="shared" ref="G28:L28" si="26">G26*G27</f>
        <v>19586427.998998526</v>
      </c>
      <c r="H28" s="5">
        <f t="shared" si="26"/>
        <v>18904695.158983316</v>
      </c>
      <c r="I28" s="5">
        <f t="shared" si="26"/>
        <v>18237846.590849154</v>
      </c>
      <c r="J28" s="5">
        <f t="shared" si="26"/>
        <v>17575247.391062383</v>
      </c>
      <c r="K28" s="5">
        <f t="shared" si="26"/>
        <v>16913043.097522534</v>
      </c>
      <c r="L28" s="5">
        <f t="shared" si="26"/>
        <v>16250810.671203472</v>
      </c>
      <c r="M28" s="5">
        <f t="shared" ref="M28:Z28" si="27">M26*M27</f>
        <v>15588606.377663627</v>
      </c>
      <c r="N28" s="5">
        <f t="shared" si="27"/>
        <v>14926373.951344561</v>
      </c>
      <c r="O28" s="5">
        <f t="shared" si="27"/>
        <v>14264169.657804715</v>
      </c>
      <c r="P28" s="5">
        <f t="shared" si="27"/>
        <v>13601937.231485652</v>
      </c>
      <c r="Q28" s="5">
        <f t="shared" si="27"/>
        <v>12939732.937945804</v>
      </c>
      <c r="R28" s="5">
        <f t="shared" si="27"/>
        <v>12277500.511626739</v>
      </c>
      <c r="S28" s="5">
        <f t="shared" si="27"/>
        <v>11615296.218086895</v>
      </c>
      <c r="T28" s="5">
        <f t="shared" si="27"/>
        <v>10953063.791767832</v>
      </c>
      <c r="U28" s="5">
        <f t="shared" si="27"/>
        <v>10290859.498227987</v>
      </c>
      <c r="V28" s="5">
        <f t="shared" si="27"/>
        <v>9704805.5909810103</v>
      </c>
      <c r="W28" s="5">
        <f t="shared" si="27"/>
        <v>9208338.4787566569</v>
      </c>
      <c r="X28" s="5">
        <f t="shared" si="27"/>
        <v>8725285.6551626362</v>
      </c>
      <c r="Y28" s="5">
        <f t="shared" si="27"/>
        <v>8242232.8315686136</v>
      </c>
      <c r="Z28" s="5">
        <f t="shared" si="27"/>
        <v>7759180.007974592</v>
      </c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>
        <v>-192196.11645569967</v>
      </c>
      <c r="C32" s="38">
        <v>-301657.51139240456</v>
      </c>
      <c r="D32" s="38">
        <v>-186568.76202531566</v>
      </c>
      <c r="E32" s="38">
        <v>-75012.121518986532</v>
      </c>
      <c r="F32" s="38">
        <v>-182322.49367088662</v>
      </c>
      <c r="G32" s="38">
        <v>-168955.63291139115</v>
      </c>
      <c r="H32" s="38">
        <v>-121940.096202532</v>
      </c>
      <c r="I32" s="38">
        <v>-85141.420253163233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B28-B32</f>
        <v>19872101.659331117</v>
      </c>
      <c r="C34" s="38">
        <f t="shared" ref="C34:Z34" si="28">C28-C32</f>
        <v>22789777.254578404</v>
      </c>
      <c r="D34" s="38">
        <f t="shared" si="28"/>
        <v>21920240.916280363</v>
      </c>
      <c r="E34" s="38">
        <f t="shared" si="28"/>
        <v>21074568.288803488</v>
      </c>
      <c r="F34" s="38">
        <f t="shared" si="28"/>
        <v>20466612.506869033</v>
      </c>
      <c r="G34" s="38">
        <f t="shared" si="28"/>
        <v>19755383.631909918</v>
      </c>
      <c r="H34" s="38">
        <f t="shared" si="28"/>
        <v>19026635.25518585</v>
      </c>
      <c r="I34" s="38">
        <f t="shared" si="28"/>
        <v>18322988.011102319</v>
      </c>
      <c r="J34" s="38">
        <f t="shared" si="28"/>
        <v>17575247.391062383</v>
      </c>
      <c r="K34" s="38">
        <f t="shared" si="28"/>
        <v>16913043.097522534</v>
      </c>
      <c r="L34" s="38">
        <f t="shared" si="28"/>
        <v>16250810.671203472</v>
      </c>
      <c r="M34" s="38">
        <f t="shared" si="28"/>
        <v>15588606.377663627</v>
      </c>
      <c r="N34" s="38">
        <f t="shared" si="28"/>
        <v>14926373.951344561</v>
      </c>
      <c r="O34" s="38">
        <f t="shared" si="28"/>
        <v>14264169.657804715</v>
      </c>
      <c r="P34" s="38">
        <f t="shared" si="28"/>
        <v>13601937.231485652</v>
      </c>
      <c r="Q34" s="38">
        <f t="shared" si="28"/>
        <v>12939732.937945804</v>
      </c>
      <c r="R34" s="38">
        <f t="shared" si="28"/>
        <v>12277500.511626739</v>
      </c>
      <c r="S34" s="38">
        <f t="shared" si="28"/>
        <v>11615296.218086895</v>
      </c>
      <c r="T34" s="38">
        <f t="shared" si="28"/>
        <v>10953063.791767832</v>
      </c>
      <c r="U34" s="38">
        <f t="shared" si="28"/>
        <v>10290859.498227987</v>
      </c>
      <c r="V34" s="38">
        <f t="shared" si="28"/>
        <v>9704805.5909810103</v>
      </c>
      <c r="W34" s="38">
        <f t="shared" si="28"/>
        <v>9208338.4787566569</v>
      </c>
      <c r="X34" s="38">
        <f t="shared" si="28"/>
        <v>8725285.6551626362</v>
      </c>
      <c r="Y34" s="38">
        <f t="shared" si="28"/>
        <v>8242232.8315686136</v>
      </c>
      <c r="Z34" s="38">
        <f t="shared" si="28"/>
        <v>7759180.007974592</v>
      </c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>
      <c r="A36" s="97" t="s">
        <v>323</v>
      </c>
      <c r="B36" s="38">
        <f>NPV(B21,B34:K34)</f>
        <v>141167054.74268863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324</v>
      </c>
      <c r="B37" s="38">
        <f>AVERAGE(B34:K34)</f>
        <v>19771659.801264539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318</v>
      </c>
      <c r="B38" s="38">
        <f>SUM(B34:D34)</f>
        <v>64582119.830189884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Z41" si="29">B28</f>
        <v>19679905.542875417</v>
      </c>
      <c r="C41" s="100">
        <f t="shared" si="29"/>
        <v>22488119.743186001</v>
      </c>
      <c r="D41" s="100">
        <f t="shared" si="29"/>
        <v>21733672.154255047</v>
      </c>
      <c r="E41" s="100">
        <f t="shared" si="29"/>
        <v>20999556.1672845</v>
      </c>
      <c r="F41" s="100">
        <f t="shared" si="29"/>
        <v>20284290.013198145</v>
      </c>
      <c r="G41" s="100">
        <f t="shared" si="29"/>
        <v>19586427.998998526</v>
      </c>
      <c r="H41" s="100">
        <f t="shared" si="29"/>
        <v>18904695.158983316</v>
      </c>
      <c r="I41" s="100">
        <f t="shared" si="29"/>
        <v>18237846.590849154</v>
      </c>
      <c r="J41" s="100">
        <f t="shared" si="29"/>
        <v>17575247.391062383</v>
      </c>
      <c r="K41" s="100">
        <f t="shared" si="29"/>
        <v>16913043.097522534</v>
      </c>
      <c r="L41" s="100">
        <f t="shared" si="29"/>
        <v>16250810.671203472</v>
      </c>
      <c r="M41" s="100">
        <f t="shared" si="29"/>
        <v>15588606.377663627</v>
      </c>
      <c r="N41" s="100">
        <f t="shared" si="29"/>
        <v>14926373.951344561</v>
      </c>
      <c r="O41" s="100">
        <f t="shared" si="29"/>
        <v>14264169.657804715</v>
      </c>
      <c r="P41" s="100">
        <f t="shared" si="29"/>
        <v>13601937.231485652</v>
      </c>
      <c r="Q41" s="100">
        <f t="shared" si="29"/>
        <v>12939732.937945804</v>
      </c>
      <c r="R41" s="100">
        <f t="shared" si="29"/>
        <v>12277500.511626739</v>
      </c>
      <c r="S41" s="100">
        <f t="shared" si="29"/>
        <v>11615296.218086895</v>
      </c>
      <c r="T41" s="100">
        <f t="shared" si="29"/>
        <v>10953063.791767832</v>
      </c>
      <c r="U41" s="100">
        <f t="shared" si="29"/>
        <v>10290859.498227987</v>
      </c>
      <c r="V41" s="100">
        <f t="shared" si="29"/>
        <v>9704805.5909810103</v>
      </c>
      <c r="W41" s="100">
        <f t="shared" si="29"/>
        <v>9208338.4787566569</v>
      </c>
      <c r="X41" s="100">
        <f t="shared" si="29"/>
        <v>8725285.6551626362</v>
      </c>
      <c r="Y41" s="100">
        <f t="shared" si="29"/>
        <v>8242232.8315686136</v>
      </c>
      <c r="Z41" s="100">
        <f t="shared" si="29"/>
        <v>7759180.007974592</v>
      </c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Z42" si="30">B13+B14</f>
        <v>6568680</v>
      </c>
      <c r="C42" s="3">
        <f t="shared" si="30"/>
        <v>7725360.0000000009</v>
      </c>
      <c r="D42" s="3">
        <f t="shared" si="30"/>
        <v>7725360.0000000009</v>
      </c>
      <c r="E42" s="3">
        <f t="shared" si="30"/>
        <v>7725360.0000000009</v>
      </c>
      <c r="F42" s="3">
        <f t="shared" si="30"/>
        <v>7725360.0000000009</v>
      </c>
      <c r="G42" s="3">
        <f t="shared" si="30"/>
        <v>7725360.0000000009</v>
      </c>
      <c r="H42" s="3">
        <f t="shared" si="30"/>
        <v>7725360.0000000009</v>
      </c>
      <c r="I42" s="3">
        <f t="shared" si="30"/>
        <v>7725360.0000000009</v>
      </c>
      <c r="J42" s="3">
        <f t="shared" si="30"/>
        <v>7725360.0000000009</v>
      </c>
      <c r="K42" s="3">
        <f t="shared" si="30"/>
        <v>7725360.0000000009</v>
      </c>
      <c r="L42" s="3">
        <f t="shared" si="30"/>
        <v>7725360.0000000009</v>
      </c>
      <c r="M42" s="3">
        <f t="shared" si="30"/>
        <v>7725360.0000000009</v>
      </c>
      <c r="N42" s="3">
        <f t="shared" si="30"/>
        <v>7725360.0000000009</v>
      </c>
      <c r="O42" s="3">
        <f t="shared" si="30"/>
        <v>7725360.0000000009</v>
      </c>
      <c r="P42" s="3">
        <f t="shared" si="30"/>
        <v>7725360.0000000009</v>
      </c>
      <c r="Q42" s="3">
        <f t="shared" si="30"/>
        <v>7725360.0000000009</v>
      </c>
      <c r="R42" s="3">
        <f t="shared" si="30"/>
        <v>7725360.0000000009</v>
      </c>
      <c r="S42" s="3">
        <f t="shared" si="30"/>
        <v>7725360.0000000009</v>
      </c>
      <c r="T42" s="3">
        <f t="shared" si="30"/>
        <v>7725360.0000000009</v>
      </c>
      <c r="U42" s="3">
        <f t="shared" si="30"/>
        <v>7725360.0000000009</v>
      </c>
      <c r="V42" s="3">
        <f t="shared" si="30"/>
        <v>7725360.0000000009</v>
      </c>
      <c r="W42" s="3">
        <f t="shared" si="30"/>
        <v>7725360.0000000009</v>
      </c>
      <c r="X42" s="3">
        <f t="shared" si="30"/>
        <v>7725360.0000000009</v>
      </c>
      <c r="Y42" s="3">
        <f t="shared" si="30"/>
        <v>7725360.0000000009</v>
      </c>
      <c r="Z42" s="3">
        <f t="shared" si="30"/>
        <v>7725360.0000000009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Z43" si="31">(B28-B26)+B15+B16+B17+B18</f>
        <v>2142184.041965181</v>
      </c>
      <c r="C43" s="38">
        <f t="shared" si="31"/>
        <v>2410651.1825645436</v>
      </c>
      <c r="D43" s="38">
        <f t="shared" si="31"/>
        <v>2285813.1990917688</v>
      </c>
      <c r="E43" s="38">
        <f t="shared" si="31"/>
        <v>2164339.4734239695</v>
      </c>
      <c r="F43" s="38">
        <f t="shared" si="31"/>
        <v>2045984.8181337407</v>
      </c>
      <c r="G43" s="38">
        <f t="shared" si="31"/>
        <v>1930510.0152804651</v>
      </c>
      <c r="H43" s="38">
        <f t="shared" si="31"/>
        <v>1817704.0970651766</v>
      </c>
      <c r="I43" s="38">
        <f t="shared" si="31"/>
        <v>1707361.0702612372</v>
      </c>
      <c r="J43" s="38">
        <f t="shared" si="31"/>
        <v>1597721.1838520754</v>
      </c>
      <c r="K43" s="38">
        <f t="shared" si="31"/>
        <v>1488146.642339299</v>
      </c>
      <c r="L43" s="38">
        <f t="shared" si="31"/>
        <v>1378567.4457126632</v>
      </c>
      <c r="M43" s="38">
        <f t="shared" si="31"/>
        <v>1268992.904199888</v>
      </c>
      <c r="N43" s="38">
        <f t="shared" si="31"/>
        <v>1159413.7075732527</v>
      </c>
      <c r="O43" s="38">
        <f t="shared" si="31"/>
        <v>1049839.1660604761</v>
      </c>
      <c r="P43" s="38">
        <f t="shared" si="31"/>
        <v>940259.96943384258</v>
      </c>
      <c r="Q43" s="38">
        <f t="shared" si="31"/>
        <v>830685.42792106536</v>
      </c>
      <c r="R43" s="38">
        <f t="shared" si="31"/>
        <v>721106.23129443044</v>
      </c>
      <c r="S43" s="38">
        <f t="shared" si="31"/>
        <v>611531.68978165463</v>
      </c>
      <c r="T43" s="38">
        <f t="shared" si="31"/>
        <v>501952.49315502064</v>
      </c>
      <c r="U43" s="38">
        <f t="shared" si="31"/>
        <v>392377.95164224569</v>
      </c>
      <c r="V43" s="38">
        <f t="shared" si="31"/>
        <v>295403.9682132256</v>
      </c>
      <c r="W43" s="38">
        <f t="shared" si="31"/>
        <v>213253.85724466527</v>
      </c>
      <c r="X43" s="38">
        <f t="shared" si="31"/>
        <v>133323.40045341663</v>
      </c>
      <c r="Y43" s="38">
        <f t="shared" si="31"/>
        <v>53392.943662165897</v>
      </c>
      <c r="Z43" s="38">
        <f t="shared" si="31"/>
        <v>-26537.513129084138</v>
      </c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8710864.041965181</v>
      </c>
      <c r="C44" s="46">
        <f>C42+C43</f>
        <v>10136011.182564545</v>
      </c>
      <c r="D44" s="46">
        <f>D42+D43</f>
        <v>10011173.19909177</v>
      </c>
      <c r="E44" s="46">
        <f>E42+E43</f>
        <v>9889699.4734239709</v>
      </c>
      <c r="F44" s="46">
        <f>F42+F43</f>
        <v>9771344.8181337416</v>
      </c>
      <c r="G44" s="46">
        <f t="shared" ref="G44:L44" si="32">G42+G43</f>
        <v>9655870.0152804665</v>
      </c>
      <c r="H44" s="46">
        <f t="shared" si="32"/>
        <v>9543064.0970651768</v>
      </c>
      <c r="I44" s="46">
        <f t="shared" si="32"/>
        <v>9432721.0702612381</v>
      </c>
      <c r="J44" s="46">
        <f t="shared" si="32"/>
        <v>9323081.1838520765</v>
      </c>
      <c r="K44" s="46">
        <f t="shared" si="32"/>
        <v>9213506.6423393004</v>
      </c>
      <c r="L44" s="46">
        <f t="shared" si="32"/>
        <v>9103927.4457126632</v>
      </c>
      <c r="M44" s="46">
        <f t="shared" ref="M44:Z44" si="33">M42+M43</f>
        <v>8994352.9041998889</v>
      </c>
      <c r="N44" s="46">
        <f t="shared" si="33"/>
        <v>8884773.7075732537</v>
      </c>
      <c r="O44" s="46">
        <f t="shared" si="33"/>
        <v>8775199.1660604775</v>
      </c>
      <c r="P44" s="46">
        <f t="shared" si="33"/>
        <v>8665619.9694338441</v>
      </c>
      <c r="Q44" s="46">
        <f t="shared" si="33"/>
        <v>8556045.4279210661</v>
      </c>
      <c r="R44" s="46">
        <f t="shared" si="33"/>
        <v>8446466.2312944308</v>
      </c>
      <c r="S44" s="46">
        <f t="shared" si="33"/>
        <v>8336891.6897816556</v>
      </c>
      <c r="T44" s="46">
        <f t="shared" si="33"/>
        <v>8227312.4931550212</v>
      </c>
      <c r="U44" s="46">
        <f t="shared" si="33"/>
        <v>8117737.9516422469</v>
      </c>
      <c r="V44" s="46">
        <f t="shared" si="33"/>
        <v>8020763.9682132266</v>
      </c>
      <c r="W44" s="46">
        <f t="shared" si="33"/>
        <v>7938613.8572446667</v>
      </c>
      <c r="X44" s="46">
        <f t="shared" si="33"/>
        <v>7858683.4004534176</v>
      </c>
      <c r="Y44" s="46">
        <f t="shared" si="33"/>
        <v>7778752.9436621666</v>
      </c>
      <c r="Z44" s="46">
        <f t="shared" si="33"/>
        <v>7698822.4868709166</v>
      </c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10969041.500910236</v>
      </c>
      <c r="C45" s="39">
        <f t="shared" ref="C45:Z45" si="34">C41-C44</f>
        <v>12352108.560621455</v>
      </c>
      <c r="D45" s="39">
        <f t="shared" si="34"/>
        <v>11722498.955163278</v>
      </c>
      <c r="E45" s="39">
        <f t="shared" si="34"/>
        <v>11109856.693860529</v>
      </c>
      <c r="F45" s="39">
        <f t="shared" si="34"/>
        <v>10512945.195064403</v>
      </c>
      <c r="G45" s="39">
        <f t="shared" si="34"/>
        <v>9930557.98371806</v>
      </c>
      <c r="H45" s="39">
        <f t="shared" si="34"/>
        <v>9361631.0619181395</v>
      </c>
      <c r="I45" s="39">
        <f t="shared" si="34"/>
        <v>8805125.5205879156</v>
      </c>
      <c r="J45" s="39">
        <f t="shared" si="34"/>
        <v>8252166.2072103061</v>
      </c>
      <c r="K45" s="39">
        <f t="shared" si="34"/>
        <v>7699536.4551832341</v>
      </c>
      <c r="L45" s="39">
        <f t="shared" si="34"/>
        <v>7146883.2254908085</v>
      </c>
      <c r="M45" s="39">
        <f t="shared" si="34"/>
        <v>6594253.4734637383</v>
      </c>
      <c r="N45" s="39">
        <f t="shared" si="34"/>
        <v>6041600.2437713072</v>
      </c>
      <c r="O45" s="39">
        <f t="shared" si="34"/>
        <v>5488970.491744237</v>
      </c>
      <c r="P45" s="39">
        <f t="shared" si="34"/>
        <v>4936317.2620518077</v>
      </c>
      <c r="Q45" s="39">
        <f t="shared" si="34"/>
        <v>4383687.5100247376</v>
      </c>
      <c r="R45" s="39">
        <f t="shared" si="34"/>
        <v>3831034.2803323083</v>
      </c>
      <c r="S45" s="39">
        <f t="shared" si="34"/>
        <v>3278404.528305239</v>
      </c>
      <c r="T45" s="39">
        <f t="shared" si="34"/>
        <v>2725751.2986128107</v>
      </c>
      <c r="U45" s="39">
        <f t="shared" si="34"/>
        <v>2173121.5465857405</v>
      </c>
      <c r="V45" s="39">
        <f t="shared" si="34"/>
        <v>1684041.6227677837</v>
      </c>
      <c r="W45" s="39">
        <f t="shared" si="34"/>
        <v>1269724.6215119902</v>
      </c>
      <c r="X45" s="39">
        <f t="shared" si="34"/>
        <v>866602.25470921863</v>
      </c>
      <c r="Y45" s="39">
        <f t="shared" si="34"/>
        <v>463479.88790644705</v>
      </c>
      <c r="Z45" s="39">
        <f t="shared" si="34"/>
        <v>60357.521103675477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Z46" si="35">B23*WACD</f>
        <v>4230632.7401040765</v>
      </c>
      <c r="C46" s="44">
        <f t="shared" si="35"/>
        <v>4764065.7464509141</v>
      </c>
      <c r="D46" s="44">
        <f t="shared" si="35"/>
        <v>4521232.5864054943</v>
      </c>
      <c r="E46" s="44">
        <f t="shared" si="35"/>
        <v>4284943.535222332</v>
      </c>
      <c r="F46" s="44">
        <f t="shared" si="35"/>
        <v>4054721.6576278382</v>
      </c>
      <c r="G46" s="44">
        <f t="shared" si="35"/>
        <v>3830101.630113557</v>
      </c>
      <c r="H46" s="44">
        <f t="shared" si="35"/>
        <v>3610673.0809651515</v>
      </c>
      <c r="I46" s="44">
        <f t="shared" si="35"/>
        <v>3396035.3149392307</v>
      </c>
      <c r="J46" s="44">
        <f t="shared" si="35"/>
        <v>3182765.2881163163</v>
      </c>
      <c r="K46" s="44">
        <f t="shared" si="35"/>
        <v>2969622.369303647</v>
      </c>
      <c r="L46" s="44">
        <f t="shared" si="35"/>
        <v>2756470.395426346</v>
      </c>
      <c r="M46" s="44">
        <f t="shared" si="35"/>
        <v>2543327.4766136762</v>
      </c>
      <c r="N46" s="44">
        <f t="shared" si="35"/>
        <v>2330175.5027363743</v>
      </c>
      <c r="O46" s="44">
        <f t="shared" si="35"/>
        <v>2117032.5839237049</v>
      </c>
      <c r="P46" s="44">
        <f t="shared" si="35"/>
        <v>1903880.6100464032</v>
      </c>
      <c r="Q46" s="44">
        <f t="shared" si="35"/>
        <v>1690737.6912337332</v>
      </c>
      <c r="R46" s="44">
        <f t="shared" si="35"/>
        <v>1477585.7173564318</v>
      </c>
      <c r="S46" s="44">
        <f t="shared" si="35"/>
        <v>1264442.7985437624</v>
      </c>
      <c r="T46" s="44">
        <f t="shared" si="35"/>
        <v>1051290.8246664612</v>
      </c>
      <c r="U46" s="44">
        <f t="shared" si="35"/>
        <v>838147.90585379186</v>
      </c>
      <c r="V46" s="44">
        <f t="shared" si="35"/>
        <v>649515.42250871914</v>
      </c>
      <c r="W46" s="44">
        <f t="shared" si="35"/>
        <v>489718.13574040367</v>
      </c>
      <c r="X46" s="44">
        <f t="shared" si="35"/>
        <v>334238.49031080748</v>
      </c>
      <c r="Y46" s="44">
        <f t="shared" si="35"/>
        <v>178758.84488121132</v>
      </c>
      <c r="Z46" s="44">
        <f t="shared" si="35"/>
        <v>23279.199451615092</v>
      </c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6738408.7608061591</v>
      </c>
      <c r="C47" s="39">
        <f>C45-C46</f>
        <v>7588042.8141705412</v>
      </c>
      <c r="D47" s="39">
        <f>D45-D46</f>
        <v>7201266.3687577834</v>
      </c>
      <c r="E47" s="39">
        <f>E45-E46</f>
        <v>6824913.158638197</v>
      </c>
      <c r="F47" s="39">
        <f>F45-F46</f>
        <v>6458223.5374365654</v>
      </c>
      <c r="G47" s="39">
        <f t="shared" ref="G47:L47" si="36">G45-G46</f>
        <v>6100456.353604503</v>
      </c>
      <c r="H47" s="39">
        <f t="shared" si="36"/>
        <v>5750957.9809529874</v>
      </c>
      <c r="I47" s="39">
        <f t="shared" si="36"/>
        <v>5409090.2056486849</v>
      </c>
      <c r="J47" s="39">
        <f t="shared" si="36"/>
        <v>5069400.9190939898</v>
      </c>
      <c r="K47" s="39">
        <f t="shared" si="36"/>
        <v>4729914.0858795866</v>
      </c>
      <c r="L47" s="39">
        <f t="shared" si="36"/>
        <v>4390412.8300644625</v>
      </c>
      <c r="M47" s="39">
        <f t="shared" ref="M47:Z47" si="37">M45-M46</f>
        <v>4050925.9968500622</v>
      </c>
      <c r="N47" s="39">
        <f t="shared" si="37"/>
        <v>3711424.7410349329</v>
      </c>
      <c r="O47" s="39">
        <f t="shared" si="37"/>
        <v>3371937.9078205321</v>
      </c>
      <c r="P47" s="39">
        <f t="shared" si="37"/>
        <v>3032436.6520054042</v>
      </c>
      <c r="Q47" s="39">
        <f t="shared" si="37"/>
        <v>2692949.8187910044</v>
      </c>
      <c r="R47" s="39">
        <f t="shared" si="37"/>
        <v>2353448.5629758765</v>
      </c>
      <c r="S47" s="39">
        <f t="shared" si="37"/>
        <v>2013961.7297614766</v>
      </c>
      <c r="T47" s="39">
        <f t="shared" si="37"/>
        <v>1674460.4739463495</v>
      </c>
      <c r="U47" s="39">
        <f t="shared" si="37"/>
        <v>1334973.6407319487</v>
      </c>
      <c r="V47" s="39">
        <f t="shared" si="37"/>
        <v>1034526.2002590646</v>
      </c>
      <c r="W47" s="39">
        <f t="shared" si="37"/>
        <v>780006.48577158654</v>
      </c>
      <c r="X47" s="39">
        <f t="shared" si="37"/>
        <v>532363.76439841115</v>
      </c>
      <c r="Y47" s="39">
        <f t="shared" si="37"/>
        <v>284721.04302523576</v>
      </c>
      <c r="Z47" s="39">
        <f t="shared" si="37"/>
        <v>37078.321652060389</v>
      </c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Z48" si="38">B23*EquityWeighting</f>
        <v>71089167.530920357</v>
      </c>
      <c r="C48" s="43">
        <f t="shared" si="38"/>
        <v>80052675.044876754</v>
      </c>
      <c r="D48" s="43">
        <f t="shared" si="38"/>
        <v>75972243.521504447</v>
      </c>
      <c r="E48" s="43">
        <f t="shared" si="38"/>
        <v>72001775.514189601</v>
      </c>
      <c r="F48" s="43">
        <f t="shared" si="38"/>
        <v>68133256.871468693</v>
      </c>
      <c r="G48" s="43">
        <f t="shared" si="38"/>
        <v>64358868.559433401</v>
      </c>
      <c r="H48" s="43">
        <f t="shared" si="38"/>
        <v>60671714.92314446</v>
      </c>
      <c r="I48" s="43">
        <f t="shared" si="38"/>
        <v>57065062.905625254</v>
      </c>
      <c r="J48" s="43">
        <f t="shared" si="38"/>
        <v>53481393.606605679</v>
      </c>
      <c r="K48" s="43">
        <f t="shared" si="38"/>
        <v>49899860.158932686</v>
      </c>
      <c r="L48" s="43">
        <f t="shared" si="38"/>
        <v>46318174.555058435</v>
      </c>
      <c r="M48" s="43">
        <f t="shared" si="38"/>
        <v>42736641.107385434</v>
      </c>
      <c r="N48" s="43">
        <f t="shared" si="38"/>
        <v>39154955.503511176</v>
      </c>
      <c r="O48" s="43">
        <f t="shared" si="38"/>
        <v>35573422.055838183</v>
      </c>
      <c r="P48" s="43">
        <f t="shared" si="38"/>
        <v>31991736.451963928</v>
      </c>
      <c r="Q48" s="43">
        <f t="shared" si="38"/>
        <v>28410203.00429092</v>
      </c>
      <c r="R48" s="43">
        <f t="shared" si="38"/>
        <v>24828517.400416669</v>
      </c>
      <c r="S48" s="43">
        <f t="shared" si="38"/>
        <v>21246983.952743672</v>
      </c>
      <c r="T48" s="43">
        <f t="shared" si="38"/>
        <v>17665298.348869428</v>
      </c>
      <c r="U48" s="43">
        <f t="shared" si="38"/>
        <v>14083764.90119643</v>
      </c>
      <c r="V48" s="43">
        <f t="shared" si="38"/>
        <v>10914090.993278455</v>
      </c>
      <c r="W48" s="43">
        <f t="shared" si="38"/>
        <v>8228947.4726948561</v>
      </c>
      <c r="X48" s="43">
        <f t="shared" si="38"/>
        <v>5616355.1630819095</v>
      </c>
      <c r="Y48" s="43">
        <f t="shared" si="38"/>
        <v>3003762.8534689625</v>
      </c>
      <c r="Z48" s="43">
        <f t="shared" si="38"/>
        <v>391170.54385601502</v>
      </c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9.5000000000000001E-2</v>
      </c>
      <c r="C49" s="183">
        <f t="shared" ref="C49:Z49" si="39">ROUND(C47/C48,3)</f>
        <v>9.5000000000000001E-2</v>
      </c>
      <c r="D49" s="183">
        <f t="shared" si="39"/>
        <v>9.5000000000000001E-2</v>
      </c>
      <c r="E49" s="183">
        <f t="shared" si="39"/>
        <v>9.5000000000000001E-2</v>
      </c>
      <c r="F49" s="183">
        <f t="shared" si="39"/>
        <v>9.5000000000000001E-2</v>
      </c>
      <c r="G49" s="183">
        <f t="shared" si="39"/>
        <v>9.5000000000000001E-2</v>
      </c>
      <c r="H49" s="183">
        <f t="shared" si="39"/>
        <v>9.5000000000000001E-2</v>
      </c>
      <c r="I49" s="183">
        <f t="shared" si="39"/>
        <v>9.5000000000000001E-2</v>
      </c>
      <c r="J49" s="183">
        <f t="shared" si="39"/>
        <v>9.5000000000000001E-2</v>
      </c>
      <c r="K49" s="183">
        <f t="shared" si="39"/>
        <v>9.5000000000000001E-2</v>
      </c>
      <c r="L49" s="183">
        <f t="shared" si="39"/>
        <v>9.5000000000000001E-2</v>
      </c>
      <c r="M49" s="183">
        <f t="shared" si="39"/>
        <v>9.5000000000000001E-2</v>
      </c>
      <c r="N49" s="183">
        <f t="shared" si="39"/>
        <v>9.5000000000000001E-2</v>
      </c>
      <c r="O49" s="183">
        <f t="shared" si="39"/>
        <v>9.5000000000000001E-2</v>
      </c>
      <c r="P49" s="183">
        <f t="shared" si="39"/>
        <v>9.5000000000000001E-2</v>
      </c>
      <c r="Q49" s="183">
        <f t="shared" si="39"/>
        <v>9.5000000000000001E-2</v>
      </c>
      <c r="R49" s="183">
        <f t="shared" si="39"/>
        <v>9.5000000000000001E-2</v>
      </c>
      <c r="S49" s="183">
        <f t="shared" si="39"/>
        <v>9.5000000000000001E-2</v>
      </c>
      <c r="T49" s="183">
        <f t="shared" si="39"/>
        <v>9.5000000000000001E-2</v>
      </c>
      <c r="U49" s="183">
        <f t="shared" si="39"/>
        <v>9.5000000000000001E-2</v>
      </c>
      <c r="V49" s="183">
        <f t="shared" si="39"/>
        <v>9.5000000000000001E-2</v>
      </c>
      <c r="W49" s="183">
        <f t="shared" si="39"/>
        <v>9.5000000000000001E-2</v>
      </c>
      <c r="X49" s="183">
        <f t="shared" si="39"/>
        <v>9.5000000000000001E-2</v>
      </c>
      <c r="Y49" s="183">
        <f t="shared" si="39"/>
        <v>9.5000000000000001E-2</v>
      </c>
      <c r="Z49" s="183">
        <f t="shared" si="39"/>
        <v>9.5000000000000001E-2</v>
      </c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40">G49=ROE</f>
        <v>1</v>
      </c>
      <c r="H50" s="1" t="b">
        <f t="shared" si="40"/>
        <v>1</v>
      </c>
      <c r="I50" s="1" t="b">
        <f t="shared" si="40"/>
        <v>1</v>
      </c>
      <c r="J50" s="1" t="b">
        <f t="shared" si="40"/>
        <v>1</v>
      </c>
      <c r="K50" s="1" t="b">
        <f t="shared" si="40"/>
        <v>1</v>
      </c>
      <c r="L50" s="1" t="b">
        <f t="shared" si="40"/>
        <v>1</v>
      </c>
      <c r="M50" s="1" t="b">
        <f t="shared" ref="M50:Z50" si="41">M49=ROE</f>
        <v>1</v>
      </c>
      <c r="N50" s="1" t="b">
        <f t="shared" si="41"/>
        <v>1</v>
      </c>
      <c r="O50" s="1" t="b">
        <f t="shared" si="41"/>
        <v>1</v>
      </c>
      <c r="P50" s="1" t="b">
        <f t="shared" si="41"/>
        <v>1</v>
      </c>
      <c r="Q50" s="1" t="b">
        <f t="shared" si="41"/>
        <v>1</v>
      </c>
      <c r="R50" s="1" t="b">
        <f t="shared" si="41"/>
        <v>1</v>
      </c>
      <c r="S50" s="1" t="b">
        <f t="shared" si="41"/>
        <v>1</v>
      </c>
      <c r="T50" s="1" t="b">
        <f t="shared" si="41"/>
        <v>1</v>
      </c>
      <c r="U50" s="1" t="b">
        <f t="shared" si="41"/>
        <v>1</v>
      </c>
      <c r="V50" s="1" t="b">
        <f t="shared" si="41"/>
        <v>1</v>
      </c>
      <c r="W50" s="1" t="b">
        <f t="shared" si="41"/>
        <v>1</v>
      </c>
      <c r="X50" s="1" t="b">
        <f t="shared" si="41"/>
        <v>1</v>
      </c>
      <c r="Y50" s="1" t="b">
        <f t="shared" si="41"/>
        <v>1</v>
      </c>
      <c r="Z50" s="1" t="b">
        <f t="shared" si="41"/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>
      <c r="A52" s="4" t="s">
        <v>108</v>
      </c>
      <c r="B52" s="38">
        <f t="shared" ref="B52:Z52" si="42">B13</f>
        <v>0</v>
      </c>
      <c r="C52" s="38">
        <f t="shared" si="42"/>
        <v>0</v>
      </c>
      <c r="D52" s="38">
        <f t="shared" si="42"/>
        <v>0</v>
      </c>
      <c r="E52" s="38">
        <f t="shared" si="42"/>
        <v>0</v>
      </c>
      <c r="F52" s="38">
        <f t="shared" si="42"/>
        <v>0</v>
      </c>
      <c r="G52" s="38">
        <f t="shared" si="42"/>
        <v>0</v>
      </c>
      <c r="H52" s="38">
        <f t="shared" si="42"/>
        <v>0</v>
      </c>
      <c r="I52" s="38">
        <f t="shared" si="42"/>
        <v>0</v>
      </c>
      <c r="J52" s="38">
        <f t="shared" si="42"/>
        <v>0</v>
      </c>
      <c r="K52" s="38">
        <f t="shared" si="42"/>
        <v>0</v>
      </c>
      <c r="L52" s="38">
        <f t="shared" si="42"/>
        <v>0</v>
      </c>
      <c r="M52" s="38">
        <f t="shared" si="42"/>
        <v>0</v>
      </c>
      <c r="N52" s="38">
        <f t="shared" si="42"/>
        <v>0</v>
      </c>
      <c r="O52" s="38">
        <f t="shared" si="42"/>
        <v>0</v>
      </c>
      <c r="P52" s="38">
        <f t="shared" si="42"/>
        <v>0</v>
      </c>
      <c r="Q52" s="38">
        <f t="shared" si="42"/>
        <v>0</v>
      </c>
      <c r="R52" s="38">
        <f t="shared" si="42"/>
        <v>0</v>
      </c>
      <c r="S52" s="38">
        <f t="shared" si="42"/>
        <v>0</v>
      </c>
      <c r="T52" s="38">
        <f t="shared" si="42"/>
        <v>0</v>
      </c>
      <c r="U52" s="38">
        <f t="shared" si="42"/>
        <v>0</v>
      </c>
      <c r="V52" s="38">
        <f t="shared" si="42"/>
        <v>0</v>
      </c>
      <c r="W52" s="38">
        <f t="shared" si="42"/>
        <v>0</v>
      </c>
      <c r="X52" s="38">
        <f t="shared" si="42"/>
        <v>0</v>
      </c>
      <c r="Y52" s="38">
        <f t="shared" si="42"/>
        <v>0</v>
      </c>
      <c r="Z52" s="38">
        <f t="shared" si="42"/>
        <v>0</v>
      </c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Z53" si="43">B14</f>
        <v>6568680</v>
      </c>
      <c r="C53" s="38">
        <f t="shared" si="43"/>
        <v>7725360.0000000009</v>
      </c>
      <c r="D53" s="38">
        <f t="shared" si="43"/>
        <v>7725360.0000000009</v>
      </c>
      <c r="E53" s="38">
        <f t="shared" si="43"/>
        <v>7725360.0000000009</v>
      </c>
      <c r="F53" s="38">
        <f t="shared" si="43"/>
        <v>7725360.0000000009</v>
      </c>
      <c r="G53" s="38">
        <f t="shared" si="43"/>
        <v>7725360.0000000009</v>
      </c>
      <c r="H53" s="38">
        <f t="shared" si="43"/>
        <v>7725360.0000000009</v>
      </c>
      <c r="I53" s="38">
        <f t="shared" si="43"/>
        <v>7725360.0000000009</v>
      </c>
      <c r="J53" s="38">
        <f t="shared" si="43"/>
        <v>7725360.0000000009</v>
      </c>
      <c r="K53" s="38">
        <f t="shared" si="43"/>
        <v>7725360.0000000009</v>
      </c>
      <c r="L53" s="38">
        <f t="shared" si="43"/>
        <v>7725360.0000000009</v>
      </c>
      <c r="M53" s="38">
        <f t="shared" si="43"/>
        <v>7725360.0000000009</v>
      </c>
      <c r="N53" s="38">
        <f t="shared" si="43"/>
        <v>7725360.0000000009</v>
      </c>
      <c r="O53" s="38">
        <f t="shared" si="43"/>
        <v>7725360.0000000009</v>
      </c>
      <c r="P53" s="38">
        <f t="shared" si="43"/>
        <v>7725360.0000000009</v>
      </c>
      <c r="Q53" s="38">
        <f t="shared" si="43"/>
        <v>7725360.0000000009</v>
      </c>
      <c r="R53" s="38">
        <f t="shared" si="43"/>
        <v>7725360.0000000009</v>
      </c>
      <c r="S53" s="38">
        <f t="shared" si="43"/>
        <v>7725360.0000000009</v>
      </c>
      <c r="T53" s="38">
        <f t="shared" si="43"/>
        <v>7725360.0000000009</v>
      </c>
      <c r="U53" s="38">
        <f t="shared" si="43"/>
        <v>7725360.0000000009</v>
      </c>
      <c r="V53" s="38">
        <f t="shared" si="43"/>
        <v>7725360.0000000009</v>
      </c>
      <c r="W53" s="38">
        <f t="shared" si="43"/>
        <v>7725360.0000000009</v>
      </c>
      <c r="X53" s="38">
        <f t="shared" si="43"/>
        <v>7725360.0000000009</v>
      </c>
      <c r="Y53" s="38">
        <f t="shared" si="43"/>
        <v>7725360.0000000009</v>
      </c>
      <c r="Z53" s="38">
        <f t="shared" si="43"/>
        <v>7725360.0000000009</v>
      </c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Z54" si="44">B28-SUM(B52:B53,B55)</f>
        <v>2142184.0419651791</v>
      </c>
      <c r="C54" s="3">
        <f t="shared" si="44"/>
        <v>2410651.1825645417</v>
      </c>
      <c r="D54" s="3">
        <f t="shared" si="44"/>
        <v>2285813.1990917698</v>
      </c>
      <c r="E54" s="3">
        <f t="shared" si="44"/>
        <v>2164339.473423969</v>
      </c>
      <c r="F54" s="3">
        <f t="shared" si="44"/>
        <v>2045984.8181337416</v>
      </c>
      <c r="G54" s="3">
        <f t="shared" si="44"/>
        <v>1930510.0152804665</v>
      </c>
      <c r="H54" s="3">
        <f t="shared" si="44"/>
        <v>1817704.0970651768</v>
      </c>
      <c r="I54" s="3">
        <f t="shared" si="44"/>
        <v>1707361.0702612363</v>
      </c>
      <c r="J54" s="3">
        <f t="shared" si="44"/>
        <v>1597721.1838520765</v>
      </c>
      <c r="K54" s="3">
        <f t="shared" si="44"/>
        <v>1488146.6423392966</v>
      </c>
      <c r="L54" s="3">
        <f t="shared" si="44"/>
        <v>1378567.4457126632</v>
      </c>
      <c r="M54" s="3">
        <f t="shared" si="44"/>
        <v>1268992.9041998871</v>
      </c>
      <c r="N54" s="3">
        <f t="shared" si="44"/>
        <v>1159413.7075732537</v>
      </c>
      <c r="O54" s="3">
        <f t="shared" si="44"/>
        <v>1049839.1660604756</v>
      </c>
      <c r="P54" s="3">
        <f t="shared" si="44"/>
        <v>940259.96943384223</v>
      </c>
      <c r="Q54" s="3">
        <f t="shared" si="44"/>
        <v>830685.4279210642</v>
      </c>
      <c r="R54" s="3">
        <f t="shared" si="44"/>
        <v>721106.23129443079</v>
      </c>
      <c r="S54" s="3">
        <f t="shared" si="44"/>
        <v>611531.68978165463</v>
      </c>
      <c r="T54" s="3">
        <f t="shared" si="44"/>
        <v>501952.49315502122</v>
      </c>
      <c r="U54" s="3">
        <f t="shared" si="44"/>
        <v>392377.95164224505</v>
      </c>
      <c r="V54" s="3">
        <f t="shared" si="44"/>
        <v>295403.96821322478</v>
      </c>
      <c r="W54" s="3">
        <f t="shared" si="44"/>
        <v>213253.85724466667</v>
      </c>
      <c r="X54" s="3">
        <f t="shared" si="44"/>
        <v>133323.40045341663</v>
      </c>
      <c r="Y54" s="3">
        <f t="shared" si="44"/>
        <v>53392.943662165664</v>
      </c>
      <c r="Z54" s="3">
        <f t="shared" si="44"/>
        <v>-26537.513129084371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Z55" si="45">B24</f>
        <v>10969041.500910236</v>
      </c>
      <c r="C55" s="48">
        <f t="shared" si="45"/>
        <v>12352108.560621457</v>
      </c>
      <c r="D55" s="48">
        <f t="shared" si="45"/>
        <v>11722498.955163278</v>
      </c>
      <c r="E55" s="48">
        <f t="shared" si="45"/>
        <v>11109856.693860529</v>
      </c>
      <c r="F55" s="48">
        <f t="shared" si="45"/>
        <v>10512945.195064403</v>
      </c>
      <c r="G55" s="48">
        <f t="shared" si="45"/>
        <v>9930557.98371806</v>
      </c>
      <c r="H55" s="48">
        <f t="shared" si="45"/>
        <v>9361631.0619181395</v>
      </c>
      <c r="I55" s="48">
        <f t="shared" si="45"/>
        <v>8805125.5205879156</v>
      </c>
      <c r="J55" s="48">
        <f t="shared" si="45"/>
        <v>8252166.2072103051</v>
      </c>
      <c r="K55" s="48">
        <f t="shared" si="45"/>
        <v>7699536.4551832369</v>
      </c>
      <c r="L55" s="48">
        <f t="shared" si="45"/>
        <v>7146883.2254908076</v>
      </c>
      <c r="M55" s="48">
        <f t="shared" si="45"/>
        <v>6594253.4734637383</v>
      </c>
      <c r="N55" s="48">
        <f t="shared" si="45"/>
        <v>6041600.2437713072</v>
      </c>
      <c r="O55" s="48">
        <f t="shared" si="45"/>
        <v>5488970.4917442389</v>
      </c>
      <c r="P55" s="48">
        <f t="shared" si="45"/>
        <v>4936317.2620518077</v>
      </c>
      <c r="Q55" s="48">
        <f t="shared" si="45"/>
        <v>4383687.5100247385</v>
      </c>
      <c r="R55" s="48">
        <f t="shared" si="45"/>
        <v>3831034.2803323078</v>
      </c>
      <c r="S55" s="48">
        <f t="shared" si="45"/>
        <v>3278404.52830524</v>
      </c>
      <c r="T55" s="48">
        <f t="shared" si="45"/>
        <v>2725751.2986128107</v>
      </c>
      <c r="U55" s="48">
        <f t="shared" si="45"/>
        <v>2173121.5465857424</v>
      </c>
      <c r="V55" s="48">
        <f t="shared" si="45"/>
        <v>1684041.6227677842</v>
      </c>
      <c r="W55" s="48">
        <f t="shared" si="45"/>
        <v>1269724.6215119897</v>
      </c>
      <c r="X55" s="48">
        <f t="shared" si="45"/>
        <v>866602.25470921828</v>
      </c>
      <c r="Y55" s="48">
        <f t="shared" si="45"/>
        <v>463479.88790644699</v>
      </c>
      <c r="Z55" s="48">
        <f t="shared" si="45"/>
        <v>60357.521103675601</v>
      </c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Z56" si="46">SUM(B52:B55)-B28</f>
        <v>0</v>
      </c>
      <c r="C56" s="39">
        <f t="shared" si="46"/>
        <v>0</v>
      </c>
      <c r="D56" s="39">
        <f t="shared" si="46"/>
        <v>0</v>
      </c>
      <c r="E56" s="39">
        <f t="shared" si="46"/>
        <v>0</v>
      </c>
      <c r="F56" s="39">
        <f t="shared" si="46"/>
        <v>0</v>
      </c>
      <c r="G56" s="39">
        <f t="shared" si="46"/>
        <v>0</v>
      </c>
      <c r="H56" s="39">
        <f t="shared" si="46"/>
        <v>0</v>
      </c>
      <c r="I56" s="39">
        <f t="shared" si="46"/>
        <v>0</v>
      </c>
      <c r="J56" s="39">
        <f t="shared" si="46"/>
        <v>0</v>
      </c>
      <c r="K56" s="39">
        <f t="shared" si="46"/>
        <v>0</v>
      </c>
      <c r="L56" s="39">
        <f t="shared" si="46"/>
        <v>0</v>
      </c>
      <c r="M56" s="39">
        <f t="shared" si="46"/>
        <v>0</v>
      </c>
      <c r="N56" s="39">
        <f t="shared" si="46"/>
        <v>0</v>
      </c>
      <c r="O56" s="39">
        <f t="shared" si="46"/>
        <v>0</v>
      </c>
      <c r="P56" s="39">
        <f t="shared" si="46"/>
        <v>0</v>
      </c>
      <c r="Q56" s="39">
        <f t="shared" si="46"/>
        <v>0</v>
      </c>
      <c r="R56" s="39">
        <f t="shared" si="46"/>
        <v>0</v>
      </c>
      <c r="S56" s="39">
        <f t="shared" si="46"/>
        <v>0</v>
      </c>
      <c r="T56" s="39">
        <f t="shared" si="46"/>
        <v>0</v>
      </c>
      <c r="U56" s="39">
        <f t="shared" si="46"/>
        <v>0</v>
      </c>
      <c r="V56" s="39">
        <f t="shared" si="46"/>
        <v>0</v>
      </c>
      <c r="W56" s="39">
        <f t="shared" si="46"/>
        <v>0</v>
      </c>
      <c r="X56" s="39">
        <f t="shared" si="46"/>
        <v>0</v>
      </c>
      <c r="Y56" s="39">
        <f t="shared" si="46"/>
        <v>0</v>
      </c>
      <c r="Z56" s="39">
        <f t="shared" si="46"/>
        <v>0</v>
      </c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SC 2-11 Confidential Attachment 2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workbookViewId="0">
      <selection activeCell="H42" sqref="H42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47" t="str">
        <f>Input!B2&amp;" "&amp;Input!B3</f>
        <v>KPCO KY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6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  <c r="O4" s="115">
        <f>'OPCO Rev Req'!O5</f>
        <v>2041</v>
      </c>
      <c r="P4" s="115">
        <f>'OPCO Rev Req'!P5</f>
        <v>2042</v>
      </c>
      <c r="Q4" s="115">
        <f>'OPCO Rev Req'!Q5</f>
        <v>2043</v>
      </c>
      <c r="R4" s="115">
        <f>'OPCO Rev Req'!R5</f>
        <v>2044</v>
      </c>
      <c r="S4" s="115">
        <f>'OPCO Rev Req'!S5</f>
        <v>2045</v>
      </c>
      <c r="T4" s="115">
        <f>'OPCO Rev Req'!T5</f>
        <v>2046</v>
      </c>
      <c r="U4" s="115">
        <f>'OPCO Rev Req'!U5</f>
        <v>2047</v>
      </c>
      <c r="V4" s="115">
        <f>'OPCO Rev Req'!V5</f>
        <v>2048</v>
      </c>
      <c r="W4" s="115">
        <f>'OPCO Rev Req'!W5</f>
        <v>2049</v>
      </c>
      <c r="X4" s="115">
        <f>'OPCO Rev Req'!X5</f>
        <v>2050</v>
      </c>
      <c r="Y4" s="115">
        <f>'OPCO Rev Req'!Y5</f>
        <v>2051</v>
      </c>
      <c r="Z4" s="115">
        <f>'OPCO Rev Req'!Z5</f>
        <v>2052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6568680</v>
      </c>
      <c r="C13" s="55" cm="1">
        <f t="array" ref="C13">'OPCO Rev Req'!C14*Allocator</f>
        <v>7725360.0000000009</v>
      </c>
      <c r="D13" s="55" cm="1">
        <f t="array" ref="D13">'OPCO Rev Req'!D14*Allocator</f>
        <v>7725360.0000000009</v>
      </c>
      <c r="E13" s="55" cm="1">
        <f t="array" ref="E13">'OPCO Rev Req'!E14*Allocator</f>
        <v>7725360.0000000009</v>
      </c>
      <c r="F13" s="55" cm="1">
        <f t="array" ref="F13">'OPCO Rev Req'!F14*Allocator</f>
        <v>7725360.0000000009</v>
      </c>
      <c r="G13" s="55" cm="1">
        <f t="array" ref="G13">'OPCO Rev Req'!G14*Allocator</f>
        <v>7725360.0000000009</v>
      </c>
      <c r="H13" s="55" cm="1">
        <f t="array" ref="H13">'OPCO Rev Req'!H14*Allocator</f>
        <v>7725360.0000000009</v>
      </c>
      <c r="I13" s="55" cm="1">
        <f t="array" ref="I13">'OPCO Rev Req'!I14*Allocator</f>
        <v>7725360.0000000009</v>
      </c>
      <c r="J13" s="55" cm="1">
        <f t="array" ref="J13">'OPCO Rev Req'!J14*Allocator</f>
        <v>7725360.0000000009</v>
      </c>
      <c r="K13" s="55" cm="1">
        <f t="array" ref="K13">'OPCO Rev Req'!K14*Allocator</f>
        <v>7725360.0000000009</v>
      </c>
      <c r="L13" s="55" cm="1">
        <f t="array" ref="L13">'OPCO Rev Req'!L14*Allocator</f>
        <v>7725360.0000000009</v>
      </c>
      <c r="M13" s="55" cm="1">
        <f t="array" ref="M13">'OPCO Rev Req'!M14*Allocator</f>
        <v>7725360.0000000009</v>
      </c>
      <c r="N13" s="55" cm="1">
        <f t="array" ref="N13">'OPCO Rev Req'!N14*Allocator</f>
        <v>7725360.0000000009</v>
      </c>
      <c r="O13" s="55" cm="1">
        <f t="array" ref="O13">'OPCO Rev Req'!O14*Allocator</f>
        <v>7725360.0000000009</v>
      </c>
      <c r="P13" s="55" cm="1">
        <f t="array" ref="P13">'OPCO Rev Req'!P14*Allocator</f>
        <v>7725360.0000000009</v>
      </c>
      <c r="Q13" s="55" cm="1">
        <f t="array" ref="Q13">'OPCO Rev Req'!Q14*Allocator</f>
        <v>7725360.0000000009</v>
      </c>
      <c r="R13" s="55" cm="1">
        <f t="array" ref="R13">'OPCO Rev Req'!R14*Allocator</f>
        <v>7725360.0000000009</v>
      </c>
      <c r="S13" s="55" cm="1">
        <f t="array" ref="S13">'OPCO Rev Req'!S14*Allocator</f>
        <v>7725360.0000000009</v>
      </c>
      <c r="T13" s="55" cm="1">
        <f t="array" ref="T13">'OPCO Rev Req'!T14*Allocator</f>
        <v>7725360.0000000009</v>
      </c>
      <c r="U13" s="55" cm="1">
        <f t="array" ref="U13">'OPCO Rev Req'!U14*Allocator</f>
        <v>7725360.0000000009</v>
      </c>
      <c r="V13" s="55" cm="1">
        <f t="array" ref="V13">'OPCO Rev Req'!V14*Allocator</f>
        <v>7725360.0000000009</v>
      </c>
      <c r="W13" s="55" cm="1">
        <f t="array" ref="W13">'OPCO Rev Req'!W14*Allocator</f>
        <v>7725360.0000000009</v>
      </c>
      <c r="X13" s="55" cm="1">
        <f t="array" ref="X13">'OPCO Rev Req'!X14*Allocator</f>
        <v>7725360.0000000009</v>
      </c>
      <c r="Y13" s="55" cm="1">
        <f t="array" ref="Y13">'OPCO Rev Req'!Y14*Allocator</f>
        <v>7725360.0000000009</v>
      </c>
      <c r="Z13" s="55" cm="1">
        <f t="array" ref="Z13">'OPCO Rev Req'!Z14*Allocator</f>
        <v>7725360.0000000009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-520113.78207081062</v>
      </c>
      <c r="C14" s="55" cm="1">
        <f t="array" ref="C14">'OPCO Rev Req'!C15*Allocator</f>
        <v>-886314.63692351524</v>
      </c>
      <c r="D14" s="55" cm="1">
        <f t="array" ref="D14">'OPCO Rev Req'!D15*Allocator</f>
        <v>-879818.27411419118</v>
      </c>
      <c r="E14" s="55" cm="1">
        <f t="array" ref="E14">'OPCO Rev Req'!E15*Allocator</f>
        <v>-819034.14778260619</v>
      </c>
      <c r="F14" s="55" cm="1">
        <f t="array" ref="F14">'OPCO Rev Req'!F15*Allocator</f>
        <v>-762121.56960863795</v>
      </c>
      <c r="G14" s="55" cm="1">
        <f t="array" ref="G14">'OPCO Rev Req'!G15*Allocator</f>
        <v>-708970.37939453532</v>
      </c>
      <c r="H14" s="55" cm="1">
        <f t="array" ref="H14">'OPCO Rev Req'!H15*Allocator</f>
        <v>-659148.95567517029</v>
      </c>
      <c r="I14" s="55" cm="1">
        <f t="array" ref="I14">'OPCO Rev Req'!I15*Allocator</f>
        <v>-612564.85116293258</v>
      </c>
      <c r="J14" s="55" cm="1">
        <f t="array" ref="J14">'OPCO Rev Req'!J15*Allocator</f>
        <v>-591655.88245274348</v>
      </c>
      <c r="K14" s="55" cm="1">
        <f t="array" ref="K14">'OPCO Rev Req'!K15*Allocator</f>
        <v>-580034.02921833715</v>
      </c>
      <c r="L14" s="55" cm="1">
        <f t="array" ref="L14">'OPCO Rev Req'!L15*Allocator</f>
        <v>-569430.31359117012</v>
      </c>
      <c r="M14" s="55" cm="1">
        <f t="array" ref="M14">'OPCO Rev Req'!M15*Allocator</f>
        <v>-558691.57541581383</v>
      </c>
      <c r="N14" s="55" cm="1">
        <f t="array" ref="N14">'OPCO Rev Req'!N15*Allocator</f>
        <v>-548087.85978864669</v>
      </c>
      <c r="O14" s="55" cm="1">
        <f t="array" ref="O14">'OPCO Rev Req'!O15*Allocator</f>
        <v>-537349.12161329039</v>
      </c>
      <c r="P14" s="55" cm="1">
        <f t="array" ref="P14">'OPCO Rev Req'!P15*Allocator</f>
        <v>-526745.40598612325</v>
      </c>
      <c r="Q14" s="55" cm="1">
        <f t="array" ref="Q14">'OPCO Rev Req'!Q15*Allocator</f>
        <v>-516006.66781076684</v>
      </c>
      <c r="R14" s="55" cm="1">
        <f t="array" ref="R14">'OPCO Rev Req'!R15*Allocator</f>
        <v>-505402.95218359982</v>
      </c>
      <c r="S14" s="55" cm="1">
        <f t="array" ref="S14">'OPCO Rev Req'!S15*Allocator</f>
        <v>-494664.21400824352</v>
      </c>
      <c r="T14" s="55" cm="1">
        <f t="array" ref="T14">'OPCO Rev Req'!T15*Allocator</f>
        <v>-484060.4983810765</v>
      </c>
      <c r="U14" s="55" cm="1">
        <f t="array" ref="U14">'OPCO Rev Req'!U15*Allocator</f>
        <v>-473321.7602057202</v>
      </c>
      <c r="V14" s="55" cm="1">
        <f t="array" ref="V14">'OPCO Rev Req'!V15*Allocator</f>
        <v>-280523.41008949903</v>
      </c>
      <c r="W14" s="55" cm="1">
        <f t="array" ref="W14">'OPCO Rev Req'!W15*Allocator</f>
        <v>-56816.585953393354</v>
      </c>
      <c r="X14" s="55" cm="1">
        <f t="array" ref="X14">'OPCO Rev Req'!X15*Allocator</f>
        <v>-16733.650017410589</v>
      </c>
      <c r="Y14" s="55" cm="1">
        <f t="array" ref="Y14">'OPCO Rev Req'!Y15*Allocator</f>
        <v>-8949.5615689778497</v>
      </c>
      <c r="Z14" s="55" cm="1">
        <f t="array" ref="Z14">'OPCO Rev Req'!Z15*Allocator</f>
        <v>-1165.4731205451103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-20553.810262500025</v>
      </c>
      <c r="C15" s="55" cm="1">
        <f t="array" ref="C15">'OPCO Rev Req'!C16*Allocator</f>
        <v>261031.53692745007</v>
      </c>
      <c r="D15" s="55" cm="1">
        <f t="array" ref="D15">'OPCO Rev Req'!D16*Allocator</f>
        <v>266692.61627579998</v>
      </c>
      <c r="E15" s="55" cm="1">
        <f t="array" ref="E15">'OPCO Rev Req'!E16*Allocator</f>
        <v>217738.30129170002</v>
      </c>
      <c r="F15" s="55" cm="1">
        <f t="array" ref="F15">'OPCO Rev Req'!F16*Allocator</f>
        <v>172351.78141950007</v>
      </c>
      <c r="G15" s="55" cm="1">
        <f t="array" ref="G15">'OPCO Rev Req'!G16*Allocator</f>
        <v>130446.1928829</v>
      </c>
      <c r="H15" s="55" cm="1">
        <f t="array" ref="H15">'OPCO Rev Req'!H16*Allocator</f>
        <v>91610.459476649936</v>
      </c>
      <c r="I15" s="55" cm="1">
        <f t="array" ref="I15">'OPCO Rev Req'!I16*Allocator</f>
        <v>55772.194720499981</v>
      </c>
      <c r="J15" s="55" cm="1">
        <f t="array" ref="J15">'OPCO Rev Req'!J16*Allocator</f>
        <v>45540.589903199965</v>
      </c>
      <c r="K15" s="55" cm="1">
        <f t="array" ref="K15">'OPCO Rev Req'!K16*Allocator</f>
        <v>44589.736899149968</v>
      </c>
      <c r="L15" s="55" cm="1">
        <f t="array" ref="L15">'OPCO Rev Req'!L16*Allocator</f>
        <v>44657.47484415002</v>
      </c>
      <c r="M15" s="55" cm="1">
        <f t="array" ref="M15">'OPCO Rev Req'!M16*Allocator</f>
        <v>44589.736899149968</v>
      </c>
      <c r="N15" s="55" cm="1">
        <f t="array" ref="N15">'OPCO Rev Req'!N16*Allocator</f>
        <v>44657.47484415002</v>
      </c>
      <c r="O15" s="55" cm="1">
        <f t="array" ref="O15">'OPCO Rev Req'!O16*Allocator</f>
        <v>44589.736899149968</v>
      </c>
      <c r="P15" s="55" cm="1">
        <f t="array" ref="P15">'OPCO Rev Req'!P16*Allocator</f>
        <v>44657.47484415002</v>
      </c>
      <c r="Q15" s="55" cm="1">
        <f t="array" ref="Q15">'OPCO Rev Req'!Q16*Allocator</f>
        <v>44589.736899149968</v>
      </c>
      <c r="R15" s="55" cm="1">
        <f t="array" ref="R15">'OPCO Rev Req'!R16*Allocator</f>
        <v>44657.47484415002</v>
      </c>
      <c r="S15" s="55" cm="1">
        <f t="array" ref="S15">'OPCO Rev Req'!S16*Allocator</f>
        <v>44589.736899149968</v>
      </c>
      <c r="T15" s="55" cm="1">
        <f t="array" ref="T15">'OPCO Rev Req'!T16*Allocator</f>
        <v>44657.47484415002</v>
      </c>
      <c r="U15" s="55" cm="1">
        <f t="array" ref="U15">'OPCO Rev Req'!U16*Allocator</f>
        <v>44589.736899149968</v>
      </c>
      <c r="V15" s="55" cm="1">
        <f t="array" ref="V15">'OPCO Rev Req'!V16*Allocator</f>
        <v>-138764.72793840006</v>
      </c>
      <c r="W15" s="55" cm="1">
        <f t="array" ref="W15">'OPCO Rev Req'!W16*Allocator</f>
        <v>-354471.30091245001</v>
      </c>
      <c r="X15" s="55" cm="1">
        <f t="array" ref="X15">'OPCO Rev Req'!X16*Allocator</f>
        <v>-386770.14840000012</v>
      </c>
      <c r="Y15" s="55" cm="1">
        <f t="array" ref="Y15">'OPCO Rev Req'!Y16*Allocator</f>
        <v>-386770.14840000012</v>
      </c>
      <c r="Z15" s="55" cm="1">
        <f t="array" ref="Z15">'OPCO Rev Req'!Z16*Allocator</f>
        <v>-386770.14840000012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-2072417.8561869857</v>
      </c>
      <c r="C16" s="55" cm="1">
        <f t="array" ref="C16">'OPCO Rev Req'!C17*Allocator</f>
        <v>-3531562.4063007534</v>
      </c>
      <c r="D16" s="55" cm="1">
        <f t="array" ref="D16">'OPCO Rev Req'!D17*Allocator</f>
        <v>-3505677.3427811735</v>
      </c>
      <c r="E16" s="55" cm="1">
        <f t="array" ref="E16">'OPCO Rev Req'!E17*Allocator</f>
        <v>-3263480.1291623428</v>
      </c>
      <c r="F16" s="55" cm="1">
        <f t="array" ref="F16">'OPCO Rev Req'!F17*Allocator</f>
        <v>-3036709.2814840325</v>
      </c>
      <c r="G16" s="55" cm="1">
        <f t="array" ref="G16">'OPCO Rev Req'!G17*Allocator</f>
        <v>-2824925.8612509947</v>
      </c>
      <c r="H16" s="55" cm="1">
        <f t="array" ref="H16">'OPCO Rev Req'!H17*Allocator</f>
        <v>-2626410.0524108959</v>
      </c>
      <c r="I16" s="55" cm="1">
        <f t="array" ref="I16">'OPCO Rev Req'!I17*Allocator</f>
        <v>-2440793.4943930223</v>
      </c>
      <c r="J16" s="55" cm="1">
        <f t="array" ref="J16">'OPCO Rev Req'!J17*Allocator</f>
        <v>-2357480.7239893503</v>
      </c>
      <c r="K16" s="55" cm="1">
        <f t="array" ref="K16">'OPCO Rev Req'!K17*Allocator</f>
        <v>-2311172.9025179148</v>
      </c>
      <c r="L16" s="55" cm="1">
        <f t="array" ref="L16">'OPCO Rev Req'!L17*Allocator</f>
        <v>-2268921.8982853871</v>
      </c>
      <c r="M16" s="55" cm="1">
        <f t="array" ref="M16">'OPCO Rev Req'!M17*Allocator</f>
        <v>-2226132.8903515511</v>
      </c>
      <c r="N16" s="55" cm="1">
        <f t="array" ref="N16">'OPCO Rev Req'!N17*Allocator</f>
        <v>-2183881.886119023</v>
      </c>
      <c r="O16" s="55" cm="1">
        <f t="array" ref="O16">'OPCO Rev Req'!O17*Allocator</f>
        <v>-2141092.878185187</v>
      </c>
      <c r="P16" s="55" cm="1">
        <f t="array" ref="P16">'OPCO Rev Req'!P17*Allocator</f>
        <v>-2098841.8739526588</v>
      </c>
      <c r="Q16" s="55" cm="1">
        <f t="array" ref="Q16">'OPCO Rev Req'!Q17*Allocator</f>
        <v>-2056052.8660188231</v>
      </c>
      <c r="R16" s="55" cm="1">
        <f t="array" ref="R16">'OPCO Rev Req'!R17*Allocator</f>
        <v>-2013801.861786295</v>
      </c>
      <c r="S16" s="55" cm="1">
        <f t="array" ref="S16">'OPCO Rev Req'!S17*Allocator</f>
        <v>-1971012.8538524592</v>
      </c>
      <c r="T16" s="55" cm="1">
        <f t="array" ref="T16">'OPCO Rev Req'!T17*Allocator</f>
        <v>-1928761.8496199311</v>
      </c>
      <c r="U16" s="55" cm="1">
        <f t="array" ref="U16">'OPCO Rev Req'!U17*Allocator</f>
        <v>-1885972.8416860949</v>
      </c>
      <c r="V16" s="55" cm="1">
        <f t="array" ref="V16">'OPCO Rev Req'!V17*Allocator</f>
        <v>-1117758.7370080363</v>
      </c>
      <c r="W16" s="55" cm="1">
        <f t="array" ref="W16">'OPCO Rev Req'!W17*Allocator</f>
        <v>-226388.36215527239</v>
      </c>
      <c r="X16" s="55" cm="1">
        <f t="array" ref="X16">'OPCO Rev Req'!X17*Allocator</f>
        <v>-66676.016461613413</v>
      </c>
      <c r="Y16" s="55" cm="1">
        <f t="array" ref="Y16">'OPCO Rev Req'!Y17*Allocator</f>
        <v>-35659.949495568966</v>
      </c>
      <c r="Z16" s="55" cm="1">
        <f t="array" ref="Z16">'OPCO Rev Req'!Z17*Allocator</f>
        <v>-4643.8825295247134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-81897.624844875099</v>
      </c>
      <c r="C17" s="55" cm="1">
        <f t="array" ref="C17">'OPCO Rev Req'!C18*Allocator</f>
        <v>1040092.4505452355</v>
      </c>
      <c r="D17" s="55" cm="1">
        <f t="array" ref="D17">'OPCO Rev Req'!D18*Allocator</f>
        <v>1062649.2877820816</v>
      </c>
      <c r="E17" s="55" cm="1">
        <f t="array" ref="E17">'OPCO Rev Req'!E18*Allocator</f>
        <v>867588.51452874299</v>
      </c>
      <c r="F17" s="55" cm="1">
        <f t="array" ref="F17">'OPCO Rev Req'!F18*Allocator</f>
        <v>686743.78890190518</v>
      </c>
      <c r="G17" s="55" cm="1">
        <f t="array" ref="G17">'OPCO Rev Req'!G18*Allocator</f>
        <v>519768.99809459085</v>
      </c>
      <c r="H17" s="55" cm="1">
        <f t="array" ref="H17">'OPCO Rev Req'!H18*Allocator</f>
        <v>365026.1896099032</v>
      </c>
      <c r="I17" s="55" cm="1">
        <f t="array" ref="I17">'OPCO Rev Req'!I18*Allocator</f>
        <v>222226.93610869491</v>
      </c>
      <c r="J17" s="55" cm="1">
        <f t="array" ref="J17">'OPCO Rev Req'!J18*Allocator</f>
        <v>181458.62492032783</v>
      </c>
      <c r="K17" s="55" cm="1">
        <f t="array" ref="K17">'OPCO Rev Req'!K18*Allocator</f>
        <v>177669.90635117836</v>
      </c>
      <c r="L17" s="55" cm="1">
        <f t="array" ref="L17">'OPCO Rev Req'!L18*Allocator</f>
        <v>177939.81138272854</v>
      </c>
      <c r="M17" s="55" cm="1">
        <f t="array" ref="M17">'OPCO Rev Req'!M18*Allocator</f>
        <v>177669.90635117836</v>
      </c>
      <c r="N17" s="55" cm="1">
        <f t="array" ref="N17">'OPCO Rev Req'!N18*Allocator</f>
        <v>177939.81138272854</v>
      </c>
      <c r="O17" s="55" cm="1">
        <f t="array" ref="O17">'OPCO Rev Req'!O18*Allocator</f>
        <v>177669.90635117836</v>
      </c>
      <c r="P17" s="55" cm="1">
        <f t="array" ref="P17">'OPCO Rev Req'!P18*Allocator</f>
        <v>177939.81138272854</v>
      </c>
      <c r="Q17" s="55" cm="1">
        <f t="array" ref="Q17">'OPCO Rev Req'!Q18*Allocator</f>
        <v>177669.90635117836</v>
      </c>
      <c r="R17" s="55" cm="1">
        <f t="array" ref="R17">'OPCO Rev Req'!R18*Allocator</f>
        <v>177939.81138272854</v>
      </c>
      <c r="S17" s="55" cm="1">
        <f t="array" ref="S17">'OPCO Rev Req'!S18*Allocator</f>
        <v>177669.90635117836</v>
      </c>
      <c r="T17" s="55" cm="1">
        <f t="array" ref="T17">'OPCO Rev Req'!T18*Allocator</f>
        <v>177939.81138272854</v>
      </c>
      <c r="U17" s="55" cm="1">
        <f t="array" ref="U17">'OPCO Rev Req'!U18*Allocator</f>
        <v>177669.90635117836</v>
      </c>
      <c r="V17" s="55" cm="1">
        <f t="array" ref="V17">'OPCO Rev Req'!V18*Allocator</f>
        <v>-552914.59273293603</v>
      </c>
      <c r="W17" s="55" cm="1">
        <f t="array" ref="W17">'OPCO Rev Req'!W18*Allocator</f>
        <v>-1412407.5901083855</v>
      </c>
      <c r="X17" s="55" cm="1">
        <f t="array" ref="X17">'OPCO Rev Req'!X18*Allocator</f>
        <v>-1541103.8688360001</v>
      </c>
      <c r="Y17" s="55" cm="1">
        <f t="array" ref="Y17">'OPCO Rev Req'!Y18*Allocator</f>
        <v>-1541103.8688360001</v>
      </c>
      <c r="Z17" s="55" cm="1">
        <f t="array" ref="Z17">'OPCO Rev Req'!Z18*Allocator</f>
        <v>-1541103.8688360001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3873696.9266348276</v>
      </c>
      <c r="C18" s="22" cm="1">
        <f t="array" ref="C18">'OPCO Rev Req'!C19*Allocator</f>
        <v>4608606.9442484183</v>
      </c>
      <c r="D18" s="22" cm="1">
        <f t="array" ref="D18">'OPCO Rev Req'!D19*Allocator</f>
        <v>4669206.2871625181</v>
      </c>
      <c r="E18" s="22" cm="1">
        <f t="array" ref="E18">'OPCO Rev Req'!E19*Allocator</f>
        <v>4728172.538875496</v>
      </c>
      <c r="F18" s="22" cm="1">
        <f t="array" ref="F18">'OPCO Rev Req'!F19*Allocator</f>
        <v>4785624.7192287352</v>
      </c>
      <c r="G18" s="22" cm="1">
        <f t="array" ref="G18">'OPCO Rev Req'!G19*Allocator</f>
        <v>4841678.9503319617</v>
      </c>
      <c r="H18" s="22" cm="1">
        <f t="array" ref="H18">'OPCO Rev Req'!H19*Allocator</f>
        <v>4896437.6410004869</v>
      </c>
      <c r="I18" s="22" cm="1">
        <f t="array" ref="I18">'OPCO Rev Req'!I19*Allocator</f>
        <v>4950000.7852732409</v>
      </c>
      <c r="J18" s="22" cm="1">
        <f t="array" ref="J18">'OPCO Rev Req'!J19*Allocator</f>
        <v>5003222.6083814362</v>
      </c>
      <c r="K18" s="22" cm="1">
        <f t="array" ref="K18">'OPCO Rev Req'!K19*Allocator</f>
        <v>5056412.7115140762</v>
      </c>
      <c r="L18" s="22" cm="1">
        <f t="array" ref="L18">'OPCO Rev Req'!L19*Allocator</f>
        <v>5109605.0743503226</v>
      </c>
      <c r="M18" s="22" cm="1">
        <f t="array" ref="M18">'OPCO Rev Req'!M19*Allocator</f>
        <v>5162795.1774829635</v>
      </c>
      <c r="N18" s="22" cm="1">
        <f t="array" ref="N18">'OPCO Rev Req'!N19*Allocator</f>
        <v>5215987.5403192099</v>
      </c>
      <c r="O18" s="22" cm="1">
        <f t="array" ref="O18">'OPCO Rev Req'!O19*Allocator</f>
        <v>5269177.6434518518</v>
      </c>
      <c r="P18" s="22" cm="1">
        <f t="array" ref="P18">'OPCO Rev Req'!P19*Allocator</f>
        <v>5322370.0062880972</v>
      </c>
      <c r="Q18" s="22" cm="1">
        <f t="array" ref="Q18">'OPCO Rev Req'!Q19*Allocator</f>
        <v>5375560.1094207382</v>
      </c>
      <c r="R18" s="22" cm="1">
        <f t="array" ref="R18">'OPCO Rev Req'!R19*Allocator</f>
        <v>5428752.4722569855</v>
      </c>
      <c r="S18" s="22" cm="1">
        <f t="array" ref="S18">'OPCO Rev Req'!S19*Allocator</f>
        <v>5481942.5753896255</v>
      </c>
      <c r="T18" s="22" cm="1">
        <f t="array" ref="T18">'OPCO Rev Req'!T19*Allocator</f>
        <v>5535134.9382258719</v>
      </c>
      <c r="U18" s="22" cm="1">
        <f t="array" ref="U18">'OPCO Rev Req'!U19*Allocator</f>
        <v>5588325.0413585128</v>
      </c>
      <c r="V18" s="22" cm="1">
        <f t="array" ref="V18">'OPCO Rev Req'!V19*Allocator</f>
        <v>5635398.5322311297</v>
      </c>
      <c r="W18" s="22" cm="1">
        <f t="array" ref="W18">'OPCO Rev Req'!W19*Allocator</f>
        <v>5675276.1608704999</v>
      </c>
      <c r="X18" s="22" cm="1">
        <f t="array" ref="X18">'OPCO Rev Req'!X19*Allocator</f>
        <v>5714076.3162849769</v>
      </c>
      <c r="Y18" s="22" cm="1">
        <f t="array" ref="Y18">'OPCO Rev Req'!Y19*Allocator</f>
        <v>5752876.4716994539</v>
      </c>
      <c r="Z18" s="22" cm="1">
        <f t="array" ref="Z18">'OPCO Rev Req'!Z19*Allocator</f>
        <v>5791676.6271139309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157750771.43510741</v>
      </c>
      <c r="C20" s="55" cm="1">
        <f t="array" ref="C20">'OPCO Rev Req'!C23*Allocator</f>
        <v>177641287.44763467</v>
      </c>
      <c r="D20" s="55" cm="1">
        <f t="array" ref="D20">'OPCO Rev Req'!D23*Allocator</f>
        <v>168586585.54357681</v>
      </c>
      <c r="E20" s="55" cm="1">
        <f t="array" ref="E20">'OPCO Rev Req'!E23*Allocator</f>
        <v>159775898.72775635</v>
      </c>
      <c r="F20" s="55" cm="1">
        <f t="array" ref="F20">'OPCO Rev Req'!F23*Allocator</f>
        <v>151191443.157435</v>
      </c>
      <c r="G20" s="55" cm="1">
        <f t="array" ref="G20">'OPCO Rev Req'!G23*Allocator</f>
        <v>142815867.96645749</v>
      </c>
      <c r="H20" s="55" cm="1">
        <f t="array" ref="H20">'OPCO Rev Req'!H23*Allocator</f>
        <v>134633871.31737095</v>
      </c>
      <c r="I20" s="55" cm="1">
        <f t="array" ref="I20">'OPCO Rev Req'!I23*Allocator</f>
        <v>126630512.18654171</v>
      </c>
      <c r="J20" s="55" cm="1">
        <f t="array" ref="J20">'OPCO Rev Req'!J23*Allocator</f>
        <v>118678152.97171818</v>
      </c>
      <c r="K20" s="55" cm="1">
        <f t="array" ref="K20">'OPCO Rev Req'!K23*Allocator</f>
        <v>110730533.32846786</v>
      </c>
      <c r="L20" s="55" cm="1">
        <f t="array" ref="L20">'OPCO Rev Req'!L23*Allocator</f>
        <v>102782576.04224099</v>
      </c>
      <c r="M20" s="55" cm="1">
        <f t="array" ref="M20">'OPCO Rev Req'!M23*Allocator</f>
        <v>94834956.398990661</v>
      </c>
      <c r="N20" s="55" cm="1">
        <f t="array" ref="N20">'OPCO Rev Req'!N23*Allocator</f>
        <v>86886999.112763777</v>
      </c>
      <c r="O20" s="55" cm="1">
        <f t="array" ref="O20">'OPCO Rev Req'!O23*Allocator</f>
        <v>78939379.469513461</v>
      </c>
      <c r="P20" s="55" cm="1">
        <f t="array" ref="P20">'OPCO Rev Req'!P23*Allocator</f>
        <v>70991422.183286577</v>
      </c>
      <c r="Q20" s="55" cm="1">
        <f t="array" ref="Q20">'OPCO Rev Req'!Q23*Allocator</f>
        <v>63043802.540036239</v>
      </c>
      <c r="R20" s="55" cm="1">
        <f t="array" ref="R20">'OPCO Rev Req'!R23*Allocator</f>
        <v>55095845.253809363</v>
      </c>
      <c r="S20" s="55" cm="1">
        <f t="array" ref="S20">'OPCO Rev Req'!S23*Allocator</f>
        <v>47148225.610559046</v>
      </c>
      <c r="T20" s="55" cm="1">
        <f t="array" ref="T20">'OPCO Rev Req'!T23*Allocator</f>
        <v>39200268.324332185</v>
      </c>
      <c r="U20" s="55" cm="1">
        <f t="array" ref="U20">'OPCO Rev Req'!U23*Allocator</f>
        <v>31252648.681081869</v>
      </c>
      <c r="V20" s="55" cm="1">
        <f t="array" ref="V20">'OPCO Rev Req'!V23*Allocator</f>
        <v>24218968.001753218</v>
      </c>
      <c r="W20" s="55" cm="1">
        <f t="array" ref="W20">'OPCO Rev Req'!W23*Allocator</f>
        <v>18260486.892774068</v>
      </c>
      <c r="X20" s="55" cm="1">
        <f t="array" ref="X20">'OPCO Rev Req'!X23*Allocator</f>
        <v>12463000.910010083</v>
      </c>
      <c r="Y20" s="55" cm="1">
        <f t="array" ref="Y20">'OPCO Rev Req'!Y23*Allocator</f>
        <v>6665514.9272460984</v>
      </c>
      <c r="Z20" s="55" cm="1">
        <f t="array" ref="Z20">'OPCO Rev Req'!Z23*Allocator</f>
        <v>868028.94448211277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10969041.500910236</v>
      </c>
      <c r="C21" s="55" cm="1">
        <f t="array" ref="C21">'OPCO Rev Req'!C24*Allocator</f>
        <v>12352108.560621457</v>
      </c>
      <c r="D21" s="55" cm="1">
        <f t="array" ref="D21">'OPCO Rev Req'!D24*Allocator</f>
        <v>11722498.955163278</v>
      </c>
      <c r="E21" s="55" cm="1">
        <f t="array" ref="E21">'OPCO Rev Req'!E24*Allocator</f>
        <v>11109856.693860529</v>
      </c>
      <c r="F21" s="55" cm="1">
        <f t="array" ref="F21">'OPCO Rev Req'!F24*Allocator</f>
        <v>10512945.195064403</v>
      </c>
      <c r="G21" s="55" cm="1">
        <f t="array" ref="G21">'OPCO Rev Req'!G24*Allocator</f>
        <v>9930557.98371806</v>
      </c>
      <c r="H21" s="55" cm="1">
        <f t="array" ref="H21">'OPCO Rev Req'!H24*Allocator</f>
        <v>9361631.0619181395</v>
      </c>
      <c r="I21" s="55" cm="1">
        <f t="array" ref="I21">'OPCO Rev Req'!I24*Allocator</f>
        <v>8805125.5205879156</v>
      </c>
      <c r="J21" s="55" cm="1">
        <f t="array" ref="J21">'OPCO Rev Req'!J24*Allocator</f>
        <v>8252166.2072103051</v>
      </c>
      <c r="K21" s="55" cm="1">
        <f t="array" ref="K21">'OPCO Rev Req'!K24*Allocator</f>
        <v>7699536.4551832369</v>
      </c>
      <c r="L21" s="55" cm="1">
        <f t="array" ref="L21">'OPCO Rev Req'!L24*Allocator</f>
        <v>7146883.2254908076</v>
      </c>
      <c r="M21" s="55" cm="1">
        <f t="array" ref="M21">'OPCO Rev Req'!M24*Allocator</f>
        <v>6594253.4734637383</v>
      </c>
      <c r="N21" s="55" cm="1">
        <f t="array" ref="N21">'OPCO Rev Req'!N24*Allocator</f>
        <v>6041600.2437713072</v>
      </c>
      <c r="O21" s="55" cm="1">
        <f t="array" ref="O21">'OPCO Rev Req'!O24*Allocator</f>
        <v>5488970.4917442389</v>
      </c>
      <c r="P21" s="55" cm="1">
        <f t="array" ref="P21">'OPCO Rev Req'!P24*Allocator</f>
        <v>4936317.2620518077</v>
      </c>
      <c r="Q21" s="55" cm="1">
        <f t="array" ref="Q21">'OPCO Rev Req'!Q24*Allocator</f>
        <v>4383687.5100247385</v>
      </c>
      <c r="R21" s="55" cm="1">
        <f t="array" ref="R21">'OPCO Rev Req'!R24*Allocator</f>
        <v>3831034.2803323078</v>
      </c>
      <c r="S21" s="55" cm="1">
        <f t="array" ref="S21">'OPCO Rev Req'!S24*Allocator</f>
        <v>3278404.52830524</v>
      </c>
      <c r="T21" s="55" cm="1">
        <f t="array" ref="T21">'OPCO Rev Req'!T24*Allocator</f>
        <v>2725751.2986128107</v>
      </c>
      <c r="U21" s="55" cm="1">
        <f t="array" ref="U21">'OPCO Rev Req'!U24*Allocator</f>
        <v>2173121.5465857424</v>
      </c>
      <c r="V21" s="55" cm="1">
        <f t="array" ref="V21">'OPCO Rev Req'!V24*Allocator</f>
        <v>1684041.6227677842</v>
      </c>
      <c r="W21" s="55" cm="1">
        <f t="array" ref="W21">'OPCO Rev Req'!W24*Allocator</f>
        <v>1269724.6215119897</v>
      </c>
      <c r="X21" s="55" cm="1">
        <f t="array" ref="X21">'OPCO Rev Req'!X24*Allocator</f>
        <v>866602.25470921828</v>
      </c>
      <c r="Y21" s="55" cm="1">
        <f t="array" ref="Y21">'OPCO Rev Req'!Y24*Allocator</f>
        <v>463479.88790644699</v>
      </c>
      <c r="Z21" s="55" cm="1">
        <f t="array" ref="Z21">'OPCO Rev Req'!Z24*Allocator</f>
        <v>60357.521103675601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14842738.427545063</v>
      </c>
      <c r="C23" s="55">
        <f t="shared" si="0"/>
        <v>16960715.504869875</v>
      </c>
      <c r="D23" s="55">
        <f t="shared" si="0"/>
        <v>16391705.242325796</v>
      </c>
      <c r="E23" s="55">
        <f t="shared" si="0"/>
        <v>15838029.232736025</v>
      </c>
      <c r="F23" s="55">
        <f t="shared" si="0"/>
        <v>15298569.914293138</v>
      </c>
      <c r="G23" s="55">
        <f t="shared" si="0"/>
        <v>14772236.934050022</v>
      </c>
      <c r="H23" s="55">
        <f t="shared" si="0"/>
        <v>14258068.702918626</v>
      </c>
      <c r="I23" s="55">
        <f t="shared" si="0"/>
        <v>13755126.305861156</v>
      </c>
      <c r="J23" s="55">
        <f t="shared" si="0"/>
        <v>13255388.815591741</v>
      </c>
      <c r="K23" s="55">
        <f t="shared" si="0"/>
        <v>12755949.166697312</v>
      </c>
      <c r="L23" s="55">
        <f t="shared" si="0"/>
        <v>12256488.29984113</v>
      </c>
      <c r="M23" s="55">
        <f t="shared" si="0"/>
        <v>11757048.650946703</v>
      </c>
      <c r="N23" s="55">
        <f t="shared" si="0"/>
        <v>11257587.784090517</v>
      </c>
      <c r="O23" s="55">
        <f t="shared" si="0"/>
        <v>10758148.13519609</v>
      </c>
      <c r="P23" s="55">
        <f t="shared" si="0"/>
        <v>10258687.268339906</v>
      </c>
      <c r="Q23" s="55">
        <f t="shared" si="0"/>
        <v>9759247.6194454767</v>
      </c>
      <c r="R23" s="55">
        <f t="shared" si="0"/>
        <v>9259786.7525892928</v>
      </c>
      <c r="S23" s="55">
        <f t="shared" si="0"/>
        <v>8760347.1036948655</v>
      </c>
      <c r="T23" s="55">
        <f t="shared" si="0"/>
        <v>8260886.2368386826</v>
      </c>
      <c r="U23" s="55">
        <f t="shared" si="0"/>
        <v>7761446.5879442552</v>
      </c>
      <c r="V23" s="55">
        <f t="shared" ref="V23:AJ23" si="1">V21+V18</f>
        <v>7319440.1549989134</v>
      </c>
      <c r="W23" s="55">
        <f t="shared" si="1"/>
        <v>6945000.7823824901</v>
      </c>
      <c r="X23" s="55">
        <f t="shared" si="1"/>
        <v>6580678.5709941955</v>
      </c>
      <c r="Y23" s="55">
        <f t="shared" si="1"/>
        <v>6216356.3596059009</v>
      </c>
      <c r="Z23" s="55">
        <f t="shared" si="1"/>
        <v>5852034.1482176064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1.3258945200000001</v>
      </c>
      <c r="C24" s="106">
        <f t="shared" si="2"/>
        <v>1.3258945200000001</v>
      </c>
      <c r="D24" s="106">
        <f t="shared" si="2"/>
        <v>1.3258945200000001</v>
      </c>
      <c r="E24" s="106">
        <f t="shared" si="2"/>
        <v>1.3258945200000001</v>
      </c>
      <c r="F24" s="106">
        <f t="shared" si="2"/>
        <v>1.3258945200000001</v>
      </c>
      <c r="G24" s="106">
        <f t="shared" si="2"/>
        <v>1.3258945200000001</v>
      </c>
      <c r="H24" s="106">
        <f t="shared" si="2"/>
        <v>1.3258945200000001</v>
      </c>
      <c r="I24" s="106">
        <f t="shared" si="2"/>
        <v>1.3258945200000001</v>
      </c>
      <c r="J24" s="106">
        <f t="shared" si="2"/>
        <v>1.3258945200000001</v>
      </c>
      <c r="K24" s="106">
        <f t="shared" si="2"/>
        <v>1.3258945200000001</v>
      </c>
      <c r="L24" s="106">
        <f t="shared" si="2"/>
        <v>1.3258945200000001</v>
      </c>
      <c r="M24" s="106">
        <f t="shared" si="2"/>
        <v>1.3258945200000001</v>
      </c>
      <c r="N24" s="106">
        <f t="shared" si="2"/>
        <v>1.3258945200000001</v>
      </c>
      <c r="O24" s="106">
        <f t="shared" si="2"/>
        <v>1.3258945200000001</v>
      </c>
      <c r="P24" s="106">
        <f t="shared" si="2"/>
        <v>1.3258945200000001</v>
      </c>
      <c r="Q24" s="106">
        <f t="shared" si="2"/>
        <v>1.3258945200000001</v>
      </c>
      <c r="R24" s="106">
        <f t="shared" si="2"/>
        <v>1.3258945200000001</v>
      </c>
      <c r="S24" s="106">
        <f t="shared" si="2"/>
        <v>1.3258945200000001</v>
      </c>
      <c r="T24" s="106">
        <f t="shared" si="2"/>
        <v>1.3258945200000001</v>
      </c>
      <c r="U24" s="106">
        <f t="shared" si="2"/>
        <v>1.3258945200000001</v>
      </c>
      <c r="V24" s="106">
        <f t="shared" si="2"/>
        <v>1.3258945200000001</v>
      </c>
      <c r="W24" s="106">
        <f t="shared" si="2"/>
        <v>1.3258945200000001</v>
      </c>
      <c r="X24" s="106">
        <f t="shared" si="2"/>
        <v>1.3258945200000001</v>
      </c>
      <c r="Y24" s="106">
        <f t="shared" si="2"/>
        <v>1.3258945200000001</v>
      </c>
      <c r="Z24" s="106">
        <f t="shared" si="2"/>
        <v>1.3258945200000001</v>
      </c>
      <c r="AA24" s="106">
        <f t="shared" si="2"/>
        <v>1.3258945200000001</v>
      </c>
      <c r="AB24" s="106">
        <f t="shared" si="2"/>
        <v>1.3258945200000001</v>
      </c>
      <c r="AC24" s="106">
        <f t="shared" si="2"/>
        <v>1.3258945200000001</v>
      </c>
      <c r="AD24" s="106">
        <f t="shared" si="2"/>
        <v>1.3258945200000001</v>
      </c>
      <c r="AE24" s="106">
        <f t="shared" si="2"/>
        <v>1.3258945200000001</v>
      </c>
      <c r="AF24" s="106">
        <f t="shared" si="2"/>
        <v>1.3258945200000001</v>
      </c>
      <c r="AG24" s="106">
        <f t="shared" si="2"/>
        <v>1.3258945200000001</v>
      </c>
      <c r="AH24" s="106">
        <f t="shared" si="2"/>
        <v>1.3258945200000001</v>
      </c>
      <c r="AI24" s="106">
        <f t="shared" si="2"/>
        <v>1.3258945200000001</v>
      </c>
      <c r="AJ24" s="106">
        <f t="shared" si="2"/>
        <v>1.3258945200000001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19679905.542875417</v>
      </c>
      <c r="C25" s="112">
        <f t="shared" si="3"/>
        <v>22488119.743186001</v>
      </c>
      <c r="D25" s="112">
        <f t="shared" si="3"/>
        <v>21733672.154255047</v>
      </c>
      <c r="E25" s="112">
        <f t="shared" si="3"/>
        <v>20999556.1672845</v>
      </c>
      <c r="F25" s="112">
        <f t="shared" si="3"/>
        <v>20284290.013198145</v>
      </c>
      <c r="G25" s="112">
        <f>G23*G24</f>
        <v>19586427.998998526</v>
      </c>
      <c r="H25" s="112">
        <f t="shared" si="3"/>
        <v>18904695.158983316</v>
      </c>
      <c r="I25" s="112">
        <f t="shared" si="3"/>
        <v>18237846.590849154</v>
      </c>
      <c r="J25" s="112">
        <f t="shared" si="3"/>
        <v>17575247.391062383</v>
      </c>
      <c r="K25" s="112">
        <f t="shared" si="3"/>
        <v>16913043.097522534</v>
      </c>
      <c r="L25" s="112">
        <f t="shared" si="3"/>
        <v>16250810.671203472</v>
      </c>
      <c r="M25" s="112">
        <f t="shared" si="3"/>
        <v>15588606.377663627</v>
      </c>
      <c r="N25" s="112">
        <f t="shared" si="3"/>
        <v>14926373.951344561</v>
      </c>
      <c r="O25" s="112">
        <f t="shared" si="3"/>
        <v>14264169.657804715</v>
      </c>
      <c r="P25" s="112">
        <f t="shared" si="3"/>
        <v>13601937.231485652</v>
      </c>
      <c r="Q25" s="112">
        <f t="shared" si="3"/>
        <v>12939732.937945804</v>
      </c>
      <c r="R25" s="112">
        <f t="shared" si="3"/>
        <v>12277500.511626739</v>
      </c>
      <c r="S25" s="112">
        <f t="shared" si="3"/>
        <v>11615296.218086895</v>
      </c>
      <c r="T25" s="112">
        <f t="shared" si="3"/>
        <v>10953063.791767832</v>
      </c>
      <c r="U25" s="112">
        <f t="shared" si="3"/>
        <v>10290859.498227987</v>
      </c>
      <c r="V25" s="112">
        <f t="shared" ref="V25:AJ25" si="4">V23*V24</f>
        <v>9704805.5909810103</v>
      </c>
      <c r="W25" s="112">
        <f t="shared" si="4"/>
        <v>9208338.4787566569</v>
      </c>
      <c r="X25" s="112">
        <f t="shared" si="4"/>
        <v>8725285.6551626362</v>
      </c>
      <c r="Y25" s="112">
        <f t="shared" si="4"/>
        <v>8242232.8315686136</v>
      </c>
      <c r="Z25" s="112">
        <f t="shared" si="4"/>
        <v>7759180.007974592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19679905.542875417</v>
      </c>
      <c r="C28" s="100">
        <f t="shared" ref="C28:U28" si="5">C25</f>
        <v>22488119.743186001</v>
      </c>
      <c r="D28" s="100">
        <f t="shared" si="5"/>
        <v>21733672.154255047</v>
      </c>
      <c r="E28" s="100">
        <f t="shared" si="5"/>
        <v>20999556.1672845</v>
      </c>
      <c r="F28" s="100">
        <f t="shared" si="5"/>
        <v>20284290.013198145</v>
      </c>
      <c r="G28" s="100">
        <f t="shared" si="5"/>
        <v>19586427.998998526</v>
      </c>
      <c r="H28" s="100">
        <f t="shared" si="5"/>
        <v>18904695.158983316</v>
      </c>
      <c r="I28" s="100">
        <f t="shared" si="5"/>
        <v>18237846.590849154</v>
      </c>
      <c r="J28" s="100">
        <f t="shared" si="5"/>
        <v>17575247.391062383</v>
      </c>
      <c r="K28" s="100">
        <f t="shared" si="5"/>
        <v>16913043.097522534</v>
      </c>
      <c r="L28" s="100">
        <f t="shared" si="5"/>
        <v>16250810.671203472</v>
      </c>
      <c r="M28" s="100">
        <f t="shared" si="5"/>
        <v>15588606.377663627</v>
      </c>
      <c r="N28" s="100">
        <f t="shared" si="5"/>
        <v>14926373.951344561</v>
      </c>
      <c r="O28" s="100">
        <f t="shared" si="5"/>
        <v>14264169.657804715</v>
      </c>
      <c r="P28" s="100">
        <f t="shared" si="5"/>
        <v>13601937.231485652</v>
      </c>
      <c r="Q28" s="100">
        <f t="shared" si="5"/>
        <v>12939732.937945804</v>
      </c>
      <c r="R28" s="100">
        <f t="shared" si="5"/>
        <v>12277500.511626739</v>
      </c>
      <c r="S28" s="100">
        <f t="shared" si="5"/>
        <v>11615296.218086895</v>
      </c>
      <c r="T28" s="100">
        <f t="shared" si="5"/>
        <v>10953063.791767832</v>
      </c>
      <c r="U28" s="100">
        <f t="shared" si="5"/>
        <v>10290859.498227987</v>
      </c>
      <c r="V28" s="100">
        <f t="shared" ref="V28:AJ28" si="6">V25</f>
        <v>9704805.5909810103</v>
      </c>
      <c r="W28" s="100">
        <f t="shared" si="6"/>
        <v>9208338.4787566569</v>
      </c>
      <c r="X28" s="100">
        <f t="shared" si="6"/>
        <v>8725285.6551626362</v>
      </c>
      <c r="Y28" s="100">
        <f t="shared" si="6"/>
        <v>8242232.8315686136</v>
      </c>
      <c r="Z28" s="100">
        <f t="shared" si="6"/>
        <v>7759180.007974592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6568680</v>
      </c>
      <c r="C29" s="3">
        <f t="shared" si="7"/>
        <v>7725360.0000000009</v>
      </c>
      <c r="D29" s="3">
        <f t="shared" si="7"/>
        <v>7725360.0000000009</v>
      </c>
      <c r="E29" s="3">
        <f t="shared" si="7"/>
        <v>7725360.0000000009</v>
      </c>
      <c r="F29" s="3">
        <f t="shared" si="7"/>
        <v>7725360.0000000009</v>
      </c>
      <c r="G29" s="3">
        <f t="shared" si="7"/>
        <v>7725360.0000000009</v>
      </c>
      <c r="H29" s="3">
        <f t="shared" si="7"/>
        <v>7725360.0000000009</v>
      </c>
      <c r="I29" s="3">
        <f t="shared" si="7"/>
        <v>7725360.0000000009</v>
      </c>
      <c r="J29" s="3">
        <f t="shared" si="7"/>
        <v>7725360.0000000009</v>
      </c>
      <c r="K29" s="3">
        <f t="shared" si="7"/>
        <v>7725360.0000000009</v>
      </c>
      <c r="L29" s="3">
        <f t="shared" si="7"/>
        <v>7725360.0000000009</v>
      </c>
      <c r="M29" s="3">
        <f t="shared" si="7"/>
        <v>7725360.0000000009</v>
      </c>
      <c r="N29" s="3">
        <f t="shared" si="7"/>
        <v>7725360.0000000009</v>
      </c>
      <c r="O29" s="3">
        <f t="shared" si="7"/>
        <v>7725360.0000000009</v>
      </c>
      <c r="P29" s="3">
        <f t="shared" si="7"/>
        <v>7725360.0000000009</v>
      </c>
      <c r="Q29" s="3">
        <f t="shared" si="7"/>
        <v>7725360.0000000009</v>
      </c>
      <c r="R29" s="3">
        <f t="shared" si="7"/>
        <v>7725360.0000000009</v>
      </c>
      <c r="S29" s="3">
        <f t="shared" si="7"/>
        <v>7725360.0000000009</v>
      </c>
      <c r="T29" s="3">
        <f t="shared" si="7"/>
        <v>7725360.0000000009</v>
      </c>
      <c r="U29" s="3">
        <f t="shared" si="7"/>
        <v>7725360.0000000009</v>
      </c>
      <c r="V29" s="3">
        <f t="shared" ref="V29:AJ29" si="8">V12+V13</f>
        <v>7725360.0000000009</v>
      </c>
      <c r="W29" s="3">
        <f t="shared" si="8"/>
        <v>7725360.0000000009</v>
      </c>
      <c r="X29" s="3">
        <f t="shared" si="8"/>
        <v>7725360.0000000009</v>
      </c>
      <c r="Y29" s="3">
        <f t="shared" si="8"/>
        <v>7725360.0000000009</v>
      </c>
      <c r="Z29" s="3">
        <f t="shared" si="8"/>
        <v>7725360.0000000009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2142184.0419651815</v>
      </c>
      <c r="C30" s="38">
        <f t="shared" si="9"/>
        <v>2410651.1825645431</v>
      </c>
      <c r="D30" s="38">
        <f t="shared" si="9"/>
        <v>2285813.1990917679</v>
      </c>
      <c r="E30" s="38">
        <f t="shared" si="9"/>
        <v>2164339.473423969</v>
      </c>
      <c r="F30" s="38">
        <f t="shared" si="9"/>
        <v>2045984.8181337412</v>
      </c>
      <c r="G30" s="38">
        <f t="shared" si="9"/>
        <v>1930510.0152804654</v>
      </c>
      <c r="H30" s="38">
        <f t="shared" si="9"/>
        <v>1817704.0970651768</v>
      </c>
      <c r="I30" s="38">
        <f t="shared" si="9"/>
        <v>1707361.070261237</v>
      </c>
      <c r="J30" s="38">
        <f t="shared" si="9"/>
        <v>1597721.1838520754</v>
      </c>
      <c r="K30" s="38">
        <f t="shared" si="9"/>
        <v>1488146.642339299</v>
      </c>
      <c r="L30" s="38">
        <f t="shared" si="9"/>
        <v>1378567.445712663</v>
      </c>
      <c r="M30" s="38">
        <f t="shared" si="9"/>
        <v>1268992.904199888</v>
      </c>
      <c r="N30" s="38">
        <f t="shared" si="9"/>
        <v>1159413.7075732525</v>
      </c>
      <c r="O30" s="38">
        <f t="shared" si="9"/>
        <v>1049839.1660604759</v>
      </c>
      <c r="P30" s="38">
        <f t="shared" si="9"/>
        <v>940259.96943384234</v>
      </c>
      <c r="Q30" s="38">
        <f t="shared" si="9"/>
        <v>830685.42792106513</v>
      </c>
      <c r="R30" s="38">
        <f t="shared" si="9"/>
        <v>721106.23129443021</v>
      </c>
      <c r="S30" s="38">
        <f t="shared" si="9"/>
        <v>611531.68978165439</v>
      </c>
      <c r="T30" s="38">
        <f t="shared" si="9"/>
        <v>501952.49315502041</v>
      </c>
      <c r="U30" s="38">
        <f t="shared" si="9"/>
        <v>392377.95164224558</v>
      </c>
      <c r="V30" s="38">
        <f t="shared" ref="V30:AJ30" si="10">(V25-V23)+V14+V16+V15+V17</f>
        <v>295403.9682132256</v>
      </c>
      <c r="W30" s="38">
        <f t="shared" si="10"/>
        <v>213253.85724466527</v>
      </c>
      <c r="X30" s="38">
        <f t="shared" si="10"/>
        <v>133323.40045341663</v>
      </c>
      <c r="Y30" s="38">
        <f t="shared" si="10"/>
        <v>53392.943662165897</v>
      </c>
      <c r="Z30" s="38">
        <f t="shared" si="10"/>
        <v>-26537.513129084138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8710864.041965181</v>
      </c>
      <c r="C31" s="46">
        <f t="shared" ref="C31:U31" si="11">C29+C30</f>
        <v>10136011.182564544</v>
      </c>
      <c r="D31" s="46">
        <f t="shared" si="11"/>
        <v>10011173.19909177</v>
      </c>
      <c r="E31" s="46">
        <f t="shared" si="11"/>
        <v>9889699.473423969</v>
      </c>
      <c r="F31" s="46">
        <f t="shared" si="11"/>
        <v>9771344.8181337416</v>
      </c>
      <c r="G31" s="46">
        <f t="shared" si="11"/>
        <v>9655870.0152804665</v>
      </c>
      <c r="H31" s="46">
        <f t="shared" si="11"/>
        <v>9543064.0970651768</v>
      </c>
      <c r="I31" s="46">
        <f t="shared" si="11"/>
        <v>9432721.0702612381</v>
      </c>
      <c r="J31" s="46">
        <f t="shared" si="11"/>
        <v>9323081.1838520765</v>
      </c>
      <c r="K31" s="46">
        <f t="shared" si="11"/>
        <v>9213506.6423393004</v>
      </c>
      <c r="L31" s="46">
        <f t="shared" si="11"/>
        <v>9103927.4457126632</v>
      </c>
      <c r="M31" s="46">
        <f t="shared" si="11"/>
        <v>8994352.9041998889</v>
      </c>
      <c r="N31" s="46">
        <f t="shared" si="11"/>
        <v>8884773.7075732537</v>
      </c>
      <c r="O31" s="46">
        <f t="shared" si="11"/>
        <v>8775199.1660604775</v>
      </c>
      <c r="P31" s="46">
        <f t="shared" si="11"/>
        <v>8665619.9694338441</v>
      </c>
      <c r="Q31" s="46">
        <f t="shared" si="11"/>
        <v>8556045.4279210661</v>
      </c>
      <c r="R31" s="46">
        <f t="shared" si="11"/>
        <v>8446466.2312944308</v>
      </c>
      <c r="S31" s="46">
        <f t="shared" si="11"/>
        <v>8336891.6897816556</v>
      </c>
      <c r="T31" s="46">
        <f t="shared" si="11"/>
        <v>8227312.4931550212</v>
      </c>
      <c r="U31" s="46">
        <f t="shared" si="11"/>
        <v>8117737.9516422469</v>
      </c>
      <c r="V31" s="46">
        <f t="shared" ref="V31:AJ31" si="12">V29+V30</f>
        <v>8020763.9682132266</v>
      </c>
      <c r="W31" s="46">
        <f t="shared" si="12"/>
        <v>7938613.8572446667</v>
      </c>
      <c r="X31" s="46">
        <f t="shared" si="12"/>
        <v>7858683.4004534176</v>
      </c>
      <c r="Y31" s="46">
        <f t="shared" si="12"/>
        <v>7778752.9436621666</v>
      </c>
      <c r="Z31" s="46">
        <f t="shared" si="12"/>
        <v>7698822.4868709166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10969041.500910236</v>
      </c>
      <c r="C32" s="39">
        <f t="shared" si="13"/>
        <v>12352108.560621457</v>
      </c>
      <c r="D32" s="39">
        <f t="shared" si="13"/>
        <v>11722498.955163278</v>
      </c>
      <c r="E32" s="39">
        <f t="shared" si="13"/>
        <v>11109856.693860529</v>
      </c>
      <c r="F32" s="39">
        <f t="shared" si="13"/>
        <v>10512945.195064403</v>
      </c>
      <c r="G32" s="39">
        <f t="shared" si="13"/>
        <v>9930557.98371806</v>
      </c>
      <c r="H32" s="39">
        <f t="shared" si="13"/>
        <v>9361631.0619181395</v>
      </c>
      <c r="I32" s="39">
        <f t="shared" si="13"/>
        <v>8805125.5205879156</v>
      </c>
      <c r="J32" s="39">
        <f t="shared" si="13"/>
        <v>8252166.2072103051</v>
      </c>
      <c r="K32" s="39">
        <f t="shared" si="13"/>
        <v>7699536.4551832369</v>
      </c>
      <c r="L32" s="39">
        <f t="shared" si="13"/>
        <v>7146883.2254908076</v>
      </c>
      <c r="M32" s="39">
        <f t="shared" si="13"/>
        <v>6594253.4734637383</v>
      </c>
      <c r="N32" s="39">
        <f t="shared" si="13"/>
        <v>6041600.2437713072</v>
      </c>
      <c r="O32" s="39">
        <f t="shared" si="13"/>
        <v>5488970.4917442389</v>
      </c>
      <c r="P32" s="39">
        <f t="shared" si="13"/>
        <v>4936317.2620518077</v>
      </c>
      <c r="Q32" s="39">
        <f t="shared" si="13"/>
        <v>4383687.5100247385</v>
      </c>
      <c r="R32" s="39">
        <f t="shared" si="13"/>
        <v>3831034.2803323078</v>
      </c>
      <c r="S32" s="39">
        <f t="shared" si="13"/>
        <v>3278404.52830524</v>
      </c>
      <c r="T32" s="39">
        <f t="shared" si="13"/>
        <v>2725751.2986128107</v>
      </c>
      <c r="U32" s="39">
        <f t="shared" si="13"/>
        <v>2173121.5465857424</v>
      </c>
      <c r="V32" s="39">
        <f t="shared" ref="V32:AJ32" si="14">V21</f>
        <v>1684041.6227677842</v>
      </c>
      <c r="W32" s="39">
        <f t="shared" si="14"/>
        <v>1269724.6215119897</v>
      </c>
      <c r="X32" s="39">
        <f t="shared" si="14"/>
        <v>866602.25470921828</v>
      </c>
      <c r="Y32" s="39">
        <f t="shared" si="14"/>
        <v>463479.88790644699</v>
      </c>
      <c r="Z32" s="39">
        <f t="shared" si="14"/>
        <v>60357.521103675601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4230632.7401040765</v>
      </c>
      <c r="C33" s="44">
        <f t="shared" si="15"/>
        <v>4764065.7464509141</v>
      </c>
      <c r="D33" s="44">
        <f t="shared" si="15"/>
        <v>4521232.5864054943</v>
      </c>
      <c r="E33" s="44">
        <f t="shared" si="15"/>
        <v>4284943.535222332</v>
      </c>
      <c r="F33" s="44">
        <f t="shared" si="15"/>
        <v>4054721.6576278382</v>
      </c>
      <c r="G33" s="44">
        <f t="shared" si="15"/>
        <v>3830101.630113557</v>
      </c>
      <c r="H33" s="44">
        <f t="shared" si="15"/>
        <v>3610673.0809651515</v>
      </c>
      <c r="I33" s="44">
        <f t="shared" si="15"/>
        <v>3396035.3149392307</v>
      </c>
      <c r="J33" s="44">
        <f t="shared" si="15"/>
        <v>3182765.2881163163</v>
      </c>
      <c r="K33" s="44">
        <f t="shared" si="15"/>
        <v>2969622.369303647</v>
      </c>
      <c r="L33" s="44">
        <f t="shared" si="15"/>
        <v>2756470.395426346</v>
      </c>
      <c r="M33" s="44">
        <f t="shared" si="15"/>
        <v>2543327.4766136762</v>
      </c>
      <c r="N33" s="44">
        <f t="shared" si="15"/>
        <v>2330175.5027363743</v>
      </c>
      <c r="O33" s="44">
        <f t="shared" si="15"/>
        <v>2117032.5839237049</v>
      </c>
      <c r="P33" s="44">
        <f t="shared" si="15"/>
        <v>1903880.6100464032</v>
      </c>
      <c r="Q33" s="44">
        <f t="shared" si="15"/>
        <v>1690737.6912337332</v>
      </c>
      <c r="R33" s="44">
        <f t="shared" si="15"/>
        <v>1477585.7173564318</v>
      </c>
      <c r="S33" s="44">
        <f t="shared" si="15"/>
        <v>1264442.7985437624</v>
      </c>
      <c r="T33" s="44">
        <f t="shared" si="15"/>
        <v>1051290.8246664612</v>
      </c>
      <c r="U33" s="44">
        <f t="shared" si="15"/>
        <v>838147.90585379186</v>
      </c>
      <c r="V33" s="44">
        <f t="shared" ref="V33:AJ33" si="16">V20*WACD</f>
        <v>649515.42250871914</v>
      </c>
      <c r="W33" s="44">
        <f t="shared" si="16"/>
        <v>489718.13574040367</v>
      </c>
      <c r="X33" s="44">
        <f t="shared" si="16"/>
        <v>334238.49031080748</v>
      </c>
      <c r="Y33" s="44">
        <f t="shared" si="16"/>
        <v>178758.84488121132</v>
      </c>
      <c r="Z33" s="44">
        <f t="shared" si="16"/>
        <v>23279.199451615092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6738408.7608061591</v>
      </c>
      <c r="C34" s="39">
        <f>C32-C33</f>
        <v>7588042.8141705431</v>
      </c>
      <c r="D34" s="39">
        <f t="shared" ref="D34:U34" si="17">D32-D33</f>
        <v>7201266.3687577834</v>
      </c>
      <c r="E34" s="39">
        <f t="shared" si="17"/>
        <v>6824913.158638197</v>
      </c>
      <c r="F34" s="39">
        <f t="shared" si="17"/>
        <v>6458223.5374365654</v>
      </c>
      <c r="G34" s="39">
        <f t="shared" si="17"/>
        <v>6100456.353604503</v>
      </c>
      <c r="H34" s="39">
        <f t="shared" si="17"/>
        <v>5750957.9809529874</v>
      </c>
      <c r="I34" s="39">
        <f t="shared" si="17"/>
        <v>5409090.2056486849</v>
      </c>
      <c r="J34" s="39">
        <f t="shared" si="17"/>
        <v>5069400.9190939888</v>
      </c>
      <c r="K34" s="39">
        <f t="shared" si="17"/>
        <v>4729914.0858795904</v>
      </c>
      <c r="L34" s="39">
        <f t="shared" si="17"/>
        <v>4390412.8300644616</v>
      </c>
      <c r="M34" s="39">
        <f t="shared" si="17"/>
        <v>4050925.9968500622</v>
      </c>
      <c r="N34" s="39">
        <f t="shared" si="17"/>
        <v>3711424.7410349329</v>
      </c>
      <c r="O34" s="39">
        <f t="shared" si="17"/>
        <v>3371937.907820534</v>
      </c>
      <c r="P34" s="39">
        <f t="shared" si="17"/>
        <v>3032436.6520054042</v>
      </c>
      <c r="Q34" s="39">
        <f t="shared" si="17"/>
        <v>2692949.8187910053</v>
      </c>
      <c r="R34" s="39">
        <f t="shared" si="17"/>
        <v>2353448.562975876</v>
      </c>
      <c r="S34" s="39">
        <f t="shared" si="17"/>
        <v>2013961.7297614776</v>
      </c>
      <c r="T34" s="39">
        <f t="shared" si="17"/>
        <v>1674460.4739463495</v>
      </c>
      <c r="U34" s="39">
        <f t="shared" si="17"/>
        <v>1334973.6407319505</v>
      </c>
      <c r="V34" s="39">
        <f t="shared" ref="V34:AJ34" si="18">V32-V33</f>
        <v>1034526.200259065</v>
      </c>
      <c r="W34" s="39">
        <f t="shared" si="18"/>
        <v>780006.48577158607</v>
      </c>
      <c r="X34" s="39">
        <f t="shared" si="18"/>
        <v>532363.7643984108</v>
      </c>
      <c r="Y34" s="39">
        <f t="shared" si="18"/>
        <v>284721.04302523565</v>
      </c>
      <c r="Z34" s="39">
        <f t="shared" si="18"/>
        <v>37078.321652060506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71089167.530920357</v>
      </c>
      <c r="C35" s="43">
        <f t="shared" si="19"/>
        <v>80052675.044876754</v>
      </c>
      <c r="D35" s="43">
        <f t="shared" si="19"/>
        <v>75972243.521504447</v>
      </c>
      <c r="E35" s="43">
        <f t="shared" si="19"/>
        <v>72001775.514189601</v>
      </c>
      <c r="F35" s="43">
        <f t="shared" si="19"/>
        <v>68133256.871468693</v>
      </c>
      <c r="G35" s="43">
        <f t="shared" si="19"/>
        <v>64358868.559433401</v>
      </c>
      <c r="H35" s="43">
        <f t="shared" si="19"/>
        <v>60671714.92314446</v>
      </c>
      <c r="I35" s="43">
        <f t="shared" si="19"/>
        <v>57065062.905625254</v>
      </c>
      <c r="J35" s="43">
        <f t="shared" si="19"/>
        <v>53481393.606605679</v>
      </c>
      <c r="K35" s="43">
        <f t="shared" si="19"/>
        <v>49899860.158932686</v>
      </c>
      <c r="L35" s="43">
        <f t="shared" si="19"/>
        <v>46318174.555058435</v>
      </c>
      <c r="M35" s="43">
        <f t="shared" si="19"/>
        <v>42736641.107385434</v>
      </c>
      <c r="N35" s="43">
        <f t="shared" si="19"/>
        <v>39154955.503511176</v>
      </c>
      <c r="O35" s="43">
        <f t="shared" si="19"/>
        <v>35573422.055838183</v>
      </c>
      <c r="P35" s="43">
        <f t="shared" si="19"/>
        <v>31991736.451963928</v>
      </c>
      <c r="Q35" s="43">
        <f t="shared" si="19"/>
        <v>28410203.00429092</v>
      </c>
      <c r="R35" s="43">
        <f t="shared" si="19"/>
        <v>24828517.400416669</v>
      </c>
      <c r="S35" s="43">
        <f t="shared" si="19"/>
        <v>21246983.952743672</v>
      </c>
      <c r="T35" s="43">
        <f t="shared" si="19"/>
        <v>17665298.348869428</v>
      </c>
      <c r="U35" s="43">
        <f t="shared" si="19"/>
        <v>14083764.90119643</v>
      </c>
      <c r="V35" s="43">
        <f t="shared" ref="V35:AJ35" si="20">V20*EquityWeighting</f>
        <v>10914090.993278455</v>
      </c>
      <c r="W35" s="43">
        <f t="shared" si="20"/>
        <v>8228947.4726948561</v>
      </c>
      <c r="X35" s="43">
        <f t="shared" si="20"/>
        <v>5616355.1630819095</v>
      </c>
      <c r="Y35" s="43">
        <f t="shared" si="20"/>
        <v>3003762.8534689625</v>
      </c>
      <c r="Z35" s="43">
        <f t="shared" si="20"/>
        <v>391170.54385601502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B34/B35</f>
        <v>9.4788123069176139E-2</v>
      </c>
      <c r="C36" s="40">
        <f>C34/C35</f>
        <v>9.4788123069176139E-2</v>
      </c>
      <c r="D36" s="40">
        <f t="shared" ref="D36:U36" si="21">D34/D35</f>
        <v>9.4788123069176139E-2</v>
      </c>
      <c r="E36" s="40">
        <f t="shared" si="21"/>
        <v>9.4788123069176139E-2</v>
      </c>
      <c r="F36" s="40">
        <f t="shared" si="21"/>
        <v>9.4788123069176139E-2</v>
      </c>
      <c r="G36" s="40">
        <f t="shared" si="21"/>
        <v>9.4788123069176125E-2</v>
      </c>
      <c r="H36" s="40">
        <f t="shared" si="21"/>
        <v>9.4788123069176139E-2</v>
      </c>
      <c r="I36" s="40">
        <f t="shared" si="21"/>
        <v>9.4788123069176139E-2</v>
      </c>
      <c r="J36" s="40">
        <f t="shared" si="21"/>
        <v>9.4788123069176139E-2</v>
      </c>
      <c r="K36" s="40">
        <f t="shared" si="21"/>
        <v>9.4788123069176139E-2</v>
      </c>
      <c r="L36" s="40">
        <f t="shared" si="21"/>
        <v>9.4788123069176139E-2</v>
      </c>
      <c r="M36" s="40">
        <f t="shared" si="21"/>
        <v>9.4788123069176125E-2</v>
      </c>
      <c r="N36" s="40">
        <f t="shared" si="21"/>
        <v>9.4788123069176139E-2</v>
      </c>
      <c r="O36" s="40">
        <f t="shared" si="21"/>
        <v>9.4788123069176125E-2</v>
      </c>
      <c r="P36" s="40">
        <f t="shared" si="21"/>
        <v>9.4788123069176111E-2</v>
      </c>
      <c r="Q36" s="40">
        <f t="shared" si="21"/>
        <v>9.4788123069176139E-2</v>
      </c>
      <c r="R36" s="40">
        <f t="shared" si="21"/>
        <v>9.4788123069176125E-2</v>
      </c>
      <c r="S36" s="40">
        <f t="shared" si="21"/>
        <v>9.4788123069176139E-2</v>
      </c>
      <c r="T36" s="40">
        <f t="shared" si="21"/>
        <v>9.4788123069176139E-2</v>
      </c>
      <c r="U36" s="40">
        <f t="shared" si="21"/>
        <v>9.4788123069176139E-2</v>
      </c>
      <c r="V36" s="40">
        <f t="shared" ref="V36:AJ36" si="22">V34/V35</f>
        <v>9.4788123069176139E-2</v>
      </c>
      <c r="W36" s="40">
        <f t="shared" si="22"/>
        <v>9.4788123069176153E-2</v>
      </c>
      <c r="X36" s="40">
        <f t="shared" si="22"/>
        <v>9.4788123069176125E-2</v>
      </c>
      <c r="Y36" s="40">
        <f t="shared" si="22"/>
        <v>9.4788123069176111E-2</v>
      </c>
      <c r="Z36" s="40">
        <f t="shared" si="22"/>
        <v>9.4788123069176111E-2</v>
      </c>
      <c r="AA36" s="40" t="e">
        <f t="shared" si="22"/>
        <v>#DIV/0!</v>
      </c>
      <c r="AB36" s="40" t="e">
        <f t="shared" si="22"/>
        <v>#DIV/0!</v>
      </c>
      <c r="AC36" s="40" t="e">
        <f t="shared" si="22"/>
        <v>#DIV/0!</v>
      </c>
      <c r="AD36" s="40" t="e">
        <f t="shared" si="22"/>
        <v>#DIV/0!</v>
      </c>
      <c r="AE36" s="40" t="e">
        <f t="shared" si="22"/>
        <v>#DIV/0!</v>
      </c>
      <c r="AF36" s="40" t="e">
        <f t="shared" si="22"/>
        <v>#DIV/0!</v>
      </c>
      <c r="AG36" s="40" t="e">
        <f t="shared" si="22"/>
        <v>#DIV/0!</v>
      </c>
      <c r="AH36" s="40" t="e">
        <f t="shared" si="22"/>
        <v>#DIV/0!</v>
      </c>
      <c r="AI36" s="40" t="e">
        <f t="shared" si="22"/>
        <v>#DIV/0!</v>
      </c>
      <c r="AJ36" s="40" t="e">
        <f t="shared" si="22"/>
        <v>#DIV/0!</v>
      </c>
    </row>
    <row r="37" spans="1:36">
      <c r="B37" s="1" t="b">
        <f t="shared" ref="B37:U37" si="23">B36=ROE</f>
        <v>0</v>
      </c>
      <c r="C37" s="1" t="b">
        <f t="shared" si="23"/>
        <v>0</v>
      </c>
      <c r="D37" s="1" t="b">
        <f t="shared" si="23"/>
        <v>0</v>
      </c>
      <c r="E37" s="1" t="b">
        <f t="shared" si="23"/>
        <v>0</v>
      </c>
      <c r="F37" s="1" t="b">
        <f t="shared" si="23"/>
        <v>0</v>
      </c>
      <c r="G37" s="1" t="b">
        <f t="shared" si="23"/>
        <v>0</v>
      </c>
      <c r="H37" s="1" t="b">
        <f t="shared" si="23"/>
        <v>0</v>
      </c>
      <c r="I37" s="1" t="b">
        <f t="shared" si="23"/>
        <v>0</v>
      </c>
      <c r="J37" s="1" t="b">
        <f t="shared" si="23"/>
        <v>0</v>
      </c>
      <c r="K37" s="1" t="b">
        <f t="shared" si="23"/>
        <v>0</v>
      </c>
      <c r="L37" s="1" t="b">
        <f t="shared" si="23"/>
        <v>0</v>
      </c>
      <c r="M37" s="1" t="b">
        <f t="shared" si="23"/>
        <v>0</v>
      </c>
      <c r="N37" s="1" t="b">
        <f t="shared" si="23"/>
        <v>0</v>
      </c>
      <c r="O37" s="1" t="b">
        <f t="shared" si="23"/>
        <v>0</v>
      </c>
      <c r="P37" s="1" t="b">
        <f t="shared" si="23"/>
        <v>0</v>
      </c>
      <c r="Q37" s="1" t="b">
        <f t="shared" si="23"/>
        <v>0</v>
      </c>
      <c r="R37" s="1" t="b">
        <f t="shared" si="23"/>
        <v>0</v>
      </c>
      <c r="S37" s="1" t="b">
        <f t="shared" si="23"/>
        <v>0</v>
      </c>
      <c r="T37" s="1" t="b">
        <f t="shared" si="23"/>
        <v>0</v>
      </c>
      <c r="U37" s="1" t="b">
        <f t="shared" si="23"/>
        <v>0</v>
      </c>
      <c r="V37" s="1" t="b">
        <f t="shared" ref="V37:AJ37" si="24">V36=ROE</f>
        <v>0</v>
      </c>
      <c r="W37" s="1" t="b">
        <f t="shared" si="24"/>
        <v>0</v>
      </c>
      <c r="X37" s="1" t="b">
        <f t="shared" si="24"/>
        <v>0</v>
      </c>
      <c r="Y37" s="1" t="b">
        <f t="shared" si="24"/>
        <v>0</v>
      </c>
      <c r="Z37" s="1" t="b">
        <f t="shared" si="24"/>
        <v>0</v>
      </c>
      <c r="AA37" s="1" t="e">
        <f t="shared" si="24"/>
        <v>#DIV/0!</v>
      </c>
      <c r="AB37" s="1" t="e">
        <f t="shared" si="24"/>
        <v>#DIV/0!</v>
      </c>
      <c r="AC37" s="1" t="e">
        <f t="shared" si="24"/>
        <v>#DIV/0!</v>
      </c>
      <c r="AD37" s="1" t="e">
        <f t="shared" si="24"/>
        <v>#DIV/0!</v>
      </c>
      <c r="AE37" s="1" t="e">
        <f t="shared" si="24"/>
        <v>#DIV/0!</v>
      </c>
      <c r="AF37" s="1" t="e">
        <f t="shared" si="24"/>
        <v>#DIV/0!</v>
      </c>
      <c r="AG37" s="1" t="e">
        <f t="shared" si="24"/>
        <v>#DIV/0!</v>
      </c>
      <c r="AH37" s="1" t="e">
        <f t="shared" si="24"/>
        <v>#DIV/0!</v>
      </c>
      <c r="AI37" s="1" t="e">
        <f t="shared" si="24"/>
        <v>#DIV/0!</v>
      </c>
      <c r="AJ37" s="1" t="e">
        <f t="shared" si="24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5">C12</f>
        <v>0</v>
      </c>
      <c r="D39" s="38">
        <f t="shared" si="25"/>
        <v>0</v>
      </c>
      <c r="E39" s="38">
        <f t="shared" si="25"/>
        <v>0</v>
      </c>
      <c r="F39" s="38">
        <f t="shared" si="25"/>
        <v>0</v>
      </c>
      <c r="G39" s="38">
        <f t="shared" si="25"/>
        <v>0</v>
      </c>
      <c r="H39" s="38">
        <f t="shared" si="25"/>
        <v>0</v>
      </c>
      <c r="I39" s="38">
        <f t="shared" si="25"/>
        <v>0</v>
      </c>
      <c r="J39" s="38">
        <f t="shared" si="25"/>
        <v>0</v>
      </c>
      <c r="K39" s="38">
        <f t="shared" si="25"/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ref="V39:AJ39" si="26">V12</f>
        <v>0</v>
      </c>
      <c r="W39" s="38">
        <f t="shared" si="26"/>
        <v>0</v>
      </c>
      <c r="X39" s="38">
        <f t="shared" si="26"/>
        <v>0</v>
      </c>
      <c r="Y39" s="38">
        <f t="shared" si="26"/>
        <v>0</v>
      </c>
      <c r="Z39" s="38">
        <f t="shared" si="26"/>
        <v>0</v>
      </c>
      <c r="AA39" s="38">
        <f t="shared" si="26"/>
        <v>0</v>
      </c>
      <c r="AB39" s="38">
        <f t="shared" si="26"/>
        <v>0</v>
      </c>
      <c r="AC39" s="38">
        <f t="shared" si="26"/>
        <v>0</v>
      </c>
      <c r="AD39" s="38">
        <f t="shared" si="26"/>
        <v>0</v>
      </c>
      <c r="AE39" s="38">
        <f t="shared" si="26"/>
        <v>0</v>
      </c>
      <c r="AF39" s="38">
        <f t="shared" si="26"/>
        <v>0</v>
      </c>
      <c r="AG39" s="38">
        <f t="shared" si="26"/>
        <v>0</v>
      </c>
      <c r="AH39" s="38">
        <f t="shared" si="26"/>
        <v>0</v>
      </c>
      <c r="AI39" s="38">
        <f t="shared" si="26"/>
        <v>0</v>
      </c>
      <c r="AJ39" s="38">
        <f t="shared" si="26"/>
        <v>0</v>
      </c>
    </row>
    <row r="40" spans="1:36">
      <c r="A40" s="4" t="s">
        <v>109</v>
      </c>
      <c r="B40" s="38">
        <f>B13</f>
        <v>6568680</v>
      </c>
      <c r="C40" s="38">
        <f t="shared" ref="C40:U40" si="27">C13</f>
        <v>7725360.0000000009</v>
      </c>
      <c r="D40" s="38">
        <f t="shared" si="27"/>
        <v>7725360.0000000009</v>
      </c>
      <c r="E40" s="38">
        <f t="shared" si="27"/>
        <v>7725360.0000000009</v>
      </c>
      <c r="F40" s="38">
        <f t="shared" si="27"/>
        <v>7725360.0000000009</v>
      </c>
      <c r="G40" s="38">
        <f t="shared" si="27"/>
        <v>7725360.0000000009</v>
      </c>
      <c r="H40" s="38">
        <f t="shared" si="27"/>
        <v>7725360.0000000009</v>
      </c>
      <c r="I40" s="38">
        <f t="shared" si="27"/>
        <v>7725360.0000000009</v>
      </c>
      <c r="J40" s="38">
        <f t="shared" si="27"/>
        <v>7725360.0000000009</v>
      </c>
      <c r="K40" s="38">
        <f t="shared" si="27"/>
        <v>7725360.0000000009</v>
      </c>
      <c r="L40" s="38">
        <f t="shared" si="27"/>
        <v>7725360.0000000009</v>
      </c>
      <c r="M40" s="38">
        <f t="shared" si="27"/>
        <v>7725360.0000000009</v>
      </c>
      <c r="N40" s="38">
        <f t="shared" si="27"/>
        <v>7725360.0000000009</v>
      </c>
      <c r="O40" s="38">
        <f t="shared" si="27"/>
        <v>7725360.0000000009</v>
      </c>
      <c r="P40" s="38">
        <f t="shared" si="27"/>
        <v>7725360.0000000009</v>
      </c>
      <c r="Q40" s="38">
        <f t="shared" si="27"/>
        <v>7725360.0000000009</v>
      </c>
      <c r="R40" s="38">
        <f t="shared" si="27"/>
        <v>7725360.0000000009</v>
      </c>
      <c r="S40" s="38">
        <f t="shared" si="27"/>
        <v>7725360.0000000009</v>
      </c>
      <c r="T40" s="38">
        <f t="shared" si="27"/>
        <v>7725360.0000000009</v>
      </c>
      <c r="U40" s="38">
        <f t="shared" si="27"/>
        <v>7725360.0000000009</v>
      </c>
      <c r="V40" s="38">
        <f t="shared" ref="V40:AJ40" si="28">V13</f>
        <v>7725360.0000000009</v>
      </c>
      <c r="W40" s="38">
        <f t="shared" si="28"/>
        <v>7725360.0000000009</v>
      </c>
      <c r="X40" s="38">
        <f t="shared" si="28"/>
        <v>7725360.0000000009</v>
      </c>
      <c r="Y40" s="38">
        <f t="shared" si="28"/>
        <v>7725360.0000000009</v>
      </c>
      <c r="Z40" s="38">
        <f t="shared" si="28"/>
        <v>7725360.0000000009</v>
      </c>
      <c r="AA40" s="38">
        <f t="shared" si="28"/>
        <v>0</v>
      </c>
      <c r="AB40" s="38">
        <f t="shared" si="28"/>
        <v>0</v>
      </c>
      <c r="AC40" s="38">
        <f t="shared" si="28"/>
        <v>0</v>
      </c>
      <c r="AD40" s="38">
        <f t="shared" si="28"/>
        <v>0</v>
      </c>
      <c r="AE40" s="38">
        <f t="shared" si="28"/>
        <v>0</v>
      </c>
      <c r="AF40" s="38">
        <f t="shared" si="28"/>
        <v>0</v>
      </c>
      <c r="AG40" s="38">
        <f t="shared" si="28"/>
        <v>0</v>
      </c>
      <c r="AH40" s="38">
        <f t="shared" si="28"/>
        <v>0</v>
      </c>
      <c r="AI40" s="38">
        <f t="shared" si="28"/>
        <v>0</v>
      </c>
      <c r="AJ40" s="38">
        <f t="shared" si="28"/>
        <v>0</v>
      </c>
    </row>
    <row r="41" spans="1:36">
      <c r="A41" s="4" t="s">
        <v>111</v>
      </c>
      <c r="B41" s="3">
        <f>B25-SUM(B39:B40,B42)</f>
        <v>2142184.0419651791</v>
      </c>
      <c r="C41" s="3">
        <f t="shared" ref="C41:U41" si="29">C25-SUM(C39:C40,C42)</f>
        <v>2410651.1825645417</v>
      </c>
      <c r="D41" s="3">
        <f t="shared" si="29"/>
        <v>2285813.1990917698</v>
      </c>
      <c r="E41" s="3">
        <f t="shared" si="29"/>
        <v>2164339.473423969</v>
      </c>
      <c r="F41" s="3">
        <f t="shared" si="29"/>
        <v>2045984.8181337416</v>
      </c>
      <c r="G41" s="3">
        <f t="shared" si="29"/>
        <v>1930510.0152804665</v>
      </c>
      <c r="H41" s="3">
        <f t="shared" si="29"/>
        <v>1817704.0970651768</v>
      </c>
      <c r="I41" s="3">
        <f t="shared" si="29"/>
        <v>1707361.0702612363</v>
      </c>
      <c r="J41" s="3">
        <f t="shared" si="29"/>
        <v>1597721.1838520765</v>
      </c>
      <c r="K41" s="3">
        <f t="shared" si="29"/>
        <v>1488146.6423392966</v>
      </c>
      <c r="L41" s="3">
        <f t="shared" si="29"/>
        <v>1378567.4457126632</v>
      </c>
      <c r="M41" s="3">
        <f t="shared" si="29"/>
        <v>1268992.9041998871</v>
      </c>
      <c r="N41" s="3">
        <f t="shared" si="29"/>
        <v>1159413.7075732537</v>
      </c>
      <c r="O41" s="3">
        <f t="shared" si="29"/>
        <v>1049839.1660604756</v>
      </c>
      <c r="P41" s="3">
        <f t="shared" si="29"/>
        <v>940259.96943384223</v>
      </c>
      <c r="Q41" s="3">
        <f t="shared" si="29"/>
        <v>830685.4279210642</v>
      </c>
      <c r="R41" s="3">
        <f t="shared" si="29"/>
        <v>721106.23129443079</v>
      </c>
      <c r="S41" s="3">
        <f t="shared" si="29"/>
        <v>611531.68978165463</v>
      </c>
      <c r="T41" s="3">
        <f t="shared" si="29"/>
        <v>501952.49315502122</v>
      </c>
      <c r="U41" s="3">
        <f t="shared" si="29"/>
        <v>392377.95164224505</v>
      </c>
      <c r="V41" s="3">
        <f t="shared" ref="V41:AJ41" si="30">V25-SUM(V39:V40,V42)</f>
        <v>295403.96821322478</v>
      </c>
      <c r="W41" s="3">
        <f t="shared" si="30"/>
        <v>213253.85724466667</v>
      </c>
      <c r="X41" s="3">
        <f t="shared" si="30"/>
        <v>133323.40045341663</v>
      </c>
      <c r="Y41" s="3">
        <f t="shared" si="30"/>
        <v>53392.943662165664</v>
      </c>
      <c r="Z41" s="3">
        <f t="shared" si="30"/>
        <v>-26537.513129084371</v>
      </c>
      <c r="AA41" s="3">
        <f t="shared" si="30"/>
        <v>0</v>
      </c>
      <c r="AB41" s="3">
        <f t="shared" si="30"/>
        <v>0</v>
      </c>
      <c r="AC41" s="3">
        <f t="shared" si="30"/>
        <v>0</v>
      </c>
      <c r="AD41" s="3">
        <f t="shared" si="30"/>
        <v>0</v>
      </c>
      <c r="AE41" s="3">
        <f t="shared" si="30"/>
        <v>0</v>
      </c>
      <c r="AF41" s="3">
        <f t="shared" si="30"/>
        <v>0</v>
      </c>
      <c r="AG41" s="3">
        <f t="shared" si="30"/>
        <v>0</v>
      </c>
      <c r="AH41" s="3">
        <f t="shared" si="30"/>
        <v>0</v>
      </c>
      <c r="AI41" s="3">
        <f t="shared" si="30"/>
        <v>0</v>
      </c>
      <c r="AJ41" s="3">
        <f t="shared" si="30"/>
        <v>0</v>
      </c>
    </row>
    <row r="42" spans="1:36">
      <c r="A42" s="4" t="s">
        <v>110</v>
      </c>
      <c r="B42" s="48">
        <f>B21</f>
        <v>10969041.500910236</v>
      </c>
      <c r="C42" s="48">
        <f t="shared" ref="C42:U42" si="31">C21</f>
        <v>12352108.560621457</v>
      </c>
      <c r="D42" s="48">
        <f t="shared" si="31"/>
        <v>11722498.955163278</v>
      </c>
      <c r="E42" s="48">
        <f t="shared" si="31"/>
        <v>11109856.693860529</v>
      </c>
      <c r="F42" s="48">
        <f t="shared" si="31"/>
        <v>10512945.195064403</v>
      </c>
      <c r="G42" s="48">
        <f t="shared" si="31"/>
        <v>9930557.98371806</v>
      </c>
      <c r="H42" s="48">
        <f t="shared" si="31"/>
        <v>9361631.0619181395</v>
      </c>
      <c r="I42" s="48">
        <f t="shared" si="31"/>
        <v>8805125.5205879156</v>
      </c>
      <c r="J42" s="48">
        <f t="shared" si="31"/>
        <v>8252166.2072103051</v>
      </c>
      <c r="K42" s="48">
        <f t="shared" si="31"/>
        <v>7699536.4551832369</v>
      </c>
      <c r="L42" s="48">
        <f t="shared" si="31"/>
        <v>7146883.2254908076</v>
      </c>
      <c r="M42" s="48">
        <f t="shared" si="31"/>
        <v>6594253.4734637383</v>
      </c>
      <c r="N42" s="48">
        <f t="shared" si="31"/>
        <v>6041600.2437713072</v>
      </c>
      <c r="O42" s="48">
        <f t="shared" si="31"/>
        <v>5488970.4917442389</v>
      </c>
      <c r="P42" s="48">
        <f t="shared" si="31"/>
        <v>4936317.2620518077</v>
      </c>
      <c r="Q42" s="48">
        <f t="shared" si="31"/>
        <v>4383687.5100247385</v>
      </c>
      <c r="R42" s="48">
        <f t="shared" si="31"/>
        <v>3831034.2803323078</v>
      </c>
      <c r="S42" s="48">
        <f t="shared" si="31"/>
        <v>3278404.52830524</v>
      </c>
      <c r="T42" s="48">
        <f t="shared" si="31"/>
        <v>2725751.2986128107</v>
      </c>
      <c r="U42" s="48">
        <f t="shared" si="31"/>
        <v>2173121.5465857424</v>
      </c>
      <c r="V42" s="48">
        <f t="shared" ref="V42:AJ42" si="32">V21</f>
        <v>1684041.6227677842</v>
      </c>
      <c r="W42" s="48">
        <f t="shared" si="32"/>
        <v>1269724.6215119897</v>
      </c>
      <c r="X42" s="48">
        <f t="shared" si="32"/>
        <v>866602.25470921828</v>
      </c>
      <c r="Y42" s="48">
        <f t="shared" si="32"/>
        <v>463479.88790644699</v>
      </c>
      <c r="Z42" s="48">
        <f t="shared" si="32"/>
        <v>60357.521103675601</v>
      </c>
      <c r="AA42" s="48">
        <f t="shared" si="32"/>
        <v>0</v>
      </c>
      <c r="AB42" s="48">
        <f t="shared" si="32"/>
        <v>0</v>
      </c>
      <c r="AC42" s="48">
        <f t="shared" si="32"/>
        <v>0</v>
      </c>
      <c r="AD42" s="48">
        <f t="shared" si="32"/>
        <v>0</v>
      </c>
      <c r="AE42" s="48">
        <f t="shared" si="32"/>
        <v>0</v>
      </c>
      <c r="AF42" s="48">
        <f t="shared" si="32"/>
        <v>0</v>
      </c>
      <c r="AG42" s="48">
        <f t="shared" si="32"/>
        <v>0</v>
      </c>
      <c r="AH42" s="48">
        <f t="shared" si="32"/>
        <v>0</v>
      </c>
      <c r="AI42" s="48">
        <f t="shared" si="32"/>
        <v>0</v>
      </c>
      <c r="AJ42" s="48">
        <f t="shared" si="32"/>
        <v>0</v>
      </c>
    </row>
    <row r="43" spans="1:36">
      <c r="B43" s="39">
        <f>SUM(B39:B42)-B25</f>
        <v>0</v>
      </c>
      <c r="C43" s="39">
        <f t="shared" ref="C43:U43" si="33">SUM(C39:C42)-C25</f>
        <v>0</v>
      </c>
      <c r="D43" s="39">
        <f t="shared" si="33"/>
        <v>0</v>
      </c>
      <c r="E43" s="39">
        <f t="shared" si="33"/>
        <v>0</v>
      </c>
      <c r="F43" s="39">
        <f t="shared" si="33"/>
        <v>0</v>
      </c>
      <c r="G43" s="39">
        <f t="shared" si="33"/>
        <v>0</v>
      </c>
      <c r="H43" s="39">
        <f t="shared" si="33"/>
        <v>0</v>
      </c>
      <c r="I43" s="39">
        <f t="shared" si="33"/>
        <v>0</v>
      </c>
      <c r="J43" s="39">
        <f t="shared" si="33"/>
        <v>0</v>
      </c>
      <c r="K43" s="39">
        <f t="shared" si="33"/>
        <v>0</v>
      </c>
      <c r="L43" s="39">
        <f t="shared" si="33"/>
        <v>0</v>
      </c>
      <c r="M43" s="39">
        <f t="shared" si="33"/>
        <v>0</v>
      </c>
      <c r="N43" s="39">
        <f t="shared" si="33"/>
        <v>0</v>
      </c>
      <c r="O43" s="39">
        <f t="shared" si="33"/>
        <v>0</v>
      </c>
      <c r="P43" s="39">
        <f t="shared" si="33"/>
        <v>0</v>
      </c>
      <c r="Q43" s="39">
        <f t="shared" si="33"/>
        <v>0</v>
      </c>
      <c r="R43" s="39">
        <f t="shared" si="33"/>
        <v>0</v>
      </c>
      <c r="S43" s="39">
        <f t="shared" si="33"/>
        <v>0</v>
      </c>
      <c r="T43" s="39">
        <f t="shared" si="33"/>
        <v>0</v>
      </c>
      <c r="U43" s="39">
        <f t="shared" si="33"/>
        <v>0</v>
      </c>
      <c r="V43" s="39">
        <f t="shared" ref="V43:AJ43" si="34">SUM(V39:V42)-V25</f>
        <v>0</v>
      </c>
      <c r="W43" s="39">
        <f t="shared" si="34"/>
        <v>0</v>
      </c>
      <c r="X43" s="39">
        <f t="shared" si="34"/>
        <v>0</v>
      </c>
      <c r="Y43" s="39">
        <f t="shared" si="34"/>
        <v>0</v>
      </c>
      <c r="Z43" s="39">
        <f t="shared" si="34"/>
        <v>0</v>
      </c>
      <c r="AA43" s="39">
        <f t="shared" si="34"/>
        <v>0</v>
      </c>
      <c r="AB43" s="39">
        <f t="shared" si="34"/>
        <v>0</v>
      </c>
      <c r="AC43" s="39">
        <f t="shared" si="34"/>
        <v>0</v>
      </c>
      <c r="AD43" s="39">
        <f t="shared" si="34"/>
        <v>0</v>
      </c>
      <c r="AE43" s="39">
        <f t="shared" si="34"/>
        <v>0</v>
      </c>
      <c r="AF43" s="39">
        <f t="shared" si="34"/>
        <v>0</v>
      </c>
      <c r="AG43" s="39">
        <f t="shared" si="34"/>
        <v>0</v>
      </c>
      <c r="AH43" s="39">
        <f t="shared" si="34"/>
        <v>0</v>
      </c>
      <c r="AI43" s="39">
        <f t="shared" si="34"/>
        <v>0</v>
      </c>
      <c r="AJ43" s="39">
        <f t="shared" si="34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0D17D034-9DFE-4C6E-A8D4-A9299FA158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179D97-0340-4A16-82DF-46D9AAC47531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3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26AEA703-6F2E-45CD-82C8-AB4A7FADFA4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F009AC0-A072-46CB-8C33-8D38D9BA123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2026-04-28T14:50:03Z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1a9c064c-daa2-4663-8417-75375fae7b71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