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7.xml" ContentType="application/vnd.openxmlformats-officedocument.spreadsheetml.worksheet+xml"/>
  <Override PartName="/xl/metadata.xml" ContentType="application/vnd.openxmlformats-officedocument.spreadsheetml.sheetMetadata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comments1.xml" ContentType="application/vnd.openxmlformats-officedocument.spreadsheetml.comment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h0co007\EPRS\pricing\Rate Cases\KPCo\2026 Mitchell U2 Cooling Tower\Discovery\Staff\"/>
    </mc:Choice>
  </mc:AlternateContent>
  <xr:revisionPtr revIDLastSave="0" documentId="13_ncr:1_{421E2599-E29B-40F5-84E7-0B2E591E620E}" xr6:coauthVersionLast="47" xr6:coauthVersionMax="47" xr10:uidLastSave="{00000000-0000-0000-0000-000000000000}"/>
  <bookViews>
    <workbookView xWindow="28680" yWindow="-120" windowWidth="29040" windowHeight="15720" tabRatio="756" xr2:uid="{00000000-000D-0000-FFFF-FFFF00000000}"/>
  </bookViews>
  <sheets>
    <sheet name="Input" sheetId="25" r:id="rId1"/>
    <sheet name="Cash Flow of U2" sheetId="52" r:id="rId2"/>
    <sheet name="GRCF" sheetId="43" r:id="rId3"/>
    <sheet name="Allocators" sheetId="44" r:id="rId4"/>
    <sheet name="CAP Structure" sheetId="26" r:id="rId5"/>
    <sheet name="Rate Base - coal" sheetId="48" r:id="rId6"/>
    <sheet name="Total Rev Req" sheetId="9" r:id="rId7"/>
    <sheet name="50% Rev Req" sheetId="45" r:id="rId8"/>
    <sheet name="SIT" sheetId="28" r:id="rId9"/>
    <sheet name="FIT" sheetId="27" r:id="rId10"/>
    <sheet name="MACRS" sheetId="49" state="hidden" r:id="rId11"/>
    <sheet name="DropDowns" sheetId="46" state="hidden" r:id="rId12"/>
  </sheets>
  <definedNames>
    <definedName name="_Order1" hidden="1">255</definedName>
    <definedName name="_Order2" hidden="1">255</definedName>
    <definedName name="A">#REF!</definedName>
    <definedName name="AEP">#REF!</definedName>
    <definedName name="Allocator">Input!$E$13</definedName>
    <definedName name="EquityWeighting">Input!$E$17</definedName>
    <definedName name="GRCF">Input!$E$12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LGSALT">#REF!</definedName>
    <definedName name="NvsASD">"V2008-12-31"</definedName>
    <definedName name="NvsAutoDrillOk">"VN"</definedName>
    <definedName name="NvsElapsedTime">0.000486111108330078</definedName>
    <definedName name="NvsEndTime">39823.5989351852</definedName>
    <definedName name="NvsInstLang">"VENG"</definedName>
    <definedName name="NvsInstSpec">"%,FBUSINESS_UNIT,TGL_PRPT_CONS,NAPCO_CORP_CONSOL"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"%,X,RZF..,CZF.."</definedName>
    <definedName name="NvsPanelEffdt">"V2000-06-01"</definedName>
    <definedName name="NvsPanelSetid">"VAEP"</definedName>
    <definedName name="NvsReqBU">"VX997"</definedName>
    <definedName name="NvsReqBUOnly">"VN"</definedName>
    <definedName name="NvsTransLed">"VN"</definedName>
    <definedName name="NvsTreeASD">"V2008-12-31"</definedName>
    <definedName name="NvsValTbl.CURRENCY_CD">"CURRENCY_CD_TBL"</definedName>
    <definedName name="peaks">#REF!</definedName>
    <definedName name="_xlnm.Print_Area" localSheetId="5">'Rate Base - coal'!$A$1:$W$70</definedName>
    <definedName name="_xlnm.Print_Area" localSheetId="6">'Total Rev Req'!$A$2:$V$25</definedName>
    <definedName name="_xlnm.Print_Area">#REF!</definedName>
    <definedName name="Print_Area_0">#REF!</definedName>
    <definedName name="_xlnm.Print_Titles" localSheetId="5">'Rate Base - coal'!$A:$A,'Rate Base - coal'!$1:$3</definedName>
    <definedName name="_xlnm.Print_Titles">#REF!</definedName>
    <definedName name="_xlnm.Recorder">#REF!</definedName>
    <definedName name="ROE">Input!$E$15</definedName>
    <definedName name="RSLM95">#REF!</definedName>
    <definedName name="TRAN1">#REF!</definedName>
    <definedName name="TRAN2">#REF!</definedName>
    <definedName name="WACC">Input!$E$14</definedName>
    <definedName name="WACD">Input!$E$16</definedName>
    <definedName name="Z_B2261136_1BD6_4EB8_80BC_AC5217B292C2_.wvu.PrintArea" localSheetId="5" hidden="1">'Rate Base - coal'!$A$1:$M$69</definedName>
    <definedName name="Z_B2261136_1BD6_4EB8_80BC_AC5217B292C2_.wvu.PrintArea" localSheetId="6" hidden="1">'Total Rev Req'!$A$2:$L$29</definedName>
    <definedName name="Z_B2261136_1BD6_4EB8_80BC_AC5217B292C2_.wvu.PrintTitles" localSheetId="5" hidden="1">'Rate Base - coal'!$A:$A,'Rate Base - coal'!$1:$3</definedName>
  </definedNames>
  <calcPr calcId="191029"/>
  <customWorkbookViews>
    <customWorkbookView name="Katharine I Walsh - Personal View" guid="{B2261136-1BD6-4EB8-80BC-AC5217B292C2}" mergeInterval="0" personalView="1" maximized="1" windowWidth="1600" windowHeight="627" tabRatio="813" activeSheetId="1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" i="52" l="1"/>
  <c r="B17" i="25"/>
  <c r="B30" i="25"/>
  <c r="B22" i="25"/>
  <c r="B19" i="48" s="1"/>
  <c r="O19" i="48"/>
  <c r="N14" i="9"/>
  <c r="N13" i="45" s="1" a="1"/>
  <c r="N13" i="45" s="1"/>
  <c r="P19" i="48"/>
  <c r="O14" i="9" s="1"/>
  <c r="O51" i="9" s="1"/>
  <c r="Q19" i="48"/>
  <c r="P14" i="9" s="1"/>
  <c r="P51" i="9" s="1"/>
  <c r="R19" i="48"/>
  <c r="Q14" i="9" s="1"/>
  <c r="S19" i="48"/>
  <c r="R14" i="9" s="1"/>
  <c r="T19" i="48"/>
  <c r="S14" i="9" s="1"/>
  <c r="U19" i="48"/>
  <c r="T14" i="9" s="1"/>
  <c r="T13" i="45" s="1" a="1"/>
  <c r="T13" i="45" s="1"/>
  <c r="V19" i="48"/>
  <c r="U14" i="9" s="1"/>
  <c r="U51" i="9" s="1"/>
  <c r="W19" i="48"/>
  <c r="V14" i="9" s="1"/>
  <c r="V13" i="45" s="1" a="1"/>
  <c r="V13" i="45" s="1"/>
  <c r="X19" i="48"/>
  <c r="W14" i="9" s="1"/>
  <c r="W40" i="9" s="1"/>
  <c r="Y19" i="48"/>
  <c r="X14" i="9" s="1"/>
  <c r="X51" i="9" s="1"/>
  <c r="Z19" i="48"/>
  <c r="Y14" i="9" s="1"/>
  <c r="AA19" i="48"/>
  <c r="Z14" i="9" s="1"/>
  <c r="Z51" i="9" s="1"/>
  <c r="B40" i="25"/>
  <c r="C4" i="48"/>
  <c r="C40" i="25"/>
  <c r="D4" i="48"/>
  <c r="B37" i="25"/>
  <c r="C3" i="48"/>
  <c r="B29" i="25"/>
  <c r="D3" i="48"/>
  <c r="C24" i="48"/>
  <c r="B27" i="48"/>
  <c r="C27" i="48" a="1"/>
  <c r="C27" i="48"/>
  <c r="D27" i="48" a="1"/>
  <c r="D27" i="48"/>
  <c r="D24" i="48"/>
  <c r="D29" i="48"/>
  <c r="B34" i="25"/>
  <c r="E14" i="25"/>
  <c r="C21" i="9"/>
  <c r="C45" i="25"/>
  <c r="C6" i="9"/>
  <c r="C9" i="9"/>
  <c r="C10" i="9"/>
  <c r="C11" i="9"/>
  <c r="C12" i="9"/>
  <c r="E16" i="25"/>
  <c r="E18" i="28"/>
  <c r="E19" i="27"/>
  <c r="E12" i="25"/>
  <c r="C27" i="9"/>
  <c r="D40" i="25"/>
  <c r="E4" i="48"/>
  <c r="E3" i="48"/>
  <c r="E27" i="48" a="1"/>
  <c r="E27" i="48"/>
  <c r="E29" i="48"/>
  <c r="E24" i="48"/>
  <c r="E30" i="48"/>
  <c r="D21" i="9"/>
  <c r="D45" i="25"/>
  <c r="D6" i="9"/>
  <c r="D9" i="9"/>
  <c r="D10" i="9"/>
  <c r="D11" i="9"/>
  <c r="D12" i="9"/>
  <c r="F18" i="28"/>
  <c r="F19" i="27"/>
  <c r="D27" i="9"/>
  <c r="E40" i="25"/>
  <c r="F4" i="48"/>
  <c r="F3" i="48"/>
  <c r="F27" i="48" a="1"/>
  <c r="F27" i="48"/>
  <c r="F29" i="48"/>
  <c r="F30" i="48"/>
  <c r="F24" i="48"/>
  <c r="F31" i="48"/>
  <c r="E21" i="9"/>
  <c r="E45" i="25"/>
  <c r="E6" i="9"/>
  <c r="E9" i="9"/>
  <c r="E10" i="9"/>
  <c r="E11" i="9"/>
  <c r="E12" i="9"/>
  <c r="G18" i="28"/>
  <c r="G19" i="27"/>
  <c r="E27" i="9"/>
  <c r="F40" i="25"/>
  <c r="G4" i="48"/>
  <c r="G3" i="48"/>
  <c r="G27" i="48" a="1"/>
  <c r="G27" i="48"/>
  <c r="G29" i="48"/>
  <c r="G30" i="48"/>
  <c r="G31" i="48"/>
  <c r="G24" i="48"/>
  <c r="G32" i="48"/>
  <c r="F21" i="9"/>
  <c r="F45" i="25"/>
  <c r="F6" i="9"/>
  <c r="F9" i="9"/>
  <c r="F10" i="9"/>
  <c r="F11" i="9"/>
  <c r="F12" i="9"/>
  <c r="H18" i="28"/>
  <c r="H19" i="27"/>
  <c r="F27" i="9"/>
  <c r="G40" i="25"/>
  <c r="H4" i="48"/>
  <c r="H3" i="48"/>
  <c r="H27" i="48" a="1"/>
  <c r="H27" i="48"/>
  <c r="H29" i="48"/>
  <c r="H30" i="48"/>
  <c r="H31" i="48"/>
  <c r="H32" i="48"/>
  <c r="H24" i="48"/>
  <c r="H33" i="48"/>
  <c r="G21" i="9"/>
  <c r="G45" i="25"/>
  <c r="G6" i="9"/>
  <c r="G9" i="9"/>
  <c r="G10" i="9"/>
  <c r="G11" i="9"/>
  <c r="G12" i="9"/>
  <c r="I18" i="28"/>
  <c r="I19" i="27"/>
  <c r="G27" i="9"/>
  <c r="H40" i="25"/>
  <c r="I4" i="48"/>
  <c r="I3" i="48"/>
  <c r="I27" i="48" a="1"/>
  <c r="I27" i="48"/>
  <c r="I29" i="48"/>
  <c r="I30" i="48"/>
  <c r="I31" i="48"/>
  <c r="I32" i="48"/>
  <c r="I33" i="48"/>
  <c r="I24" i="48"/>
  <c r="I34" i="48"/>
  <c r="H21" i="9"/>
  <c r="H45" i="25"/>
  <c r="H6" i="9"/>
  <c r="H9" i="9"/>
  <c r="H10" i="9"/>
  <c r="H11" i="9"/>
  <c r="H12" i="9"/>
  <c r="J18" i="28"/>
  <c r="J19" i="27"/>
  <c r="H27" i="9"/>
  <c r="I40" i="25"/>
  <c r="J4" i="48"/>
  <c r="J3" i="48"/>
  <c r="J27" i="48" a="1"/>
  <c r="J27" i="48"/>
  <c r="J29" i="48"/>
  <c r="J30" i="48"/>
  <c r="J31" i="48"/>
  <c r="J32" i="48"/>
  <c r="J33" i="48"/>
  <c r="J34" i="48"/>
  <c r="J24" i="48"/>
  <c r="J35" i="48"/>
  <c r="I21" i="9"/>
  <c r="I45" i="25"/>
  <c r="I6" i="9"/>
  <c r="I9" i="9"/>
  <c r="I10" i="9"/>
  <c r="I11" i="9"/>
  <c r="I12" i="9"/>
  <c r="K18" i="28"/>
  <c r="K19" i="27"/>
  <c r="I27" i="9"/>
  <c r="J40" i="25"/>
  <c r="K4" i="48"/>
  <c r="K3" i="48"/>
  <c r="K27" i="48" a="1"/>
  <c r="K27" i="48"/>
  <c r="K29" i="48"/>
  <c r="K30" i="48"/>
  <c r="K31" i="48"/>
  <c r="K32" i="48"/>
  <c r="K33" i="48"/>
  <c r="K34" i="48"/>
  <c r="K35" i="48"/>
  <c r="K24" i="48"/>
  <c r="K36" i="48"/>
  <c r="J21" i="9"/>
  <c r="J45" i="25"/>
  <c r="J6" i="9"/>
  <c r="J9" i="9"/>
  <c r="J10" i="9"/>
  <c r="J11" i="9"/>
  <c r="J12" i="9"/>
  <c r="L18" i="28"/>
  <c r="L19" i="27"/>
  <c r="J27" i="9"/>
  <c r="K40" i="25"/>
  <c r="L4" i="48"/>
  <c r="L3" i="48"/>
  <c r="L27" i="48" a="1"/>
  <c r="L27" i="48"/>
  <c r="L29" i="48"/>
  <c r="L30" i="48"/>
  <c r="L31" i="48"/>
  <c r="L32" i="48"/>
  <c r="L33" i="48"/>
  <c r="L34" i="48"/>
  <c r="L35" i="48"/>
  <c r="L36" i="48"/>
  <c r="L24" i="48"/>
  <c r="L37" i="48"/>
  <c r="K21" i="9"/>
  <c r="K45" i="25"/>
  <c r="K6" i="9"/>
  <c r="K9" i="9"/>
  <c r="K10" i="9"/>
  <c r="K11" i="9"/>
  <c r="K12" i="9"/>
  <c r="M18" i="28"/>
  <c r="M19" i="27"/>
  <c r="K27" i="9"/>
  <c r="L40" i="25"/>
  <c r="M4" i="48"/>
  <c r="M3" i="48"/>
  <c r="M27" i="48" a="1"/>
  <c r="M27" i="48"/>
  <c r="M29" i="48"/>
  <c r="M30" i="48"/>
  <c r="M31" i="48"/>
  <c r="M32" i="48"/>
  <c r="M33" i="48"/>
  <c r="M34" i="48"/>
  <c r="M35" i="48"/>
  <c r="M36" i="48"/>
  <c r="M37" i="48"/>
  <c r="M24" i="48"/>
  <c r="M38" i="48"/>
  <c r="L21" i="9"/>
  <c r="L45" i="25"/>
  <c r="L6" i="9"/>
  <c r="L9" i="9"/>
  <c r="L10" i="9"/>
  <c r="L11" i="9"/>
  <c r="L12" i="9"/>
  <c r="N18" i="28"/>
  <c r="N19" i="27"/>
  <c r="L27" i="9"/>
  <c r="M40" i="25"/>
  <c r="N4" i="48"/>
  <c r="N3" i="48"/>
  <c r="N27" i="48" a="1"/>
  <c r="N27" i="48"/>
  <c r="N29" i="48"/>
  <c r="N30" i="48"/>
  <c r="N31" i="48"/>
  <c r="N32" i="48"/>
  <c r="N33" i="48"/>
  <c r="N34" i="48"/>
  <c r="N35" i="48"/>
  <c r="N36" i="48"/>
  <c r="N37" i="48"/>
  <c r="N38" i="48"/>
  <c r="N24" i="48"/>
  <c r="N39" i="48"/>
  <c r="M21" i="9"/>
  <c r="M45" i="25"/>
  <c r="M6" i="9"/>
  <c r="M9" i="9"/>
  <c r="M10" i="9"/>
  <c r="M11" i="9"/>
  <c r="M12" i="9"/>
  <c r="O18" i="28"/>
  <c r="O19" i="27"/>
  <c r="M27" i="9"/>
  <c r="O3" i="48"/>
  <c r="O27" i="48" a="1"/>
  <c r="O27" i="48"/>
  <c r="O29" i="48"/>
  <c r="O30" i="48"/>
  <c r="O31" i="48"/>
  <c r="O32" i="48"/>
  <c r="O33" i="48"/>
  <c r="O34" i="48"/>
  <c r="O35" i="48"/>
  <c r="O36" i="48"/>
  <c r="O37" i="48"/>
  <c r="O38" i="48"/>
  <c r="O39" i="48"/>
  <c r="O40" i="48"/>
  <c r="N21" i="9"/>
  <c r="N6" i="9"/>
  <c r="N7" i="9"/>
  <c r="N9" i="9"/>
  <c r="N10" i="9"/>
  <c r="N11" i="9"/>
  <c r="N12" i="9"/>
  <c r="N13" i="9"/>
  <c r="P6" i="28"/>
  <c r="P18" i="28"/>
  <c r="P19" i="27"/>
  <c r="P6" i="27"/>
  <c r="N27" i="9"/>
  <c r="P3" i="48"/>
  <c r="P27" i="48" a="1"/>
  <c r="P27" i="48"/>
  <c r="P29" i="48"/>
  <c r="P30" i="48"/>
  <c r="P31" i="48"/>
  <c r="P32" i="48"/>
  <c r="P33" i="48"/>
  <c r="P34" i="48"/>
  <c r="P35" i="48"/>
  <c r="P36" i="48"/>
  <c r="P37" i="48"/>
  <c r="P38" i="48"/>
  <c r="P39" i="48"/>
  <c r="P40" i="48"/>
  <c r="P41" i="48"/>
  <c r="O21" i="9"/>
  <c r="O6" i="9"/>
  <c r="O7" i="9"/>
  <c r="O9" i="9"/>
  <c r="O10" i="9"/>
  <c r="O11" i="9"/>
  <c r="O12" i="9"/>
  <c r="O13" i="9"/>
  <c r="Q6" i="28"/>
  <c r="Q18" i="28"/>
  <c r="Q19" i="27"/>
  <c r="Q6" i="27"/>
  <c r="O27" i="9"/>
  <c r="Q3" i="48"/>
  <c r="Q27" i="48" a="1"/>
  <c r="Q27" i="48"/>
  <c r="Q29" i="48"/>
  <c r="Q30" i="48"/>
  <c r="Q31" i="48"/>
  <c r="Q32" i="48"/>
  <c r="Q33" i="48"/>
  <c r="Q34" i="48"/>
  <c r="Q35" i="48"/>
  <c r="Q36" i="48"/>
  <c r="Q37" i="48"/>
  <c r="Q38" i="48"/>
  <c r="Q39" i="48"/>
  <c r="Q40" i="48"/>
  <c r="Q41" i="48"/>
  <c r="Q42" i="48"/>
  <c r="P21" i="9"/>
  <c r="P6" i="9"/>
  <c r="P7" i="9"/>
  <c r="P9" i="9"/>
  <c r="P10" i="9"/>
  <c r="P11" i="9"/>
  <c r="P12" i="9"/>
  <c r="P13" i="9"/>
  <c r="R6" i="28"/>
  <c r="R18" i="28"/>
  <c r="R19" i="27"/>
  <c r="R6" i="27"/>
  <c r="P27" i="9"/>
  <c r="R3" i="48"/>
  <c r="R27" i="48" a="1"/>
  <c r="R27" i="48"/>
  <c r="R29" i="48"/>
  <c r="R30" i="48"/>
  <c r="R31" i="48"/>
  <c r="R32" i="48"/>
  <c r="R33" i="48"/>
  <c r="R34" i="48"/>
  <c r="R35" i="48"/>
  <c r="R36" i="48"/>
  <c r="R37" i="48"/>
  <c r="R38" i="48"/>
  <c r="R39" i="48"/>
  <c r="R40" i="48"/>
  <c r="R41" i="48"/>
  <c r="R42" i="48"/>
  <c r="R43" i="48"/>
  <c r="Q21" i="9"/>
  <c r="Q6" i="9"/>
  <c r="Q7" i="9"/>
  <c r="Q9" i="9"/>
  <c r="Q10" i="9"/>
  <c r="Q11" i="9"/>
  <c r="Q12" i="9"/>
  <c r="Q13" i="9"/>
  <c r="S6" i="28"/>
  <c r="S18" i="28"/>
  <c r="S19" i="27"/>
  <c r="S6" i="27"/>
  <c r="Q27" i="9"/>
  <c r="S3" i="48"/>
  <c r="S27" i="48" a="1"/>
  <c r="S27" i="48"/>
  <c r="S29" i="48"/>
  <c r="S30" i="48"/>
  <c r="S31" i="48"/>
  <c r="S32" i="48"/>
  <c r="S33" i="48"/>
  <c r="S34" i="48"/>
  <c r="S35" i="48"/>
  <c r="S36" i="48"/>
  <c r="S37" i="48"/>
  <c r="S38" i="48"/>
  <c r="S39" i="48"/>
  <c r="S40" i="48"/>
  <c r="S41" i="48"/>
  <c r="S42" i="48"/>
  <c r="S43" i="48"/>
  <c r="S44" i="48"/>
  <c r="R21" i="9"/>
  <c r="R6" i="9"/>
  <c r="R7" i="9"/>
  <c r="R9" i="9"/>
  <c r="R10" i="9"/>
  <c r="R11" i="9"/>
  <c r="R12" i="9"/>
  <c r="R13" i="9"/>
  <c r="T6" i="28"/>
  <c r="T18" i="28"/>
  <c r="T19" i="27"/>
  <c r="T6" i="27"/>
  <c r="R27" i="9"/>
  <c r="T3" i="48"/>
  <c r="T27" i="48" a="1"/>
  <c r="T27" i="48"/>
  <c r="T29" i="48"/>
  <c r="T30" i="48"/>
  <c r="T31" i="48"/>
  <c r="T32" i="48"/>
  <c r="T33" i="48"/>
  <c r="T34" i="48"/>
  <c r="T35" i="48"/>
  <c r="T36" i="48"/>
  <c r="T37" i="48"/>
  <c r="T38" i="48"/>
  <c r="T39" i="48"/>
  <c r="T40" i="48"/>
  <c r="T41" i="48"/>
  <c r="T42" i="48"/>
  <c r="T43" i="48"/>
  <c r="T44" i="48"/>
  <c r="T45" i="48"/>
  <c r="S21" i="9"/>
  <c r="S6" i="9"/>
  <c r="S7" i="9"/>
  <c r="S9" i="9"/>
  <c r="S10" i="9"/>
  <c r="S11" i="9"/>
  <c r="S12" i="9"/>
  <c r="S13" i="9"/>
  <c r="U6" i="28"/>
  <c r="U18" i="28"/>
  <c r="U19" i="27"/>
  <c r="U6" i="27"/>
  <c r="S27" i="9"/>
  <c r="U3" i="48"/>
  <c r="U27" i="48" a="1"/>
  <c r="U27" i="48"/>
  <c r="U29" i="48"/>
  <c r="U30" i="48"/>
  <c r="U31" i="48"/>
  <c r="U32" i="48"/>
  <c r="U33" i="48"/>
  <c r="U34" i="48"/>
  <c r="U35" i="48"/>
  <c r="U36" i="48"/>
  <c r="U37" i="48"/>
  <c r="U38" i="48"/>
  <c r="U39" i="48"/>
  <c r="U40" i="48"/>
  <c r="U41" i="48"/>
  <c r="U42" i="48"/>
  <c r="U43" i="48"/>
  <c r="U44" i="48"/>
  <c r="U45" i="48"/>
  <c r="U46" i="48"/>
  <c r="T21" i="9"/>
  <c r="T6" i="9"/>
  <c r="T7" i="9"/>
  <c r="T9" i="9"/>
  <c r="T10" i="9"/>
  <c r="T11" i="9"/>
  <c r="T12" i="9"/>
  <c r="T13" i="9"/>
  <c r="V6" i="28"/>
  <c r="V18" i="28"/>
  <c r="V19" i="27"/>
  <c r="V6" i="27"/>
  <c r="T27" i="9"/>
  <c r="V3" i="48"/>
  <c r="V27" i="48" a="1"/>
  <c r="V27" i="48"/>
  <c r="V29" i="48"/>
  <c r="V30" i="48"/>
  <c r="V31" i="48"/>
  <c r="V32" i="48"/>
  <c r="V33" i="48"/>
  <c r="V34" i="48"/>
  <c r="V35" i="48"/>
  <c r="V36" i="48"/>
  <c r="V37" i="48"/>
  <c r="V38" i="48"/>
  <c r="V39" i="48"/>
  <c r="V40" i="48"/>
  <c r="V41" i="48"/>
  <c r="V42" i="48"/>
  <c r="V43" i="48"/>
  <c r="V44" i="48"/>
  <c r="V45" i="48"/>
  <c r="V46" i="48"/>
  <c r="V47" i="48"/>
  <c r="U21" i="9"/>
  <c r="U6" i="9"/>
  <c r="U7" i="9"/>
  <c r="U9" i="9"/>
  <c r="U10" i="9"/>
  <c r="U11" i="9"/>
  <c r="U12" i="9"/>
  <c r="U13" i="9"/>
  <c r="W6" i="28"/>
  <c r="W18" i="28"/>
  <c r="W19" i="27"/>
  <c r="W6" i="27"/>
  <c r="U27" i="9"/>
  <c r="W3" i="48"/>
  <c r="W27" i="48" a="1"/>
  <c r="W27" i="48"/>
  <c r="W29" i="48"/>
  <c r="W30" i="48"/>
  <c r="W31" i="48"/>
  <c r="W32" i="48"/>
  <c r="W33" i="48"/>
  <c r="W34" i="48"/>
  <c r="W35" i="48"/>
  <c r="W36" i="48"/>
  <c r="W37" i="48"/>
  <c r="W38" i="48"/>
  <c r="W39" i="48"/>
  <c r="W40" i="48"/>
  <c r="W41" i="48"/>
  <c r="W42" i="48"/>
  <c r="W43" i="48"/>
  <c r="W44" i="48"/>
  <c r="W45" i="48"/>
  <c r="W46" i="48"/>
  <c r="W47" i="48"/>
  <c r="W48" i="48"/>
  <c r="V21" i="9"/>
  <c r="V6" i="9"/>
  <c r="V7" i="9"/>
  <c r="V9" i="9"/>
  <c r="V10" i="9"/>
  <c r="V11" i="9"/>
  <c r="V12" i="9"/>
  <c r="V13" i="9"/>
  <c r="X6" i="28"/>
  <c r="X18" i="28"/>
  <c r="X19" i="27"/>
  <c r="X6" i="27"/>
  <c r="V27" i="9"/>
  <c r="X3" i="48"/>
  <c r="X29" i="48"/>
  <c r="X30" i="48"/>
  <c r="X31" i="48"/>
  <c r="X32" i="48"/>
  <c r="X33" i="48"/>
  <c r="X34" i="48"/>
  <c r="X35" i="48"/>
  <c r="X36" i="48"/>
  <c r="X37" i="48"/>
  <c r="X38" i="48"/>
  <c r="X39" i="48"/>
  <c r="X40" i="48"/>
  <c r="X41" i="48"/>
  <c r="X42" i="48"/>
  <c r="X43" i="48"/>
  <c r="X44" i="48"/>
  <c r="X45" i="48"/>
  <c r="X46" i="48"/>
  <c r="X47" i="48"/>
  <c r="X48" i="48"/>
  <c r="X49" i="48"/>
  <c r="W21" i="9"/>
  <c r="W6" i="9"/>
  <c r="W7" i="9"/>
  <c r="W9" i="9"/>
  <c r="W10" i="9"/>
  <c r="W11" i="9"/>
  <c r="W12" i="9"/>
  <c r="W13" i="9"/>
  <c r="Y6" i="28"/>
  <c r="Y18" i="28"/>
  <c r="Y19" i="27"/>
  <c r="Y6" i="27"/>
  <c r="W27" i="9"/>
  <c r="Y3" i="48"/>
  <c r="Y29" i="48"/>
  <c r="Y30" i="48"/>
  <c r="Y31" i="48"/>
  <c r="Y32" i="48"/>
  <c r="Y33" i="48"/>
  <c r="Y34" i="48"/>
  <c r="Y35" i="48"/>
  <c r="Y36" i="48"/>
  <c r="Y37" i="48"/>
  <c r="Y38" i="48"/>
  <c r="Y39" i="48"/>
  <c r="Y40" i="48"/>
  <c r="Y41" i="48"/>
  <c r="Y42" i="48"/>
  <c r="Y43" i="48"/>
  <c r="Y44" i="48"/>
  <c r="Y45" i="48"/>
  <c r="Y46" i="48"/>
  <c r="Y47" i="48"/>
  <c r="Y48" i="48"/>
  <c r="Y49" i="48"/>
  <c r="Y50" i="48"/>
  <c r="X21" i="9"/>
  <c r="X6" i="9"/>
  <c r="X7" i="9"/>
  <c r="X9" i="9"/>
  <c r="X10" i="9"/>
  <c r="X11" i="9"/>
  <c r="X12" i="9"/>
  <c r="X13" i="9"/>
  <c r="Z6" i="28"/>
  <c r="Z18" i="28"/>
  <c r="Z19" i="27"/>
  <c r="Z6" i="27"/>
  <c r="X27" i="9"/>
  <c r="Z3" i="48"/>
  <c r="Z29" i="48"/>
  <c r="Z30" i="48"/>
  <c r="Z31" i="48"/>
  <c r="Z32" i="48"/>
  <c r="Z33" i="48"/>
  <c r="Z34" i="48"/>
  <c r="Z35" i="48"/>
  <c r="Z36" i="48"/>
  <c r="Z37" i="48"/>
  <c r="Z38" i="48"/>
  <c r="Z39" i="48"/>
  <c r="Z40" i="48"/>
  <c r="Z41" i="48"/>
  <c r="Z42" i="48"/>
  <c r="Z43" i="48"/>
  <c r="Z44" i="48"/>
  <c r="Z45" i="48"/>
  <c r="Z46" i="48"/>
  <c r="Z47" i="48"/>
  <c r="Z48" i="48"/>
  <c r="Z49" i="48"/>
  <c r="Z50" i="48"/>
  <c r="Z51" i="48"/>
  <c r="Y21" i="9"/>
  <c r="Y6" i="9"/>
  <c r="Y7" i="9"/>
  <c r="Y9" i="9"/>
  <c r="Y10" i="9"/>
  <c r="Y11" i="9"/>
  <c r="Y12" i="9"/>
  <c r="Y13" i="9"/>
  <c r="AA6" i="28"/>
  <c r="AA18" i="28"/>
  <c r="AA19" i="27"/>
  <c r="AA6" i="27"/>
  <c r="Y27" i="9"/>
  <c r="AA3" i="48"/>
  <c r="AA29" i="48"/>
  <c r="AA30" i="48"/>
  <c r="AA31" i="48"/>
  <c r="AA32" i="48"/>
  <c r="AA33" i="48"/>
  <c r="AA34" i="48"/>
  <c r="AA35" i="48"/>
  <c r="AA36" i="48"/>
  <c r="AA37" i="48"/>
  <c r="AA38" i="48"/>
  <c r="AA39" i="48"/>
  <c r="AA40" i="48"/>
  <c r="AA41" i="48"/>
  <c r="AA42" i="48"/>
  <c r="AA43" i="48"/>
  <c r="AA44" i="48"/>
  <c r="AA45" i="48"/>
  <c r="AA46" i="48"/>
  <c r="AA47" i="48"/>
  <c r="AA48" i="48"/>
  <c r="AA49" i="48"/>
  <c r="AA50" i="48"/>
  <c r="AA51" i="48"/>
  <c r="AA52" i="48"/>
  <c r="Z21" i="9"/>
  <c r="Z6" i="9"/>
  <c r="Z7" i="9"/>
  <c r="Z9" i="9"/>
  <c r="Z10" i="9"/>
  <c r="Z11" i="9"/>
  <c r="Z12" i="9"/>
  <c r="Z13" i="9"/>
  <c r="AB6" i="28"/>
  <c r="AB18" i="28"/>
  <c r="AB19" i="27"/>
  <c r="AB6" i="27"/>
  <c r="Z27" i="9"/>
  <c r="B21" i="9"/>
  <c r="B45" i="25"/>
  <c r="B6" i="9"/>
  <c r="B9" i="9"/>
  <c r="B10" i="9"/>
  <c r="B11" i="9"/>
  <c r="B12" i="9"/>
  <c r="D18" i="28"/>
  <c r="D19" i="27"/>
  <c r="B27" i="9"/>
  <c r="D6" i="52"/>
  <c r="D9" i="52"/>
  <c r="E6" i="52"/>
  <c r="E9" i="52"/>
  <c r="E13" i="25"/>
  <c r="B24" i="45"/>
  <c r="C9" i="52"/>
  <c r="F16" i="26"/>
  <c r="H16" i="26"/>
  <c r="H18" i="26"/>
  <c r="D7" i="52"/>
  <c r="E7" i="52"/>
  <c r="C7" i="52"/>
  <c r="A29" i="45"/>
  <c r="A32" i="45"/>
  <c r="A33" i="45"/>
  <c r="E15" i="25"/>
  <c r="C37" i="25"/>
  <c r="D37" i="25"/>
  <c r="E37" i="25"/>
  <c r="F37" i="25"/>
  <c r="G37" i="25"/>
  <c r="H37" i="25"/>
  <c r="I37" i="25"/>
  <c r="J37" i="25"/>
  <c r="K37" i="25"/>
  <c r="L37" i="25"/>
  <c r="M37" i="25"/>
  <c r="N37" i="25"/>
  <c r="O37" i="25"/>
  <c r="P37" i="25"/>
  <c r="Q37" i="25"/>
  <c r="R37" i="25"/>
  <c r="S37" i="25"/>
  <c r="T37" i="25"/>
  <c r="U37" i="25"/>
  <c r="V37" i="25"/>
  <c r="W37" i="25"/>
  <c r="X37" i="25"/>
  <c r="Y37" i="25"/>
  <c r="Z37" i="25"/>
  <c r="O24" i="48"/>
  <c r="P24" i="48"/>
  <c r="Q24" i="48"/>
  <c r="R24" i="48"/>
  <c r="S24" i="48"/>
  <c r="T24" i="48"/>
  <c r="U24" i="48"/>
  <c r="V24" i="48"/>
  <c r="W24" i="48"/>
  <c r="X24" i="48"/>
  <c r="Y24" i="48"/>
  <c r="Z24" i="48"/>
  <c r="AA24" i="48"/>
  <c r="O25" i="48"/>
  <c r="P25" i="48"/>
  <c r="Q25" i="48"/>
  <c r="R25" i="48"/>
  <c r="S25" i="48"/>
  <c r="T25" i="48"/>
  <c r="U25" i="48"/>
  <c r="V25" i="48"/>
  <c r="W25" i="48"/>
  <c r="X25" i="48"/>
  <c r="Y25" i="48"/>
  <c r="Z25" i="48"/>
  <c r="AA25" i="48"/>
  <c r="U50" i="9"/>
  <c r="V50" i="9"/>
  <c r="X50" i="9"/>
  <c r="W50" i="9"/>
  <c r="T50" i="9"/>
  <c r="N50" i="9"/>
  <c r="Q50" i="9"/>
  <c r="S50" i="9"/>
  <c r="O50" i="9"/>
  <c r="P50" i="9"/>
  <c r="Y50" i="9"/>
  <c r="Z50" i="9"/>
  <c r="R50" i="9"/>
  <c r="A10" i="9"/>
  <c r="D16" i="26"/>
  <c r="E17" i="25"/>
  <c r="D14" i="26"/>
  <c r="D12" i="26"/>
  <c r="F14" i="26"/>
  <c r="H14" i="26"/>
  <c r="D18" i="26"/>
  <c r="F12" i="26"/>
  <c r="F18" i="26"/>
  <c r="H12" i="26"/>
  <c r="J25" i="48"/>
  <c r="K25" i="48"/>
  <c r="L25" i="48"/>
  <c r="M25" i="48"/>
  <c r="N25" i="48"/>
  <c r="AL19" i="27"/>
  <c r="AC19" i="27"/>
  <c r="AD19" i="27"/>
  <c r="AE19" i="27"/>
  <c r="AF19" i="27"/>
  <c r="AG19" i="27"/>
  <c r="AH19" i="27"/>
  <c r="AI19" i="27"/>
  <c r="AJ19" i="27"/>
  <c r="AK19" i="27"/>
  <c r="AJ2" i="28"/>
  <c r="AJ1" i="27"/>
  <c r="AK2" i="28"/>
  <c r="AK1" i="27"/>
  <c r="AL2" i="28"/>
  <c r="AL1" i="27"/>
  <c r="Y2" i="28"/>
  <c r="Y1" i="27"/>
  <c r="Z2" i="28"/>
  <c r="Z1" i="27"/>
  <c r="AA2" i="28"/>
  <c r="AA1" i="27"/>
  <c r="AB2" i="28"/>
  <c r="AB1" i="27"/>
  <c r="AC2" i="28"/>
  <c r="AC1" i="27"/>
  <c r="AD2" i="28"/>
  <c r="AD1" i="27"/>
  <c r="AE2" i="28"/>
  <c r="AE1" i="27"/>
  <c r="AF2" i="28"/>
  <c r="AF1" i="27"/>
  <c r="AG2" i="28"/>
  <c r="AG1" i="27"/>
  <c r="AH2" i="28"/>
  <c r="AH1" i="27"/>
  <c r="AI2" i="28"/>
  <c r="AI1" i="27"/>
  <c r="AL6" i="28"/>
  <c r="AK6" i="28"/>
  <c r="AJ6" i="27"/>
  <c r="AI6" i="27"/>
  <c r="AH6" i="28"/>
  <c r="AL6" i="27"/>
  <c r="AI6" i="28"/>
  <c r="AK6" i="27"/>
  <c r="AJ6" i="28"/>
  <c r="AH6" i="27"/>
  <c r="D14" i="43"/>
  <c r="A11" i="43"/>
  <c r="A12" i="43"/>
  <c r="A14" i="43"/>
  <c r="A16" i="43"/>
  <c r="A19" i="43"/>
  <c r="A21" i="43"/>
  <c r="A23" i="43"/>
  <c r="A25" i="43"/>
  <c r="D7" i="43"/>
  <c r="AF18" i="28"/>
  <c r="AG18" i="28"/>
  <c r="AH18" i="28"/>
  <c r="AE18" i="28"/>
  <c r="AJ18" i="28"/>
  <c r="AI18" i="28"/>
  <c r="AL18" i="28"/>
  <c r="AD18" i="28"/>
  <c r="AK18" i="28"/>
  <c r="AC18" i="28"/>
  <c r="D16" i="43"/>
  <c r="D19" i="43"/>
  <c r="V8" i="45" a="1"/>
  <c r="V8" i="45"/>
  <c r="W9" i="45" a="1"/>
  <c r="W9" i="45"/>
  <c r="X10" i="45" a="1"/>
  <c r="X10" i="45"/>
  <c r="Z11" i="45" a="1"/>
  <c r="Z11" i="45"/>
  <c r="V11" i="45" a="1"/>
  <c r="V11" i="45"/>
  <c r="X11" i="45" a="1"/>
  <c r="X11" i="45"/>
  <c r="V9" i="45" a="1"/>
  <c r="V9" i="45"/>
  <c r="W10" i="45" a="1"/>
  <c r="W10" i="45"/>
  <c r="Y11" i="45" a="1"/>
  <c r="Y11" i="45"/>
  <c r="W8" i="45" a="1"/>
  <c r="W8" i="45"/>
  <c r="X9" i="45" a="1"/>
  <c r="X9" i="45"/>
  <c r="X8" i="45" a="1"/>
  <c r="X8" i="45"/>
  <c r="Y9" i="45" a="1"/>
  <c r="Y9" i="45"/>
  <c r="Y10" i="45" a="1"/>
  <c r="Y10" i="45"/>
  <c r="V6" i="45" a="1"/>
  <c r="V6" i="45"/>
  <c r="Y8" i="45" a="1"/>
  <c r="Y8" i="45"/>
  <c r="Z9" i="45" a="1"/>
  <c r="Z9" i="45"/>
  <c r="X6" i="45" a="1"/>
  <c r="X6" i="45"/>
  <c r="Z8" i="45" a="1"/>
  <c r="Z8" i="45"/>
  <c r="Y6" i="45" a="1"/>
  <c r="Y6" i="45"/>
  <c r="W11" i="45" a="1"/>
  <c r="W11" i="45"/>
  <c r="Z6" i="45" a="1"/>
  <c r="Z6" i="45"/>
  <c r="V10" i="45" a="1"/>
  <c r="V10" i="45"/>
  <c r="W6" i="45" a="1"/>
  <c r="W6" i="45"/>
  <c r="Z10" i="45" a="1"/>
  <c r="Z10" i="45"/>
  <c r="D21" i="43"/>
  <c r="D23" i="43"/>
  <c r="D25" i="43"/>
  <c r="Z24" i="45"/>
  <c r="Y24" i="45"/>
  <c r="X24" i="45"/>
  <c r="V24" i="45"/>
  <c r="W24" i="45"/>
  <c r="G23" i="49"/>
  <c r="F23" i="49"/>
  <c r="E23" i="49"/>
  <c r="D23" i="49"/>
  <c r="C23" i="49"/>
  <c r="B23" i="49"/>
  <c r="E2" i="28"/>
  <c r="E1" i="27"/>
  <c r="F2" i="28"/>
  <c r="F1" i="27"/>
  <c r="G2" i="28"/>
  <c r="G1" i="27"/>
  <c r="H2" i="28"/>
  <c r="H1" i="27"/>
  <c r="I2" i="28"/>
  <c r="I1" i="27"/>
  <c r="J2" i="28"/>
  <c r="J1" i="27"/>
  <c r="K2" i="28"/>
  <c r="K1" i="27"/>
  <c r="L2" i="28"/>
  <c r="L1" i="27"/>
  <c r="M2" i="28"/>
  <c r="M1" i="27"/>
  <c r="N2" i="28"/>
  <c r="N1" i="27"/>
  <c r="O2" i="28"/>
  <c r="O1" i="27"/>
  <c r="P2" i="28"/>
  <c r="P1" i="27"/>
  <c r="Q2" i="28"/>
  <c r="Q1" i="27"/>
  <c r="R2" i="28"/>
  <c r="R1" i="27"/>
  <c r="S2" i="28"/>
  <c r="S1" i="27"/>
  <c r="T2" i="28"/>
  <c r="T1" i="27"/>
  <c r="U2" i="28"/>
  <c r="U1" i="27"/>
  <c r="V2" i="28"/>
  <c r="V1" i="27"/>
  <c r="W2" i="28"/>
  <c r="W1" i="27"/>
  <c r="X2" i="28"/>
  <c r="X1" i="27"/>
  <c r="D2" i="28"/>
  <c r="D1" i="27"/>
  <c r="A14" i="45"/>
  <c r="A15" i="45"/>
  <c r="A16" i="45"/>
  <c r="A17" i="45"/>
  <c r="A18" i="45"/>
  <c r="A20" i="45"/>
  <c r="A21" i="45"/>
  <c r="A23" i="45"/>
  <c r="A24" i="45"/>
  <c r="A25" i="45"/>
  <c r="D24" i="45"/>
  <c r="E24" i="45"/>
  <c r="M24" i="45"/>
  <c r="U24" i="45"/>
  <c r="P24" i="45"/>
  <c r="Q24" i="45"/>
  <c r="R24" i="45"/>
  <c r="C24" i="45"/>
  <c r="S24" i="45"/>
  <c r="L24" i="45"/>
  <c r="F24" i="45"/>
  <c r="N24" i="45"/>
  <c r="O24" i="45"/>
  <c r="H24" i="45"/>
  <c r="J24" i="45"/>
  <c r="K24" i="45"/>
  <c r="T24" i="45"/>
  <c r="G24" i="45"/>
  <c r="I24" i="45"/>
  <c r="A1" i="45"/>
  <c r="V5" i="45" a="1"/>
  <c r="V5" i="45"/>
  <c r="B5" i="9"/>
  <c r="B4" i="45"/>
  <c r="D3" i="28"/>
  <c r="D2" i="27"/>
  <c r="W5" i="45" a="1"/>
  <c r="W5" i="45"/>
  <c r="V12" i="45" a="1"/>
  <c r="V12" i="45"/>
  <c r="V48" i="45"/>
  <c r="X5" i="45" a="1"/>
  <c r="X5" i="45"/>
  <c r="W12" i="45" a="1"/>
  <c r="W12" i="45"/>
  <c r="W48" i="45"/>
  <c r="Y5" i="45" a="1"/>
  <c r="Y5" i="45"/>
  <c r="X12" i="45" a="1"/>
  <c r="X12" i="45"/>
  <c r="X48" i="45"/>
  <c r="A6" i="45"/>
  <c r="A8" i="45"/>
  <c r="A9" i="45"/>
  <c r="A10" i="45"/>
  <c r="A11" i="45"/>
  <c r="A12" i="45"/>
  <c r="A13" i="45"/>
  <c r="A5" i="45"/>
  <c r="Z5" i="45" a="1"/>
  <c r="Z5" i="45"/>
  <c r="Y12" i="45" a="1"/>
  <c r="Y12" i="45"/>
  <c r="Y48" i="45"/>
  <c r="E8" i="25"/>
  <c r="E4" i="25"/>
  <c r="C8" i="45" a="1"/>
  <c r="C8" i="45"/>
  <c r="D8" i="45" a="1"/>
  <c r="D8" i="45"/>
  <c r="E8" i="45" a="1"/>
  <c r="E8" i="45"/>
  <c r="F8" i="45" a="1"/>
  <c r="F8" i="45"/>
  <c r="G8" i="45" a="1"/>
  <c r="G8" i="45"/>
  <c r="H8" i="45" a="1"/>
  <c r="H8" i="45"/>
  <c r="I8" i="45" a="1"/>
  <c r="I8" i="45"/>
  <c r="J8" i="45" a="1"/>
  <c r="J8" i="45"/>
  <c r="K8" i="45" a="1"/>
  <c r="K8" i="45"/>
  <c r="L8" i="45" a="1"/>
  <c r="L8" i="45"/>
  <c r="M8" i="45" a="1"/>
  <c r="M8" i="45"/>
  <c r="N8" i="45" a="1"/>
  <c r="N8" i="45"/>
  <c r="O8" i="45" a="1"/>
  <c r="O8" i="45"/>
  <c r="P8" i="45" a="1"/>
  <c r="P8" i="45"/>
  <c r="Q8" i="45" a="1"/>
  <c r="Q8" i="45"/>
  <c r="R8" i="45" a="1"/>
  <c r="R8" i="45"/>
  <c r="S8" i="45" a="1"/>
  <c r="S8" i="45"/>
  <c r="T8" i="45" a="1"/>
  <c r="T8" i="45"/>
  <c r="U8" i="45" a="1"/>
  <c r="U8" i="45"/>
  <c r="C9" i="45" a="1"/>
  <c r="C9" i="45"/>
  <c r="D9" i="45" a="1"/>
  <c r="D9" i="45"/>
  <c r="E9" i="45" a="1"/>
  <c r="E9" i="45"/>
  <c r="F9" i="45" a="1"/>
  <c r="F9" i="45"/>
  <c r="G9" i="45" a="1"/>
  <c r="G9" i="45"/>
  <c r="H9" i="45" a="1"/>
  <c r="H9" i="45"/>
  <c r="I9" i="45" a="1"/>
  <c r="I9" i="45"/>
  <c r="J9" i="45" a="1"/>
  <c r="J9" i="45"/>
  <c r="K9" i="45" a="1"/>
  <c r="K9" i="45"/>
  <c r="L9" i="45" a="1"/>
  <c r="L9" i="45"/>
  <c r="M9" i="45" a="1"/>
  <c r="M9" i="45"/>
  <c r="N9" i="45" a="1"/>
  <c r="N9" i="45"/>
  <c r="O9" i="45" a="1"/>
  <c r="O9" i="45"/>
  <c r="P9" i="45" a="1"/>
  <c r="P9" i="45"/>
  <c r="Q9" i="45" a="1"/>
  <c r="Q9" i="45"/>
  <c r="R9" i="45" a="1"/>
  <c r="R9" i="45"/>
  <c r="S9" i="45" a="1"/>
  <c r="S9" i="45"/>
  <c r="T9" i="45" a="1"/>
  <c r="T9" i="45"/>
  <c r="U9" i="45" a="1"/>
  <c r="U9" i="45"/>
  <c r="C10" i="45" a="1"/>
  <c r="C10" i="45"/>
  <c r="D10" i="45" a="1"/>
  <c r="D10" i="45"/>
  <c r="E10" i="45" a="1"/>
  <c r="E10" i="45"/>
  <c r="F10" i="45" a="1"/>
  <c r="F10" i="45"/>
  <c r="G10" i="45" a="1"/>
  <c r="G10" i="45"/>
  <c r="H10" i="45" a="1"/>
  <c r="H10" i="45"/>
  <c r="I10" i="45" a="1"/>
  <c r="I10" i="45"/>
  <c r="J10" i="45" a="1"/>
  <c r="J10" i="45"/>
  <c r="K10" i="45" a="1"/>
  <c r="K10" i="45"/>
  <c r="L10" i="45" a="1"/>
  <c r="L10" i="45"/>
  <c r="M10" i="45" a="1"/>
  <c r="M10" i="45"/>
  <c r="N10" i="45" a="1"/>
  <c r="N10" i="45"/>
  <c r="O10" i="45" a="1"/>
  <c r="O10" i="45"/>
  <c r="P10" i="45" a="1"/>
  <c r="P10" i="45"/>
  <c r="Q10" i="45" a="1"/>
  <c r="Q10" i="45"/>
  <c r="R10" i="45" a="1"/>
  <c r="R10" i="45"/>
  <c r="S10" i="45" a="1"/>
  <c r="S10" i="45"/>
  <c r="T10" i="45" a="1"/>
  <c r="T10" i="45"/>
  <c r="U10" i="45" a="1"/>
  <c r="U10" i="45"/>
  <c r="C11" i="45" a="1"/>
  <c r="C11" i="45"/>
  <c r="D11" i="45" a="1"/>
  <c r="D11" i="45"/>
  <c r="E11" i="45" a="1"/>
  <c r="E11" i="45"/>
  <c r="F11" i="45" a="1"/>
  <c r="F11" i="45"/>
  <c r="G11" i="45" a="1"/>
  <c r="G11" i="45"/>
  <c r="H11" i="45" a="1"/>
  <c r="H11" i="45"/>
  <c r="I11" i="45" a="1"/>
  <c r="I11" i="45"/>
  <c r="J11" i="45" a="1"/>
  <c r="J11" i="45"/>
  <c r="K11" i="45" a="1"/>
  <c r="K11" i="45"/>
  <c r="L11" i="45" a="1"/>
  <c r="L11" i="45"/>
  <c r="M11" i="45" a="1"/>
  <c r="M11" i="45"/>
  <c r="N11" i="45" a="1"/>
  <c r="N11" i="45"/>
  <c r="O11" i="45" a="1"/>
  <c r="O11" i="45"/>
  <c r="P11" i="45" a="1"/>
  <c r="P11" i="45"/>
  <c r="Q11" i="45" a="1"/>
  <c r="Q11" i="45"/>
  <c r="R11" i="45" a="1"/>
  <c r="R11" i="45"/>
  <c r="S11" i="45" a="1"/>
  <c r="S11" i="45"/>
  <c r="T11" i="45" a="1"/>
  <c r="T11" i="45"/>
  <c r="U11" i="45" a="1"/>
  <c r="U11" i="45"/>
  <c r="B9" i="45" a="1"/>
  <c r="B9" i="45"/>
  <c r="B10" i="45" a="1"/>
  <c r="B10" i="45"/>
  <c r="B11" i="45" a="1"/>
  <c r="B11" i="45"/>
  <c r="B8" i="45" a="1"/>
  <c r="B8" i="45"/>
  <c r="N6" i="45" a="1"/>
  <c r="N6" i="45"/>
  <c r="O6" i="45" a="1"/>
  <c r="O6" i="45"/>
  <c r="P6" i="45" a="1"/>
  <c r="P6" i="45"/>
  <c r="Q6" i="45" a="1"/>
  <c r="Q6" i="45"/>
  <c r="R6" i="45" a="1"/>
  <c r="R6" i="45"/>
  <c r="S6" i="45" a="1"/>
  <c r="S6" i="45"/>
  <c r="T6" i="45" a="1"/>
  <c r="T6" i="45"/>
  <c r="U6" i="45" a="1"/>
  <c r="U6" i="45"/>
  <c r="C5" i="45" a="1"/>
  <c r="C5" i="45"/>
  <c r="D5" i="45" a="1"/>
  <c r="D5" i="45"/>
  <c r="E5" i="45" a="1"/>
  <c r="E5" i="45"/>
  <c r="F5" i="45" a="1"/>
  <c r="F5" i="45"/>
  <c r="G5" i="45" a="1"/>
  <c r="G5" i="45"/>
  <c r="H5" i="45" a="1"/>
  <c r="H5" i="45"/>
  <c r="I5" i="45" a="1"/>
  <c r="I5" i="45"/>
  <c r="J5" i="45" a="1"/>
  <c r="J5" i="45"/>
  <c r="K5" i="45" a="1"/>
  <c r="K5" i="45"/>
  <c r="L5" i="45" a="1"/>
  <c r="L5" i="45"/>
  <c r="M5" i="45" a="1"/>
  <c r="M5" i="45"/>
  <c r="N5" i="45" a="1"/>
  <c r="N5" i="45"/>
  <c r="O5" i="45" a="1"/>
  <c r="O5" i="45"/>
  <c r="P5" i="45" a="1"/>
  <c r="P5" i="45"/>
  <c r="Q5" i="45" a="1"/>
  <c r="Q5" i="45"/>
  <c r="R5" i="45" a="1"/>
  <c r="R5" i="45"/>
  <c r="S5" i="45" a="1"/>
  <c r="S5" i="45"/>
  <c r="T5" i="45" a="1"/>
  <c r="T5" i="45"/>
  <c r="U5" i="45" a="1"/>
  <c r="U5" i="45"/>
  <c r="Z12" i="45" a="1"/>
  <c r="Z12" i="45"/>
  <c r="Z48" i="45"/>
  <c r="B5" i="45" a="1"/>
  <c r="B5" i="45"/>
  <c r="E7" i="25"/>
  <c r="AC6" i="27"/>
  <c r="AC6" i="28"/>
  <c r="AD6" i="28"/>
  <c r="AD6" i="27"/>
  <c r="AE6" i="28"/>
  <c r="AE6" i="27"/>
  <c r="A37" i="25"/>
  <c r="AG6" i="28"/>
  <c r="AG6" i="27"/>
  <c r="AF6" i="28"/>
  <c r="AF6" i="27"/>
  <c r="D25" i="48"/>
  <c r="C5" i="9"/>
  <c r="C4" i="45"/>
  <c r="E3" i="28"/>
  <c r="E2" i="27"/>
  <c r="E25" i="48"/>
  <c r="D5" i="9"/>
  <c r="D4" i="45"/>
  <c r="F3" i="28"/>
  <c r="F2" i="27"/>
  <c r="Q12" i="45" a="1"/>
  <c r="Q12" i="45"/>
  <c r="Q48" i="45"/>
  <c r="N12" i="45" a="1"/>
  <c r="N12" i="45"/>
  <c r="N48" i="45"/>
  <c r="P12" i="45" a="1"/>
  <c r="P12" i="45"/>
  <c r="P48" i="45"/>
  <c r="O12" i="45" a="1"/>
  <c r="O12" i="45"/>
  <c r="O48" i="45"/>
  <c r="U12" i="45" a="1"/>
  <c r="U12" i="45"/>
  <c r="U48" i="45"/>
  <c r="T12" i="45" a="1"/>
  <c r="T12" i="45"/>
  <c r="T48" i="45"/>
  <c r="S12" i="45" a="1"/>
  <c r="S12" i="45"/>
  <c r="S48" i="45"/>
  <c r="R12" i="45" a="1"/>
  <c r="R12" i="45"/>
  <c r="R48" i="45"/>
  <c r="E5" i="9"/>
  <c r="E4" i="45"/>
  <c r="G3" i="28"/>
  <c r="G2" i="27"/>
  <c r="F25" i="48"/>
  <c r="F5" i="9"/>
  <c r="F4" i="45"/>
  <c r="H3" i="28"/>
  <c r="H2" i="27"/>
  <c r="G25" i="48"/>
  <c r="G5" i="9"/>
  <c r="G4" i="45"/>
  <c r="I3" i="28"/>
  <c r="I2" i="27"/>
  <c r="H25" i="48"/>
  <c r="H5" i="9"/>
  <c r="H4" i="45"/>
  <c r="J3" i="28"/>
  <c r="J2" i="27"/>
  <c r="I25" i="48"/>
  <c r="I5" i="9"/>
  <c r="I4" i="45"/>
  <c r="K3" i="28"/>
  <c r="K2" i="27"/>
  <c r="J5" i="9"/>
  <c r="J4" i="45"/>
  <c r="L3" i="28"/>
  <c r="L2" i="27"/>
  <c r="K5" i="9"/>
  <c r="K4" i="45"/>
  <c r="M3" i="28"/>
  <c r="M2" i="27"/>
  <c r="L5" i="9"/>
  <c r="M5" i="9"/>
  <c r="N5" i="9"/>
  <c r="O5" i="9"/>
  <c r="P5" i="9"/>
  <c r="Q5" i="9"/>
  <c r="R5" i="9"/>
  <c r="S5" i="9"/>
  <c r="T5" i="9"/>
  <c r="U5" i="9"/>
  <c r="V5" i="9"/>
  <c r="W5" i="9"/>
  <c r="X5" i="9"/>
  <c r="Y5" i="9"/>
  <c r="Z5" i="9"/>
  <c r="L4" i="45"/>
  <c r="N3" i="28"/>
  <c r="N2" i="27"/>
  <c r="M4" i="45"/>
  <c r="O3" i="28"/>
  <c r="O2" i="27"/>
  <c r="N4" i="45"/>
  <c r="P3" i="28"/>
  <c r="P2" i="27"/>
  <c r="O4" i="45"/>
  <c r="Q3" i="28"/>
  <c r="Q2" i="27"/>
  <c r="P4" i="45"/>
  <c r="R3" i="28"/>
  <c r="R2" i="27"/>
  <c r="Q4" i="45"/>
  <c r="S3" i="28"/>
  <c r="S2" i="27"/>
  <c r="R4" i="45"/>
  <c r="T3" i="28"/>
  <c r="T2" i="27"/>
  <c r="S4" i="45"/>
  <c r="U3" i="28"/>
  <c r="U2" i="27"/>
  <c r="T4" i="45"/>
  <c r="V3" i="28"/>
  <c r="V2" i="27"/>
  <c r="U4" i="45"/>
  <c r="W3" i="28"/>
  <c r="W2" i="27"/>
  <c r="V4" i="45"/>
  <c r="X3" i="28"/>
  <c r="X2" i="27"/>
  <c r="W4" i="45"/>
  <c r="Y3" i="28"/>
  <c r="Y2" i="27"/>
  <c r="X4" i="45"/>
  <c r="Z3" i="28"/>
  <c r="Z2" i="27"/>
  <c r="Y4" i="45"/>
  <c r="AA3" i="28"/>
  <c r="AA2" i="27"/>
  <c r="Z4" i="45"/>
  <c r="AB3" i="28"/>
  <c r="AB2" i="27"/>
  <c r="X40" i="9"/>
  <c r="AC3" i="28"/>
  <c r="AC2" i="27"/>
  <c r="X13" i="45" a="1"/>
  <c r="X13" i="45" s="1"/>
  <c r="X38" i="45" s="1"/>
  <c r="Y40" i="9"/>
  <c r="AD3" i="28"/>
  <c r="AD2" i="27"/>
  <c r="Y13" i="45" a="1"/>
  <c r="Y13" i="45" s="1"/>
  <c r="AE3" i="28"/>
  <c r="AE2" i="27"/>
  <c r="AC14" i="28"/>
  <c r="AC15" i="27"/>
  <c r="AF3" i="28"/>
  <c r="AF2" i="27"/>
  <c r="AC7" i="27"/>
  <c r="AC7" i="28"/>
  <c r="AD14" i="28"/>
  <c r="AD15" i="27"/>
  <c r="AG3" i="28"/>
  <c r="AG2" i="27"/>
  <c r="AE14" i="28"/>
  <c r="AE15" i="27"/>
  <c r="AD7" i="27"/>
  <c r="AD7" i="28"/>
  <c r="AH3" i="28"/>
  <c r="AH2" i="27"/>
  <c r="AE7" i="27"/>
  <c r="AE7" i="28"/>
  <c r="AF14" i="28"/>
  <c r="AF15" i="27"/>
  <c r="AI3" i="28"/>
  <c r="AI2" i="27"/>
  <c r="AG14" i="28"/>
  <c r="AG15" i="27"/>
  <c r="AF7" i="27"/>
  <c r="AF7" i="28"/>
  <c r="AJ3" i="28"/>
  <c r="AJ2" i="27"/>
  <c r="AH14" i="28"/>
  <c r="AH15" i="27"/>
  <c r="AG7" i="27"/>
  <c r="AG7" i="28"/>
  <c r="AK3" i="28"/>
  <c r="AK2" i="27"/>
  <c r="AI14" i="28"/>
  <c r="AI15" i="27"/>
  <c r="AH7" i="28"/>
  <c r="AH7" i="27"/>
  <c r="AL3" i="28"/>
  <c r="AL2" i="27"/>
  <c r="AJ14" i="28"/>
  <c r="AJ15" i="27"/>
  <c r="AI7" i="27"/>
  <c r="AI7" i="28"/>
  <c r="AK14" i="28"/>
  <c r="AK15" i="27"/>
  <c r="AJ7" i="27"/>
  <c r="AJ7" i="28"/>
  <c r="AL14" i="28"/>
  <c r="AL15" i="27"/>
  <c r="AK7" i="27"/>
  <c r="AK7" i="28"/>
  <c r="AL7" i="28"/>
  <c r="AL7" i="27"/>
  <c r="AC9" i="28"/>
  <c r="AD9" i="28"/>
  <c r="AC10" i="27"/>
  <c r="AC11" i="28"/>
  <c r="AC16" i="28"/>
  <c r="AC20" i="28"/>
  <c r="AE9" i="28"/>
  <c r="AD10" i="27"/>
  <c r="AD11" i="28"/>
  <c r="AD16" i="28"/>
  <c r="AC8" i="27"/>
  <c r="AC12" i="27"/>
  <c r="AC17" i="27"/>
  <c r="AC21" i="27"/>
  <c r="AC25" i="27"/>
  <c r="AD20" i="28"/>
  <c r="AE10" i="27"/>
  <c r="AE11" i="28"/>
  <c r="AE16" i="28"/>
  <c r="AF9" i="28"/>
  <c r="AE20" i="28"/>
  <c r="AD8" i="27"/>
  <c r="AD12" i="27"/>
  <c r="AD17" i="27"/>
  <c r="AD21" i="27"/>
  <c r="AD25" i="27"/>
  <c r="AG9" i="28"/>
  <c r="AF10" i="27"/>
  <c r="AF11" i="28"/>
  <c r="AF16" i="28"/>
  <c r="AH9" i="28"/>
  <c r="AF20" i="28"/>
  <c r="AG10" i="27"/>
  <c r="AG11" i="28"/>
  <c r="AG16" i="28"/>
  <c r="AE8" i="27"/>
  <c r="AE12" i="27"/>
  <c r="AE17" i="27"/>
  <c r="AE21" i="27"/>
  <c r="AE25" i="27"/>
  <c r="AF8" i="27"/>
  <c r="AF12" i="27"/>
  <c r="AF17" i="27"/>
  <c r="AF21" i="27"/>
  <c r="AF25" i="27"/>
  <c r="AH10" i="27"/>
  <c r="AH11" i="28"/>
  <c r="AH16" i="28"/>
  <c r="AC27" i="27"/>
  <c r="AC29" i="27"/>
  <c r="AC31" i="27"/>
  <c r="AC22" i="28"/>
  <c r="AG20" i="28"/>
  <c r="AI9" i="28"/>
  <c r="AJ9" i="28"/>
  <c r="AD27" i="27"/>
  <c r="AD29" i="27"/>
  <c r="AD31" i="27"/>
  <c r="AD22" i="28"/>
  <c r="AG8" i="27"/>
  <c r="AG12" i="27"/>
  <c r="AG17" i="27"/>
  <c r="AG21" i="27"/>
  <c r="AG25" i="27"/>
  <c r="AC24" i="28"/>
  <c r="AC26" i="28"/>
  <c r="AC28" i="28"/>
  <c r="AH20" i="28"/>
  <c r="AI10" i="27"/>
  <c r="AI11" i="28"/>
  <c r="AI16" i="28"/>
  <c r="AL9" i="28"/>
  <c r="AD24" i="28"/>
  <c r="AD26" i="28"/>
  <c r="AD28" i="28"/>
  <c r="AI20" i="28"/>
  <c r="AK9" i="28"/>
  <c r="AH8" i="27"/>
  <c r="AH12" i="27"/>
  <c r="AH17" i="27"/>
  <c r="AH21" i="27"/>
  <c r="AH25" i="27"/>
  <c r="AE27" i="27"/>
  <c r="AE29" i="27"/>
  <c r="AE31" i="27"/>
  <c r="AE22" i="28"/>
  <c r="AJ10" i="27"/>
  <c r="AJ11" i="28"/>
  <c r="AJ16" i="28"/>
  <c r="AF22" i="28"/>
  <c r="AF27" i="27"/>
  <c r="AF29" i="27"/>
  <c r="AF31" i="27"/>
  <c r="AK10" i="27"/>
  <c r="AK11" i="28"/>
  <c r="AK16" i="28"/>
  <c r="AI8" i="27"/>
  <c r="AI12" i="27"/>
  <c r="AI17" i="27"/>
  <c r="AI21" i="27"/>
  <c r="AI25" i="27"/>
  <c r="AL10" i="27"/>
  <c r="AL11" i="28"/>
  <c r="AL16" i="28"/>
  <c r="AE24" i="28"/>
  <c r="AE26" i="28"/>
  <c r="AE28" i="28"/>
  <c r="AJ20" i="28"/>
  <c r="AK20" i="28"/>
  <c r="AF24" i="28"/>
  <c r="AF26" i="28"/>
  <c r="AF28" i="28"/>
  <c r="AL20" i="28"/>
  <c r="AG27" i="27"/>
  <c r="AG29" i="27"/>
  <c r="AG31" i="27"/>
  <c r="AG22" i="28"/>
  <c r="AJ8" i="27"/>
  <c r="AJ12" i="27"/>
  <c r="AJ17" i="27"/>
  <c r="AJ21" i="27"/>
  <c r="AJ25" i="27"/>
  <c r="AK8" i="27"/>
  <c r="AK12" i="27"/>
  <c r="AK17" i="27"/>
  <c r="AK21" i="27"/>
  <c r="AK25" i="27"/>
  <c r="AH22" i="28"/>
  <c r="AH27" i="27"/>
  <c r="AH29" i="27"/>
  <c r="AH31" i="27"/>
  <c r="AG24" i="28"/>
  <c r="AG26" i="28"/>
  <c r="AG28" i="28"/>
  <c r="AL8" i="27"/>
  <c r="AL12" i="27"/>
  <c r="AL17" i="27"/>
  <c r="AL21" i="27"/>
  <c r="AL25" i="27"/>
  <c r="AH24" i="28"/>
  <c r="AH26" i="28"/>
  <c r="AH28" i="28"/>
  <c r="AI27" i="27"/>
  <c r="AI29" i="27"/>
  <c r="AI31" i="27"/>
  <c r="AI22" i="28"/>
  <c r="AI24" i="28"/>
  <c r="AI26" i="28"/>
  <c r="AI28" i="28"/>
  <c r="AJ27" i="27"/>
  <c r="AJ29" i="27"/>
  <c r="AJ31" i="27"/>
  <c r="AJ22" i="28"/>
  <c r="AL27" i="27"/>
  <c r="AL29" i="27"/>
  <c r="AL31" i="27"/>
  <c r="AL22" i="28"/>
  <c r="AK27" i="27"/>
  <c r="AK29" i="27"/>
  <c r="AK31" i="27"/>
  <c r="AK22" i="28"/>
  <c r="AJ24" i="28"/>
  <c r="AJ26" i="28"/>
  <c r="AJ28" i="28"/>
  <c r="AL24" i="28"/>
  <c r="AL26" i="28"/>
  <c r="AL28" i="28"/>
  <c r="AK24" i="28"/>
  <c r="AK26" i="28"/>
  <c r="AK28" i="28"/>
  <c r="V7" i="27" l="1"/>
  <c r="V7" i="28"/>
  <c r="AB7" i="27"/>
  <c r="N40" i="9"/>
  <c r="P7" i="28"/>
  <c r="W13" i="45" a="1"/>
  <c r="W13" i="45" s="1"/>
  <c r="W38" i="45" s="1"/>
  <c r="G6" i="52"/>
  <c r="B10" i="25" s="1"/>
  <c r="E6" i="25" s="1"/>
  <c r="Z13" i="45" a="1"/>
  <c r="Z13" i="45" s="1"/>
  <c r="Z49" i="45" s="1"/>
  <c r="C6" i="52"/>
  <c r="E8" i="52" s="1"/>
  <c r="E11" i="52" s="1"/>
  <c r="T40" i="9"/>
  <c r="W51" i="9"/>
  <c r="B18" i="25"/>
  <c r="E9" i="25" s="1"/>
  <c r="B5" i="48" s="1"/>
  <c r="B6" i="48" s="1"/>
  <c r="C25" i="48" s="1"/>
  <c r="S7" i="28"/>
  <c r="Q51" i="9"/>
  <c r="T7" i="27"/>
  <c r="T7" i="28"/>
  <c r="R13" i="45" a="1"/>
  <c r="R13" i="45" s="1"/>
  <c r="R38" i="45" s="1"/>
  <c r="R51" i="9"/>
  <c r="R40" i="9"/>
  <c r="N49" i="45"/>
  <c r="N38" i="45"/>
  <c r="T49" i="45"/>
  <c r="T38" i="45"/>
  <c r="Q13" i="45" a="1"/>
  <c r="Q13" i="45" s="1"/>
  <c r="AB7" i="28"/>
  <c r="U13" i="45" a="1"/>
  <c r="U13" i="45" s="1"/>
  <c r="U38" i="45" s="1"/>
  <c r="Z40" i="9"/>
  <c r="T51" i="9"/>
  <c r="N51" i="9"/>
  <c r="R49" i="45"/>
  <c r="U40" i="9"/>
  <c r="O13" i="45" a="1"/>
  <c r="O13" i="45" s="1"/>
  <c r="X49" i="45"/>
  <c r="Z38" i="45"/>
  <c r="O40" i="9"/>
  <c r="Q40" i="9"/>
  <c r="V49" i="45"/>
  <c r="V38" i="45"/>
  <c r="Y49" i="45"/>
  <c r="Y38" i="45"/>
  <c r="W49" i="45"/>
  <c r="R7" i="28"/>
  <c r="P40" i="9"/>
  <c r="R7" i="27"/>
  <c r="P13" i="45" a="1"/>
  <c r="P13" i="45" s="1"/>
  <c r="Y7" i="27"/>
  <c r="Y7" i="28"/>
  <c r="X7" i="28"/>
  <c r="V40" i="9"/>
  <c r="X7" i="27"/>
  <c r="V51" i="9"/>
  <c r="AA7" i="27"/>
  <c r="AA7" i="28"/>
  <c r="Y51" i="9"/>
  <c r="U7" i="27"/>
  <c r="U7" i="28"/>
  <c r="S40" i="9"/>
  <c r="S13" i="45" a="1"/>
  <c r="S13" i="45" s="1"/>
  <c r="Z7" i="28"/>
  <c r="Z7" i="27"/>
  <c r="W7" i="28"/>
  <c r="W7" i="27"/>
  <c r="S51" i="9"/>
  <c r="S7" i="27"/>
  <c r="Q7" i="27"/>
  <c r="Q7" i="28"/>
  <c r="P7" i="27"/>
  <c r="D8" i="52" l="1"/>
  <c r="D11" i="52" s="1"/>
  <c r="C8" i="52"/>
  <c r="C11" i="52" s="1"/>
  <c r="C6" i="48"/>
  <c r="C19" i="48" s="1"/>
  <c r="U49" i="45"/>
  <c r="Q49" i="45"/>
  <c r="Q38" i="45"/>
  <c r="O49" i="45"/>
  <c r="O38" i="45"/>
  <c r="S49" i="45"/>
  <c r="S38" i="45"/>
  <c r="C28" i="48"/>
  <c r="C59" i="48" s="1"/>
  <c r="F28" i="48"/>
  <c r="F59" i="48" s="1"/>
  <c r="L28" i="48"/>
  <c r="L59" i="48" s="1"/>
  <c r="Q28" i="48"/>
  <c r="Q59" i="48" s="1"/>
  <c r="G28" i="48"/>
  <c r="G59" i="48" s="1"/>
  <c r="M28" i="48"/>
  <c r="M59" i="48" s="1"/>
  <c r="P28" i="48"/>
  <c r="P59" i="48" s="1"/>
  <c r="T28" i="48"/>
  <c r="T59" i="48" s="1"/>
  <c r="D28" i="48"/>
  <c r="D59" i="48" s="1"/>
  <c r="H28" i="48"/>
  <c r="H59" i="48" s="1"/>
  <c r="N28" i="48"/>
  <c r="N59" i="48" s="1"/>
  <c r="I28" i="48"/>
  <c r="I59" i="48" s="1"/>
  <c r="K28" i="48"/>
  <c r="K59" i="48" s="1"/>
  <c r="V28" i="48"/>
  <c r="V59" i="48" s="1"/>
  <c r="O28" i="48"/>
  <c r="O59" i="48" s="1"/>
  <c r="S28" i="48"/>
  <c r="S59" i="48" s="1"/>
  <c r="R28" i="48"/>
  <c r="R59" i="48" s="1"/>
  <c r="Z28" i="48"/>
  <c r="Z59" i="48" s="1"/>
  <c r="U28" i="48"/>
  <c r="U59" i="48" s="1"/>
  <c r="E28" i="48"/>
  <c r="E59" i="48" s="1"/>
  <c r="Y28" i="48"/>
  <c r="Y59" i="48" s="1"/>
  <c r="J28" i="48"/>
  <c r="J59" i="48" s="1"/>
  <c r="W28" i="48"/>
  <c r="W59" i="48" s="1"/>
  <c r="AA28" i="48"/>
  <c r="AA59" i="48" s="1"/>
  <c r="X28" i="48"/>
  <c r="X59" i="48" s="1"/>
  <c r="P49" i="45"/>
  <c r="P38" i="45"/>
  <c r="C10" i="48" l="1"/>
  <c r="D6" i="48"/>
  <c r="D10" i="48" s="1"/>
  <c r="P14" i="28"/>
  <c r="P15" i="27" s="1"/>
  <c r="O63" i="48"/>
  <c r="O65" i="48"/>
  <c r="V63" i="48"/>
  <c r="W14" i="28"/>
  <c r="W15" i="27" s="1"/>
  <c r="V65" i="48"/>
  <c r="C63" i="48"/>
  <c r="D14" i="28"/>
  <c r="D15" i="27" s="1"/>
  <c r="C65" i="48"/>
  <c r="C60" i="48"/>
  <c r="D60" i="48" s="1"/>
  <c r="E60" i="48" s="1"/>
  <c r="F60" i="48" s="1"/>
  <c r="G60" i="48" s="1"/>
  <c r="H60" i="48" s="1"/>
  <c r="I60" i="48" s="1"/>
  <c r="J60" i="48" s="1"/>
  <c r="K60" i="48" s="1"/>
  <c r="L60" i="48" s="1"/>
  <c r="M60" i="48" s="1"/>
  <c r="N60" i="48" s="1"/>
  <c r="O60" i="48" s="1"/>
  <c r="P60" i="48" s="1"/>
  <c r="Q60" i="48" s="1"/>
  <c r="R60" i="48" s="1"/>
  <c r="S60" i="48" s="1"/>
  <c r="T60" i="48" s="1"/>
  <c r="U60" i="48" s="1"/>
  <c r="V60" i="48" s="1"/>
  <c r="W60" i="48" s="1"/>
  <c r="X60" i="48" s="1"/>
  <c r="Y60" i="48" s="1"/>
  <c r="Z60" i="48" s="1"/>
  <c r="AA60" i="48" s="1"/>
  <c r="AA63" i="48"/>
  <c r="AA65" i="48"/>
  <c r="AB14" i="28"/>
  <c r="AB15" i="27" s="1"/>
  <c r="W63" i="48"/>
  <c r="X14" i="28"/>
  <c r="X15" i="27" s="1"/>
  <c r="W65" i="48"/>
  <c r="Y65" i="48"/>
  <c r="Z14" i="28"/>
  <c r="Z15" i="27" s="1"/>
  <c r="Y63" i="48"/>
  <c r="T63" i="48"/>
  <c r="U14" i="28"/>
  <c r="U15" i="27" s="1"/>
  <c r="T65" i="48"/>
  <c r="C20" i="48"/>
  <c r="B14" i="9"/>
  <c r="AA14" i="28"/>
  <c r="AA15" i="27" s="1"/>
  <c r="Z63" i="48"/>
  <c r="Z65" i="48"/>
  <c r="X63" i="48"/>
  <c r="X65" i="48"/>
  <c r="Y14" i="28"/>
  <c r="Y15" i="27" s="1"/>
  <c r="U63" i="48"/>
  <c r="V14" i="28"/>
  <c r="V15" i="27" s="1"/>
  <c r="U65" i="48"/>
  <c r="P63" i="48"/>
  <c r="P65" i="48"/>
  <c r="Q14" i="28"/>
  <c r="Q15" i="27" s="1"/>
  <c r="R63" i="48"/>
  <c r="R65" i="48"/>
  <c r="S14" i="28"/>
  <c r="S15" i="27" s="1"/>
  <c r="T14" i="28"/>
  <c r="T15" i="27" s="1"/>
  <c r="S63" i="48"/>
  <c r="S65" i="48"/>
  <c r="Q63" i="48"/>
  <c r="Q65" i="48"/>
  <c r="R14" i="28"/>
  <c r="R15" i="27" s="1"/>
  <c r="E6" i="48" l="1"/>
  <c r="E10" i="48" s="1"/>
  <c r="D19" i="48"/>
  <c r="C14" i="9" s="1"/>
  <c r="E7" i="27" s="1"/>
  <c r="D63" i="48"/>
  <c r="C66" i="48"/>
  <c r="C67" i="48"/>
  <c r="C68" i="48" s="1"/>
  <c r="B16" i="9"/>
  <c r="B15" i="45" s="1" a="1"/>
  <c r="B15" i="45" s="1"/>
  <c r="P16" i="9"/>
  <c r="P15" i="45" s="1" a="1"/>
  <c r="P15" i="45" s="1"/>
  <c r="Q67" i="48"/>
  <c r="O16" i="9"/>
  <c r="O15" i="45" s="1" a="1"/>
  <c r="O15" i="45" s="1"/>
  <c r="P67" i="48"/>
  <c r="O18" i="9" s="1"/>
  <c r="O17" i="45" s="1" a="1"/>
  <c r="O17" i="45" s="1"/>
  <c r="C64" i="48"/>
  <c r="B18" i="9"/>
  <c r="B17" i="45" s="1" a="1"/>
  <c r="B17" i="45" s="1"/>
  <c r="Z16" i="9"/>
  <c r="Z15" i="45" s="1" a="1"/>
  <c r="Z15" i="45" s="1"/>
  <c r="AA67" i="48"/>
  <c r="Z18" i="9" s="1"/>
  <c r="Z17" i="45" s="1" a="1"/>
  <c r="Z17" i="45" s="1"/>
  <c r="C11" i="48"/>
  <c r="V67" i="48"/>
  <c r="U18" i="9" s="1"/>
  <c r="U17" i="45" s="1" a="1"/>
  <c r="U17" i="45" s="1"/>
  <c r="U16" i="9"/>
  <c r="U15" i="45" s="1" a="1"/>
  <c r="U15" i="45" s="1"/>
  <c r="P18" i="9"/>
  <c r="P17" i="45" s="1" a="1"/>
  <c r="P17" i="45" s="1"/>
  <c r="S67" i="48"/>
  <c r="R18" i="9" s="1"/>
  <c r="R17" i="45" s="1" a="1"/>
  <c r="R17" i="45" s="1"/>
  <c r="R16" i="9"/>
  <c r="R15" i="45" s="1" a="1"/>
  <c r="R15" i="45" s="1"/>
  <c r="T16" i="9"/>
  <c r="T15" i="45" s="1" a="1"/>
  <c r="T15" i="45" s="1"/>
  <c r="U67" i="48"/>
  <c r="T18" i="9" s="1"/>
  <c r="T17" i="45" s="1" a="1"/>
  <c r="T17" i="45" s="1"/>
  <c r="W67" i="48"/>
  <c r="V18" i="9" s="1"/>
  <c r="V17" i="45" s="1" a="1"/>
  <c r="V17" i="45" s="1"/>
  <c r="V16" i="9"/>
  <c r="V15" i="45" s="1" a="1"/>
  <c r="V15" i="45" s="1"/>
  <c r="S16" i="9"/>
  <c r="S15" i="45" s="1" a="1"/>
  <c r="S15" i="45" s="1"/>
  <c r="T67" i="48"/>
  <c r="S18" i="9" s="1"/>
  <c r="S17" i="45" s="1" a="1"/>
  <c r="S17" i="45" s="1"/>
  <c r="O67" i="48"/>
  <c r="N18" i="9" s="1"/>
  <c r="N17" i="45" s="1" a="1"/>
  <c r="N17" i="45" s="1"/>
  <c r="N16" i="9"/>
  <c r="N15" i="45" s="1" a="1"/>
  <c r="N15" i="45" s="1"/>
  <c r="R67" i="48"/>
  <c r="Q18" i="9" s="1"/>
  <c r="Q17" i="45" s="1" a="1"/>
  <c r="Q17" i="45" s="1"/>
  <c r="Q16" i="9"/>
  <c r="Q15" i="45" s="1" a="1"/>
  <c r="Q15" i="45" s="1"/>
  <c r="W16" i="9"/>
  <c r="W15" i="45" s="1" a="1"/>
  <c r="W15" i="45" s="1"/>
  <c r="X67" i="48"/>
  <c r="W18" i="9" s="1"/>
  <c r="W17" i="45" s="1" a="1"/>
  <c r="W17" i="45" s="1"/>
  <c r="Y67" i="48"/>
  <c r="X18" i="9" s="1"/>
  <c r="X17" i="45" s="1" a="1"/>
  <c r="X17" i="45" s="1"/>
  <c r="X16" i="9"/>
  <c r="X15" i="45" s="1" a="1"/>
  <c r="X15" i="45" s="1"/>
  <c r="D7" i="27"/>
  <c r="D7" i="28"/>
  <c r="B51" i="9"/>
  <c r="B13" i="45"/>
  <c r="B49" i="45" s="1"/>
  <c r="C51" i="9"/>
  <c r="Y16" i="9"/>
  <c r="Y15" i="45" s="1" a="1"/>
  <c r="Y15" i="45" s="1"/>
  <c r="Z67" i="48"/>
  <c r="Y18" i="9" s="1"/>
  <c r="Y17" i="45" s="1" a="1"/>
  <c r="Y17" i="45" s="1"/>
  <c r="D20" i="48" l="1"/>
  <c r="D11" i="48" s="1"/>
  <c r="F6" i="48"/>
  <c r="F10" i="48" s="1"/>
  <c r="C13" i="45" a="1"/>
  <c r="C13" i="45" s="1"/>
  <c r="C49" i="45" s="1"/>
  <c r="E7" i="28"/>
  <c r="E19" i="48"/>
  <c r="D65" i="48"/>
  <c r="E14" i="28"/>
  <c r="E15" i="27" s="1"/>
  <c r="D64" i="48"/>
  <c r="C12" i="48"/>
  <c r="F19" i="48"/>
  <c r="G6" i="48"/>
  <c r="D14" i="9"/>
  <c r="F14" i="28"/>
  <c r="F15" i="27" s="1"/>
  <c r="E65" i="48"/>
  <c r="E63" i="48"/>
  <c r="D66" i="48"/>
  <c r="C13" i="48"/>
  <c r="E20" i="48" l="1"/>
  <c r="E11" i="48" s="1"/>
  <c r="C16" i="9"/>
  <c r="C15" i="45" s="1" a="1"/>
  <c r="C15" i="45" s="1"/>
  <c r="D67" i="48"/>
  <c r="C16" i="48"/>
  <c r="B23" i="9" s="1"/>
  <c r="F7" i="27"/>
  <c r="F7" i="28"/>
  <c r="D51" i="9"/>
  <c r="D13" i="45" a="1"/>
  <c r="D13" i="45" s="1"/>
  <c r="D49" i="45" s="1"/>
  <c r="G19" i="48"/>
  <c r="H6" i="48"/>
  <c r="G10" i="48"/>
  <c r="D13" i="48"/>
  <c r="E66" i="48"/>
  <c r="D16" i="9"/>
  <c r="D15" i="45" s="1" a="1"/>
  <c r="D15" i="45" s="1"/>
  <c r="E67" i="48"/>
  <c r="D18" i="9" s="1"/>
  <c r="D17" i="45" s="1" a="1"/>
  <c r="D17" i="45" s="1"/>
  <c r="E14" i="9"/>
  <c r="G14" i="28"/>
  <c r="G15" i="27" s="1"/>
  <c r="F63" i="48"/>
  <c r="F65" i="48"/>
  <c r="E64" i="48"/>
  <c r="F20" i="48" l="1"/>
  <c r="F11" i="48" s="1"/>
  <c r="C18" i="9"/>
  <c r="C17" i="45" s="1" a="1"/>
  <c r="C17" i="45" s="1"/>
  <c r="D68" i="48"/>
  <c r="D12" i="48" s="1"/>
  <c r="D16" i="48" s="1"/>
  <c r="B47" i="25"/>
  <c r="B7" i="9" s="1"/>
  <c r="E13" i="48"/>
  <c r="F66" i="48"/>
  <c r="H10" i="48"/>
  <c r="H19" i="48"/>
  <c r="I6" i="48"/>
  <c r="F14" i="9"/>
  <c r="G65" i="48"/>
  <c r="H14" i="28"/>
  <c r="H15" i="27" s="1"/>
  <c r="G63" i="48"/>
  <c r="E16" i="9"/>
  <c r="E15" i="45" s="1" a="1"/>
  <c r="E15" i="45" s="1"/>
  <c r="F67" i="48"/>
  <c r="E18" i="9" s="1"/>
  <c r="E17" i="45" s="1" a="1"/>
  <c r="E17" i="45" s="1"/>
  <c r="F64" i="48"/>
  <c r="G7" i="27"/>
  <c r="G7" i="28"/>
  <c r="E51" i="9"/>
  <c r="E13" i="45" a="1"/>
  <c r="E13" i="45" s="1"/>
  <c r="E49" i="45" s="1"/>
  <c r="B24" i="9"/>
  <c r="B46" i="9"/>
  <c r="D9" i="28"/>
  <c r="D10" i="27" s="1"/>
  <c r="B20" i="45" a="1"/>
  <c r="B20" i="45" s="1"/>
  <c r="B44" i="9"/>
  <c r="C47" i="25" l="1"/>
  <c r="C7" i="9" s="1"/>
  <c r="C23" i="9"/>
  <c r="C24" i="9" s="1"/>
  <c r="E68" i="48"/>
  <c r="E12" i="48" s="1"/>
  <c r="E16" i="48" s="1"/>
  <c r="D23" i="9" s="1"/>
  <c r="G20" i="48"/>
  <c r="B52" i="25"/>
  <c r="H7" i="27"/>
  <c r="H7" i="28"/>
  <c r="F13" i="45" a="1"/>
  <c r="F13" i="45" s="1"/>
  <c r="F49" i="45" s="1"/>
  <c r="F51" i="9"/>
  <c r="F16" i="9"/>
  <c r="F15" i="45" s="1" a="1"/>
  <c r="F15" i="45" s="1"/>
  <c r="G67" i="48"/>
  <c r="I10" i="48"/>
  <c r="I19" i="48"/>
  <c r="J6" i="48"/>
  <c r="E9" i="28"/>
  <c r="E10" i="27" s="1"/>
  <c r="G14" i="9"/>
  <c r="I14" i="28"/>
  <c r="I15" i="27" s="1"/>
  <c r="H63" i="48"/>
  <c r="H65" i="48"/>
  <c r="F18" i="9"/>
  <c r="F17" i="45" s="1" a="1"/>
  <c r="F17" i="45" s="1"/>
  <c r="D47" i="25"/>
  <c r="G11" i="48"/>
  <c r="H20" i="48"/>
  <c r="B44" i="45"/>
  <c r="B42" i="45"/>
  <c r="B21" i="45" a="1"/>
  <c r="B21" i="45" s="1"/>
  <c r="B53" i="9"/>
  <c r="B13" i="9"/>
  <c r="B6" i="45" a="1"/>
  <c r="B6" i="45" s="1"/>
  <c r="G64" i="48"/>
  <c r="G66" i="48"/>
  <c r="F13" i="48"/>
  <c r="F68" i="48" l="1"/>
  <c r="G68" i="48" s="1"/>
  <c r="G12" i="48" s="1"/>
  <c r="C20" i="45" a="1"/>
  <c r="C20" i="45" s="1"/>
  <c r="C44" i="45" s="1"/>
  <c r="C52" i="25"/>
  <c r="C44" i="9"/>
  <c r="C46" i="9"/>
  <c r="I7" i="28"/>
  <c r="I7" i="27"/>
  <c r="G13" i="45" a="1"/>
  <c r="G13" i="45" s="1"/>
  <c r="G49" i="45" s="1"/>
  <c r="G51" i="9"/>
  <c r="F9" i="28"/>
  <c r="F10" i="27" s="1"/>
  <c r="D24" i="9"/>
  <c r="D44" i="9"/>
  <c r="D46" i="9"/>
  <c r="D20" i="45" a="1"/>
  <c r="D20" i="45" s="1"/>
  <c r="G16" i="9"/>
  <c r="G15" i="45" s="1" a="1"/>
  <c r="G15" i="45" s="1"/>
  <c r="H67" i="48"/>
  <c r="H14" i="9"/>
  <c r="I63" i="48"/>
  <c r="I65" i="48"/>
  <c r="J14" i="28"/>
  <c r="J15" i="27" s="1"/>
  <c r="B51" i="45"/>
  <c r="H64" i="48"/>
  <c r="C13" i="9"/>
  <c r="C6" i="45" a="1"/>
  <c r="C6" i="45" s="1"/>
  <c r="G13" i="48"/>
  <c r="H66" i="48"/>
  <c r="H11" i="48"/>
  <c r="I20" i="48"/>
  <c r="C53" i="9"/>
  <c r="C21" i="45" a="1"/>
  <c r="C21" i="45" s="1"/>
  <c r="D7" i="9"/>
  <c r="D52" i="25"/>
  <c r="D6" i="27"/>
  <c r="B50" i="9"/>
  <c r="B40" i="9"/>
  <c r="D6" i="28"/>
  <c r="D11" i="28" s="1"/>
  <c r="D16" i="28" s="1"/>
  <c r="B12" i="45"/>
  <c r="J10" i="48"/>
  <c r="J19" i="48"/>
  <c r="K6" i="48"/>
  <c r="C42" i="45" l="1"/>
  <c r="F12" i="48"/>
  <c r="F16" i="48" s="1"/>
  <c r="H68" i="48"/>
  <c r="G16" i="48"/>
  <c r="F23" i="9" s="1"/>
  <c r="E6" i="27"/>
  <c r="E6" i="28"/>
  <c r="E11" i="28" s="1"/>
  <c r="E16" i="28" s="1"/>
  <c r="C12" i="45" a="1"/>
  <c r="C12" i="45" s="1"/>
  <c r="C50" i="9"/>
  <c r="C40" i="9"/>
  <c r="D21" i="45" a="1"/>
  <c r="D21" i="45" s="1"/>
  <c r="D53" i="9"/>
  <c r="G18" i="9"/>
  <c r="G17" i="45" s="1" a="1"/>
  <c r="G17" i="45" s="1"/>
  <c r="C51" i="45"/>
  <c r="K10" i="48"/>
  <c r="K19" i="48"/>
  <c r="L6" i="48"/>
  <c r="D44" i="45"/>
  <c r="D42" i="45"/>
  <c r="D13" i="9"/>
  <c r="D6" i="45" a="1"/>
  <c r="D6" i="45" s="1"/>
  <c r="H12" i="48"/>
  <c r="I64" i="48"/>
  <c r="I67" i="48"/>
  <c r="I68" i="48" s="1"/>
  <c r="H16" i="9"/>
  <c r="H15" i="45" s="1" a="1"/>
  <c r="H15" i="45" s="1"/>
  <c r="D20" i="28"/>
  <c r="I11" i="48"/>
  <c r="J20" i="48"/>
  <c r="E23" i="9"/>
  <c r="E47" i="25"/>
  <c r="I14" i="9"/>
  <c r="J65" i="48"/>
  <c r="K14" i="28"/>
  <c r="K15" i="27" s="1"/>
  <c r="J63" i="48"/>
  <c r="B48" i="45"/>
  <c r="B38" i="45"/>
  <c r="H13" i="48"/>
  <c r="I66" i="48"/>
  <c r="J7" i="27"/>
  <c r="J7" i="28"/>
  <c r="H51" i="9"/>
  <c r="H13" i="45" a="1"/>
  <c r="H13" i="45" s="1"/>
  <c r="H49" i="45" s="1"/>
  <c r="H18" i="9" l="1"/>
  <c r="H17" i="45" s="1" a="1"/>
  <c r="H17" i="45" s="1"/>
  <c r="H16" i="48"/>
  <c r="F47" i="25"/>
  <c r="F52" i="25" s="1"/>
  <c r="J11" i="48"/>
  <c r="K20" i="48"/>
  <c r="L10" i="48"/>
  <c r="L19" i="48"/>
  <c r="M6" i="48"/>
  <c r="C48" i="45"/>
  <c r="C38" i="45"/>
  <c r="J14" i="9"/>
  <c r="K63" i="48"/>
  <c r="L14" i="28"/>
  <c r="L15" i="27" s="1"/>
  <c r="K65" i="48"/>
  <c r="E20" i="28"/>
  <c r="E24" i="9"/>
  <c r="G9" i="28"/>
  <c r="G10" i="27" s="1"/>
  <c r="E46" i="9"/>
  <c r="E44" i="9"/>
  <c r="E20" i="45" a="1"/>
  <c r="E20" i="45" s="1"/>
  <c r="D8" i="27"/>
  <c r="D12" i="27" s="1"/>
  <c r="D17" i="27" s="1"/>
  <c r="D21" i="27" s="1"/>
  <c r="D25" i="27" s="1"/>
  <c r="B17" i="9" s="1"/>
  <c r="B16" i="45" s="1" a="1"/>
  <c r="B16" i="45" s="1"/>
  <c r="B15" i="9"/>
  <c r="K7" i="27"/>
  <c r="K7" i="28"/>
  <c r="I51" i="9"/>
  <c r="I13" i="45" a="1"/>
  <c r="I13" i="45" s="1"/>
  <c r="I49" i="45" s="1"/>
  <c r="D51" i="45"/>
  <c r="I16" i="9"/>
  <c r="I15" i="45" s="1" a="1"/>
  <c r="I15" i="45" s="1"/>
  <c r="J67" i="48"/>
  <c r="J68" i="48" s="1"/>
  <c r="G23" i="9"/>
  <c r="G47" i="25"/>
  <c r="E7" i="9"/>
  <c r="E52" i="25"/>
  <c r="I13" i="48"/>
  <c r="J66" i="48"/>
  <c r="I18" i="9"/>
  <c r="I17" i="45" s="1" a="1"/>
  <c r="I17" i="45" s="1"/>
  <c r="J64" i="48"/>
  <c r="I12" i="48"/>
  <c r="H9" i="28"/>
  <c r="H10" i="27" s="1"/>
  <c r="F24" i="9"/>
  <c r="F20" i="45" a="1"/>
  <c r="F20" i="45" s="1"/>
  <c r="F46" i="9"/>
  <c r="F44" i="9"/>
  <c r="F6" i="27"/>
  <c r="F6" i="28"/>
  <c r="F11" i="28" s="1"/>
  <c r="F16" i="28" s="1"/>
  <c r="D12" i="45" a="1"/>
  <c r="D12" i="45" s="1"/>
  <c r="D50" i="9"/>
  <c r="D40" i="9"/>
  <c r="F7" i="9" l="1"/>
  <c r="F13" i="9" s="1"/>
  <c r="I16" i="48"/>
  <c r="H23" i="9" s="1"/>
  <c r="F44" i="45"/>
  <c r="F42" i="45"/>
  <c r="B14" i="45" a="1"/>
  <c r="B14" i="45" s="1"/>
  <c r="B19" i="9"/>
  <c r="F21" i="45" a="1"/>
  <c r="F21" i="45" s="1"/>
  <c r="F53" i="9"/>
  <c r="E44" i="45"/>
  <c r="E42" i="45"/>
  <c r="M19" i="48"/>
  <c r="N6" i="48"/>
  <c r="M10" i="48"/>
  <c r="K64" i="48"/>
  <c r="J12" i="48"/>
  <c r="K14" i="9"/>
  <c r="M14" i="28"/>
  <c r="M15" i="27" s="1"/>
  <c r="L63" i="48"/>
  <c r="L65" i="48"/>
  <c r="D48" i="45"/>
  <c r="D38" i="45"/>
  <c r="L7" i="27"/>
  <c r="L7" i="28"/>
  <c r="J51" i="9"/>
  <c r="J13" i="45" a="1"/>
  <c r="J13" i="45" s="1"/>
  <c r="J49" i="45" s="1"/>
  <c r="F20" i="28"/>
  <c r="J13" i="48"/>
  <c r="K66" i="48"/>
  <c r="E21" i="45" a="1"/>
  <c r="E21" i="45" s="1"/>
  <c r="E53" i="9"/>
  <c r="L20" i="48"/>
  <c r="K11" i="48"/>
  <c r="E8" i="27"/>
  <c r="E12" i="27" s="1"/>
  <c r="E17" i="27" s="1"/>
  <c r="E21" i="27" s="1"/>
  <c r="E25" i="27" s="1"/>
  <c r="C17" i="9" s="1"/>
  <c r="C16" i="45" s="1" a="1"/>
  <c r="C16" i="45" s="1"/>
  <c r="C15" i="9"/>
  <c r="G7" i="9"/>
  <c r="G52" i="25"/>
  <c r="I9" i="28"/>
  <c r="I10" i="27" s="1"/>
  <c r="G24" i="9"/>
  <c r="G20" i="45" a="1"/>
  <c r="G20" i="45" s="1"/>
  <c r="G44" i="9"/>
  <c r="G46" i="9"/>
  <c r="E13" i="9"/>
  <c r="E6" i="45" a="1"/>
  <c r="E6" i="45" s="1"/>
  <c r="J16" i="9"/>
  <c r="J15" i="45" s="1" a="1"/>
  <c r="J15" i="45" s="1"/>
  <c r="K67" i="48"/>
  <c r="J18" i="9" s="1"/>
  <c r="J17" i="45" s="1" a="1"/>
  <c r="J17" i="45" s="1"/>
  <c r="F6" i="45" l="1" a="1"/>
  <c r="F6" i="45" s="1"/>
  <c r="J16" i="48"/>
  <c r="I23" i="9" s="1"/>
  <c r="H47" i="25"/>
  <c r="H52" i="25" s="1"/>
  <c r="M7" i="27"/>
  <c r="M7" i="28"/>
  <c r="K51" i="9"/>
  <c r="K13" i="45" a="1"/>
  <c r="K13" i="45" s="1"/>
  <c r="K49" i="45" s="1"/>
  <c r="C14" i="45" a="1"/>
  <c r="C14" i="45" s="1"/>
  <c r="C19" i="9"/>
  <c r="D15" i="9"/>
  <c r="F8" i="27"/>
  <c r="F12" i="27" s="1"/>
  <c r="F17" i="27" s="1"/>
  <c r="F21" i="27" s="1"/>
  <c r="F25" i="27" s="1"/>
  <c r="D17" i="9" s="1"/>
  <c r="D16" i="45" s="1" a="1"/>
  <c r="D16" i="45" s="1"/>
  <c r="B18" i="45" a="1"/>
  <c r="B18" i="45" s="1"/>
  <c r="B23" i="45" s="1"/>
  <c r="B25" i="45" s="1"/>
  <c r="B26" i="9"/>
  <c r="B28" i="9" s="1"/>
  <c r="K16" i="9"/>
  <c r="K15" i="45" s="1" a="1"/>
  <c r="K15" i="45" s="1"/>
  <c r="L67" i="48"/>
  <c r="K18" i="9" s="1"/>
  <c r="K17" i="45" s="1" a="1"/>
  <c r="K17" i="45" s="1"/>
  <c r="K13" i="48"/>
  <c r="L66" i="48"/>
  <c r="L64" i="48"/>
  <c r="H6" i="27"/>
  <c r="H6" i="28"/>
  <c r="H11" i="28" s="1"/>
  <c r="H16" i="28" s="1"/>
  <c r="F12" i="45" a="1"/>
  <c r="F12" i="45" s="1"/>
  <c r="F50" i="9"/>
  <c r="F40" i="9"/>
  <c r="G6" i="27"/>
  <c r="G6" i="28"/>
  <c r="G11" i="28" s="1"/>
  <c r="G16" i="28" s="1"/>
  <c r="E40" i="9"/>
  <c r="E12" i="45" a="1"/>
  <c r="E12" i="45" s="1"/>
  <c r="E50" i="9"/>
  <c r="G13" i="9"/>
  <c r="G6" i="45" a="1"/>
  <c r="G6" i="45" s="1"/>
  <c r="G42" i="45"/>
  <c r="G44" i="45"/>
  <c r="L11" i="48"/>
  <c r="M20" i="48"/>
  <c r="N10" i="48"/>
  <c r="N19" i="48"/>
  <c r="O6" i="48"/>
  <c r="K68" i="48"/>
  <c r="E51" i="45"/>
  <c r="F51" i="45"/>
  <c r="L14" i="9"/>
  <c r="M65" i="48"/>
  <c r="N14" i="28"/>
  <c r="N15" i="27" s="1"/>
  <c r="M63" i="48"/>
  <c r="G21" i="45" a="1"/>
  <c r="G21" i="45" s="1"/>
  <c r="G53" i="9"/>
  <c r="J9" i="28"/>
  <c r="J10" i="27" s="1"/>
  <c r="H24" i="9"/>
  <c r="H44" i="9"/>
  <c r="H46" i="9"/>
  <c r="H20" i="45" a="1"/>
  <c r="H20" i="45" s="1"/>
  <c r="I47" i="25" l="1"/>
  <c r="H7" i="9"/>
  <c r="L68" i="48"/>
  <c r="L12" i="48" s="1"/>
  <c r="B29" i="45"/>
  <c r="B39" i="45"/>
  <c r="B40" i="45" s="1"/>
  <c r="B50" i="45"/>
  <c r="B52" i="45" s="1"/>
  <c r="B37" i="45"/>
  <c r="B32" i="9"/>
  <c r="B52" i="9"/>
  <c r="B54" i="9" s="1"/>
  <c r="B41" i="9"/>
  <c r="B42" i="9" s="1"/>
  <c r="D22" i="28"/>
  <c r="B39" i="9"/>
  <c r="D27" i="27"/>
  <c r="D29" i="27" s="1"/>
  <c r="D31" i="27" s="1"/>
  <c r="K9" i="28"/>
  <c r="K10" i="27" s="1"/>
  <c r="I24" i="9"/>
  <c r="I46" i="9"/>
  <c r="I44" i="9"/>
  <c r="I20" i="45" a="1"/>
  <c r="I20" i="45" s="1"/>
  <c r="F48" i="45"/>
  <c r="F38" i="45"/>
  <c r="H20" i="28"/>
  <c r="H13" i="9"/>
  <c r="H6" i="45" a="1"/>
  <c r="H6" i="45" s="1"/>
  <c r="C18" i="45" a="1"/>
  <c r="C18" i="45" s="1"/>
  <c r="C23" i="45" s="1"/>
  <c r="C25" i="45" s="1"/>
  <c r="C26" i="9"/>
  <c r="C28" i="9" s="1"/>
  <c r="I7" i="9"/>
  <c r="I52" i="25"/>
  <c r="D14" i="45" a="1"/>
  <c r="D14" i="45" s="1"/>
  <c r="D19" i="9"/>
  <c r="O10" i="48"/>
  <c r="P6" i="48"/>
  <c r="I6" i="28"/>
  <c r="I11" i="28" s="1"/>
  <c r="I16" i="28" s="1"/>
  <c r="I6" i="27"/>
  <c r="G40" i="9"/>
  <c r="G50" i="9"/>
  <c r="G12" i="45" a="1"/>
  <c r="G12" i="45" s="1"/>
  <c r="M14" i="9"/>
  <c r="O14" i="28"/>
  <c r="O15" i="27" s="1"/>
  <c r="N65" i="48"/>
  <c r="N63" i="48"/>
  <c r="K12" i="48"/>
  <c r="K16" i="48" s="1"/>
  <c r="H21" i="45" a="1"/>
  <c r="H21" i="45" s="1"/>
  <c r="H53" i="9"/>
  <c r="M64" i="48"/>
  <c r="G51" i="45"/>
  <c r="E48" i="45"/>
  <c r="E38" i="45"/>
  <c r="N7" i="27"/>
  <c r="N7" i="28"/>
  <c r="L51" i="9"/>
  <c r="L13" i="45" a="1"/>
  <c r="L13" i="45" s="1"/>
  <c r="L49" i="45" s="1"/>
  <c r="M11" i="48"/>
  <c r="N20" i="48"/>
  <c r="H42" i="45"/>
  <c r="H44" i="45"/>
  <c r="L13" i="48"/>
  <c r="M66" i="48"/>
  <c r="G20" i="28"/>
  <c r="L16" i="9"/>
  <c r="L15" i="45" s="1" a="1"/>
  <c r="L15" i="45" s="1"/>
  <c r="M67" i="48"/>
  <c r="M68" i="48" s="1"/>
  <c r="L18" i="9" l="1"/>
  <c r="L17" i="45" s="1" a="1"/>
  <c r="L17" i="45" s="1"/>
  <c r="B43" i="9"/>
  <c r="B45" i="9" s="1"/>
  <c r="B47" i="9" s="1"/>
  <c r="B48" i="9" s="1"/>
  <c r="L16" i="48"/>
  <c r="K47" i="25" s="1"/>
  <c r="K23" i="9"/>
  <c r="P10" i="48"/>
  <c r="Q6" i="48"/>
  <c r="D24" i="28"/>
  <c r="D26" i="28"/>
  <c r="D28" i="28" s="1"/>
  <c r="D18" i="45" a="1"/>
  <c r="D18" i="45" s="1"/>
  <c r="D23" i="45" s="1"/>
  <c r="D25" i="45" s="1"/>
  <c r="D26" i="9"/>
  <c r="D28" i="9" s="1"/>
  <c r="M16" i="9"/>
  <c r="M15" i="45" s="1" a="1"/>
  <c r="M15" i="45" s="1"/>
  <c r="N67" i="48"/>
  <c r="M18" i="9" s="1"/>
  <c r="M17" i="45" s="1" a="1"/>
  <c r="M17" i="45" s="1"/>
  <c r="J6" i="28"/>
  <c r="J11" i="28" s="1"/>
  <c r="J16" i="28" s="1"/>
  <c r="J6" i="27"/>
  <c r="H12" i="45" a="1"/>
  <c r="H12" i="45" s="1"/>
  <c r="H50" i="9"/>
  <c r="H40" i="9"/>
  <c r="E15" i="9"/>
  <c r="G8" i="27"/>
  <c r="G12" i="27" s="1"/>
  <c r="G17" i="27" s="1"/>
  <c r="G21" i="27" s="1"/>
  <c r="G25" i="27" s="1"/>
  <c r="E17" i="9" s="1"/>
  <c r="E16" i="45" s="1" a="1"/>
  <c r="E16" i="45" s="1"/>
  <c r="O7" i="28"/>
  <c r="O7" i="27"/>
  <c r="M13" i="45" a="1"/>
  <c r="M13" i="45" s="1"/>
  <c r="M49" i="45" s="1"/>
  <c r="M51" i="9"/>
  <c r="I13" i="9"/>
  <c r="I6" i="45" a="1"/>
  <c r="I6" i="45" s="1"/>
  <c r="I44" i="45"/>
  <c r="I42" i="45"/>
  <c r="G48" i="45"/>
  <c r="G38" i="45"/>
  <c r="B41" i="45"/>
  <c r="B43" i="45" s="1"/>
  <c r="I20" i="28"/>
  <c r="J47" i="25"/>
  <c r="J23" i="9"/>
  <c r="F15" i="9"/>
  <c r="H8" i="27"/>
  <c r="H12" i="27" s="1"/>
  <c r="H17" i="27" s="1"/>
  <c r="H21" i="27" s="1"/>
  <c r="H25" i="27" s="1"/>
  <c r="F17" i="9" s="1"/>
  <c r="F16" i="45" s="1" a="1"/>
  <c r="F16" i="45" s="1"/>
  <c r="C32" i="9"/>
  <c r="E27" i="27"/>
  <c r="E29" i="27" s="1"/>
  <c r="E31" i="27" s="1"/>
  <c r="C41" i="9"/>
  <c r="C42" i="9" s="1"/>
  <c r="E22" i="28"/>
  <c r="C39" i="9"/>
  <c r="C52" i="9"/>
  <c r="C54" i="9" s="1"/>
  <c r="H51" i="45"/>
  <c r="M13" i="48"/>
  <c r="N66" i="48"/>
  <c r="I21" i="45" a="1"/>
  <c r="I21" i="45" s="1"/>
  <c r="I53" i="9"/>
  <c r="C29" i="45"/>
  <c r="C39" i="45"/>
  <c r="C40" i="45" s="1"/>
  <c r="C50" i="45"/>
  <c r="C52" i="45" s="1"/>
  <c r="C37" i="45"/>
  <c r="N11" i="48"/>
  <c r="O20" i="48"/>
  <c r="N64" i="48"/>
  <c r="M12" i="48"/>
  <c r="B30" i="45"/>
  <c r="B45" i="45" l="1"/>
  <c r="B46" i="45" s="1"/>
  <c r="C43" i="9"/>
  <c r="C45" i="9" s="1"/>
  <c r="C47" i="9" s="1"/>
  <c r="C48" i="9" s="1"/>
  <c r="M16" i="48"/>
  <c r="L23" i="9" s="1"/>
  <c r="E14" i="45" a="1"/>
  <c r="E14" i="45" s="1"/>
  <c r="E19" i="9"/>
  <c r="E24" i="28"/>
  <c r="E26" i="28"/>
  <c r="E28" i="28" s="1"/>
  <c r="D32" i="9"/>
  <c r="D52" i="9"/>
  <c r="D54" i="9"/>
  <c r="F27" i="27"/>
  <c r="F29" i="27" s="1"/>
  <c r="F31" i="27" s="1"/>
  <c r="D41" i="9"/>
  <c r="D42" i="9" s="1"/>
  <c r="F22" i="28"/>
  <c r="D39" i="9"/>
  <c r="D29" i="45"/>
  <c r="D39" i="45"/>
  <c r="D40" i="45" s="1"/>
  <c r="D50" i="45"/>
  <c r="D52" i="45" s="1"/>
  <c r="D37" i="45"/>
  <c r="I51" i="45"/>
  <c r="O64" i="48"/>
  <c r="P20" i="48"/>
  <c r="O11" i="48"/>
  <c r="N13" i="48"/>
  <c r="O66" i="48"/>
  <c r="H48" i="45"/>
  <c r="H38" i="45"/>
  <c r="R6" i="48"/>
  <c r="Q10" i="48"/>
  <c r="F14" i="45" a="1"/>
  <c r="F14" i="45" s="1"/>
  <c r="F19" i="9"/>
  <c r="K6" i="27"/>
  <c r="K6" i="28"/>
  <c r="K11" i="28" s="1"/>
  <c r="K16" i="28" s="1"/>
  <c r="I50" i="9"/>
  <c r="I40" i="9"/>
  <c r="I12" i="45" a="1"/>
  <c r="I12" i="45" s="1"/>
  <c r="G15" i="9"/>
  <c r="I8" i="27"/>
  <c r="I12" i="27" s="1"/>
  <c r="I17" i="27" s="1"/>
  <c r="I21" i="27" s="1"/>
  <c r="I25" i="27" s="1"/>
  <c r="G17" i="9" s="1"/>
  <c r="G16" i="45" s="1" a="1"/>
  <c r="G16" i="45" s="1"/>
  <c r="C41" i="45"/>
  <c r="C43" i="45" s="1"/>
  <c r="L9" i="28"/>
  <c r="L10" i="27" s="1"/>
  <c r="J24" i="9"/>
  <c r="J20" i="45" a="1"/>
  <c r="J20" i="45" s="1"/>
  <c r="J46" i="9"/>
  <c r="J44" i="9"/>
  <c r="J20" i="28"/>
  <c r="N68" i="48"/>
  <c r="O68" i="48" s="1"/>
  <c r="P68" i="48" s="1"/>
  <c r="Q68" i="48" s="1"/>
  <c r="R68" i="48" s="1"/>
  <c r="S68" i="48" s="1"/>
  <c r="T68" i="48" s="1"/>
  <c r="U68" i="48" s="1"/>
  <c r="V68" i="48" s="1"/>
  <c r="W68" i="48" s="1"/>
  <c r="X68" i="48" s="1"/>
  <c r="Y68" i="48" s="1"/>
  <c r="Z68" i="48" s="1"/>
  <c r="AA68" i="48" s="1"/>
  <c r="J7" i="9"/>
  <c r="J52" i="25"/>
  <c r="K7" i="9"/>
  <c r="K52" i="25"/>
  <c r="K24" i="9"/>
  <c r="M9" i="28"/>
  <c r="M10" i="27" s="1"/>
  <c r="K44" i="9"/>
  <c r="K46" i="9"/>
  <c r="K20" i="45" a="1"/>
  <c r="K20" i="45" s="1"/>
  <c r="C45" i="45" l="1"/>
  <c r="C46" i="45" s="1"/>
  <c r="L47" i="25"/>
  <c r="L7" i="9" s="1"/>
  <c r="N12" i="48"/>
  <c r="N16" i="48" s="1"/>
  <c r="M23" i="9" s="1"/>
  <c r="F18" i="45" a="1"/>
  <c r="F18" i="45" s="1"/>
  <c r="F23" i="45" s="1"/>
  <c r="F25" i="45" s="1"/>
  <c r="F26" i="9"/>
  <c r="F28" i="9" s="1"/>
  <c r="O12" i="48"/>
  <c r="P64" i="48"/>
  <c r="M47" i="25"/>
  <c r="G14" i="45" a="1"/>
  <c r="G14" i="45" s="1"/>
  <c r="G19" i="9"/>
  <c r="J13" i="9"/>
  <c r="J6" i="45" a="1"/>
  <c r="J6" i="45" s="1"/>
  <c r="S6" i="48"/>
  <c r="R10" i="48"/>
  <c r="D41" i="45"/>
  <c r="D43" i="45" s="1"/>
  <c r="I38" i="45"/>
  <c r="I48" i="45"/>
  <c r="K13" i="9"/>
  <c r="K6" i="45" a="1"/>
  <c r="K6" i="45" s="1"/>
  <c r="K42" i="45"/>
  <c r="K44" i="45"/>
  <c r="J8" i="27"/>
  <c r="J12" i="27" s="1"/>
  <c r="J17" i="27" s="1"/>
  <c r="J21" i="27" s="1"/>
  <c r="J25" i="27" s="1"/>
  <c r="H17" i="9" s="1"/>
  <c r="H16" i="45" s="1" a="1"/>
  <c r="H16" i="45" s="1"/>
  <c r="H15" i="9"/>
  <c r="E18" i="45" a="1"/>
  <c r="E18" i="45" s="1"/>
  <c r="E23" i="45" s="1"/>
  <c r="E25" i="45" s="1"/>
  <c r="E26" i="9"/>
  <c r="E28" i="9" s="1"/>
  <c r="P66" i="48"/>
  <c r="O13" i="48"/>
  <c r="K20" i="28"/>
  <c r="J42" i="45"/>
  <c r="J44" i="45"/>
  <c r="D43" i="9"/>
  <c r="D45" i="9" s="1"/>
  <c r="D47" i="9" s="1"/>
  <c r="D48" i="9" s="1"/>
  <c r="N9" i="28"/>
  <c r="N10" i="27" s="1"/>
  <c r="L24" i="9"/>
  <c r="L44" i="9"/>
  <c r="L20" i="45" a="1"/>
  <c r="L20" i="45" s="1"/>
  <c r="L46" i="9"/>
  <c r="K21" i="45" a="1"/>
  <c r="K21" i="45" s="1"/>
  <c r="K53" i="9"/>
  <c r="J21" i="45" a="1"/>
  <c r="J21" i="45" s="1"/>
  <c r="J53" i="9"/>
  <c r="P11" i="48"/>
  <c r="Q20" i="48"/>
  <c r="F24" i="28"/>
  <c r="F26" i="28"/>
  <c r="F28" i="28" s="1"/>
  <c r="D45" i="45" l="1"/>
  <c r="D46" i="45" s="1"/>
  <c r="L52" i="25"/>
  <c r="O16" i="48"/>
  <c r="N23" i="9" s="1"/>
  <c r="N24" i="9" s="1"/>
  <c r="G18" i="45" a="1"/>
  <c r="G18" i="45" s="1"/>
  <c r="G23" i="45" s="1"/>
  <c r="G25" i="45" s="1"/>
  <c r="G26" i="9"/>
  <c r="G28" i="9" s="1"/>
  <c r="L6" i="27"/>
  <c r="L6" i="28"/>
  <c r="L11" i="28" s="1"/>
  <c r="L16" i="28" s="1"/>
  <c r="J40" i="9"/>
  <c r="J50" i="9"/>
  <c r="J12" i="45" a="1"/>
  <c r="J12" i="45" s="1"/>
  <c r="M6" i="27"/>
  <c r="M6" i="28"/>
  <c r="M11" i="28" s="1"/>
  <c r="M16" i="28" s="1"/>
  <c r="K40" i="9"/>
  <c r="K50" i="9"/>
  <c r="K12" i="45" a="1"/>
  <c r="K12" i="45" s="1"/>
  <c r="M52" i="25"/>
  <c r="M7" i="9"/>
  <c r="L44" i="45"/>
  <c r="L42" i="45"/>
  <c r="L21" i="45" a="1"/>
  <c r="L21" i="45" s="1"/>
  <c r="L53" i="9"/>
  <c r="K8" i="27"/>
  <c r="K12" i="27" s="1"/>
  <c r="K17" i="27" s="1"/>
  <c r="K21" i="27" s="1"/>
  <c r="K25" i="27" s="1"/>
  <c r="I17" i="9" s="1"/>
  <c r="I16" i="45" s="1" a="1"/>
  <c r="I16" i="45" s="1"/>
  <c r="I15" i="9"/>
  <c r="O9" i="28"/>
  <c r="O10" i="27" s="1"/>
  <c r="M24" i="9"/>
  <c r="M20" i="45" a="1"/>
  <c r="M20" i="45" s="1"/>
  <c r="M44" i="9"/>
  <c r="M46" i="9"/>
  <c r="Q64" i="48"/>
  <c r="P12" i="48"/>
  <c r="Q11" i="48"/>
  <c r="R20" i="48"/>
  <c r="P13" i="48"/>
  <c r="Q66" i="48"/>
  <c r="H14" i="45" a="1"/>
  <c r="H14" i="45" s="1"/>
  <c r="H19" i="9"/>
  <c r="L13" i="9"/>
  <c r="L6" i="45" a="1"/>
  <c r="L6" i="45" s="1"/>
  <c r="E32" i="9"/>
  <c r="G22" i="28"/>
  <c r="G27" i="27"/>
  <c r="G29" i="27" s="1"/>
  <c r="G31" i="27" s="1"/>
  <c r="E52" i="9"/>
  <c r="E54" i="9" s="1"/>
  <c r="E41" i="9"/>
  <c r="E42" i="9" s="1"/>
  <c r="E39" i="9"/>
  <c r="F32" i="9"/>
  <c r="H22" i="28"/>
  <c r="H27" i="27"/>
  <c r="H29" i="27" s="1"/>
  <c r="H31" i="27" s="1"/>
  <c r="F41" i="9"/>
  <c r="F42" i="9" s="1"/>
  <c r="F39" i="9"/>
  <c r="F52" i="9"/>
  <c r="F54" i="9" s="1"/>
  <c r="K51" i="45"/>
  <c r="E29" i="45"/>
  <c r="E37" i="45"/>
  <c r="E50" i="45"/>
  <c r="E52" i="45" s="1"/>
  <c r="E39" i="45"/>
  <c r="E40" i="45" s="1"/>
  <c r="F29" i="45"/>
  <c r="F37" i="45"/>
  <c r="F50" i="45"/>
  <c r="F52" i="45" s="1"/>
  <c r="F39" i="45"/>
  <c r="F40" i="45" s="1"/>
  <c r="J51" i="45"/>
  <c r="S10" i="48"/>
  <c r="T6" i="48"/>
  <c r="P16" i="48" l="1"/>
  <c r="O23" i="9" s="1"/>
  <c r="O24" i="9" s="1"/>
  <c r="N44" i="9"/>
  <c r="N20" i="45" a="1"/>
  <c r="N20" i="45" s="1"/>
  <c r="N42" i="45" s="1"/>
  <c r="P9" i="28"/>
  <c r="P10" i="27" s="1"/>
  <c r="N46" i="9"/>
  <c r="L20" i="28"/>
  <c r="F41" i="45"/>
  <c r="F43" i="45" s="1"/>
  <c r="F43" i="9"/>
  <c r="F45" i="9" s="1"/>
  <c r="F47" i="9" s="1"/>
  <c r="F48" i="9" s="1"/>
  <c r="M13" i="9"/>
  <c r="M6" i="45" a="1"/>
  <c r="M6" i="45" s="1"/>
  <c r="S20" i="48"/>
  <c r="R11" i="48"/>
  <c r="K48" i="45"/>
  <c r="K38" i="45"/>
  <c r="G39" i="9"/>
  <c r="G32" i="9"/>
  <c r="G41" i="9"/>
  <c r="G42" i="9" s="1"/>
  <c r="I22" i="28"/>
  <c r="G52" i="9"/>
  <c r="G54" i="9" s="1"/>
  <c r="I27" i="27"/>
  <c r="I29" i="27" s="1"/>
  <c r="I31" i="27" s="1"/>
  <c r="Q12" i="48"/>
  <c r="R64" i="48"/>
  <c r="H24" i="28"/>
  <c r="H26" i="28"/>
  <c r="H28" i="28" s="1"/>
  <c r="H18" i="45" a="1"/>
  <c r="H18" i="45" s="1"/>
  <c r="H23" i="45" s="1"/>
  <c r="H25" i="45" s="1"/>
  <c r="H26" i="9"/>
  <c r="H28" i="9" s="1"/>
  <c r="M21" i="45" a="1"/>
  <c r="M21" i="45" s="1"/>
  <c r="M53" i="9"/>
  <c r="G29" i="45"/>
  <c r="G50" i="45"/>
  <c r="G52" i="45" s="1"/>
  <c r="G39" i="45"/>
  <c r="G40" i="45" s="1"/>
  <c r="G37" i="45"/>
  <c r="N6" i="28"/>
  <c r="N11" i="28" s="1"/>
  <c r="N16" i="28" s="1"/>
  <c r="N6" i="27"/>
  <c r="L50" i="9"/>
  <c r="L12" i="45" a="1"/>
  <c r="L12" i="45" s="1"/>
  <c r="L40" i="9"/>
  <c r="L51" i="45"/>
  <c r="G24" i="28"/>
  <c r="G26" i="28"/>
  <c r="G28" i="28" s="1"/>
  <c r="M44" i="45"/>
  <c r="M42" i="45"/>
  <c r="T10" i="48"/>
  <c r="U6" i="48"/>
  <c r="E41" i="45"/>
  <c r="E43" i="45" s="1"/>
  <c r="E43" i="9"/>
  <c r="E45" i="9" s="1"/>
  <c r="E47" i="9" s="1"/>
  <c r="E48" i="9" s="1"/>
  <c r="R66" i="48"/>
  <c r="Q13" i="48"/>
  <c r="I14" i="45" a="1"/>
  <c r="I14" i="45" s="1"/>
  <c r="I19" i="9"/>
  <c r="M20" i="28"/>
  <c r="N21" i="45" a="1"/>
  <c r="N21" i="45" s="1"/>
  <c r="N53" i="9"/>
  <c r="J48" i="45"/>
  <c r="J38" i="45"/>
  <c r="P11" i="28"/>
  <c r="P16" i="28" s="1"/>
  <c r="E45" i="45" l="1"/>
  <c r="E46" i="45" s="1"/>
  <c r="F45" i="45"/>
  <c r="F46" i="45" s="1"/>
  <c r="O20" i="45" a="1"/>
  <c r="O20" i="45" s="1"/>
  <c r="O42" i="45" s="1"/>
  <c r="O44" i="9"/>
  <c r="O46" i="9"/>
  <c r="Q9" i="28"/>
  <c r="Q10" i="27" s="1"/>
  <c r="G41" i="45"/>
  <c r="G43" i="45" s="1"/>
  <c r="Q16" i="48"/>
  <c r="P23" i="9" s="1"/>
  <c r="R9" i="28" s="1"/>
  <c r="N44" i="45"/>
  <c r="N51" i="45"/>
  <c r="L48" i="45"/>
  <c r="L38" i="45"/>
  <c r="H41" i="9"/>
  <c r="H42" i="9" s="1"/>
  <c r="H39" i="9"/>
  <c r="H32" i="9"/>
  <c r="H52" i="9"/>
  <c r="H54" i="9"/>
  <c r="J27" i="27"/>
  <c r="J29" i="27" s="1"/>
  <c r="J31" i="27" s="1"/>
  <c r="J22" i="28"/>
  <c r="G43" i="9"/>
  <c r="G45" i="9" s="1"/>
  <c r="G47" i="9" s="1"/>
  <c r="G48" i="9" s="1"/>
  <c r="M51" i="45"/>
  <c r="H29" i="45"/>
  <c r="H50" i="45"/>
  <c r="H52" i="45" s="1"/>
  <c r="H37" i="45"/>
  <c r="H39" i="45"/>
  <c r="H40" i="45" s="1"/>
  <c r="J15" i="9"/>
  <c r="L8" i="27"/>
  <c r="L12" i="27" s="1"/>
  <c r="L17" i="27" s="1"/>
  <c r="L21" i="27" s="1"/>
  <c r="L25" i="27" s="1"/>
  <c r="J17" i="9" s="1"/>
  <c r="J16" i="45" s="1" a="1"/>
  <c r="J16" i="45" s="1"/>
  <c r="U10" i="48"/>
  <c r="V6" i="48"/>
  <c r="N20" i="28"/>
  <c r="K15" i="9"/>
  <c r="M8" i="27"/>
  <c r="M12" i="27" s="1"/>
  <c r="M17" i="27" s="1"/>
  <c r="M21" i="27" s="1"/>
  <c r="M25" i="27" s="1"/>
  <c r="K17" i="9" s="1"/>
  <c r="K16" i="45" s="1" a="1"/>
  <c r="K16" i="45" s="1"/>
  <c r="P24" i="9"/>
  <c r="P46" i="9"/>
  <c r="O6" i="28"/>
  <c r="O11" i="28" s="1"/>
  <c r="O16" i="28" s="1"/>
  <c r="M50" i="9"/>
  <c r="M40" i="9"/>
  <c r="O6" i="27"/>
  <c r="M12" i="45" a="1"/>
  <c r="M12" i="45" s="1"/>
  <c r="P20" i="28"/>
  <c r="I24" i="28"/>
  <c r="I26" i="28"/>
  <c r="I28" i="28" s="1"/>
  <c r="I18" i="45" a="1"/>
  <c r="I18" i="45" s="1"/>
  <c r="I23" i="45" s="1"/>
  <c r="I25" i="45" s="1"/>
  <c r="I26" i="9"/>
  <c r="I28" i="9" s="1"/>
  <c r="R12" i="48"/>
  <c r="S64" i="48"/>
  <c r="S66" i="48"/>
  <c r="R13" i="48"/>
  <c r="T20" i="48"/>
  <c r="S11" i="48"/>
  <c r="O21" i="45" a="1"/>
  <c r="O21" i="45" s="1"/>
  <c r="O53" i="9"/>
  <c r="G45" i="45" l="1"/>
  <c r="G46" i="45" s="1"/>
  <c r="O44" i="45"/>
  <c r="P44" i="9"/>
  <c r="P20" i="45" a="1"/>
  <c r="P20" i="45" s="1"/>
  <c r="Q11" i="28"/>
  <c r="Q16" i="28" s="1"/>
  <c r="Q20" i="28" s="1"/>
  <c r="R16" i="48"/>
  <c r="Q23" i="9" s="1"/>
  <c r="Q44" i="9" s="1"/>
  <c r="H43" i="9"/>
  <c r="H45" i="9" s="1"/>
  <c r="H47" i="9" s="1"/>
  <c r="H48" i="9" s="1"/>
  <c r="J14" i="45" a="1"/>
  <c r="J14" i="45" s="1"/>
  <c r="J19" i="9"/>
  <c r="T66" i="48"/>
  <c r="S13" i="48"/>
  <c r="H41" i="45"/>
  <c r="H43" i="45" s="1"/>
  <c r="R10" i="27"/>
  <c r="R11" i="28"/>
  <c r="R16" i="28" s="1"/>
  <c r="P44" i="45"/>
  <c r="P42" i="45"/>
  <c r="P21" i="45" a="1"/>
  <c r="P21" i="45" s="1"/>
  <c r="P53" i="9"/>
  <c r="M48" i="45"/>
  <c r="M38" i="45"/>
  <c r="S9" i="28"/>
  <c r="Q24" i="9"/>
  <c r="N15" i="9"/>
  <c r="P8" i="27"/>
  <c r="P12" i="27" s="1"/>
  <c r="P17" i="27" s="1"/>
  <c r="P21" i="27" s="1"/>
  <c r="P25" i="27" s="1"/>
  <c r="N17" i="9" s="1"/>
  <c r="N16" i="45" s="1" a="1"/>
  <c r="N16" i="45" s="1"/>
  <c r="K14" i="45" a="1"/>
  <c r="K14" i="45" s="1"/>
  <c r="K19" i="9"/>
  <c r="S12" i="48"/>
  <c r="T64" i="48"/>
  <c r="L15" i="9"/>
  <c r="N8" i="27"/>
  <c r="N12" i="27" s="1"/>
  <c r="N17" i="27" s="1"/>
  <c r="N21" i="27" s="1"/>
  <c r="N25" i="27" s="1"/>
  <c r="L17" i="9" s="1"/>
  <c r="L16" i="45" s="1" a="1"/>
  <c r="L16" i="45" s="1"/>
  <c r="O20" i="28"/>
  <c r="O51" i="45"/>
  <c r="V10" i="48"/>
  <c r="W6" i="48"/>
  <c r="T11" i="48"/>
  <c r="U20" i="48"/>
  <c r="I32" i="9"/>
  <c r="I52" i="9"/>
  <c r="I54" i="9" s="1"/>
  <c r="K22" i="28"/>
  <c r="I41" i="9"/>
  <c r="I42" i="9" s="1"/>
  <c r="K27" i="27"/>
  <c r="K29" i="27" s="1"/>
  <c r="K31" i="27" s="1"/>
  <c r="I39" i="9"/>
  <c r="I29" i="45"/>
  <c r="I50" i="45"/>
  <c r="I52" i="45" s="1"/>
  <c r="I39" i="45"/>
  <c r="I40" i="45" s="1"/>
  <c r="I37" i="45"/>
  <c r="J24" i="28"/>
  <c r="J26" i="28"/>
  <c r="J28" i="28" s="1"/>
  <c r="Q46" i="9" l="1"/>
  <c r="Q20" i="45" a="1"/>
  <c r="Q20" i="45" s="1"/>
  <c r="H45" i="45"/>
  <c r="H46" i="45" s="1"/>
  <c r="I43" i="9"/>
  <c r="I45" i="9" s="1"/>
  <c r="I47" i="9" s="1"/>
  <c r="I48" i="9" s="1"/>
  <c r="I41" i="45"/>
  <c r="I43" i="45" s="1"/>
  <c r="S16" i="48"/>
  <c r="R23" i="9" s="1"/>
  <c r="T9" i="28" s="1"/>
  <c r="P51" i="45"/>
  <c r="Q44" i="45"/>
  <c r="Q42" i="45"/>
  <c r="L14" i="45" a="1"/>
  <c r="L14" i="45" s="1"/>
  <c r="L19" i="9"/>
  <c r="M15" i="9"/>
  <c r="O8" i="27"/>
  <c r="O12" i="27" s="1"/>
  <c r="O17" i="27" s="1"/>
  <c r="O21" i="27" s="1"/>
  <c r="O25" i="27" s="1"/>
  <c r="M17" i="9" s="1"/>
  <c r="M16" i="45" s="1" a="1"/>
  <c r="M16" i="45" s="1"/>
  <c r="N14" i="45" a="1"/>
  <c r="N14" i="45" s="1"/>
  <c r="N19" i="9"/>
  <c r="U11" i="48"/>
  <c r="V20" i="48"/>
  <c r="S10" i="27"/>
  <c r="S11" i="28"/>
  <c r="S16" i="28" s="1"/>
  <c r="O15" i="9"/>
  <c r="Q8" i="27"/>
  <c r="Q12" i="27" s="1"/>
  <c r="Q17" i="27" s="1"/>
  <c r="Q21" i="27" s="1"/>
  <c r="Q25" i="27" s="1"/>
  <c r="O17" i="9" s="1"/>
  <c r="O16" i="45" s="1" a="1"/>
  <c r="O16" i="45" s="1"/>
  <c r="K24" i="28"/>
  <c r="K26" i="28"/>
  <c r="K28" i="28" s="1"/>
  <c r="W10" i="48"/>
  <c r="X6" i="48"/>
  <c r="U66" i="48"/>
  <c r="T13" i="48"/>
  <c r="U64" i="48"/>
  <c r="T12" i="48"/>
  <c r="J18" i="45" a="1"/>
  <c r="J18" i="45" s="1"/>
  <c r="J23" i="45" s="1"/>
  <c r="J25" i="45" s="1"/>
  <c r="J26" i="9"/>
  <c r="J28" i="9" s="1"/>
  <c r="R20" i="28"/>
  <c r="Q21" i="45" a="1"/>
  <c r="Q21" i="45" s="1"/>
  <c r="Q53" i="9"/>
  <c r="K18" i="45" a="1"/>
  <c r="K18" i="45" s="1"/>
  <c r="K23" i="45" s="1"/>
  <c r="K25" i="45" s="1"/>
  <c r="K26" i="9"/>
  <c r="K28" i="9" s="1"/>
  <c r="I45" i="45" l="1"/>
  <c r="I46" i="45" s="1"/>
  <c r="T16" i="48"/>
  <c r="S23" i="9" s="1"/>
  <c r="S20" i="45" s="1" a="1"/>
  <c r="S20" i="45" s="1"/>
  <c r="R46" i="9"/>
  <c r="R20" i="45" a="1"/>
  <c r="R20" i="45" s="1"/>
  <c r="R42" i="45" s="1"/>
  <c r="R44" i="9"/>
  <c r="R24" i="9"/>
  <c r="R21" i="45" s="1" a="1"/>
  <c r="R21" i="45" s="1"/>
  <c r="J32" i="9"/>
  <c r="J52" i="9"/>
  <c r="J54" i="9" s="1"/>
  <c r="J41" i="9"/>
  <c r="J42" i="9" s="1"/>
  <c r="L27" i="27"/>
  <c r="L29" i="27" s="1"/>
  <c r="L31" i="27" s="1"/>
  <c r="J39" i="9"/>
  <c r="L22" i="28"/>
  <c r="L18" i="45" a="1"/>
  <c r="L18" i="45" s="1"/>
  <c r="L23" i="45" s="1"/>
  <c r="L25" i="45" s="1"/>
  <c r="L26" i="9"/>
  <c r="L28" i="9" s="1"/>
  <c r="J29" i="45"/>
  <c r="J39" i="45"/>
  <c r="J40" i="45" s="1"/>
  <c r="J50" i="45"/>
  <c r="J52" i="45" s="1"/>
  <c r="J37" i="45"/>
  <c r="S20" i="28"/>
  <c r="S24" i="9"/>
  <c r="U9" i="28"/>
  <c r="S44" i="9"/>
  <c r="S46" i="9"/>
  <c r="O14" i="45" a="1"/>
  <c r="O14" i="45" s="1"/>
  <c r="O19" i="9"/>
  <c r="U12" i="48"/>
  <c r="V64" i="48"/>
  <c r="M22" i="28"/>
  <c r="K39" i="9"/>
  <c r="K32" i="9"/>
  <c r="M27" i="27"/>
  <c r="M29" i="27" s="1"/>
  <c r="M31" i="27" s="1"/>
  <c r="K52" i="9"/>
  <c r="K54" i="9" s="1"/>
  <c r="K41" i="9"/>
  <c r="K42" i="9" s="1"/>
  <c r="K29" i="45"/>
  <c r="K39" i="45"/>
  <c r="K40" i="45" s="1"/>
  <c r="K37" i="45"/>
  <c r="K50" i="45"/>
  <c r="K52" i="45" s="1"/>
  <c r="V11" i="48"/>
  <c r="W20" i="48"/>
  <c r="R8" i="27"/>
  <c r="R12" i="27" s="1"/>
  <c r="R17" i="27" s="1"/>
  <c r="R21" i="27" s="1"/>
  <c r="R25" i="27" s="1"/>
  <c r="P17" i="9" s="1"/>
  <c r="P16" i="45" s="1" a="1"/>
  <c r="P16" i="45" s="1"/>
  <c r="P15" i="9"/>
  <c r="X10" i="48"/>
  <c r="Y6" i="48"/>
  <c r="N18" i="45" a="1"/>
  <c r="N18" i="45" s="1"/>
  <c r="N23" i="45" s="1"/>
  <c r="N25" i="45" s="1"/>
  <c r="N26" i="9"/>
  <c r="N28" i="9" s="1"/>
  <c r="M14" i="45" a="1"/>
  <c r="M14" i="45" s="1"/>
  <c r="M19" i="9"/>
  <c r="V66" i="48"/>
  <c r="U13" i="48"/>
  <c r="Q51" i="45"/>
  <c r="T10" i="27"/>
  <c r="T11" i="28"/>
  <c r="T16" i="28" s="1"/>
  <c r="R53" i="9" l="1"/>
  <c r="R44" i="45"/>
  <c r="K43" i="9"/>
  <c r="K45" i="9" s="1"/>
  <c r="K47" i="9" s="1"/>
  <c r="K48" i="9" s="1"/>
  <c r="K41" i="45"/>
  <c r="K43" i="45" s="1"/>
  <c r="U16" i="48"/>
  <c r="T23" i="9" s="1"/>
  <c r="T20" i="45" s="1" a="1"/>
  <c r="T20" i="45" s="1"/>
  <c r="T46" i="9"/>
  <c r="O18" i="45" a="1"/>
  <c r="O18" i="45" s="1"/>
  <c r="O23" i="45" s="1"/>
  <c r="O25" i="45" s="1"/>
  <c r="O26" i="9"/>
  <c r="O28" i="9" s="1"/>
  <c r="N32" i="9"/>
  <c r="N52" i="9"/>
  <c r="N54" i="9" s="1"/>
  <c r="N41" i="9"/>
  <c r="N42" i="9" s="1"/>
  <c r="P22" i="28"/>
  <c r="P27" i="27"/>
  <c r="P29" i="27" s="1"/>
  <c r="P31" i="27" s="1"/>
  <c r="N39" i="9"/>
  <c r="N29" i="45"/>
  <c r="N50" i="45"/>
  <c r="N52" i="45" s="1"/>
  <c r="N37" i="45"/>
  <c r="N39" i="45"/>
  <c r="N40" i="45" s="1"/>
  <c r="L32" i="9"/>
  <c r="L41" i="9"/>
  <c r="L42" i="9" s="1"/>
  <c r="L52" i="9"/>
  <c r="L54" i="9" s="1"/>
  <c r="N27" i="27"/>
  <c r="N29" i="27" s="1"/>
  <c r="N31" i="27" s="1"/>
  <c r="N22" i="28"/>
  <c r="L39" i="9"/>
  <c r="S44" i="45"/>
  <c r="S42" i="45"/>
  <c r="L29" i="45"/>
  <c r="L39" i="45"/>
  <c r="L40" i="45" s="1"/>
  <c r="L37" i="45"/>
  <c r="L50" i="45"/>
  <c r="L52" i="45" s="1"/>
  <c r="X20" i="48"/>
  <c r="W11" i="48"/>
  <c r="T20" i="28"/>
  <c r="Z6" i="48"/>
  <c r="Y10" i="48"/>
  <c r="B32" i="45"/>
  <c r="B33" i="45"/>
  <c r="R51" i="45"/>
  <c r="L24" i="28"/>
  <c r="L26" i="28"/>
  <c r="L28" i="28" s="1"/>
  <c r="U10" i="27"/>
  <c r="U11" i="28"/>
  <c r="U16" i="28" s="1"/>
  <c r="J43" i="9"/>
  <c r="J45" i="9" s="1"/>
  <c r="J47" i="9" s="1"/>
  <c r="J48" i="9" s="1"/>
  <c r="P14" i="45" a="1"/>
  <c r="P14" i="45" s="1"/>
  <c r="P19" i="9"/>
  <c r="S21" i="45" a="1"/>
  <c r="S21" i="45" s="1"/>
  <c r="S53" i="9"/>
  <c r="B35" i="9"/>
  <c r="B34" i="9"/>
  <c r="Q15" i="9"/>
  <c r="S8" i="27"/>
  <c r="S12" i="27" s="1"/>
  <c r="S17" i="27" s="1"/>
  <c r="S21" i="27" s="1"/>
  <c r="S25" i="27" s="1"/>
  <c r="Q17" i="9" s="1"/>
  <c r="Q16" i="45" s="1" a="1"/>
  <c r="Q16" i="45" s="1"/>
  <c r="W66" i="48"/>
  <c r="V13" i="48"/>
  <c r="M24" i="28"/>
  <c r="M26" i="28"/>
  <c r="M28" i="28" s="1"/>
  <c r="J41" i="45"/>
  <c r="J43" i="45" s="1"/>
  <c r="M18" i="45" a="1"/>
  <c r="M18" i="45" s="1"/>
  <c r="M23" i="45" s="1"/>
  <c r="M25" i="45" s="1"/>
  <c r="M26" i="9"/>
  <c r="M28" i="9" s="1"/>
  <c r="W64" i="48"/>
  <c r="V12" i="48"/>
  <c r="J45" i="45" l="1"/>
  <c r="J46" i="45" s="1"/>
  <c r="V16" i="48"/>
  <c r="U23" i="9" s="1"/>
  <c r="U24" i="9" s="1"/>
  <c r="K45" i="45"/>
  <c r="K46" i="45" s="1"/>
  <c r="T44" i="9"/>
  <c r="T24" i="9"/>
  <c r="T21" i="45" s="1" a="1"/>
  <c r="T21" i="45" s="1"/>
  <c r="V9" i="28"/>
  <c r="V11" i="28" s="1"/>
  <c r="V16" i="28" s="1"/>
  <c r="N43" i="9"/>
  <c r="N45" i="9" s="1"/>
  <c r="N47" i="9" s="1"/>
  <c r="N48" i="9" s="1"/>
  <c r="N41" i="45"/>
  <c r="N43" i="45" s="1"/>
  <c r="L43" i="9"/>
  <c r="L45" i="9" s="1"/>
  <c r="L47" i="9" s="1"/>
  <c r="L48" i="9" s="1"/>
  <c r="W9" i="28"/>
  <c r="U44" i="9"/>
  <c r="U46" i="9"/>
  <c r="X11" i="48"/>
  <c r="Y20" i="48"/>
  <c r="Q19" i="9"/>
  <c r="Q14" i="45" a="1"/>
  <c r="Q14" i="45" s="1"/>
  <c r="U20" i="28"/>
  <c r="W12" i="48"/>
  <c r="X64" i="48"/>
  <c r="L41" i="45"/>
  <c r="L43" i="45" s="1"/>
  <c r="O39" i="9"/>
  <c r="O41" i="9"/>
  <c r="O42" i="9" s="1"/>
  <c r="Q27" i="27"/>
  <c r="Q29" i="27" s="1"/>
  <c r="Q31" i="27" s="1"/>
  <c r="O32" i="9"/>
  <c r="O52" i="9"/>
  <c r="O54" i="9" s="1"/>
  <c r="Q22" i="28"/>
  <c r="R15" i="9"/>
  <c r="T8" i="27"/>
  <c r="T12" i="27" s="1"/>
  <c r="T17" i="27" s="1"/>
  <c r="T21" i="27" s="1"/>
  <c r="T25" i="27" s="1"/>
  <c r="R17" i="9" s="1"/>
  <c r="R16" i="45" s="1" a="1"/>
  <c r="R16" i="45" s="1"/>
  <c r="O27" i="27"/>
  <c r="O29" i="27" s="1"/>
  <c r="O31" i="27" s="1"/>
  <c r="M32" i="9"/>
  <c r="M41" i="9"/>
  <c r="M42" i="9" s="1"/>
  <c r="M52" i="9"/>
  <c r="M54" i="9" s="1"/>
  <c r="M39" i="9"/>
  <c r="O22" i="28"/>
  <c r="O29" i="45"/>
  <c r="O50" i="45"/>
  <c r="O52" i="45" s="1"/>
  <c r="O39" i="45"/>
  <c r="O40" i="45" s="1"/>
  <c r="O37" i="45"/>
  <c r="M29" i="45"/>
  <c r="M50" i="45"/>
  <c r="M52" i="45" s="1"/>
  <c r="M39" i="45"/>
  <c r="M40" i="45" s="1"/>
  <c r="M37" i="45"/>
  <c r="S51" i="45"/>
  <c r="N24" i="28"/>
  <c r="N26" i="28"/>
  <c r="N28" i="28" s="1"/>
  <c r="P24" i="28"/>
  <c r="P26" i="28"/>
  <c r="P28" i="28" s="1"/>
  <c r="W13" i="48"/>
  <c r="X66" i="48"/>
  <c r="P18" i="45" a="1"/>
  <c r="P18" i="45" s="1"/>
  <c r="P23" i="45" s="1"/>
  <c r="P25" i="45" s="1"/>
  <c r="P26" i="9"/>
  <c r="P28" i="9" s="1"/>
  <c r="T42" i="45"/>
  <c r="T44" i="45"/>
  <c r="Z10" i="48"/>
  <c r="AA6" i="48"/>
  <c r="AA10" i="48" s="1"/>
  <c r="V10" i="27"/>
  <c r="L45" i="45" l="1"/>
  <c r="L46" i="45" s="1"/>
  <c r="N45" i="45"/>
  <c r="N46" i="45" s="1"/>
  <c r="U20" i="45" a="1"/>
  <c r="U20" i="45" s="1"/>
  <c r="U42" i="45" s="1"/>
  <c r="T53" i="9"/>
  <c r="O41" i="45"/>
  <c r="O43" i="45" s="1"/>
  <c r="M43" i="9"/>
  <c r="M45" i="9" s="1"/>
  <c r="M47" i="9" s="1"/>
  <c r="M48" i="9" s="1"/>
  <c r="W16" i="48"/>
  <c r="V23" i="9" s="1"/>
  <c r="X9" i="28" s="1"/>
  <c r="R14" i="45" a="1"/>
  <c r="R14" i="45" s="1"/>
  <c r="R19" i="9"/>
  <c r="S15" i="9"/>
  <c r="U8" i="27"/>
  <c r="U12" i="27" s="1"/>
  <c r="U17" i="27" s="1"/>
  <c r="U21" i="27" s="1"/>
  <c r="U25" i="27" s="1"/>
  <c r="S17" i="9" s="1"/>
  <c r="S16" i="45" s="1" a="1"/>
  <c r="S16" i="45" s="1"/>
  <c r="Q24" i="28"/>
  <c r="Q26" i="28"/>
  <c r="Q28" i="28" s="1"/>
  <c r="Q18" i="45" a="1"/>
  <c r="Q18" i="45" s="1"/>
  <c r="Q23" i="45" s="1"/>
  <c r="Q25" i="45" s="1"/>
  <c r="Q26" i="9"/>
  <c r="Q28" i="9" s="1"/>
  <c r="V20" i="28"/>
  <c r="Z20" i="48"/>
  <c r="Y11" i="48"/>
  <c r="T51" i="45"/>
  <c r="O24" i="28"/>
  <c r="O26" i="28"/>
  <c r="O28" i="28" s="1"/>
  <c r="P29" i="45"/>
  <c r="P50" i="45"/>
  <c r="P52" i="45" s="1"/>
  <c r="P37" i="45"/>
  <c r="P39" i="45"/>
  <c r="P40" i="45" s="1"/>
  <c r="X13" i="48"/>
  <c r="Y66" i="48"/>
  <c r="M41" i="45"/>
  <c r="M43" i="45" s="1"/>
  <c r="O43" i="9"/>
  <c r="O45" i="9" s="1"/>
  <c r="O47" i="9" s="1"/>
  <c r="O48" i="9" s="1"/>
  <c r="P32" i="9"/>
  <c r="P52" i="9"/>
  <c r="P54" i="9" s="1"/>
  <c r="R22" i="28"/>
  <c r="P41" i="9"/>
  <c r="P42" i="9" s="1"/>
  <c r="R27" i="27"/>
  <c r="R29" i="27" s="1"/>
  <c r="R31" i="27" s="1"/>
  <c r="P39" i="9"/>
  <c r="Y64" i="48"/>
  <c r="X12" i="48"/>
  <c r="X16" i="48" s="1"/>
  <c r="W23" i="9" s="1"/>
  <c r="U21" i="45" a="1"/>
  <c r="U21" i="45" s="1"/>
  <c r="U53" i="9"/>
  <c r="W10" i="27"/>
  <c r="W11" i="28"/>
  <c r="W16" i="28" s="1"/>
  <c r="O45" i="45" l="1"/>
  <c r="O46" i="45" s="1"/>
  <c r="M45" i="45"/>
  <c r="M46" i="45" s="1"/>
  <c r="U44" i="45"/>
  <c r="V20" i="45" a="1"/>
  <c r="V20" i="45" s="1"/>
  <c r="V42" i="45" s="1"/>
  <c r="V44" i="9"/>
  <c r="V46" i="9"/>
  <c r="V24" i="9"/>
  <c r="V21" i="45" s="1" a="1"/>
  <c r="V21" i="45" s="1"/>
  <c r="P43" i="9"/>
  <c r="P45" i="9" s="1"/>
  <c r="P47" i="9" s="1"/>
  <c r="P48" i="9" s="1"/>
  <c r="P41" i="45"/>
  <c r="P43" i="45" s="1"/>
  <c r="W24" i="9"/>
  <c r="Y9" i="28"/>
  <c r="W20" i="45" a="1"/>
  <c r="W20" i="45" s="1"/>
  <c r="W44" i="9"/>
  <c r="W46" i="9"/>
  <c r="Q29" i="45"/>
  <c r="Q39" i="45"/>
  <c r="Q40" i="45" s="1"/>
  <c r="Q50" i="45"/>
  <c r="Q52" i="45" s="1"/>
  <c r="Q37" i="45"/>
  <c r="Q41" i="45" s="1"/>
  <c r="Q43" i="45" s="1"/>
  <c r="U51" i="45"/>
  <c r="R24" i="28"/>
  <c r="R26" i="28"/>
  <c r="R28" i="28" s="1"/>
  <c r="S14" i="45" a="1"/>
  <c r="S14" i="45" s="1"/>
  <c r="S19" i="9"/>
  <c r="Y12" i="48"/>
  <c r="Z64" i="48"/>
  <c r="Z66" i="48"/>
  <c r="Y13" i="48"/>
  <c r="R18" i="45" a="1"/>
  <c r="R18" i="45" s="1"/>
  <c r="R23" i="45" s="1"/>
  <c r="R25" i="45" s="1"/>
  <c r="R26" i="9"/>
  <c r="R28" i="9" s="1"/>
  <c r="W20" i="28"/>
  <c r="V44" i="45"/>
  <c r="AA20" i="48"/>
  <c r="AA11" i="48" s="1"/>
  <c r="Z11" i="48"/>
  <c r="V8" i="27"/>
  <c r="V12" i="27" s="1"/>
  <c r="V17" i="27" s="1"/>
  <c r="V21" i="27" s="1"/>
  <c r="V25" i="27" s="1"/>
  <c r="T17" i="9" s="1"/>
  <c r="T16" i="45" s="1" a="1"/>
  <c r="T16" i="45" s="1"/>
  <c r="T15" i="9"/>
  <c r="Q32" i="9"/>
  <c r="Q41" i="9"/>
  <c r="Q42" i="9" s="1"/>
  <c r="S22" i="28"/>
  <c r="Q39" i="9"/>
  <c r="Q52" i="9"/>
  <c r="Q54" i="9" s="1"/>
  <c r="S27" i="27"/>
  <c r="S29" i="27" s="1"/>
  <c r="S31" i="27" s="1"/>
  <c r="X10" i="27"/>
  <c r="X11" i="28"/>
  <c r="X16" i="28" s="1"/>
  <c r="P45" i="45" l="1"/>
  <c r="P46" i="45" s="1"/>
  <c r="Q45" i="45"/>
  <c r="Q46" i="45" s="1"/>
  <c r="V53" i="9"/>
  <c r="Y16" i="48"/>
  <c r="X23" i="9" s="1"/>
  <c r="X24" i="9" s="1"/>
  <c r="U15" i="9"/>
  <c r="W8" i="27"/>
  <c r="W12" i="27" s="1"/>
  <c r="W17" i="27" s="1"/>
  <c r="W21" i="27" s="1"/>
  <c r="W25" i="27" s="1"/>
  <c r="U17" i="9" s="1"/>
  <c r="U16" i="45" s="1" a="1"/>
  <c r="U16" i="45" s="1"/>
  <c r="S18" i="45" a="1"/>
  <c r="S18" i="45" s="1"/>
  <c r="S23" i="45" s="1"/>
  <c r="S25" i="45" s="1"/>
  <c r="S26" i="9"/>
  <c r="S28" i="9" s="1"/>
  <c r="R29" i="45"/>
  <c r="R37" i="45"/>
  <c r="R50" i="45"/>
  <c r="R52" i="45" s="1"/>
  <c r="R39" i="45"/>
  <c r="R40" i="45" s="1"/>
  <c r="S24" i="28"/>
  <c r="S26" i="28"/>
  <c r="S28" i="28" s="1"/>
  <c r="R32" i="9"/>
  <c r="R41" i="9"/>
  <c r="R42" i="9" s="1"/>
  <c r="R52" i="9"/>
  <c r="R54" i="9" s="1"/>
  <c r="T22" i="28"/>
  <c r="T27" i="27"/>
  <c r="T29" i="27" s="1"/>
  <c r="T31" i="27" s="1"/>
  <c r="R39" i="9"/>
  <c r="V51" i="45"/>
  <c r="X20" i="28"/>
  <c r="T14" i="45" a="1"/>
  <c r="T14" i="45" s="1"/>
  <c r="T19" i="9"/>
  <c r="Z13" i="48"/>
  <c r="AA66" i="48"/>
  <c r="AA13" i="48" s="1"/>
  <c r="Z12" i="48"/>
  <c r="AA64" i="48"/>
  <c r="AA12" i="48" s="1"/>
  <c r="W42" i="45"/>
  <c r="W44" i="45"/>
  <c r="Q43" i="9"/>
  <c r="Q45" i="9" s="1"/>
  <c r="Q47" i="9" s="1"/>
  <c r="Q48" i="9" s="1"/>
  <c r="Y10" i="27"/>
  <c r="Y11" i="28"/>
  <c r="Y16" i="28" s="1"/>
  <c r="Z9" i="28"/>
  <c r="W21" i="45" a="1"/>
  <c r="W21" i="45" s="1"/>
  <c r="W53" i="9"/>
  <c r="X44" i="9" l="1"/>
  <c r="X20" i="45" a="1"/>
  <c r="X20" i="45" s="1"/>
  <c r="X46" i="9"/>
  <c r="Z16" i="48"/>
  <c r="Y23" i="9" s="1"/>
  <c r="Y20" i="45" s="1" a="1"/>
  <c r="Y20" i="45" s="1"/>
  <c r="R41" i="45"/>
  <c r="R43" i="45" s="1"/>
  <c r="R43" i="9"/>
  <c r="R45" i="9" s="1"/>
  <c r="R47" i="9" s="1"/>
  <c r="R48" i="9" s="1"/>
  <c r="AA16" i="48"/>
  <c r="Z23" i="9" s="1"/>
  <c r="Z44" i="9" s="1"/>
  <c r="Y20" i="28"/>
  <c r="X44" i="45"/>
  <c r="X42" i="45"/>
  <c r="Z10" i="27"/>
  <c r="Z11" i="28"/>
  <c r="Z16" i="28" s="1"/>
  <c r="V15" i="9"/>
  <c r="X8" i="27"/>
  <c r="X12" i="27" s="1"/>
  <c r="X17" i="27" s="1"/>
  <c r="X21" i="27" s="1"/>
  <c r="X25" i="27" s="1"/>
  <c r="V17" i="9" s="1"/>
  <c r="V16" i="45" s="1" a="1"/>
  <c r="V16" i="45" s="1"/>
  <c r="W51" i="45"/>
  <c r="T24" i="28"/>
  <c r="T26" i="28"/>
  <c r="T28" i="28" s="1"/>
  <c r="S32" i="9"/>
  <c r="S39" i="9"/>
  <c r="S52" i="9"/>
  <c r="S54" i="9" s="1"/>
  <c r="S41" i="9"/>
  <c r="S42" i="9" s="1"/>
  <c r="U22" i="28"/>
  <c r="U27" i="27"/>
  <c r="U29" i="27" s="1"/>
  <c r="U31" i="27" s="1"/>
  <c r="S29" i="45"/>
  <c r="S39" i="45"/>
  <c r="S40" i="45" s="1"/>
  <c r="S50" i="45"/>
  <c r="S52" i="45" s="1"/>
  <c r="S37" i="45"/>
  <c r="S41" i="45" s="1"/>
  <c r="S43" i="45" s="1"/>
  <c r="X21" i="45" a="1"/>
  <c r="X21" i="45" s="1"/>
  <c r="X53" i="9"/>
  <c r="T18" i="45" a="1"/>
  <c r="T18" i="45" s="1"/>
  <c r="T23" i="45" s="1"/>
  <c r="T25" i="45" s="1"/>
  <c r="T26" i="9"/>
  <c r="T28" i="9" s="1"/>
  <c r="U14" i="45" a="1"/>
  <c r="U14" i="45" s="1"/>
  <c r="U19" i="9"/>
  <c r="R45" i="45" l="1"/>
  <c r="R46" i="45" s="1"/>
  <c r="S45" i="45"/>
  <c r="S46" i="45" s="1"/>
  <c r="Y46" i="9"/>
  <c r="Y24" i="9"/>
  <c r="Y21" i="45" s="1" a="1"/>
  <c r="Y21" i="45" s="1"/>
  <c r="Y44" i="9"/>
  <c r="AA9" i="28"/>
  <c r="Z24" i="9"/>
  <c r="Z21" i="45" s="1" a="1"/>
  <c r="Z21" i="45" s="1"/>
  <c r="Z20" i="45" a="1"/>
  <c r="Z20" i="45" s="1"/>
  <c r="Z42" i="45" s="1"/>
  <c r="Z46" i="9"/>
  <c r="AB9" i="28"/>
  <c r="AB10" i="27" s="1"/>
  <c r="S43" i="9"/>
  <c r="S45" i="9" s="1"/>
  <c r="S47" i="9" s="1"/>
  <c r="S48" i="9" s="1"/>
  <c r="Z20" i="28"/>
  <c r="X51" i="45"/>
  <c r="V14" i="45" a="1"/>
  <c r="V14" i="45" s="1"/>
  <c r="V19" i="9"/>
  <c r="W15" i="9"/>
  <c r="Y8" i="27"/>
  <c r="Y12" i="27" s="1"/>
  <c r="Y17" i="27" s="1"/>
  <c r="Y21" i="27" s="1"/>
  <c r="Y25" i="27" s="1"/>
  <c r="W17" i="9" s="1"/>
  <c r="W16" i="45" s="1" a="1"/>
  <c r="W16" i="45" s="1"/>
  <c r="U18" i="45" a="1"/>
  <c r="U18" i="45" s="1"/>
  <c r="U23" i="45" s="1"/>
  <c r="U25" i="45" s="1"/>
  <c r="U26" i="9"/>
  <c r="U28" i="9" s="1"/>
  <c r="AA10" i="27"/>
  <c r="AA11" i="28"/>
  <c r="AA16" i="28" s="1"/>
  <c r="U24" i="28"/>
  <c r="U26" i="28"/>
  <c r="U28" i="28" s="1"/>
  <c r="Y42" i="45"/>
  <c r="Y44" i="45"/>
  <c r="T32" i="9"/>
  <c r="T39" i="9"/>
  <c r="T52" i="9"/>
  <c r="T54" i="9" s="1"/>
  <c r="T41" i="9"/>
  <c r="T42" i="9" s="1"/>
  <c r="V27" i="27"/>
  <c r="V29" i="27" s="1"/>
  <c r="V31" i="27" s="1"/>
  <c r="V22" i="28"/>
  <c r="T29" i="45"/>
  <c r="T50" i="45"/>
  <c r="T52" i="45"/>
  <c r="T39" i="45"/>
  <c r="T40" i="45" s="1"/>
  <c r="T37" i="45"/>
  <c r="Y53" i="9"/>
  <c r="AB11" i="28" l="1"/>
  <c r="AB16" i="28" s="1"/>
  <c r="Z53" i="9"/>
  <c r="Z44" i="45"/>
  <c r="T43" i="9"/>
  <c r="T45" i="9" s="1"/>
  <c r="T47" i="9" s="1"/>
  <c r="T48" i="9" s="1"/>
  <c r="AA20" i="28"/>
  <c r="U32" i="9"/>
  <c r="U41" i="9"/>
  <c r="U42" i="9" s="1"/>
  <c r="U52" i="9"/>
  <c r="U54" i="9"/>
  <c r="U39" i="9"/>
  <c r="U43" i="9" s="1"/>
  <c r="U45" i="9" s="1"/>
  <c r="U47" i="9" s="1"/>
  <c r="U48" i="9" s="1"/>
  <c r="W22" i="28"/>
  <c r="W27" i="27"/>
  <c r="W29" i="27" s="1"/>
  <c r="W31" i="27" s="1"/>
  <c r="U29" i="45"/>
  <c r="U37" i="45"/>
  <c r="U39" i="45"/>
  <c r="U40" i="45" s="1"/>
  <c r="U50" i="45"/>
  <c r="U52" i="45" s="1"/>
  <c r="Z51" i="45"/>
  <c r="W14" i="45" a="1"/>
  <c r="W14" i="45" s="1"/>
  <c r="W19" i="9"/>
  <c r="AB20" i="28"/>
  <c r="V18" i="45" a="1"/>
  <c r="V18" i="45" s="1"/>
  <c r="V23" i="45" s="1"/>
  <c r="V25" i="45" s="1"/>
  <c r="V26" i="9"/>
  <c r="V28" i="9" s="1"/>
  <c r="T41" i="45"/>
  <c r="T43" i="45" s="1"/>
  <c r="Y51" i="45"/>
  <c r="V24" i="28"/>
  <c r="V26" i="28"/>
  <c r="V28" i="28" s="1"/>
  <c r="X15" i="9"/>
  <c r="Z8" i="27"/>
  <c r="Z12" i="27" s="1"/>
  <c r="Z17" i="27" s="1"/>
  <c r="Z21" i="27" s="1"/>
  <c r="Z25" i="27" s="1"/>
  <c r="X17" i="9" s="1"/>
  <c r="X16" i="45" s="1" a="1"/>
  <c r="X16" i="45" s="1"/>
  <c r="T45" i="45" l="1"/>
  <c r="T46" i="45" s="1"/>
  <c r="W24" i="28"/>
  <c r="W26" i="28"/>
  <c r="W28" i="28" s="1"/>
  <c r="V29" i="45"/>
  <c r="V37" i="45"/>
  <c r="V39" i="45"/>
  <c r="V40" i="45" s="1"/>
  <c r="V50" i="45"/>
  <c r="V52" i="45"/>
  <c r="W18" i="45" a="1"/>
  <c r="W18" i="45" s="1"/>
  <c r="W23" i="45" s="1"/>
  <c r="W25" i="45" s="1"/>
  <c r="W26" i="9"/>
  <c r="W28" i="9" s="1"/>
  <c r="V32" i="9"/>
  <c r="V39" i="9"/>
  <c r="X22" i="28"/>
  <c r="V52" i="9"/>
  <c r="V54" i="9" s="1"/>
  <c r="V41" i="9"/>
  <c r="V42" i="9" s="1"/>
  <c r="X27" i="27"/>
  <c r="X29" i="27" s="1"/>
  <c r="X31" i="27" s="1"/>
  <c r="X14" i="45" a="1"/>
  <c r="X14" i="45" s="1"/>
  <c r="X19" i="9"/>
  <c r="U41" i="45"/>
  <c r="U43" i="45" s="1"/>
  <c r="Z15" i="9"/>
  <c r="AB8" i="27"/>
  <c r="AB12" i="27" s="1"/>
  <c r="AB17" i="27" s="1"/>
  <c r="AB21" i="27" s="1"/>
  <c r="AB25" i="27" s="1"/>
  <c r="Z17" i="9" s="1"/>
  <c r="Z16" i="45" s="1" a="1"/>
  <c r="Z16" i="45" s="1"/>
  <c r="Y15" i="9"/>
  <c r="AA8" i="27"/>
  <c r="AA12" i="27" s="1"/>
  <c r="AA17" i="27" s="1"/>
  <c r="AA21" i="27" s="1"/>
  <c r="AA25" i="27" s="1"/>
  <c r="Y17" i="9" s="1"/>
  <c r="Y16" i="45" s="1" a="1"/>
  <c r="Y16" i="45" s="1"/>
  <c r="U45" i="45" l="1"/>
  <c r="U46" i="45" s="1"/>
  <c r="V43" i="9"/>
  <c r="V45" i="9" s="1"/>
  <c r="V47" i="9" s="1"/>
  <c r="V48" i="9" s="1"/>
  <c r="V41" i="45"/>
  <c r="V43" i="45" s="1"/>
  <c r="W29" i="45"/>
  <c r="W39" i="45"/>
  <c r="W40" i="45" s="1"/>
  <c r="W50" i="45"/>
  <c r="W52" i="45" s="1"/>
  <c r="W37" i="45"/>
  <c r="W32" i="9"/>
  <c r="W39" i="9"/>
  <c r="W52" i="9"/>
  <c r="W54" i="9" s="1"/>
  <c r="Y27" i="27"/>
  <c r="Y29" i="27" s="1"/>
  <c r="Y31" i="27" s="1"/>
  <c r="Y22" i="28"/>
  <c r="W41" i="9"/>
  <c r="W42" i="9" s="1"/>
  <c r="X18" i="45" a="1"/>
  <c r="X18" i="45" s="1"/>
  <c r="X23" i="45" s="1"/>
  <c r="X25" i="45" s="1"/>
  <c r="X26" i="9"/>
  <c r="X28" i="9" s="1"/>
  <c r="Z19" i="9"/>
  <c r="Z14" i="45" a="1"/>
  <c r="Z14" i="45" s="1"/>
  <c r="X24" i="28"/>
  <c r="X26" i="28"/>
  <c r="X28" i="28" s="1"/>
  <c r="Y14" i="45" a="1"/>
  <c r="Y14" i="45" s="1"/>
  <c r="Y19" i="9"/>
  <c r="V45" i="45" l="1"/>
  <c r="V46" i="45" s="1"/>
  <c r="W43" i="9"/>
  <c r="W45" i="9" s="1"/>
  <c r="W47" i="9" s="1"/>
  <c r="W48" i="9" s="1"/>
  <c r="Y18" i="45" a="1"/>
  <c r="Y18" i="45" s="1"/>
  <c r="Y23" i="45" s="1"/>
  <c r="Y25" i="45" s="1"/>
  <c r="Y26" i="9"/>
  <c r="Y28" i="9" s="1"/>
  <c r="W41" i="45"/>
  <c r="W43" i="45" s="1"/>
  <c r="Y24" i="28"/>
  <c r="Y26" i="28"/>
  <c r="Y28" i="28" s="1"/>
  <c r="Z18" i="45" a="1"/>
  <c r="Z18" i="45" s="1"/>
  <c r="Z23" i="45" s="1"/>
  <c r="Z25" i="45" s="1"/>
  <c r="Z26" i="9"/>
  <c r="Z28" i="9" s="1"/>
  <c r="X32" i="9"/>
  <c r="X41" i="9"/>
  <c r="X42" i="9" s="1"/>
  <c r="Z22" i="28"/>
  <c r="Z27" i="27"/>
  <c r="Z29" i="27" s="1"/>
  <c r="Z31" i="27" s="1"/>
  <c r="X39" i="9"/>
  <c r="X52" i="9"/>
  <c r="X54" i="9" s="1"/>
  <c r="X29" i="45"/>
  <c r="X50" i="45"/>
  <c r="X52" i="45" s="1"/>
  <c r="X37" i="45"/>
  <c r="X39" i="45"/>
  <c r="X40" i="45" s="1"/>
  <c r="W45" i="45" l="1"/>
  <c r="W46" i="45" s="1"/>
  <c r="Z32" i="9"/>
  <c r="Z52" i="9"/>
  <c r="Z54" i="9" s="1"/>
  <c r="Z39" i="9"/>
  <c r="Z41" i="9"/>
  <c r="Z42" i="9" s="1"/>
  <c r="AB22" i="28"/>
  <c r="AB27" i="27"/>
  <c r="AB29" i="27" s="1"/>
  <c r="AB31" i="27" s="1"/>
  <c r="Z24" i="28"/>
  <c r="Z26" i="28"/>
  <c r="Z28" i="28" s="1"/>
  <c r="Z29" i="45"/>
  <c r="Z50" i="45"/>
  <c r="Z52" i="45" s="1"/>
  <c r="Z37" i="45"/>
  <c r="Z39" i="45"/>
  <c r="Z40" i="45" s="1"/>
  <c r="X41" i="45"/>
  <c r="X43" i="45" s="1"/>
  <c r="Y32" i="9"/>
  <c r="Y52" i="9"/>
  <c r="Y54" i="9" s="1"/>
  <c r="Y41" i="9"/>
  <c r="Y42" i="9" s="1"/>
  <c r="AA22" i="28"/>
  <c r="Y39" i="9"/>
  <c r="AA27" i="27"/>
  <c r="AA29" i="27" s="1"/>
  <c r="AA31" i="27" s="1"/>
  <c r="X43" i="9"/>
  <c r="X45" i="9" s="1"/>
  <c r="X47" i="9" s="1"/>
  <c r="X48" i="9" s="1"/>
  <c r="Y29" i="45"/>
  <c r="Y50" i="45"/>
  <c r="Y52" i="45" s="1"/>
  <c r="Y37" i="45"/>
  <c r="Y39" i="45"/>
  <c r="Y40" i="45" s="1"/>
  <c r="X45" i="45" l="1"/>
  <c r="X46" i="45" s="1"/>
  <c r="Y43" i="9"/>
  <c r="Y45" i="9" s="1"/>
  <c r="Y47" i="9" s="1"/>
  <c r="Y48" i="9" s="1"/>
  <c r="Y41" i="45"/>
  <c r="Y43" i="45" s="1"/>
  <c r="AA24" i="28"/>
  <c r="AA26" i="28"/>
  <c r="AA28" i="28" s="1"/>
  <c r="AB24" i="28"/>
  <c r="AB26" i="28"/>
  <c r="AB28" i="28" s="1"/>
  <c r="Z43" i="9"/>
  <c r="Z45" i="9" s="1"/>
  <c r="Z47" i="9" s="1"/>
  <c r="Z48" i="9" s="1"/>
  <c r="Z41" i="45"/>
  <c r="Z43" i="45" s="1"/>
  <c r="Z45" i="45" l="1"/>
  <c r="Z46" i="45" s="1"/>
  <c r="Y45" i="45"/>
  <c r="Y46" i="4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8" authorId="0" shapeId="0" xr:uid="{C6A97B01-B0DD-449A-913A-02E144F9442F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s207409</author>
  </authors>
  <commentList>
    <comment ref="C9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s207409:</t>
        </r>
        <r>
          <rPr>
            <sz val="9"/>
            <color indexed="81"/>
            <rFont val="Tahoma"/>
            <family val="2"/>
          </rPr>
          <t xml:space="preserve">
Included in the O&amp;M line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<sst xmlns="http://schemas.openxmlformats.org/spreadsheetml/2006/main" count="418" uniqueCount="274">
  <si>
    <t>Rate Base</t>
  </si>
  <si>
    <t>Tax Depreciation Rates =</t>
  </si>
  <si>
    <t>Tax Depreciation</t>
  </si>
  <si>
    <t>Annual Capital Expense</t>
  </si>
  <si>
    <t>Total</t>
  </si>
  <si>
    <t>Accumulated Deferred Federal Income Tax</t>
  </si>
  <si>
    <t>AFUDC Equity</t>
  </si>
  <si>
    <t>Total Expenses</t>
  </si>
  <si>
    <t>Deferred taxes</t>
  </si>
  <si>
    <t>Tax Depreciation Expense</t>
  </si>
  <si>
    <t xml:space="preserve">Construction Work In Progress </t>
  </si>
  <si>
    <t>Tax Depreciation Year</t>
  </si>
  <si>
    <t>Accum Tax Depreciation Expense</t>
  </si>
  <si>
    <t xml:space="preserve">Calculation of Revenue Requirements </t>
  </si>
  <si>
    <t>Plant In Service</t>
  </si>
  <si>
    <t xml:space="preserve">Accumulated Deferred FIT </t>
  </si>
  <si>
    <t>Year 1</t>
  </si>
  <si>
    <t>Year 2</t>
  </si>
  <si>
    <t>Year 3</t>
  </si>
  <si>
    <t>Year 4</t>
  </si>
  <si>
    <t>Year 5</t>
  </si>
  <si>
    <t>Year 6</t>
  </si>
  <si>
    <t>Year 7</t>
  </si>
  <si>
    <t>Year 8</t>
  </si>
  <si>
    <t>Year 9</t>
  </si>
  <si>
    <t>Year 10</t>
  </si>
  <si>
    <t>Year 11</t>
  </si>
  <si>
    <t>Year 12</t>
  </si>
  <si>
    <t>Year 13</t>
  </si>
  <si>
    <t>Year 14</t>
  </si>
  <si>
    <t>Year 15</t>
  </si>
  <si>
    <t>Year 16</t>
  </si>
  <si>
    <t>Year 17</t>
  </si>
  <si>
    <t>Year 18</t>
  </si>
  <si>
    <t>Year 19</t>
  </si>
  <si>
    <t>Year 20</t>
  </si>
  <si>
    <t>Year 21</t>
  </si>
  <si>
    <t>Beginning Balance</t>
  </si>
  <si>
    <t>Initial CapEx</t>
  </si>
  <si>
    <t>RATE BASE</t>
  </si>
  <si>
    <t>Return on Rate Base</t>
  </si>
  <si>
    <t>Line</t>
  </si>
  <si>
    <t xml:space="preserve">No. </t>
  </si>
  <si>
    <t>Description</t>
  </si>
  <si>
    <t>Operations and Maintenance Expense</t>
  </si>
  <si>
    <t>Deprecition and Amortization Expense</t>
  </si>
  <si>
    <t>Taxes Other than Federal Income Tax</t>
  </si>
  <si>
    <t>Interest Expense</t>
  </si>
  <si>
    <t>Income Before Taxes</t>
  </si>
  <si>
    <t>Tax over Book Depreciation</t>
  </si>
  <si>
    <t>Taxable State Income</t>
  </si>
  <si>
    <t>State Tax Rate</t>
  </si>
  <si>
    <t xml:space="preserve">Retail </t>
  </si>
  <si>
    <t>Year</t>
  </si>
  <si>
    <t>Depreciation and Amortization Expense</t>
  </si>
  <si>
    <t>State Income Tax</t>
  </si>
  <si>
    <t xml:space="preserve">Tax over Book Depreciation </t>
  </si>
  <si>
    <t>Taxable Federal Income</t>
  </si>
  <si>
    <t>Federal Tax Rate</t>
  </si>
  <si>
    <t>Federal Income Taxes</t>
  </si>
  <si>
    <t>Amortization Expense - Deferred Excess ADIT</t>
  </si>
  <si>
    <t>Operating Income Deficiency</t>
  </si>
  <si>
    <t>Gross Up Factor</t>
  </si>
  <si>
    <t>Revenue Requirement</t>
  </si>
  <si>
    <t>Current FIT</t>
  </si>
  <si>
    <t>Deferred FIT</t>
  </si>
  <si>
    <t>Rev Req</t>
  </si>
  <si>
    <t>Taxes</t>
  </si>
  <si>
    <t>Equity Capital</t>
  </si>
  <si>
    <t>Equity Return</t>
  </si>
  <si>
    <t>Total CapEx</t>
  </si>
  <si>
    <t>Capital Year 1</t>
  </si>
  <si>
    <t>Capital Year 2</t>
  </si>
  <si>
    <t>Capital Year 3</t>
  </si>
  <si>
    <t>Capital Year 4</t>
  </si>
  <si>
    <t>Capital Year 5</t>
  </si>
  <si>
    <t>Capital Year 6</t>
  </si>
  <si>
    <t>Capital Year 7</t>
  </si>
  <si>
    <t>Capital Year 8</t>
  </si>
  <si>
    <t>Capital Year 9</t>
  </si>
  <si>
    <t>Capital Year 10</t>
  </si>
  <si>
    <t>Capital Year 11</t>
  </si>
  <si>
    <t>Capital Year 12</t>
  </si>
  <si>
    <t>Capital Year 13</t>
  </si>
  <si>
    <t>Capital Year 14</t>
  </si>
  <si>
    <t>Capital Year 15</t>
  </si>
  <si>
    <t>Capital Year 16</t>
  </si>
  <si>
    <t>Capital Year 17</t>
  </si>
  <si>
    <t>Capital Year 18</t>
  </si>
  <si>
    <t>Capital Year 19</t>
  </si>
  <si>
    <t>Capital Year 20</t>
  </si>
  <si>
    <t>Capital Year 21</t>
  </si>
  <si>
    <t>Capital Year 22</t>
  </si>
  <si>
    <t>Capital Year 23</t>
  </si>
  <si>
    <t>Capital Year 24</t>
  </si>
  <si>
    <t>Capital Year 25</t>
  </si>
  <si>
    <t>Capital Year 26</t>
  </si>
  <si>
    <t>Capital Year 27</t>
  </si>
  <si>
    <t>Capital Year 28</t>
  </si>
  <si>
    <t>Capital Year 29</t>
  </si>
  <si>
    <t>Capital Year 30</t>
  </si>
  <si>
    <t xml:space="preserve">AEPSC PMEC Cost </t>
  </si>
  <si>
    <t>ROE Check</t>
  </si>
  <si>
    <t xml:space="preserve"> After Tax Total Return Component</t>
  </si>
  <si>
    <t xml:space="preserve"> O&amp;M and Depreciation</t>
  </si>
  <si>
    <t>Incremental Revenue</t>
  </si>
  <si>
    <t>Company</t>
  </si>
  <si>
    <t>After Tax WACC</t>
  </si>
  <si>
    <t>O&amp;M</t>
  </si>
  <si>
    <t xml:space="preserve">Depreciation </t>
  </si>
  <si>
    <t>Return On Ratebase</t>
  </si>
  <si>
    <t>Tax Expense</t>
  </si>
  <si>
    <t>ROE Proof</t>
  </si>
  <si>
    <t>Total O&amp;M Expenses</t>
  </si>
  <si>
    <t>Operations and Maint Expense - Account 549</t>
  </si>
  <si>
    <t>Property Tax Expense - Account 408</t>
  </si>
  <si>
    <t>Owner's Costs</t>
  </si>
  <si>
    <t>Internal Costs &amp; Overheads</t>
  </si>
  <si>
    <t>Contingency</t>
  </si>
  <si>
    <t>AFUDC</t>
  </si>
  <si>
    <t xml:space="preserve">ICAP MW </t>
  </si>
  <si>
    <t>Project Name</t>
  </si>
  <si>
    <t>Resource Type</t>
  </si>
  <si>
    <t>Wind</t>
  </si>
  <si>
    <t>Solar</t>
  </si>
  <si>
    <t>RunType</t>
  </si>
  <si>
    <t>Include</t>
  </si>
  <si>
    <t>Exclude</t>
  </si>
  <si>
    <t>In-Service End of Year</t>
  </si>
  <si>
    <t>In-Service</t>
  </si>
  <si>
    <t>Project Contract Cost</t>
  </si>
  <si>
    <t>Annual CapEx</t>
  </si>
  <si>
    <t>Project CapEx</t>
  </si>
  <si>
    <t>Project Capital Expense</t>
  </si>
  <si>
    <t>Description (Amounts in thousands)</t>
  </si>
  <si>
    <t>OPCO</t>
  </si>
  <si>
    <t>APCO</t>
  </si>
  <si>
    <t>I&amp;M</t>
  </si>
  <si>
    <t>PSO</t>
  </si>
  <si>
    <t>SWEPCO</t>
  </si>
  <si>
    <t>State</t>
  </si>
  <si>
    <t>VA</t>
  </si>
  <si>
    <t>OK</t>
  </si>
  <si>
    <t>WV</t>
  </si>
  <si>
    <t>AR</t>
  </si>
  <si>
    <t>LA</t>
  </si>
  <si>
    <t>IN</t>
  </si>
  <si>
    <t>MI</t>
  </si>
  <si>
    <t>KgPCo</t>
  </si>
  <si>
    <t>TN</t>
  </si>
  <si>
    <t>Current Federal Income Tax Expense</t>
  </si>
  <si>
    <t>Annual Deferred Tax Expense - Federal</t>
  </si>
  <si>
    <t>Annual Deferred Tax Expense - State</t>
  </si>
  <si>
    <t>Accumulated Deferred State Income Tax</t>
  </si>
  <si>
    <t>Annual Deferred Tax Expense - Federal Benefit of State</t>
  </si>
  <si>
    <t>Accumulated Deferred Federal Income Tax (FBOS)</t>
  </si>
  <si>
    <t xml:space="preserve">Accumulated Deferred SIT </t>
  </si>
  <si>
    <t>Deferred SIT</t>
  </si>
  <si>
    <t>Current SIT</t>
  </si>
  <si>
    <t>Current State Tax Expense</t>
  </si>
  <si>
    <t>Gas</t>
  </si>
  <si>
    <t>Contract Allowances</t>
  </si>
  <si>
    <t>Rate Base Calculations - period end</t>
  </si>
  <si>
    <t>TX</t>
  </si>
  <si>
    <t>GRCF</t>
  </si>
  <si>
    <t>After-tax WACC</t>
  </si>
  <si>
    <t>ROE</t>
  </si>
  <si>
    <t>Weighted Avg Cost of Debt</t>
  </si>
  <si>
    <t>Equity Weighting</t>
  </si>
  <si>
    <t>Salvage</t>
  </si>
  <si>
    <t>Annual O&amp;M Expense Total</t>
  </si>
  <si>
    <t>Plant Fixed O&amp;M Expense</t>
  </si>
  <si>
    <t>Plant Budgeted Capital Expense</t>
  </si>
  <si>
    <t>(1)</t>
  </si>
  <si>
    <t>(7)</t>
  </si>
  <si>
    <t>Weighted</t>
  </si>
  <si>
    <t>Capital</t>
  </si>
  <si>
    <t>Average</t>
  </si>
  <si>
    <t>Tax</t>
  </si>
  <si>
    <t>Rate</t>
  </si>
  <si>
    <t>Cost of Removal (Decommissioning)</t>
  </si>
  <si>
    <t>Plant Depreciation - Account 403</t>
  </si>
  <si>
    <t>Design Life</t>
  </si>
  <si>
    <t>Jurisdiction</t>
  </si>
  <si>
    <t>Depreciation Expense - Plant and Net Salvage</t>
  </si>
  <si>
    <t>Book Accumulated Depreciation - Plant and Net Salvage</t>
  </si>
  <si>
    <t>Accumulated Depreciation - Plant and Net Salvage</t>
  </si>
  <si>
    <t>Adjusted Retail Revenue</t>
  </si>
  <si>
    <t>Adjusted Retail Income Before Taxes</t>
  </si>
  <si>
    <t>Adjusted Retail Taxable State Income</t>
  </si>
  <si>
    <t>Adjusted Retail Current State Tax Expense</t>
  </si>
  <si>
    <t>Adjusted Retail Taxable Federal Income</t>
  </si>
  <si>
    <t>MACRS</t>
  </si>
  <si>
    <t>3  YR MACRS</t>
  </si>
  <si>
    <t>5  YR MACRS</t>
  </si>
  <si>
    <t>7  YR MACRS</t>
  </si>
  <si>
    <t>10  YR MACRS</t>
  </si>
  <si>
    <t>15  YR MACRS</t>
  </si>
  <si>
    <t>20  YR MACRS</t>
  </si>
  <si>
    <t>Book Depreciation Rate (includes net salvage)</t>
  </si>
  <si>
    <t>Net Salvage (current dollars)</t>
  </si>
  <si>
    <t>Net Salvage (retirement year dollars)</t>
  </si>
  <si>
    <t>Inflation Rate</t>
  </si>
  <si>
    <t>Depreciation</t>
  </si>
  <si>
    <t>Salvage &amp; Decommissioning</t>
  </si>
  <si>
    <t>Project Summary</t>
  </si>
  <si>
    <t>Current Year</t>
  </si>
  <si>
    <t xml:space="preserve">Other Inputs Used </t>
  </si>
  <si>
    <t>KPCO</t>
  </si>
  <si>
    <t>KY</t>
  </si>
  <si>
    <t>KENTUCKY POWER COMPANY</t>
  </si>
  <si>
    <t>COST OF CAPITAL</t>
  </si>
  <si>
    <t>TEST YEAR ENDED MARCH 31, 2023</t>
  </si>
  <si>
    <t>Reapportioned</t>
  </si>
  <si>
    <t>Annual</t>
  </si>
  <si>
    <t>Pre-Tax Weighted</t>
  </si>
  <si>
    <t>Kentucky</t>
  </si>
  <si>
    <t>Percentage</t>
  </si>
  <si>
    <t>Cost</t>
  </si>
  <si>
    <t>Jurisdictional</t>
  </si>
  <si>
    <t>of</t>
  </si>
  <si>
    <t>No.</t>
  </si>
  <si>
    <t>Percent</t>
  </si>
  <si>
    <t>Gross-up</t>
  </si>
  <si>
    <t>(4)</t>
  </si>
  <si>
    <t>(5)</t>
  </si>
  <si>
    <t>(6) = (4) X (5)</t>
  </si>
  <si>
    <t>(8) = (6) X (7)</t>
  </si>
  <si>
    <t>Long Term Debt</t>
  </si>
  <si>
    <t>Short Term Debt</t>
  </si>
  <si>
    <t>Common Equity</t>
  </si>
  <si>
    <t>-------------------</t>
  </si>
  <si>
    <t>(2)</t>
  </si>
  <si>
    <t>(3)</t>
  </si>
  <si>
    <t>COMPUTATION OF THE GROSS REVENUE</t>
  </si>
  <si>
    <t>CONVERSION FACTOR</t>
  </si>
  <si>
    <t>Line       No.</t>
  </si>
  <si>
    <t xml:space="preserve">Percent of                  Incremental                          Gross Revenues </t>
  </si>
  <si>
    <t>Operating Revenues</t>
  </si>
  <si>
    <t>Less: Uncollectible Accounts Expense   1/</t>
  </si>
  <si>
    <t>KPSC Maintenance Fee</t>
  </si>
  <si>
    <t>---------------------</t>
  </si>
  <si>
    <t>Income Before income Taxes</t>
  </si>
  <si>
    <t>Less: State Income Taxes (L4 X 5.8742%)   2/</t>
  </si>
  <si>
    <t>Income Before Federal Income Taxes</t>
  </si>
  <si>
    <t>Less: Federal income Taxes (L6 X 35.00%)</t>
  </si>
  <si>
    <t>Operating Income Percentage</t>
  </si>
  <si>
    <t>Gross Revenue Conversion Factor (100% / L8)</t>
  </si>
  <si>
    <t>Year 22</t>
  </si>
  <si>
    <t>Year 23</t>
  </si>
  <si>
    <t>Year 24</t>
  </si>
  <si>
    <t>Year 25</t>
  </si>
  <si>
    <t>Net Revenue Requirement</t>
  </si>
  <si>
    <t>Regulated Generation Cost of Service</t>
  </si>
  <si>
    <t>WV B&amp;O Tax</t>
  </si>
  <si>
    <t>Coal</t>
  </si>
  <si>
    <t>Mitchell Rate Base Calucations</t>
  </si>
  <si>
    <t>Option</t>
  </si>
  <si>
    <t>Interconnection Costs</t>
  </si>
  <si>
    <t>Option 3: New Mechanical Draft Cooling Tower</t>
  </si>
  <si>
    <t>Total Present Value Rev Requirement 10 Yr</t>
  </si>
  <si>
    <t>Avg Revenue Rrequirement 10 Yr</t>
  </si>
  <si>
    <t>Wheeling Share</t>
  </si>
  <si>
    <t>Kentucky Share</t>
  </si>
  <si>
    <t>Project Allocation Factor</t>
  </si>
  <si>
    <t>Total Project</t>
  </si>
  <si>
    <t>Pretaxx WACC</t>
  </si>
  <si>
    <t>Property Tax</t>
  </si>
  <si>
    <t>Property Tax Expense</t>
  </si>
  <si>
    <t>Net Revenue Requirement No Property Taxes</t>
  </si>
  <si>
    <t>Remove AFUDC</t>
  </si>
  <si>
    <t>Net Total</t>
  </si>
  <si>
    <t>Return on CWIP</t>
  </si>
  <si>
    <t>Return on CWIP 50% Share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</si>
</sst>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9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00%"/>
    <numFmt numFmtId="166" formatCode="0.0000%"/>
    <numFmt numFmtId="167" formatCode="&quot;$&quot;#,##0\ ;\(&quot;$&quot;#,##0\)"/>
    <numFmt numFmtId="168" formatCode="_(* #,##0.0,_);_(* \(#,##0.0,\);_(* &quot;-   &quot;_);_(@_)"/>
    <numFmt numFmtId="169" formatCode="0.000000"/>
    <numFmt numFmtId="170" formatCode="General_)"/>
    <numFmt numFmtId="171" formatCode="_(&quot;$&quot;* #,##0_);_(&quot;$&quot;* \(#,##0\);_(&quot;$&quot;* &quot;-&quot;??_);_(@_)"/>
    <numFmt numFmtId="172" formatCode="_(* #,##0.0_);_(* \(#,##0.0\);&quot;&quot;;_(@_)"/>
    <numFmt numFmtId="173" formatCode="[Blue]#,##0,_);[Red]\(#,##0,\)"/>
    <numFmt numFmtId="174" formatCode="0.0%"/>
    <numFmt numFmtId="175" formatCode="_(* #,##0.000_);_(* \(#,##0.000\);_(* &quot;-&quot;??_);_(@_)"/>
    <numFmt numFmtId="176" formatCode="#,##0.000"/>
    <numFmt numFmtId="177" formatCode="#,##0.0_);\(#,##0.0\)"/>
    <numFmt numFmtId="178" formatCode="&quot;$&quot;#,##0.0_);[Red]\(&quot;$&quot;#,##0.0\)"/>
    <numFmt numFmtId="179" formatCode="_(&quot;$&quot;* #,##0.000_);_(&quot;$&quot;* \(#,##0.000\);_(&quot;$&quot;* &quot;-&quot;??_);_(@_)"/>
    <numFmt numFmtId="180" formatCode="&quot;$&quot;#,##0.00;[Red]\-&quot;$&quot;#,##0.00"/>
    <numFmt numFmtId="181" formatCode="&quot;$&quot;\ \ #,##0_);[Red]\(&quot;$&quot;\ \ #,##0\)"/>
    <numFmt numFmtId="182" formatCode="#,##0_);[Red]\(#,##0\);\-"/>
    <numFmt numFmtId="183" formatCode="#,##0.00000___;"/>
    <numFmt numFmtId="184" formatCode="&quot;$&quot;#,##0.00;\-&quot;$&quot;#,##0.00"/>
    <numFmt numFmtId="185" formatCode="0.0_%;\(0.0\)%;\ \-\ \ \ "/>
    <numFmt numFmtId="186" formatCode="#,###.000000_);\(#,##0.000000\);\ \-\ _ "/>
    <numFmt numFmtId="187" formatCode="&quot;$&quot;\ \ #,##0.0_);[Red]\(&quot;$&quot;\ \ #,##0.0\)"/>
    <numFmt numFmtId="188" formatCode="&quot;$&quot;\ \ #,##0.00_);[Red]\(&quot;$&quot;\ \ #,##0.00\)"/>
    <numFmt numFmtId="189" formatCode="#,##0_);\(#,##0\);_ \-\ \ "/>
    <numFmt numFmtId="190" formatCode="&quot;$&quot;#,##0;[Red]\-&quot;$&quot;#,##0"/>
    <numFmt numFmtId="191" formatCode="#,##0___);\(#,##0\);___-\ \ "/>
    <numFmt numFmtId="192" formatCode="&quot;$&quot;_(#,##0.00_);&quot;$&quot;\(#,##0.00\)"/>
    <numFmt numFmtId="193" formatCode="\_x0000_\_x0000_0.0000"/>
    <numFmt numFmtId="194" formatCode="#,##0.0_)\x;\(#,##0.0\)\x"/>
    <numFmt numFmtId="195" formatCode="0.E+00"/>
    <numFmt numFmtId="196" formatCode="#,##0.0_)_x;\(#,##0.0\)_x"/>
    <numFmt numFmtId="197" formatCode="0.0.E+00"/>
    <numFmt numFmtId="198" formatCode="0.0_)\%;\(0.0\)\%"/>
    <numFmt numFmtId="199" formatCode="&quot;$&quot;#,##0.0_);\(&quot;$&quot;#,##0.0\)"/>
    <numFmt numFmtId="200" formatCode="#,##0.0_)_%;\(#,##0.0\)_%"/>
    <numFmt numFmtId="201" formatCode="yyyy"/>
    <numFmt numFmtId="202" formatCode="_(* #,##0.0_);_(* \(#,##0.0\);_(* &quot;-&quot;????_);_(@_)"/>
    <numFmt numFmtId="203" formatCode="#,##0_);\(#,##0\);&quot;-  &quot;;&quot;  &quot;@"/>
    <numFmt numFmtId="204" formatCode="0.0000_)"/>
    <numFmt numFmtId="205" formatCode="_(* #,##0_);_(* \(#,##0\);_(* &quot;-&quot;\ \ _);@"/>
    <numFmt numFmtId="206" formatCode="#."/>
    <numFmt numFmtId="207" formatCode="mmm\-d\-yyyy"/>
    <numFmt numFmtId="208" formatCode="#,##0.0_);[Red]\(#,##0.0\)"/>
    <numFmt numFmtId="209" formatCode="mmm\-yyyy"/>
    <numFmt numFmtId="210" formatCode="m/d"/>
    <numFmt numFmtId="211" formatCode="dd\ mmm\ yyyy_);;;&quot;  &quot;@"/>
    <numFmt numFmtId="212" formatCode="mmm/yyyy_);;&quot;-  &quot;;&quot;  &quot;@"/>
    <numFmt numFmtId="213" formatCode="mmm\ d\,\ yyyy"/>
    <numFmt numFmtId="214" formatCode="_-* #,##0_-;\-* #,##0_-;_-* &quot;-&quot;_-;_-@_-"/>
    <numFmt numFmtId="215" formatCode="_-* #,##0.00_-;\-* #,##0.00_-;_-* &quot;-&quot;??_-;_-@_-"/>
    <numFmt numFmtId="216" formatCode="_([$€-2]* #,##0.00_);_([$€-2]* \(#,##0.00\);_([$€-2]* &quot;-&quot;??_)"/>
    <numFmt numFmtId="217" formatCode="#,##0.0000_);\(#,##0.0000\);&quot;-  &quot;;&quot;  &quot;@"/>
    <numFmt numFmtId="218" formatCode="###0_);\(###0\)"/>
    <numFmt numFmtId="219" formatCode="#,##0_);\(#,##0\);&quot;-  &quot;"/>
    <numFmt numFmtId="220" formatCode="_(* #,##0_);_(* \(#,##0\);_(* &quot;-&quot;\ \ _);@\ &quot; (HHV)&quot;"/>
    <numFmt numFmtId="221" formatCode="#,##0%_);\(#,##0%\)"/>
    <numFmt numFmtId="222" formatCode="#,##0.0\x_);\(#,##0.0\x\);#,##0.0\x_);@_)"/>
    <numFmt numFmtId="223" formatCode="#,##0.0_);[Red]\(#,##0.0\);&quot;N/A &quot;"/>
    <numFmt numFmtId="224" formatCode="0.00_)"/>
    <numFmt numFmtId="225" formatCode="#,##0.000_);[Red]\(#,##0.000\)"/>
    <numFmt numFmtId="226" formatCode="#,##0.0_)\ \ ;[Red]\(#,##0.0\)\ \ "/>
    <numFmt numFmtId="227" formatCode="0.0%&quot;NetPPE/sales&quot;"/>
    <numFmt numFmtId="228" formatCode="0.0%&quot;NWI/Sls&quot;"/>
    <numFmt numFmtId="229" formatCode="0%;[Red]\(0%\)"/>
    <numFmt numFmtId="230" formatCode="0.0%;[Red]\(0.0%\)"/>
    <numFmt numFmtId="231" formatCode="0.00%;[Red]\(0.00%\)"/>
    <numFmt numFmtId="232" formatCode="#,##0.0\%_);\(#,##0.0\%\);#,##0.0\%_);@_)"/>
    <numFmt numFmtId="233" formatCode="0.0%&quot;Sales&quot;"/>
    <numFmt numFmtId="234" formatCode="&quot;TFCF: &quot;#,##0_);[Red]&quot;No! &quot;\(#,##0\)"/>
    <numFmt numFmtId="235" formatCode="_(&quot;$&quot;* #,##0.00_);_(&quot;$&quot;* \(#,##0.00\);_(&quot;$&quot;* &quot;-&quot;????_);_(@_)"/>
    <numFmt numFmtId="236" formatCode="_(* #,##0.0_);_(* \(#,##0.0\);_(* &quot;-&quot;??_);_(@_)"/>
    <numFmt numFmtId="237" formatCode="0_)"/>
    <numFmt numFmtId="238" formatCode="0.0"/>
    <numFmt numFmtId="239" formatCode="0.0&quot;%&quot;_;\(0.0\)&quot;%&quot;"/>
    <numFmt numFmtId="240" formatCode="0.0&quot;%&quot;;\(0.0\)&quot;%&quot;"/>
    <numFmt numFmtId="241" formatCode="0.0_);\(0.0\)"/>
    <numFmt numFmtId="242" formatCode="\£\ #,##0_);[Red]\(\£\ #,##0\)"/>
    <numFmt numFmtId="243" formatCode="\¥\ #,##0_);[Red]\(\¥\ #,##0\)"/>
    <numFmt numFmtId="244" formatCode="#,##0;\(#,##0\)"/>
    <numFmt numFmtId="245" formatCode="&quot;$&quot;#,##0_);[Red]\(&quot;$&quot;#,##0\);&quot;-&quot;"/>
    <numFmt numFmtId="246" formatCode="#,##0.00_);\(#,##0.00\);&quot;-&quot;_);@_)"/>
    <numFmt numFmtId="247" formatCode="\•\ \ @"/>
    <numFmt numFmtId="248" formatCode=";;;"/>
    <numFmt numFmtId="249" formatCode="#,##0.0_);\(#,##0.0\);&quot;-&quot;_);@_)"/>
    <numFmt numFmtId="250" formatCode="0.000_)"/>
    <numFmt numFmtId="251" formatCode="#,##0.000\p_);\(#,##0.000\)"/>
    <numFmt numFmtId="252" formatCode="&quot;$&quot;#,##0.0;[Red]\(&quot;$&quot;#,##0.0\)"/>
    <numFmt numFmtId="253" formatCode="\ \ _•\–\ \ \ \ @"/>
    <numFmt numFmtId="254" formatCode="m/d/yyyy;;\-"/>
    <numFmt numFmtId="255" formatCode="_-&quot;R&quot;* #,##0_-;\-&quot;R&quot;* #,##0_-;_-&quot;R&quot;* &quot;-&quot;_-;_-@_-"/>
    <numFmt numFmtId="256" formatCode="_-* #,##0.00\ &quot;€&quot;_-;\-* #,##0.00\ &quot;€&quot;_-;_-* &quot;-&quot;??\ &quot;€&quot;_-;_-@_-"/>
    <numFmt numFmtId="257" formatCode="#,##0.0;[Red]\(#,##0.0\)"/>
    <numFmt numFmtId="258" formatCode="\(0\)"/>
    <numFmt numFmtId="259" formatCode="#,###,##0.00;\(#,###,##0.00\)"/>
    <numFmt numFmtId="260" formatCode="&quot;$&quot;#,###,##0.00;\(&quot;$&quot;#,###,##0.00\)"/>
    <numFmt numFmtId="261" formatCode="#,##0.00%;\(#,##0.00%\)"/>
    <numFmt numFmtId="262" formatCode="mmmm\ d\,\ yyyy"/>
    <numFmt numFmtId="263" formatCode="###0"/>
    <numFmt numFmtId="264" formatCode="_-* #,##0_-;\-* #,##0_-;_-* &quot;-&quot;??_-;_-@_-"/>
    <numFmt numFmtId="265" formatCode="0.00%_);\(0.00%\);&quot;-&quot;_%_)"/>
    <numFmt numFmtId="266" formatCode="[Red]#,##0.0_);\(#,##0.0\);&quot;-&quot;_);@_)"/>
    <numFmt numFmtId="267" formatCode="#,##0;[Red]\(#,##0\)"/>
    <numFmt numFmtId="268" formatCode="#,##0\ \ \ "/>
    <numFmt numFmtId="269" formatCode="_ * #,##0_)_ _F_ ;_ * \(#,##0\)_ _F_ ;_ * &quot;-&quot;_)_ _F_ ;_ @_ "/>
    <numFmt numFmtId="270" formatCode="_ * #,##0.00_)_ _F_ ;_ * \(#,##0.00\)_ _F_ ;_ * &quot;-&quot;??_)_ _F_ ;_ @_ "/>
    <numFmt numFmtId="271" formatCode="0.0,&quot;k&quot;"/>
    <numFmt numFmtId="272" formatCode="0.0\x"/>
    <numFmt numFmtId="273" formatCode="0.00\x"/>
    <numFmt numFmtId="274" formatCode="_ * #,##0_ ;_ * \-#,##0_ ;_ * &quot;-&quot;_ ;_ @_ "/>
    <numFmt numFmtId="275" formatCode="_ * #,##0.00_ ;_ * \-#,##0.00_ ;_ * &quot;-&quot;??_ ;_ @_ "/>
    <numFmt numFmtId="276" formatCode="0.00,,&quot;M&quot;"/>
    <numFmt numFmtId="277" formatCode="_ &quot;£&quot;* #,##0.00_ ;_ &quot;£&quot;* \-#,##0.00_ ;_ &quot;£&quot;* &quot;-&quot;??_ ;_ @_ "/>
    <numFmt numFmtId="278" formatCode="0.0%_);\(0.0%\);&quot;-&quot;_%_)"/>
    <numFmt numFmtId="279" formatCode="&quot;£&quot;#,##0_);[Red]\(&quot;£&quot;#,##0\)"/>
    <numFmt numFmtId="280" formatCode="#0.0\x"/>
    <numFmt numFmtId="281" formatCode="0.00000%;\(0.00000%\);0%"/>
    <numFmt numFmtId="282" formatCode="0.00%;\(0.00%\)"/>
    <numFmt numFmtId="283" formatCode="_(* #,##0_);_(* \(#,##0\);_(* &quot;-&quot;_)"/>
    <numFmt numFmtId="284" formatCode="m/d/yy\ h:mm:ss"/>
    <numFmt numFmtId="285" formatCode="#,##0_);\(#,##0\);&quot;- &quot;"/>
    <numFmt numFmtId="286" formatCode="0.00\ \x"/>
    <numFmt numFmtId="287" formatCode="#,##0.0;\(#,##0.0\);&quot;- &quot;"/>
    <numFmt numFmtId="288" formatCode="#,##0.0_);\(#,##0.0\);&quot;- &quot;"/>
    <numFmt numFmtId="289" formatCode="#,##0_);\(#,##0\);&quot;- &quot;;&quot;  &quot;@"/>
    <numFmt numFmtId="290" formatCode="_-&quot;L.&quot;\ * #,##0_-;\-&quot;L.&quot;\ * #,##0_-;_-&quot;L.&quot;\ * &quot;-&quot;_-;_-@_-"/>
    <numFmt numFmtId="291" formatCode="_ * #,##0_)&quot; F&quot;_ ;_ * \(#,##0\)&quot; F&quot;_ ;_ * &quot;-&quot;_)&quot; F&quot;_ ;_ @_ "/>
    <numFmt numFmtId="292" formatCode="0.000%;\(0.000%\);0%"/>
    <numFmt numFmtId="293" formatCode="0.0_)"/>
    <numFmt numFmtId="294" formatCode="[$-409]d\-mmm\-yy;@"/>
    <numFmt numFmtId="295" formatCode="#,##0_);\(#,##0\);&quot;-  &quot;;&quot; &quot;@&quot; &quot;"/>
    <numFmt numFmtId="296" formatCode="0.0%_);\(0.0%\);&quot;-&quot;;@_)"/>
    <numFmt numFmtId="297" formatCode="###0_);\(###0\);&quot;-&quot;_);@_)"/>
    <numFmt numFmtId="298" formatCode="#,##0_);\(#,##0\);&quot;-&quot;_);@_)"/>
    <numFmt numFmtId="299" formatCode="0.000"/>
    <numFmt numFmtId="300" formatCode="#,##0.00000_);[Red]\(#,##0.00000\)"/>
    <numFmt numFmtId="301" formatCode="_(* #,##0.00000_);_(* \(#,##0.00000\);_(* &quot;-&quot;??_);_(@_)"/>
    <numFmt numFmtId="302" formatCode="0.0000"/>
    <numFmt numFmtId="303" formatCode="0.00000000_);\(0.00000000\)"/>
    <numFmt numFmtId="304" formatCode="#,##0.000_);\(#,##0.000\)"/>
    <numFmt numFmtId="305" formatCode="#,##0.0000_);\(#,##0.0000\)"/>
  </numFmts>
  <fonts count="32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1"/>
      <color indexed="10"/>
      <name val="Calibri"/>
      <family val="2"/>
    </font>
    <font>
      <sz val="11"/>
      <color indexed="8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b/>
      <sz val="11"/>
      <color indexed="52"/>
      <name val="Calibri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color indexed="22"/>
      <name val="Arial"/>
      <family val="2"/>
    </font>
    <font>
      <sz val="12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Arial MT"/>
    </font>
    <font>
      <sz val="10"/>
      <name val="Helv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sz val="11"/>
      <color indexed="53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10"/>
      <color indexed="10"/>
      <name val="Arial"/>
      <family val="2"/>
    </font>
    <font>
      <b/>
      <sz val="12"/>
      <color indexed="12"/>
      <name val="Arial"/>
      <family val="2"/>
    </font>
    <font>
      <sz val="10"/>
      <color indexed="62"/>
      <name val="Arial"/>
      <family val="2"/>
    </font>
    <font>
      <sz val="8"/>
      <color indexed="48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u/>
      <sz val="9"/>
      <name val="Arial"/>
      <family val="2"/>
    </font>
    <font>
      <b/>
      <sz val="8"/>
      <color indexed="10"/>
      <name val="Arial"/>
      <family val="2"/>
    </font>
    <font>
      <u val="singleAccounting"/>
      <sz val="10"/>
      <name val="Arial"/>
      <family val="2"/>
    </font>
    <font>
      <b/>
      <sz val="9"/>
      <color indexed="8"/>
      <name val="Arial"/>
      <family val="2"/>
    </font>
    <font>
      <b/>
      <sz val="18"/>
      <name val="Arial"/>
      <family val="2"/>
    </font>
    <font>
      <u/>
      <sz val="9"/>
      <name val="Arial"/>
      <family val="2"/>
    </font>
    <font>
      <sz val="9"/>
      <color indexed="8"/>
      <name val="Arial"/>
      <family val="2"/>
    </font>
    <font>
      <sz val="12"/>
      <name val="???"/>
      <family val="1"/>
      <charset val="129"/>
    </font>
    <font>
      <sz val="10"/>
      <name val="Helv"/>
      <family val="2"/>
    </font>
    <font>
      <sz val="12"/>
      <name val="___"/>
      <family val="1"/>
      <charset val="129"/>
    </font>
    <font>
      <sz val="12"/>
      <name val="___"/>
      <family val="3"/>
      <charset val="129"/>
    </font>
    <font>
      <sz val="11"/>
      <name val="__"/>
      <family val="3"/>
      <charset val="129"/>
    </font>
    <font>
      <sz val="10"/>
      <name val="___"/>
      <family val="3"/>
      <charset val="129"/>
    </font>
    <font>
      <sz val="11"/>
      <name val="___"/>
      <family val="1"/>
      <charset val="129"/>
    </font>
    <font>
      <sz val="11"/>
      <name val="___"/>
      <family val="3"/>
      <charset val="129"/>
    </font>
    <font>
      <b/>
      <sz val="10"/>
      <name val="Garamond"/>
      <family val="1"/>
    </font>
    <font>
      <sz val="10"/>
      <name val="Tms Rmn"/>
    </font>
    <font>
      <sz val="11"/>
      <color indexed="9"/>
      <name val="Calibri"/>
      <family val="2"/>
    </font>
    <font>
      <sz val="10"/>
      <color indexed="12"/>
      <name val="Arial"/>
      <family val="2"/>
    </font>
    <font>
      <sz val="9"/>
      <name val="Helv"/>
    </font>
    <font>
      <sz val="8"/>
      <name val="Times New Roman"/>
      <family val="1"/>
    </font>
    <font>
      <b/>
      <sz val="11"/>
      <color indexed="9"/>
      <name val="Calibri"/>
      <family val="2"/>
    </font>
    <font>
      <sz val="8"/>
      <name val="Palatino"/>
      <family val="1"/>
    </font>
    <font>
      <u/>
      <sz val="10"/>
      <name val="Arial"/>
      <family val="2"/>
    </font>
    <font>
      <b/>
      <sz val="12"/>
      <color indexed="9"/>
      <name val="Arial"/>
      <family val="2"/>
    </font>
    <font>
      <sz val="1"/>
      <color indexed="16"/>
      <name val="Courier"/>
      <family val="3"/>
    </font>
    <font>
      <sz val="8"/>
      <color indexed="12"/>
      <name val="Arial"/>
      <family val="2"/>
    </font>
    <font>
      <sz val="8"/>
      <name val="Helvetica-Narrow"/>
      <family val="2"/>
    </font>
    <font>
      <b/>
      <sz val="11"/>
      <name val="Optimum"/>
    </font>
    <font>
      <b/>
      <sz val="12"/>
      <name val="MS Sans Serif"/>
      <family val="2"/>
    </font>
    <font>
      <b/>
      <sz val="9"/>
      <color indexed="12"/>
      <name val="Arial"/>
      <family val="2"/>
    </font>
    <font>
      <b/>
      <i/>
      <sz val="10"/>
      <name val="Arial"/>
      <family val="2"/>
    </font>
    <font>
      <b/>
      <u/>
      <sz val="11"/>
      <color indexed="37"/>
      <name val="Arial"/>
      <family val="2"/>
    </font>
    <font>
      <i/>
      <sz val="14"/>
      <name val="Palatino"/>
      <family val="1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7"/>
      <name val="Small Fonts"/>
      <family val="2"/>
    </font>
    <font>
      <b/>
      <i/>
      <sz val="16"/>
      <name val="Helv"/>
    </font>
    <font>
      <sz val="10"/>
      <name val="Palatino"/>
      <family val="1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</font>
    <font>
      <sz val="14"/>
      <name val="B Times Bold"/>
    </font>
    <font>
      <sz val="10"/>
      <color indexed="18"/>
      <name val="Arial"/>
      <family val="2"/>
    </font>
    <font>
      <sz val="8"/>
      <color indexed="10"/>
      <name val="Arial"/>
      <family val="2"/>
    </font>
    <font>
      <sz val="9.5"/>
      <color indexed="23"/>
      <name val="Helvetica-Black"/>
    </font>
    <font>
      <u/>
      <sz val="12"/>
      <name val="B Times Bold"/>
    </font>
    <font>
      <u/>
      <sz val="10"/>
      <name val="B Times Bold"/>
    </font>
    <font>
      <sz val="10"/>
      <name val="Times New Roman"/>
      <family val="1"/>
    </font>
    <font>
      <b/>
      <sz val="12"/>
      <name val="Arial Narrow"/>
      <family val="2"/>
    </font>
    <font>
      <sz val="12"/>
      <color indexed="17"/>
      <name val="SWISS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color indexed="8"/>
      <name val="Helvetica-Black"/>
    </font>
    <font>
      <sz val="7"/>
      <name val="Arial"/>
      <family val="2"/>
    </font>
    <font>
      <b/>
      <sz val="18"/>
      <color indexed="56"/>
      <name val="Cambria"/>
      <family val="2"/>
    </font>
    <font>
      <u/>
      <sz val="8"/>
      <color indexed="8"/>
      <name val="Arial"/>
      <family val="2"/>
    </font>
    <font>
      <sz val="10"/>
      <name val="Arial Narrow"/>
      <family val="2"/>
    </font>
    <font>
      <b/>
      <i/>
      <sz val="10"/>
      <name val="Arial"/>
      <family val="2"/>
    </font>
    <font>
      <u/>
      <sz val="10"/>
      <color indexed="36"/>
      <name val="Arial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2"/>
      <color indexed="8"/>
      <name val="Times New Roman"/>
      <family val="1"/>
    </font>
    <font>
      <sz val="12"/>
      <color indexed="12"/>
      <name val="Times New Roman"/>
      <family val="1"/>
    </font>
    <font>
      <sz val="12"/>
      <name val="Times New Roman"/>
      <family val="1"/>
    </font>
    <font>
      <b/>
      <sz val="11"/>
      <name val="Book Antiqua"/>
      <family val="1"/>
    </font>
    <font>
      <sz val="11"/>
      <name val="Times New Roman"/>
      <family val="1"/>
    </font>
    <font>
      <sz val="10"/>
      <name val="Univers (WN)"/>
      <family val="2"/>
    </font>
    <font>
      <sz val="8"/>
      <name val="Tahoma"/>
      <family val="2"/>
    </font>
    <font>
      <sz val="10"/>
      <color indexed="10"/>
      <name val="Times New Roman"/>
      <family val="1"/>
    </font>
    <font>
      <b/>
      <sz val="12"/>
      <name val="Times New Roman"/>
      <family val="1"/>
    </font>
    <font>
      <sz val="10"/>
      <color indexed="8"/>
      <name val="Book Antiqua"/>
      <family val="1"/>
    </font>
    <font>
      <sz val="8"/>
      <color indexed="12"/>
      <name val="Tms Rmn"/>
    </font>
    <font>
      <sz val="9"/>
      <color indexed="12"/>
      <name val="Arial"/>
      <family val="2"/>
    </font>
    <font>
      <sz val="8"/>
      <name val="Verdana"/>
      <family val="2"/>
    </font>
    <font>
      <i/>
      <sz val="8"/>
      <name val="Arial"/>
      <family val="2"/>
    </font>
    <font>
      <b/>
      <sz val="10"/>
      <color indexed="8"/>
      <name val="Times New Roman"/>
      <family val="1"/>
    </font>
    <font>
      <b/>
      <i/>
      <u/>
      <sz val="9"/>
      <name val="Arial"/>
      <family val="2"/>
    </font>
    <font>
      <sz val="8"/>
      <name val="Tms Rmn"/>
    </font>
    <font>
      <sz val="10"/>
      <color indexed="18"/>
      <name val="Times New Roman"/>
      <family val="1"/>
    </font>
    <font>
      <sz val="11"/>
      <name val="Tms Rmn"/>
      <family val="1"/>
    </font>
    <font>
      <sz val="11"/>
      <name val="Book Antiqua"/>
      <family val="1"/>
    </font>
    <font>
      <b/>
      <sz val="11"/>
      <name val="Times New Roman"/>
      <family val="1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</font>
    <font>
      <sz val="12"/>
      <color indexed="8"/>
      <name val="Book Antiqua"/>
      <family val="1"/>
    </font>
    <font>
      <u val="doubleAccounting"/>
      <sz val="10"/>
      <name val="Arial"/>
      <family val="2"/>
    </font>
    <font>
      <i/>
      <sz val="10"/>
      <color indexed="12"/>
      <name val="Times New Roman"/>
      <family val="1"/>
    </font>
    <font>
      <i/>
      <sz val="10"/>
      <color indexed="10"/>
      <name val="Times New Roman"/>
      <family val="1"/>
    </font>
    <font>
      <sz val="6"/>
      <color indexed="23"/>
      <name val="Helvetica-Black"/>
    </font>
    <font>
      <sz val="7"/>
      <name val="Palatino"/>
      <family val="1"/>
    </font>
    <font>
      <i/>
      <sz val="10"/>
      <color indexed="0"/>
      <name val="Arial"/>
      <family val="2"/>
    </font>
    <font>
      <sz val="10"/>
      <color indexed="17"/>
      <name val="Arial"/>
      <family val="2"/>
    </font>
    <font>
      <sz val="12"/>
      <color indexed="9"/>
      <name val="Times New Roman"/>
      <family val="1"/>
    </font>
    <font>
      <sz val="24"/>
      <color indexed="8"/>
      <name val="TimesNewRomanPS"/>
    </font>
    <font>
      <sz val="18"/>
      <color indexed="8"/>
      <name val="Times New Roman"/>
      <family val="1"/>
    </font>
    <font>
      <sz val="6"/>
      <name val="Palatino"/>
      <family val="1"/>
    </font>
    <font>
      <sz val="6"/>
      <color indexed="16"/>
      <name val="Palatino"/>
      <family val="1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sz val="10"/>
      <name val="Helvetica-Black"/>
    </font>
    <font>
      <sz val="28"/>
      <name val="Helvetica-Black"/>
    </font>
    <font>
      <sz val="18"/>
      <name val="Palatino"/>
      <family val="1"/>
    </font>
    <font>
      <sz val="24"/>
      <color indexed="8"/>
      <name val="Times New Roman"/>
      <family val="1"/>
    </font>
    <font>
      <sz val="8"/>
      <color indexed="12"/>
      <name val="Helvetica"/>
      <family val="2"/>
    </font>
    <font>
      <b/>
      <sz val="24"/>
      <name val="Times New Roman"/>
      <family val="1"/>
    </font>
    <font>
      <sz val="14"/>
      <name val="Times New Roman"/>
      <family val="1"/>
    </font>
    <font>
      <i/>
      <sz val="9"/>
      <name val="Times New Roman"/>
      <family val="1"/>
    </font>
    <font>
      <sz val="8"/>
      <color indexed="8"/>
      <name val="Helvetica"/>
      <family val="2"/>
    </font>
    <font>
      <sz val="10"/>
      <color indexed="50"/>
      <name val="Times New Roman"/>
      <family val="1"/>
    </font>
    <font>
      <sz val="10"/>
      <color indexed="12"/>
      <name val="Times New Roman"/>
      <family val="1"/>
    </font>
    <font>
      <b/>
      <i/>
      <sz val="9"/>
      <color indexed="17"/>
      <name val="Arial"/>
      <family val="2"/>
    </font>
    <font>
      <i/>
      <sz val="8.5"/>
      <name val="Letter Gothic"/>
      <family val="3"/>
    </font>
    <font>
      <b/>
      <i/>
      <sz val="10"/>
      <name val="Times New Roman"/>
      <family val="1"/>
    </font>
    <font>
      <sz val="10"/>
      <name val="Geneva"/>
    </font>
    <font>
      <sz val="8"/>
      <color indexed="10"/>
      <name val="Helv"/>
    </font>
    <font>
      <sz val="10"/>
      <name val="Courier New"/>
      <family val="3"/>
    </font>
    <font>
      <sz val="9"/>
      <color indexed="10"/>
      <name val="Arial"/>
      <family val="2"/>
    </font>
    <font>
      <sz val="24"/>
      <color indexed="9"/>
      <name val="Times New Roman"/>
      <family val="1"/>
    </font>
    <font>
      <sz val="18"/>
      <color indexed="9"/>
      <name val="Times New Roman"/>
      <family val="1"/>
    </font>
    <font>
      <sz val="10"/>
      <color indexed="16"/>
      <name val="MS Sans Serif"/>
      <family val="2"/>
    </font>
    <font>
      <u/>
      <sz val="8"/>
      <name val="Arial"/>
      <family val="2"/>
    </font>
    <font>
      <i/>
      <u/>
      <sz val="8"/>
      <name val="Arial"/>
      <family val="2"/>
    </font>
    <font>
      <sz val="26"/>
      <name val="Times New Roman"/>
      <family val="1"/>
    </font>
    <font>
      <sz val="10"/>
      <name val="SWISS"/>
    </font>
    <font>
      <i/>
      <sz val="10"/>
      <color indexed="16"/>
      <name val="Times New Roman"/>
      <family val="1"/>
    </font>
    <font>
      <b/>
      <sz val="8"/>
      <color indexed="23"/>
      <name val="Verdana"/>
      <family val="2"/>
    </font>
    <font>
      <sz val="8"/>
      <color indexed="22"/>
      <name val="Arial"/>
      <family val="2"/>
    </font>
    <font>
      <sz val="10"/>
      <color indexed="8"/>
      <name val="MS Sans Serif"/>
      <family val="2"/>
    </font>
    <font>
      <sz val="7"/>
      <color indexed="12"/>
      <name val="Arial"/>
      <family val="2"/>
    </font>
    <font>
      <i/>
      <sz val="10"/>
      <name val="Helv"/>
    </font>
    <font>
      <i/>
      <sz val="10"/>
      <name val="Times New Roman"/>
      <family val="1"/>
    </font>
    <font>
      <i/>
      <sz val="12"/>
      <color indexed="8"/>
      <name val="Times New Roman"/>
      <family val="1"/>
    </font>
    <font>
      <i/>
      <sz val="9"/>
      <name val="Book Antiqua"/>
      <family val="1"/>
    </font>
    <font>
      <sz val="12"/>
      <name val="Book Antiqua"/>
      <family val="1"/>
    </font>
    <font>
      <sz val="16"/>
      <color indexed="9"/>
      <name val="Tahoma"/>
      <family val="2"/>
    </font>
    <font>
      <sz val="16"/>
      <name val="Times New Roman"/>
      <family val="1"/>
    </font>
    <font>
      <b/>
      <sz val="12"/>
      <color indexed="8"/>
      <name val="Times New Roman"/>
      <family val="1"/>
    </font>
    <font>
      <sz val="12"/>
      <color indexed="10"/>
      <name val="Times New Roman"/>
      <family val="1"/>
    </font>
    <font>
      <sz val="14"/>
      <name val="Arial"/>
      <family val="2"/>
    </font>
    <font>
      <i/>
      <sz val="10"/>
      <name val="Arial"/>
      <family val="2"/>
    </font>
    <font>
      <sz val="18"/>
      <name val="Arial"/>
      <family val="2"/>
    </font>
    <font>
      <sz val="10"/>
      <color indexed="8"/>
      <name val="Times New Roman"/>
      <family val="1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indexed="12"/>
      <name val="TimesNewRomanPS"/>
    </font>
    <font>
      <b/>
      <sz val="12"/>
      <color indexed="12"/>
      <name val="Arial Narrow"/>
      <family val="2"/>
    </font>
    <font>
      <b/>
      <sz val="14"/>
      <name val="Times New Roman"/>
      <family val="1"/>
    </font>
    <font>
      <sz val="10"/>
      <name val="TimesNewRomanPS"/>
    </font>
    <font>
      <i/>
      <sz val="8"/>
      <name val="Times New Roman"/>
      <family val="1"/>
    </font>
    <font>
      <i/>
      <sz val="10"/>
      <color indexed="8"/>
      <name val="Arial"/>
      <family val="2"/>
    </font>
    <font>
      <b/>
      <sz val="14"/>
      <color indexed="8"/>
      <name val="Arial"/>
      <family val="2"/>
    </font>
    <font>
      <b/>
      <i/>
      <sz val="9"/>
      <color indexed="8"/>
      <name val="Arial"/>
      <family val="2"/>
    </font>
    <font>
      <sz val="12"/>
      <color indexed="8"/>
      <name val="Arial"/>
      <family val="2"/>
    </font>
    <font>
      <b/>
      <sz val="7"/>
      <name val="Arial"/>
      <family val="2"/>
    </font>
    <font>
      <b/>
      <sz val="8"/>
      <color indexed="63"/>
      <name val="Verdana"/>
      <family val="2"/>
    </font>
    <font>
      <sz val="12"/>
      <name val="Palatino"/>
      <family val="1"/>
    </font>
    <font>
      <sz val="11"/>
      <name val="Helvetica-Black"/>
    </font>
    <font>
      <b/>
      <sz val="9"/>
      <color indexed="17"/>
      <name val="Arial"/>
      <family val="2"/>
    </font>
    <font>
      <sz val="12"/>
      <name val="Tms Rmn"/>
      <family val="1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0"/>
      <color rgb="FF00355F"/>
      <name val="Arial"/>
      <family val="2"/>
    </font>
    <font>
      <sz val="10"/>
      <color theme="1"/>
      <name val="Arial"/>
      <family val="2"/>
    </font>
    <font>
      <b/>
      <i/>
      <sz val="10"/>
      <name val="Arial"/>
      <family val="2"/>
    </font>
    <font>
      <sz val="12"/>
      <color theme="1"/>
      <name val="Times New Roman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name val="Arial Unicode MS"/>
      <family val="2"/>
    </font>
    <font>
      <sz val="10"/>
      <color indexed="8"/>
      <name val="Tahoma"/>
      <family val="2"/>
    </font>
    <font>
      <sz val="10"/>
      <color indexed="9"/>
      <name val="Tahoma"/>
      <family val="2"/>
    </font>
    <font>
      <sz val="10"/>
      <color indexed="20"/>
      <name val="Tahoma"/>
      <family val="2"/>
    </font>
    <font>
      <b/>
      <sz val="10"/>
      <color indexed="52"/>
      <name val="Tahoma"/>
      <family val="2"/>
    </font>
    <font>
      <b/>
      <sz val="10"/>
      <color indexed="9"/>
      <name val="Tahoma"/>
      <family val="2"/>
    </font>
    <font>
      <b/>
      <sz val="10"/>
      <name val="Arial Unicode MS"/>
      <family val="2"/>
    </font>
    <font>
      <i/>
      <sz val="10"/>
      <color indexed="23"/>
      <name val="Tahoma"/>
      <family val="2"/>
    </font>
    <font>
      <sz val="10"/>
      <color indexed="17"/>
      <name val="Tahoma"/>
      <family val="2"/>
    </font>
    <font>
      <b/>
      <sz val="15"/>
      <color indexed="62"/>
      <name val="Calibri"/>
      <family val="2"/>
    </font>
    <font>
      <b/>
      <sz val="15"/>
      <color indexed="62"/>
      <name val="Arial"/>
      <family val="2"/>
    </font>
    <font>
      <b/>
      <sz val="15"/>
      <color indexed="56"/>
      <name val="Tahoma"/>
      <family val="2"/>
    </font>
    <font>
      <b/>
      <sz val="13"/>
      <color indexed="62"/>
      <name val="Calibri"/>
      <family val="2"/>
    </font>
    <font>
      <b/>
      <sz val="13"/>
      <color indexed="62"/>
      <name val="Arial"/>
      <family val="2"/>
    </font>
    <font>
      <b/>
      <sz val="13"/>
      <color indexed="56"/>
      <name val="Tahoma"/>
      <family val="2"/>
    </font>
    <font>
      <b/>
      <sz val="11"/>
      <color indexed="62"/>
      <name val="Arial"/>
      <family val="2"/>
    </font>
    <font>
      <b/>
      <sz val="11"/>
      <color indexed="56"/>
      <name val="Tahoma"/>
      <family val="2"/>
    </font>
    <font>
      <sz val="10"/>
      <color indexed="62"/>
      <name val="Tahoma"/>
      <family val="2"/>
    </font>
    <font>
      <sz val="10"/>
      <color indexed="52"/>
      <name val="Tahoma"/>
      <family val="2"/>
    </font>
    <font>
      <sz val="10"/>
      <color indexed="60"/>
      <name val="Tahoma"/>
      <family val="2"/>
    </font>
    <font>
      <sz val="10"/>
      <color indexed="64"/>
      <name val="Arial"/>
      <family val="2"/>
    </font>
    <font>
      <b/>
      <sz val="10"/>
      <color indexed="63"/>
      <name val="Tahoma"/>
      <family val="2"/>
    </font>
    <font>
      <b/>
      <sz val="10"/>
      <color indexed="8"/>
      <name val="Tahoma"/>
      <family val="2"/>
    </font>
    <font>
      <sz val="10"/>
      <color indexed="10"/>
      <name val="Tahoma"/>
      <family val="2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7"/>
      <color rgb="FF707C8A"/>
      <name val="Arial"/>
      <family val="2"/>
    </font>
    <font>
      <b/>
      <sz val="12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20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  <font>
      <sz val="8"/>
      <color rgb="FF0000FF"/>
      <name val="Arial"/>
      <family val="2"/>
    </font>
    <font>
      <sz val="8"/>
      <color rgb="FF008000"/>
      <name val="Arial"/>
      <family val="2"/>
    </font>
    <font>
      <sz val="8"/>
      <color theme="1"/>
      <name val="Arial"/>
      <family val="2"/>
    </font>
    <font>
      <b/>
      <sz val="11"/>
      <color theme="0"/>
      <name val="Book Antiqua"/>
      <family val="1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Lucida Sans"/>
      <family val="2"/>
    </font>
    <font>
      <sz val="12"/>
      <color theme="1"/>
      <name val="Calibri"/>
      <family val="2"/>
      <scheme val="minor"/>
    </font>
    <font>
      <b/>
      <sz val="15"/>
      <color theme="4"/>
      <name val="Calibri"/>
      <family val="2"/>
      <scheme val="minor"/>
    </font>
    <font>
      <b/>
      <sz val="13"/>
      <color theme="7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7"/>
      <name val="Calibri"/>
      <family val="2"/>
      <scheme val="minor"/>
    </font>
    <font>
      <b/>
      <sz val="8"/>
      <color theme="1"/>
      <name val="Arial"/>
      <family val="2"/>
    </font>
    <font>
      <b/>
      <sz val="20"/>
      <color theme="4"/>
      <name val="Cambria"/>
      <family val="1"/>
      <scheme val="major"/>
    </font>
    <font>
      <b/>
      <sz val="8"/>
      <color theme="4"/>
      <name val="Cambria"/>
      <family val="1"/>
      <scheme val="major"/>
    </font>
    <font>
      <b/>
      <sz val="9"/>
      <color theme="7" tint="-0.24994659260841701"/>
      <name val="Arial"/>
      <family val="2"/>
    </font>
    <font>
      <b/>
      <sz val="8"/>
      <color rgb="FFFFFFFF"/>
      <name val="Calibri"/>
      <family val="2"/>
      <scheme val="minor"/>
    </font>
    <font>
      <b/>
      <sz val="8"/>
      <color theme="4"/>
      <name val="Calibri"/>
      <family val="2"/>
      <scheme val="minor"/>
    </font>
    <font>
      <sz val="6"/>
      <color theme="1"/>
      <name val="Calibri"/>
      <family val="2"/>
      <scheme val="minor"/>
    </font>
    <font>
      <b/>
      <u val="singleAccounting"/>
      <sz val="8"/>
      <color theme="4"/>
      <name val="Calibri"/>
      <family val="2"/>
      <scheme val="minor"/>
    </font>
    <font>
      <sz val="8"/>
      <color theme="4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2"/>
      <color theme="1"/>
      <name val="Calibri"/>
      <family val="2"/>
      <scheme val="minor"/>
    </font>
    <font>
      <sz val="8"/>
      <color theme="4"/>
      <name val="Arial Narrow"/>
      <family val="2"/>
    </font>
    <font>
      <b/>
      <sz val="8"/>
      <color rgb="FFFF0000"/>
      <name val="Arial Narrow"/>
      <family val="2"/>
    </font>
    <font>
      <sz val="18"/>
      <color theme="4"/>
      <name val="Cambria"/>
      <family val="2"/>
      <scheme val="major"/>
    </font>
    <font>
      <sz val="9"/>
      <color indexed="8"/>
      <name val="Calibri"/>
      <family val="2"/>
    </font>
    <font>
      <b/>
      <sz val="9"/>
      <color indexed="8"/>
      <name val="Calibri"/>
      <family val="2"/>
    </font>
    <font>
      <b/>
      <sz val="12"/>
      <color indexed="30"/>
      <name val="Calibri"/>
      <family val="2"/>
    </font>
    <font>
      <sz val="8"/>
      <name val="Arial"/>
      <family val="2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  <font>
      <sz val="7"/>
      <color indexed="12"/>
      <name val="MS Serif"/>
      <family val="1"/>
    </font>
    <font>
      <sz val="10"/>
      <name val="MS Sans Serif"/>
    </font>
    <font>
      <b/>
      <sz val="10"/>
      <name val="MS Sans Serif"/>
    </font>
    <font>
      <sz val="12"/>
      <name val="Arial"/>
      <family val="2"/>
    </font>
    <font>
      <sz val="18"/>
      <color theme="3"/>
      <name val="Cambria"/>
      <family val="2"/>
      <scheme val="major"/>
    </font>
    <font>
      <sz val="10"/>
      <color theme="1"/>
      <name val="Times New Roman"/>
      <family val="2"/>
    </font>
    <font>
      <sz val="10"/>
      <color rgb="FF0000FF"/>
      <name val="Times New Roman"/>
      <family val="2"/>
    </font>
    <font>
      <b/>
      <sz val="12"/>
      <color theme="1"/>
      <name val="Times New Roman"/>
      <family val="2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0"/>
      <color indexed="12"/>
      <name val="Arial"/>
      <family val="2"/>
    </font>
    <font>
      <b/>
      <u/>
      <sz val="10"/>
      <name val="Arial"/>
      <family val="2"/>
    </font>
    <font>
      <b/>
      <i/>
      <sz val="10"/>
      <color rgb="FFFF0000"/>
      <name val="Arial"/>
      <family val="2"/>
    </font>
    <font>
      <b/>
      <i/>
      <sz val="9"/>
      <color rgb="FFFF0000"/>
      <name val="Arial"/>
      <family val="2"/>
    </font>
  </fonts>
  <fills count="80">
    <fill>
      <patternFill patternType="none"/>
    </fill>
    <fill>
      <patternFill patternType="gray125"/>
    </fill>
    <fill>
      <patternFill patternType="solid">
        <fgColor indexed="8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gray0625"/>
    </fill>
    <fill>
      <patternFill patternType="solid">
        <fgColor indexed="55"/>
        <bgColor indexed="64"/>
      </patternFill>
    </fill>
    <fill>
      <patternFill patternType="gray0625">
        <fgColor indexed="15"/>
      </patternFill>
    </fill>
    <fill>
      <patternFill patternType="solid">
        <fgColor indexed="42"/>
        <bgColor indexed="43"/>
      </patternFill>
    </fill>
    <fill>
      <patternFill patternType="solid">
        <fgColor indexed="4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23"/>
      </patternFill>
    </fill>
    <fill>
      <patternFill patternType="solid">
        <fgColor indexed="14"/>
      </patternFill>
    </fill>
    <fill>
      <patternFill patternType="solid">
        <fgColor rgb="FFFFEB9C"/>
      </patternFill>
    </fill>
    <fill>
      <patternFill patternType="solid">
        <fgColor rgb="FF707C8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7424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lightGray">
        <bgColor theme="2" tint="-0.24994659260841701"/>
      </patternFill>
    </fill>
    <fill>
      <patternFill patternType="solid">
        <fgColor rgb="FF00336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23283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/>
        <bgColor theme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CC99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</fills>
  <borders count="78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9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8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rgb="FF707C8A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7"/>
      </bottom>
      <diagonal/>
    </border>
    <border>
      <left/>
      <right/>
      <top/>
      <bottom style="medium">
        <color theme="0" tint="-0.499984740745262"/>
      </bottom>
      <diagonal/>
    </border>
    <border>
      <left/>
      <right/>
      <top/>
      <bottom style="thin">
        <color theme="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/>
      <bottom style="dashed">
        <color rgb="FFBFBFBF"/>
      </bottom>
      <diagonal/>
    </border>
    <border>
      <left/>
      <right/>
      <top style="medium">
        <color rgb="FF0096D7"/>
      </top>
      <bottom/>
      <diagonal/>
    </border>
    <border>
      <left/>
      <right/>
      <top/>
      <bottom style="thick">
        <color rgb="FF0096D7"/>
      </bottom>
      <diagonal/>
    </border>
    <border>
      <left/>
      <right/>
      <top/>
      <bottom style="thin">
        <color rgb="FFBFBFB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2961">
    <xf numFmtId="0" fontId="0" fillId="0" borderId="0"/>
    <xf numFmtId="0" fontId="30" fillId="0" borderId="0"/>
    <xf numFmtId="180" fontId="30" fillId="0" borderId="0" applyFont="0" applyFill="0" applyBorder="0" applyAlignment="0" applyProtection="0"/>
    <xf numFmtId="0" fontId="66" fillId="0" borderId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6" fontId="67" fillId="0" borderId="0" applyFont="0" applyFill="0" applyBorder="0" applyAlignment="0" applyProtection="0"/>
    <xf numFmtId="38" fontId="67" fillId="0" borderId="0" applyFont="0" applyFill="0" applyBorder="0" applyAlignment="0" applyProtection="0"/>
    <xf numFmtId="184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81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186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0" fontId="71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1" fillId="0" borderId="0"/>
    <xf numFmtId="0" fontId="71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0" fontId="69" fillId="0" borderId="0"/>
    <xf numFmtId="0" fontId="70" fillId="0" borderId="0"/>
    <xf numFmtId="0" fontId="69" fillId="0" borderId="0"/>
    <xf numFmtId="0" fontId="70" fillId="0" borderId="0"/>
    <xf numFmtId="0" fontId="70" fillId="0" borderId="0"/>
    <xf numFmtId="0" fontId="70" fillId="0" borderId="0"/>
    <xf numFmtId="0" fontId="68" fillId="0" borderId="0"/>
    <xf numFmtId="0" fontId="71" fillId="0" borderId="0"/>
    <xf numFmtId="0" fontId="68" fillId="0" borderId="0"/>
    <xf numFmtId="188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69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0" fontId="70" fillId="0" borderId="0"/>
    <xf numFmtId="187" fontId="30" fillId="0" borderId="0" applyFont="0" applyFill="0" applyBorder="0" applyAlignment="0" applyProtection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0" fontId="70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69" fillId="0" borderId="0"/>
    <xf numFmtId="0" fontId="44" fillId="0" borderId="0"/>
    <xf numFmtId="0" fontId="69" fillId="0" borderId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181" fontId="30" fillId="0" borderId="0" applyFont="0" applyFill="0" applyBorder="0" applyAlignment="0" applyProtection="0"/>
    <xf numFmtId="0" fontId="30" fillId="0" borderId="0"/>
    <xf numFmtId="0" fontId="30" fillId="0" borderId="0"/>
    <xf numFmtId="181" fontId="30" fillId="0" borderId="0" applyFont="0" applyFill="0" applyBorder="0" applyAlignment="0" applyProtection="0"/>
    <xf numFmtId="0" fontId="68" fillId="0" borderId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9" fillId="0" borderId="0"/>
    <xf numFmtId="188" fontId="30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8" fontId="67" fillId="0" borderId="0" applyFont="0" applyFill="0" applyBorder="0" applyAlignment="0" applyProtection="0"/>
    <xf numFmtId="0" fontId="68" fillId="0" borderId="0"/>
    <xf numFmtId="40" fontId="67" fillId="0" borderId="0" applyFont="0" applyFill="0" applyBorder="0" applyAlignment="0" applyProtection="0"/>
    <xf numFmtId="0" fontId="68" fillId="0" borderId="0"/>
    <xf numFmtId="0" fontId="68" fillId="0" borderId="0"/>
    <xf numFmtId="8" fontId="67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69" fillId="0" borderId="0"/>
    <xf numFmtId="0" fontId="69" fillId="0" borderId="0"/>
    <xf numFmtId="180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69" fillId="0" borderId="0"/>
    <xf numFmtId="180" fontId="30" fillId="0" borderId="0" applyFont="0" applyFill="0" applyBorder="0" applyAlignment="0" applyProtection="0"/>
    <xf numFmtId="0" fontId="71" fillId="0" borderId="0"/>
    <xf numFmtId="0" fontId="69" fillId="0" borderId="0"/>
    <xf numFmtId="0" fontId="67" fillId="0" borderId="0"/>
    <xf numFmtId="0" fontId="72" fillId="0" borderId="0"/>
    <xf numFmtId="0" fontId="73" fillId="0" borderId="0"/>
    <xf numFmtId="0" fontId="30" fillId="0" borderId="0"/>
    <xf numFmtId="0" fontId="70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0" fontId="70" fillId="0" borderId="0"/>
    <xf numFmtId="188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70" fillId="0" borderId="0"/>
    <xf numFmtId="185" fontId="30" fillId="0" borderId="0" applyFont="0" applyFill="0" applyBorder="0" applyAlignment="0" applyProtection="0"/>
    <xf numFmtId="0" fontId="70" fillId="0" borderId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3" fontId="30" fillId="0" borderId="0" applyFont="0" applyFill="0" applyBorder="0" applyAlignment="0" applyProtection="0"/>
    <xf numFmtId="0" fontId="70" fillId="0" borderId="0"/>
    <xf numFmtId="0" fontId="70" fillId="0" borderId="0"/>
    <xf numFmtId="183" fontId="30" fillId="0" borderId="0" applyFont="0" applyFill="0" applyBorder="0" applyAlignment="0" applyProtection="0"/>
    <xf numFmtId="0" fontId="7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188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30" fillId="0" borderId="0"/>
    <xf numFmtId="188" fontId="30" fillId="0" borderId="0" applyFont="0" applyFill="0" applyBorder="0" applyAlignment="0" applyProtection="0"/>
    <xf numFmtId="0" fontId="68" fillId="0" borderId="0"/>
    <xf numFmtId="187" fontId="30" fillId="0" borderId="0" applyFont="0" applyFill="0" applyBorder="0" applyAlignment="0" applyProtection="0"/>
    <xf numFmtId="0" fontId="68" fillId="0" borderId="0"/>
    <xf numFmtId="0" fontId="68" fillId="0" borderId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187" fontId="30" fillId="0" borderId="0" applyFont="0" applyFill="0" applyBorder="0" applyAlignment="0" applyProtection="0"/>
    <xf numFmtId="0" fontId="68" fillId="0" borderId="0"/>
    <xf numFmtId="0" fontId="69" fillId="0" borderId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90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0" fontId="44" fillId="0" borderId="0"/>
    <xf numFmtId="0" fontId="44" fillId="0" borderId="0"/>
    <xf numFmtId="185" fontId="30" fillId="0" borderId="0" applyFont="0" applyFill="0" applyBorder="0" applyAlignment="0" applyProtection="0"/>
    <xf numFmtId="185" fontId="30" fillId="0" borderId="0" applyFont="0" applyFill="0" applyBorder="0" applyAlignment="0" applyProtection="0"/>
    <xf numFmtId="0" fontId="44" fillId="0" borderId="0"/>
    <xf numFmtId="185" fontId="30" fillId="0" borderId="0" applyFont="0" applyFill="0" applyBorder="0" applyAlignment="0" applyProtection="0"/>
    <xf numFmtId="0" fontId="30" fillId="0" borderId="0"/>
    <xf numFmtId="0" fontId="72" fillId="0" borderId="0"/>
    <xf numFmtId="0" fontId="70" fillId="0" borderId="0"/>
    <xf numFmtId="0" fontId="69" fillId="0" borderId="0"/>
    <xf numFmtId="191" fontId="30" fillId="0" borderId="0" applyFont="0" applyFill="0" applyBorder="0" applyAlignment="0" applyProtection="0"/>
    <xf numFmtId="0" fontId="69" fillId="0" borderId="0"/>
    <xf numFmtId="191" fontId="30" fillId="0" borderId="0" applyFont="0" applyFill="0" applyBorder="0" applyAlignment="0" applyProtection="0"/>
    <xf numFmtId="191" fontId="30" fillId="0" borderId="0" applyFont="0" applyFill="0" applyBorder="0" applyAlignment="0" applyProtection="0"/>
    <xf numFmtId="0" fontId="69" fillId="0" borderId="0"/>
    <xf numFmtId="0" fontId="69" fillId="0" borderId="0"/>
    <xf numFmtId="0" fontId="69" fillId="0" borderId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177" fontId="30" fillId="0" borderId="0" applyFont="0" applyFill="0" applyBorder="0" applyAlignment="0" applyProtection="0"/>
    <xf numFmtId="192" fontId="30" fillId="0" borderId="0" applyFont="0" applyFill="0" applyBorder="0" applyAlignment="0" applyProtection="0"/>
    <xf numFmtId="39" fontId="30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193" fontId="30" fillId="0" borderId="0">
      <alignment horizontal="left" wrapText="1"/>
    </xf>
    <xf numFmtId="193" fontId="30" fillId="0" borderId="0">
      <alignment horizontal="left" wrapText="1"/>
    </xf>
    <xf numFmtId="169" fontId="30" fillId="0" borderId="0">
      <alignment horizontal="left" wrapText="1"/>
    </xf>
    <xf numFmtId="169" fontId="30" fillId="0" borderId="0">
      <alignment horizontal="left" wrapText="1"/>
    </xf>
    <xf numFmtId="194" fontId="30" fillId="0" borderId="0" applyFont="0" applyFill="0" applyBorder="0" applyAlignment="0" applyProtection="0"/>
    <xf numFmtId="195" fontId="30" fillId="0" borderId="0" applyFont="0" applyFill="0" applyBorder="0" applyAlignment="0" applyProtection="0"/>
    <xf numFmtId="196" fontId="30" fillId="0" borderId="0" applyFont="0" applyFill="0" applyBorder="0" applyAlignment="0" applyProtection="0"/>
    <xf numFmtId="197" fontId="30" fillId="0" borderId="0" applyFont="0" applyFill="0" applyBorder="0" applyAlignment="0" applyProtection="0"/>
    <xf numFmtId="0" fontId="30" fillId="0" borderId="0">
      <alignment horizontal="left" wrapText="1"/>
    </xf>
    <xf numFmtId="0" fontId="74" fillId="0" borderId="0" applyNumberFormat="0" applyFill="0" applyBorder="0" applyAlignment="0" applyProtection="0"/>
    <xf numFmtId="198" fontId="30" fillId="0" borderId="0" applyFont="0" applyFill="0" applyBorder="0" applyAlignment="0" applyProtection="0"/>
    <xf numFmtId="199" fontId="30" fillId="0" borderId="0" applyFont="0" applyFill="0" applyBorder="0" applyAlignment="0" applyProtection="0"/>
    <xf numFmtId="200" fontId="30" fillId="0" borderId="0" applyFont="0" applyFill="0" applyBorder="0" applyAlignment="0" applyProtection="0"/>
    <xf numFmtId="201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169" fontId="30" fillId="0" borderId="0">
      <alignment horizontal="left" wrapText="1"/>
    </xf>
    <xf numFmtId="38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30" fillId="0" borderId="0" applyFont="0" applyFill="0" applyBorder="0" applyAlignment="0" applyProtection="0"/>
    <xf numFmtId="169" fontId="30" fillId="0" borderId="0">
      <alignment horizontal="left" wrapText="1"/>
    </xf>
    <xf numFmtId="169" fontId="30" fillId="0" borderId="0">
      <alignment horizontal="left" wrapText="1"/>
    </xf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37" fontId="75" fillId="0" borderId="0"/>
    <xf numFmtId="0" fontId="30" fillId="0" borderId="0"/>
    <xf numFmtId="0" fontId="30" fillId="0" borderId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4" fillId="4" borderId="0" applyNumberFormat="0" applyBorder="0" applyAlignment="0" applyProtection="0"/>
    <xf numFmtId="0" fontId="25" fillId="5" borderId="0" applyNumberFormat="0" applyBorder="0" applyAlignment="0" applyProtection="0"/>
    <xf numFmtId="0" fontId="24" fillId="6" borderId="0" applyNumberFormat="0" applyBorder="0" applyAlignment="0" applyProtection="0"/>
    <xf numFmtId="0" fontId="25" fillId="7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9" borderId="0" applyNumberFormat="0" applyBorder="0" applyAlignment="0" applyProtection="0"/>
    <xf numFmtId="0" fontId="24" fillId="4" borderId="0" applyNumberFormat="0" applyBorder="0" applyAlignment="0" applyProtection="0"/>
    <xf numFmtId="0" fontId="25" fillId="4" borderId="0" applyNumberFormat="0" applyBorder="0" applyAlignment="0" applyProtection="0"/>
    <xf numFmtId="0" fontId="24" fillId="2" borderId="0" applyNumberFormat="0" applyBorder="0" applyAlignment="0" applyProtection="0"/>
    <xf numFmtId="0" fontId="25" fillId="10" borderId="0" applyNumberFormat="0" applyBorder="0" applyAlignment="0" applyProtection="0"/>
    <xf numFmtId="0" fontId="24" fillId="11" borderId="0" applyNumberFormat="0" applyBorder="0" applyAlignment="0" applyProtection="0"/>
    <xf numFmtId="0" fontId="25" fillId="11" borderId="0" applyNumberFormat="0" applyBorder="0" applyAlignment="0" applyProtection="0"/>
    <xf numFmtId="0" fontId="24" fillId="12" borderId="0" applyNumberFormat="0" applyBorder="0" applyAlignment="0" applyProtection="0"/>
    <xf numFmtId="0" fontId="25" fillId="13" borderId="0" applyNumberFormat="0" applyBorder="0" applyAlignment="0" applyProtection="0"/>
    <xf numFmtId="0" fontId="24" fillId="2" borderId="0" applyNumberFormat="0" applyBorder="0" applyAlignment="0" applyProtection="0"/>
    <xf numFmtId="0" fontId="25" fillId="8" borderId="0" applyNumberFormat="0" applyBorder="0" applyAlignment="0" applyProtection="0"/>
    <xf numFmtId="0" fontId="24" fillId="10" borderId="0" applyNumberFormat="0" applyBorder="0" applyAlignment="0" applyProtection="0"/>
    <xf numFmtId="0" fontId="25" fillId="10" borderId="0" applyNumberFormat="0" applyBorder="0" applyAlignment="0" applyProtection="0"/>
    <xf numFmtId="0" fontId="24" fillId="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76" fillId="16" borderId="0" applyNumberFormat="0" applyBorder="0" applyAlignment="0" applyProtection="0"/>
    <xf numFmtId="0" fontId="25" fillId="11" borderId="0" applyNumberFormat="0" applyBorder="0" applyAlignment="0" applyProtection="0"/>
    <xf numFmtId="0" fontId="76" fillId="11" borderId="0" applyNumberFormat="0" applyBorder="0" applyAlignment="0" applyProtection="0"/>
    <xf numFmtId="0" fontId="25" fillId="12" borderId="0" applyNumberFormat="0" applyBorder="0" applyAlignment="0" applyProtection="0"/>
    <xf numFmtId="0" fontId="76" fillId="13" borderId="0" applyNumberFormat="0" applyBorder="0" applyAlignment="0" applyProtection="0"/>
    <xf numFmtId="0" fontId="25" fillId="17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4" borderId="0" applyNumberFormat="0" applyBorder="0" applyAlignment="0" applyProtection="0"/>
    <xf numFmtId="0" fontId="76" fillId="19" borderId="0" applyNumberFormat="0" applyBorder="0" applyAlignment="0" applyProtection="0"/>
    <xf numFmtId="0" fontId="27" fillId="0" borderId="0"/>
    <xf numFmtId="0" fontId="25" fillId="15" borderId="0" applyNumberFormat="0" applyBorder="0" applyAlignment="0" applyProtection="0"/>
    <xf numFmtId="0" fontId="76" fillId="20" borderId="0" applyNumberFormat="0" applyBorder="0" applyAlignment="0" applyProtection="0"/>
    <xf numFmtId="0" fontId="25" fillId="21" borderId="0" applyNumberFormat="0" applyBorder="0" applyAlignment="0" applyProtection="0"/>
    <xf numFmtId="0" fontId="76" fillId="22" borderId="0" applyNumberFormat="0" applyBorder="0" applyAlignment="0" applyProtection="0"/>
    <xf numFmtId="0" fontId="25" fillId="23" borderId="0" applyNumberFormat="0" applyBorder="0" applyAlignment="0" applyProtection="0"/>
    <xf numFmtId="0" fontId="76" fillId="23" borderId="0" applyNumberFormat="0" applyBorder="0" applyAlignment="0" applyProtection="0"/>
    <xf numFmtId="0" fontId="25" fillId="24" borderId="0" applyNumberFormat="0" applyBorder="0" applyAlignment="0" applyProtection="0"/>
    <xf numFmtId="0" fontId="76" fillId="18" borderId="0" applyNumberFormat="0" applyBorder="0" applyAlignment="0" applyProtection="0"/>
    <xf numFmtId="0" fontId="25" fillId="15" borderId="0" applyNumberFormat="0" applyBorder="0" applyAlignment="0" applyProtection="0"/>
    <xf numFmtId="0" fontId="76" fillId="15" borderId="0" applyNumberFormat="0" applyBorder="0" applyAlignment="0" applyProtection="0"/>
    <xf numFmtId="0" fontId="25" fillId="21" borderId="0" applyNumberFormat="0" applyBorder="0" applyAlignment="0" applyProtection="0"/>
    <xf numFmtId="0" fontId="76" fillId="21" borderId="0" applyNumberFormat="0" applyBorder="0" applyAlignment="0" applyProtection="0"/>
    <xf numFmtId="202" fontId="30" fillId="25" borderId="1">
      <alignment horizontal="center" vertical="center"/>
    </xf>
    <xf numFmtId="203" fontId="77" fillId="0" borderId="0" applyNumberFormat="0" applyFill="0" applyBorder="0" applyAlignment="0">
      <alignment vertical="top"/>
      <protection locked="0"/>
    </xf>
    <xf numFmtId="0" fontId="26" fillId="5" borderId="0" applyNumberFormat="0" applyBorder="0" applyAlignment="0" applyProtection="0"/>
    <xf numFmtId="0" fontId="26" fillId="5" borderId="0" applyNumberFormat="0" applyBorder="0" applyAlignment="0" applyProtection="0"/>
    <xf numFmtId="37" fontId="49" fillId="0" borderId="0" applyFill="0" applyBorder="0" applyProtection="0"/>
    <xf numFmtId="0" fontId="78" fillId="0" borderId="0"/>
    <xf numFmtId="0" fontId="79" fillId="0" borderId="2" applyNumberFormat="0" applyFont="0" applyFill="0" applyAlignment="0" applyProtection="0"/>
    <xf numFmtId="0" fontId="79" fillId="0" borderId="3" applyNumberFormat="0" applyFont="0" applyFill="0" applyAlignment="0" applyProtection="0"/>
    <xf numFmtId="170" fontId="27" fillId="0" borderId="0" applyNumberFormat="0" applyFont="0" applyAlignment="0" applyProtection="0"/>
    <xf numFmtId="0" fontId="28" fillId="2" borderId="4" applyNumberFormat="0" applyAlignment="0" applyProtection="0"/>
    <xf numFmtId="0" fontId="28" fillId="26" borderId="4" applyNumberFormat="0" applyAlignment="0" applyProtection="0"/>
    <xf numFmtId="0" fontId="44" fillId="0" borderId="0">
      <alignment horizontal="centerContinuous"/>
    </xf>
    <xf numFmtId="0" fontId="29" fillId="27" borderId="5" applyNumberFormat="0" applyAlignment="0" applyProtection="0"/>
    <xf numFmtId="0" fontId="80" fillId="27" borderId="5" applyNumberFormat="0" applyAlignment="0" applyProtection="0"/>
    <xf numFmtId="43" fontId="18" fillId="0" borderId="0" applyFont="0" applyFill="0" applyBorder="0" applyAlignment="0" applyProtection="0"/>
    <xf numFmtId="204" fontId="41" fillId="0" borderId="0" applyFont="0" applyFill="0" applyBorder="0" applyAlignment="0" applyProtection="0">
      <alignment horizontal="right"/>
    </xf>
    <xf numFmtId="39" fontId="75" fillId="0" borderId="0"/>
    <xf numFmtId="37" fontId="75" fillId="0" borderId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3" fontId="31" fillId="0" borderId="0" applyFont="0" applyFill="0" applyBorder="0" applyAlignment="0" applyProtection="0"/>
    <xf numFmtId="0" fontId="32" fillId="0" borderId="0"/>
    <xf numFmtId="172" fontId="30" fillId="0" borderId="0" applyFont="0" applyFill="0" applyBorder="0" applyAlignment="0" applyProtection="0"/>
    <xf numFmtId="205" fontId="82" fillId="0" borderId="0">
      <alignment horizontal="center"/>
    </xf>
    <xf numFmtId="44" fontId="18" fillId="0" borderId="0" applyFont="0" applyFill="0" applyBorder="0" applyAlignment="0" applyProtection="0"/>
    <xf numFmtId="178" fontId="19" fillId="0" borderId="0" applyFont="0" applyFill="0" applyBorder="0" applyAlignment="0"/>
    <xf numFmtId="8" fontId="30" fillId="0" borderId="0" applyFont="0" applyFill="0" applyBorder="0" applyAlignment="0"/>
    <xf numFmtId="37" fontId="75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4" fontId="30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83" fillId="0" borderId="0" applyNumberFormat="0" applyFill="0" applyBorder="0"/>
    <xf numFmtId="0" fontId="31" fillId="0" borderId="0" applyFont="0" applyFill="0" applyBorder="0" applyAlignment="0" applyProtection="0"/>
    <xf numFmtId="207" fontId="85" fillId="28" borderId="6" applyFont="0" applyFill="0" applyBorder="0" applyAlignment="0" applyProtection="0"/>
    <xf numFmtId="208" fontId="19" fillId="28" borderId="0" applyFont="0" applyFill="0" applyBorder="0" applyAlignment="0" applyProtection="0"/>
    <xf numFmtId="209" fontId="58" fillId="0" borderId="7"/>
    <xf numFmtId="0" fontId="81" fillId="0" borderId="0" applyFont="0" applyFill="0" applyBorder="0" applyAlignment="0" applyProtection="0"/>
    <xf numFmtId="210" fontId="30" fillId="0" borderId="0" applyFont="0" applyFill="0" applyBorder="0" applyAlignment="0" applyProtection="0"/>
    <xf numFmtId="207" fontId="58" fillId="0" borderId="0" applyFill="0" applyBorder="0">
      <alignment horizontal="right"/>
    </xf>
    <xf numFmtId="211" fontId="30" fillId="0" borderId="0" applyFont="0" applyFill="0" applyBorder="0" applyAlignment="0" applyProtection="0">
      <alignment vertical="top"/>
    </xf>
    <xf numFmtId="212" fontId="50" fillId="0" borderId="0" applyFont="0" applyFill="0" applyBorder="0" applyAlignment="0" applyProtection="0"/>
    <xf numFmtId="213" fontId="30" fillId="0" borderId="0" applyFont="0" applyFill="0" applyBorder="0" applyAlignment="0" applyProtection="0">
      <alignment horizontal="right"/>
    </xf>
    <xf numFmtId="40" fontId="86" fillId="0" borderId="0"/>
    <xf numFmtId="214" fontId="30" fillId="0" borderId="0" applyFont="0" applyFill="0" applyBorder="0" applyAlignment="0" applyProtection="0"/>
    <xf numFmtId="215" fontId="30" fillId="0" borderId="0" applyFont="0" applyFill="0" applyBorder="0" applyAlignment="0" applyProtection="0"/>
    <xf numFmtId="0" fontId="87" fillId="0" borderId="0" applyNumberFormat="0"/>
    <xf numFmtId="0" fontId="88" fillId="0" borderId="0">
      <alignment horizontal="centerContinuous"/>
    </xf>
    <xf numFmtId="0" fontId="88" fillId="0" borderId="0" applyNumberFormat="0"/>
    <xf numFmtId="5" fontId="30" fillId="0" borderId="0"/>
    <xf numFmtId="0" fontId="89" fillId="0" borderId="7" applyFont="0" applyFill="0" applyBorder="0" applyAlignment="0" applyProtection="0"/>
    <xf numFmtId="0" fontId="81" fillId="0" borderId="8" applyNumberFormat="0" applyFont="0" applyFill="0" applyAlignment="0" applyProtection="0"/>
    <xf numFmtId="37" fontId="75" fillId="0" borderId="0"/>
    <xf numFmtId="216" fontId="30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217" fontId="56" fillId="0" borderId="0" applyFont="0" applyFill="0" applyBorder="0" applyAlignment="0" applyProtection="0">
      <alignment horizontal="right"/>
    </xf>
    <xf numFmtId="205" fontId="82" fillId="0" borderId="0">
      <alignment horizontal="center"/>
    </xf>
    <xf numFmtId="2" fontId="31" fillId="0" borderId="0" applyFont="0" applyFill="0" applyBorder="0" applyAlignment="0" applyProtection="0"/>
    <xf numFmtId="218" fontId="30" fillId="28" borderId="0" applyFont="0" applyFill="0" applyBorder="0" applyAlignment="0"/>
    <xf numFmtId="2" fontId="30" fillId="0" borderId="0" applyFont="0" applyFill="0" applyBorder="0" applyAlignment="0" applyProtection="0"/>
    <xf numFmtId="0" fontId="32" fillId="0" borderId="0"/>
    <xf numFmtId="0" fontId="79" fillId="0" borderId="0" applyFill="0" applyBorder="0" applyProtection="0">
      <alignment horizontal="left"/>
    </xf>
    <xf numFmtId="219" fontId="30" fillId="0" borderId="0"/>
    <xf numFmtId="219" fontId="77" fillId="0" borderId="9"/>
    <xf numFmtId="0" fontId="90" fillId="0" borderId="0">
      <alignment horizontal="right"/>
    </xf>
    <xf numFmtId="0" fontId="90" fillId="0" borderId="0"/>
    <xf numFmtId="37" fontId="19" fillId="0" borderId="0"/>
    <xf numFmtId="0" fontId="34" fillId="7" borderId="0" applyNumberFormat="0" applyBorder="0" applyAlignment="0" applyProtection="0"/>
    <xf numFmtId="0" fontId="34" fillId="7" borderId="0" applyNumberFormat="0" applyBorder="0" applyAlignment="0" applyProtection="0"/>
    <xf numFmtId="38" fontId="19" fillId="29" borderId="0" applyNumberFormat="0" applyBorder="0" applyAlignment="0" applyProtection="0"/>
    <xf numFmtId="0" fontId="81" fillId="0" borderId="0" applyFont="0" applyFill="0" applyBorder="0" applyAlignment="0" applyProtection="0">
      <alignment horizontal="right"/>
    </xf>
    <xf numFmtId="0" fontId="91" fillId="0" borderId="0" applyNumberFormat="0" applyFill="0" applyBorder="0" applyAlignment="0" applyProtection="0"/>
    <xf numFmtId="0" fontId="23" fillId="0" borderId="10" applyNumberFormat="0" applyAlignment="0" applyProtection="0">
      <alignment horizontal="left" vertical="center"/>
    </xf>
    <xf numFmtId="0" fontId="23" fillId="0" borderId="11">
      <alignment horizontal="left" vertical="center"/>
    </xf>
    <xf numFmtId="0" fontId="35" fillId="0" borderId="0" applyNumberFormat="0" applyFill="0" applyBorder="0" applyAlignment="0" applyProtection="0"/>
    <xf numFmtId="0" fontId="63" fillId="0" borderId="0" applyNumberFormat="0" applyFont="0" applyFill="0" applyAlignment="0" applyProtection="0"/>
    <xf numFmtId="0" fontId="36" fillId="0" borderId="0" applyNumberFormat="0" applyFill="0" applyBorder="0" applyAlignment="0" applyProtection="0"/>
    <xf numFmtId="0" fontId="23" fillId="0" borderId="0" applyNumberFormat="0" applyFont="0" applyFill="0" applyAlignment="0" applyProtection="0"/>
    <xf numFmtId="0" fontId="37" fillId="0" borderId="12" applyNumberFormat="0" applyFill="0" applyAlignment="0" applyProtection="0"/>
    <xf numFmtId="0" fontId="92" fillId="0" borderId="0" applyProtection="0">
      <alignment horizontal="left"/>
    </xf>
    <xf numFmtId="0" fontId="37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206" fontId="94" fillId="0" borderId="0">
      <protection locked="0"/>
    </xf>
    <xf numFmtId="206" fontId="94" fillId="0" borderId="0">
      <protection locked="0"/>
    </xf>
    <xf numFmtId="220" fontId="30" fillId="0" borderId="0">
      <alignment horizontal="left"/>
    </xf>
    <xf numFmtId="37" fontId="75" fillId="0" borderId="0"/>
    <xf numFmtId="0" fontId="77" fillId="0" borderId="13" applyNumberFormat="0" applyFill="0" applyAlignment="0" applyProtection="0"/>
    <xf numFmtId="0" fontId="38" fillId="4" borderId="4" applyNumberFormat="0" applyAlignment="0" applyProtection="0"/>
    <xf numFmtId="10" fontId="19" fillId="28" borderId="9" applyNumberFormat="0" applyBorder="0" applyAlignment="0" applyProtection="0"/>
    <xf numFmtId="0" fontId="38" fillId="4" borderId="4" applyNumberFormat="0" applyAlignment="0" applyProtection="0"/>
    <xf numFmtId="41" fontId="51" fillId="0" borderId="0">
      <alignment horizontal="left"/>
    </xf>
    <xf numFmtId="0" fontId="39" fillId="0" borderId="14" applyNumberFormat="0" applyFill="0" applyAlignment="0" applyProtection="0"/>
    <xf numFmtId="0" fontId="39" fillId="0" borderId="14" applyNumberFormat="0" applyFill="0" applyAlignment="0" applyProtection="0"/>
    <xf numFmtId="168" fontId="30" fillId="0" borderId="0"/>
    <xf numFmtId="14" fontId="75" fillId="0" borderId="0">
      <alignment horizontal="center"/>
    </xf>
    <xf numFmtId="37" fontId="30" fillId="0" borderId="0" applyFont="0" applyFill="0" applyBorder="0" applyAlignment="0" applyProtection="0"/>
    <xf numFmtId="221" fontId="30" fillId="0" borderId="0" applyFont="0" applyFill="0" applyBorder="0" applyAlignment="0" applyProtection="0">
      <alignment horizontal="left" wrapText="1"/>
    </xf>
    <xf numFmtId="37" fontId="75" fillId="0" borderId="9">
      <alignment horizontal="right"/>
    </xf>
    <xf numFmtId="37" fontId="75" fillId="0" borderId="0">
      <alignment horizontal="center"/>
    </xf>
    <xf numFmtId="37" fontId="75" fillId="0" borderId="0">
      <alignment horizontal="center"/>
    </xf>
    <xf numFmtId="17" fontId="75" fillId="0" borderId="0">
      <alignment horizontal="center"/>
    </xf>
    <xf numFmtId="222" fontId="81" fillId="0" borderId="0" applyFont="0" applyFill="0" applyBorder="0" applyProtection="0">
      <alignment horizontal="right"/>
    </xf>
    <xf numFmtId="0" fontId="49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23" fontId="19" fillId="29" borderId="0" applyFont="0" applyBorder="0" applyAlignment="0" applyProtection="0">
      <alignment horizontal="right"/>
      <protection hidden="1"/>
    </xf>
    <xf numFmtId="0" fontId="40" fillId="12" borderId="0" applyNumberFormat="0" applyBorder="0" applyAlignment="0" applyProtection="0"/>
    <xf numFmtId="0" fontId="40" fillId="12" borderId="0" applyNumberFormat="0" applyBorder="0" applyAlignment="0" applyProtection="0"/>
    <xf numFmtId="37" fontId="95" fillId="0" borderId="0"/>
    <xf numFmtId="224" fontId="96" fillId="0" borderId="0"/>
    <xf numFmtId="0" fontId="42" fillId="0" borderId="0"/>
    <xf numFmtId="0" fontId="42" fillId="0" borderId="0"/>
    <xf numFmtId="38" fontId="19" fillId="0" borderId="0" applyFont="0" applyFill="0" applyBorder="0" applyAlignment="0"/>
    <xf numFmtId="208" fontId="30" fillId="0" borderId="0" applyFont="0" applyFill="0" applyBorder="0" applyAlignment="0"/>
    <xf numFmtId="40" fontId="19" fillId="0" borderId="0" applyFont="0" applyFill="0" applyBorder="0" applyAlignment="0"/>
    <xf numFmtId="225" fontId="19" fillId="0" borderId="0" applyFont="0" applyFill="0" applyBorder="0" applyAlignment="0"/>
    <xf numFmtId="0" fontId="30" fillId="0" borderId="0"/>
    <xf numFmtId="0" fontId="30" fillId="0" borderId="0"/>
    <xf numFmtId="0" fontId="18" fillId="0" borderId="0"/>
    <xf numFmtId="208" fontId="58" fillId="0" borderId="0" applyNumberFormat="0" applyFill="0" applyBorder="0" applyAlignment="0" applyProtection="0"/>
    <xf numFmtId="226" fontId="19" fillId="0" borderId="0" applyFont="0" applyFill="0" applyBorder="0" applyAlignment="0" applyProtection="0"/>
    <xf numFmtId="0" fontId="30" fillId="0" borderId="0"/>
    <xf numFmtId="2" fontId="22" fillId="0" borderId="0" applyFont="0" applyFill="0" applyBorder="0">
      <alignment horizontal="center" vertical="top" wrapText="1" shrinkToFit="1"/>
    </xf>
    <xf numFmtId="0" fontId="97" fillId="0" borderId="0"/>
    <xf numFmtId="0" fontId="18" fillId="6" borderId="15" applyNumberFormat="0" applyFont="0" applyAlignment="0" applyProtection="0"/>
    <xf numFmtId="0" fontId="30" fillId="6" borderId="16" applyNumberFormat="0" applyFont="0" applyAlignment="0" applyProtection="0"/>
    <xf numFmtId="43" fontId="52" fillId="0" borderId="0"/>
    <xf numFmtId="227" fontId="19" fillId="0" borderId="0" applyFont="0" applyFill="0" applyBorder="0" applyAlignment="0" applyProtection="0"/>
    <xf numFmtId="170" fontId="42" fillId="0" borderId="0" applyProtection="0"/>
    <xf numFmtId="173" fontId="53" fillId="0" borderId="0"/>
    <xf numFmtId="228" fontId="19" fillId="0" borderId="0" applyFont="0" applyFill="0" applyBorder="0" applyAlignment="0" applyProtection="0"/>
    <xf numFmtId="37" fontId="32" fillId="30" borderId="9" applyNumberFormat="0" applyFont="0" applyFill="0" applyAlignment="0" applyProtection="0"/>
    <xf numFmtId="0" fontId="43" fillId="2" borderId="17" applyNumberFormat="0" applyAlignment="0" applyProtection="0"/>
    <xf numFmtId="0" fontId="43" fillId="26" borderId="17" applyNumberFormat="0" applyAlignment="0" applyProtection="0"/>
    <xf numFmtId="0" fontId="98" fillId="0" borderId="0" applyFill="0" applyBorder="0" applyProtection="0">
      <alignment horizontal="left"/>
    </xf>
    <xf numFmtId="0" fontId="99" fillId="0" borderId="0" applyFill="0" applyBorder="0" applyProtection="0">
      <alignment horizontal="left"/>
    </xf>
    <xf numFmtId="1" fontId="100" fillId="0" borderId="0" applyProtection="0">
      <alignment horizontal="right" vertical="center"/>
    </xf>
    <xf numFmtId="0" fontId="101" fillId="0" borderId="0">
      <alignment horizontal="centerContinuous"/>
    </xf>
    <xf numFmtId="205" fontId="102" fillId="0" borderId="0">
      <alignment horizontal="right"/>
    </xf>
    <xf numFmtId="205" fontId="102" fillId="0" borderId="0">
      <alignment horizontal="right"/>
    </xf>
    <xf numFmtId="0" fontId="32" fillId="0" borderId="0"/>
    <xf numFmtId="9" fontId="18" fillId="0" borderId="0" applyFont="0" applyFill="0" applyBorder="0" applyAlignment="0" applyProtection="0"/>
    <xf numFmtId="10" fontId="19" fillId="0" borderId="0"/>
    <xf numFmtId="229" fontId="30" fillId="0" borderId="0" applyFont="0" applyFill="0" applyBorder="0" applyAlignment="0"/>
    <xf numFmtId="230" fontId="19" fillId="0" borderId="0" applyFont="0" applyFill="0" applyBorder="0" applyAlignment="0"/>
    <xf numFmtId="231" fontId="30" fillId="0" borderId="0" applyFont="0" applyFill="0" applyBorder="0" applyAlignment="0"/>
    <xf numFmtId="9" fontId="30" fillId="0" borderId="0" applyFont="0" applyFill="0" applyBorder="0" applyAlignment="0" applyProtection="0"/>
    <xf numFmtId="232" fontId="79" fillId="0" borderId="0" applyFont="0" applyFill="0" applyBorder="0" applyProtection="0">
      <alignment horizontal="right"/>
    </xf>
    <xf numFmtId="233" fontId="19" fillId="0" borderId="0" applyFont="0" applyFill="0" applyBorder="0" applyAlignment="0" applyProtection="0"/>
    <xf numFmtId="37" fontId="75" fillId="0" borderId="0"/>
    <xf numFmtId="37" fontId="75" fillId="0" borderId="0"/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208" fontId="103" fillId="0" borderId="0" applyNumberFormat="0" applyFill="0" applyBorder="0" applyAlignment="0" applyProtection="0">
      <alignment horizontal="left"/>
    </xf>
    <xf numFmtId="0" fontId="104" fillId="0" borderId="18">
      <alignment vertical="center"/>
    </xf>
    <xf numFmtId="0" fontId="105" fillId="0" borderId="0"/>
    <xf numFmtId="0" fontId="106" fillId="0" borderId="0"/>
    <xf numFmtId="0" fontId="107" fillId="32" borderId="0" applyNumberFormat="0" applyFont="0" applyBorder="0" applyAlignment="0" applyProtection="0"/>
    <xf numFmtId="169" fontId="30" fillId="0" borderId="0">
      <alignment horizontal="left" wrapText="1"/>
    </xf>
    <xf numFmtId="0" fontId="30" fillId="0" borderId="0"/>
    <xf numFmtId="0" fontId="30" fillId="0" borderId="0"/>
    <xf numFmtId="193" fontId="30" fillId="0" borderId="0">
      <alignment horizontal="left" wrapText="1"/>
    </xf>
    <xf numFmtId="0" fontId="108" fillId="0" borderId="19" applyNumberFormat="0"/>
    <xf numFmtId="177" fontId="109" fillId="0" borderId="0"/>
    <xf numFmtId="0" fontId="48" fillId="0" borderId="0" applyFill="0" applyBorder="0" applyProtection="0">
      <alignment horizontal="center" vertical="center"/>
    </xf>
    <xf numFmtId="0" fontId="110" fillId="0" borderId="0" applyBorder="0" applyProtection="0">
      <alignment vertical="center"/>
    </xf>
    <xf numFmtId="0" fontId="110" fillId="0" borderId="7" applyBorder="0" applyProtection="0">
      <alignment horizontal="right" vertical="center"/>
    </xf>
    <xf numFmtId="0" fontId="111" fillId="33" borderId="0" applyBorder="0" applyProtection="0">
      <alignment horizontal="centerContinuous" vertical="center"/>
    </xf>
    <xf numFmtId="0" fontId="111" fillId="34" borderId="7" applyBorder="0" applyProtection="0">
      <alignment horizontal="centerContinuous" vertical="center"/>
    </xf>
    <xf numFmtId="0" fontId="58" fillId="0" borderId="0" applyBorder="0" applyProtection="0">
      <alignment horizontal="left"/>
    </xf>
    <xf numFmtId="0" fontId="48" fillId="0" borderId="0" applyFill="0" applyBorder="0" applyProtection="0"/>
    <xf numFmtId="0" fontId="97" fillId="0" borderId="0"/>
    <xf numFmtId="0" fontId="22" fillId="0" borderId="0" applyFill="0" applyBorder="0" applyProtection="0">
      <alignment horizontal="left"/>
    </xf>
    <xf numFmtId="0" fontId="113" fillId="0" borderId="0" applyFill="0" applyBorder="0" applyProtection="0">
      <alignment horizontal="left" vertical="top"/>
    </xf>
    <xf numFmtId="0" fontId="114" fillId="0" borderId="0">
      <alignment horizontal="centerContinuous"/>
    </xf>
    <xf numFmtId="0" fontId="115" fillId="0" borderId="0"/>
    <xf numFmtId="0" fontId="116" fillId="0" borderId="0"/>
    <xf numFmtId="234" fontId="117" fillId="0" borderId="0" applyFill="0" applyBorder="0" applyAlignment="0" applyProtection="0">
      <alignment horizontal="right"/>
    </xf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31" fillId="0" borderId="20" applyNumberFormat="0" applyFont="0" applyFill="0" applyAlignment="0" applyProtection="0"/>
    <xf numFmtId="206" fontId="84" fillId="0" borderId="21">
      <protection locked="0"/>
    </xf>
    <xf numFmtId="235" fontId="30" fillId="0" borderId="0"/>
    <xf numFmtId="38" fontId="19" fillId="35" borderId="0" applyNumberFormat="0" applyBorder="0" applyAlignment="0" applyProtection="0"/>
    <xf numFmtId="0" fontId="119" fillId="0" borderId="0">
      <alignment horizontal="fill"/>
    </xf>
    <xf numFmtId="37" fontId="19" fillId="35" borderId="0" applyNumberFormat="0" applyBorder="0" applyAlignment="0" applyProtection="0"/>
    <xf numFmtId="37" fontId="19" fillId="0" borderId="0"/>
    <xf numFmtId="37" fontId="19" fillId="29" borderId="0" applyNumberFormat="0" applyBorder="0" applyAlignment="0" applyProtection="0"/>
    <xf numFmtId="3" fontId="85" fillId="0" borderId="13" applyProtection="0"/>
    <xf numFmtId="0" fontId="30" fillId="0" borderId="0" applyFont="0" applyFill="0" applyBorder="0" applyAlignment="0" applyProtection="0"/>
    <xf numFmtId="0" fontId="30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170" fontId="79" fillId="0" borderId="0" applyFont="0" applyFill="0" applyBorder="0" applyProtection="0">
      <alignment horizontal="right"/>
    </xf>
    <xf numFmtId="0" fontId="83" fillId="34" borderId="22">
      <alignment horizontal="center" vertical="top"/>
    </xf>
    <xf numFmtId="201" fontId="82" fillId="0" borderId="0">
      <alignment horizontal="center"/>
    </xf>
    <xf numFmtId="205" fontId="30" fillId="0" borderId="0">
      <alignment horizontal="left"/>
    </xf>
    <xf numFmtId="183" fontId="30" fillId="0" borderId="0" applyFont="0" applyFill="0" applyBorder="0" applyAlignment="0" applyProtection="0"/>
    <xf numFmtId="190" fontId="30" fillId="0" borderId="0" applyFont="0" applyFill="0" applyBorder="0" applyAlignment="0" applyProtection="0"/>
    <xf numFmtId="182" fontId="30" fillId="0" borderId="0" applyFont="0" applyFill="0" applyBorder="0" applyAlignment="0" applyProtection="0"/>
    <xf numFmtId="189" fontId="30" fillId="0" borderId="0" applyFont="0" applyFill="0" applyBorder="0" applyAlignment="0" applyProtection="0"/>
    <xf numFmtId="0" fontId="30" fillId="0" borderId="0"/>
    <xf numFmtId="43" fontId="121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0" fillId="6" borderId="15" applyNumberFormat="0" applyFont="0" applyAlignment="0" applyProtection="0"/>
    <xf numFmtId="9" fontId="30" fillId="0" borderId="0" applyFont="0" applyFill="0" applyBorder="0" applyAlignment="0" applyProtection="0"/>
    <xf numFmtId="0" fontId="17" fillId="0" borderId="0"/>
    <xf numFmtId="43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7" fillId="0" borderId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16" fillId="0" borderId="0"/>
    <xf numFmtId="0" fontId="16" fillId="0" borderId="0"/>
    <xf numFmtId="185" fontId="18" fillId="0" borderId="0" applyFont="0" applyFill="0" applyBorder="0" applyAlignment="0" applyProtection="0"/>
    <xf numFmtId="0" fontId="18" fillId="0" borderId="0"/>
    <xf numFmtId="236" fontId="125" fillId="0" borderId="0">
      <alignment horizontal="right"/>
    </xf>
    <xf numFmtId="10" fontId="126" fillId="0" borderId="0"/>
    <xf numFmtId="9" fontId="127" fillId="0" borderId="0"/>
    <xf numFmtId="9" fontId="127" fillId="0" borderId="0"/>
    <xf numFmtId="174" fontId="127" fillId="0" borderId="0"/>
    <xf numFmtId="174" fontId="127" fillId="0" borderId="0"/>
    <xf numFmtId="10" fontId="127" fillId="0" borderId="0"/>
    <xf numFmtId="10" fontId="127" fillId="0" borderId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18" fillId="0" borderId="0">
      <alignment horizontal="left" wrapText="1"/>
    </xf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192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2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194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239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240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198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20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241" fontId="18" fillId="0" borderId="0" applyFont="0" applyFill="0" applyBorder="0" applyAlignment="0" applyProtection="0"/>
    <xf numFmtId="0" fontId="18" fillId="0" borderId="0">
      <alignment horizontal="left" wrapText="1"/>
    </xf>
    <xf numFmtId="0" fontId="18" fillId="0" borderId="0">
      <alignment horizontal="left" wrapText="1"/>
    </xf>
    <xf numFmtId="0" fontId="236" fillId="0" borderId="59" applyNumberFormat="0" applyFill="0" applyProtection="0">
      <alignment horizontal="center"/>
    </xf>
    <xf numFmtId="42" fontId="10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242" fontId="127" fillId="0" borderId="0" applyFont="0" applyFill="0" applyBorder="0" applyAlignment="0" applyProtection="0"/>
    <xf numFmtId="242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43" fontId="127" fillId="0" borderId="0" applyFont="0" applyFill="0" applyBorder="0" applyAlignment="0" applyProtection="0"/>
    <xf numFmtId="237" fontId="21" fillId="0" borderId="0"/>
    <xf numFmtId="0" fontId="107" fillId="0" borderId="0"/>
    <xf numFmtId="0" fontId="107" fillId="0" borderId="0"/>
    <xf numFmtId="237" fontId="44" fillId="0" borderId="0"/>
    <xf numFmtId="9" fontId="18" fillId="0" borderId="0"/>
    <xf numFmtId="9" fontId="18" fillId="0" borderId="0"/>
    <xf numFmtId="9" fontId="18" fillId="0" borderId="0"/>
    <xf numFmtId="9" fontId="18" fillId="0" borderId="0"/>
    <xf numFmtId="238" fontId="44" fillId="0" borderId="0"/>
    <xf numFmtId="174" fontId="44" fillId="0" borderId="0"/>
    <xf numFmtId="2" fontId="44" fillId="0" borderId="0"/>
    <xf numFmtId="10" fontId="44" fillId="0" borderId="0"/>
    <xf numFmtId="0" fontId="128" fillId="0" borderId="31" applyFont="0" applyFill="0" applyBorder="0" applyAlignment="0" applyProtection="0"/>
    <xf numFmtId="237" fontId="44" fillId="0" borderId="0"/>
    <xf numFmtId="0" fontId="129" fillId="0" borderId="0"/>
    <xf numFmtId="244" fontId="127" fillId="0" borderId="0"/>
    <xf numFmtId="244" fontId="127" fillId="0" borderId="0"/>
    <xf numFmtId="43" fontId="18" fillId="0" borderId="0" applyFont="0" applyFill="0" applyBorder="0" applyAlignment="0" applyProtection="0"/>
    <xf numFmtId="0" fontId="56" fillId="3" borderId="0" applyNumberFormat="0" applyBorder="0" applyAlignment="0" applyProtection="0"/>
    <xf numFmtId="0" fontId="56" fillId="3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3" borderId="0" applyNumberFormat="0" applyBorder="0" applyAlignment="0" applyProtection="0"/>
    <xf numFmtId="0" fontId="56" fillId="13" borderId="0" applyNumberFormat="0" applyBorder="0" applyAlignment="0" applyProtection="0"/>
    <xf numFmtId="0" fontId="56" fillId="8" borderId="0" applyNumberFormat="0" applyBorder="0" applyAlignment="0" applyProtection="0"/>
    <xf numFmtId="0" fontId="56" fillId="8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4" borderId="0" applyNumberFormat="0" applyBorder="0" applyAlignment="0" applyProtection="0"/>
    <xf numFmtId="0" fontId="56" fillId="14" borderId="0" applyNumberFormat="0" applyBorder="0" applyAlignment="0" applyProtection="0"/>
    <xf numFmtId="0" fontId="124" fillId="16" borderId="0" applyNumberFormat="0" applyBorder="0" applyAlignment="0" applyProtection="0"/>
    <xf numFmtId="0" fontId="124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3" borderId="0" applyNumberFormat="0" applyBorder="0" applyAlignment="0" applyProtection="0"/>
    <xf numFmtId="0" fontId="124" fillId="1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9" borderId="0" applyNumberFormat="0" applyBorder="0" applyAlignment="0" applyProtection="0"/>
    <xf numFmtId="0" fontId="124" fillId="19" borderId="0" applyNumberFormat="0" applyBorder="0" applyAlignment="0" applyProtection="0"/>
    <xf numFmtId="37" fontId="41" fillId="0" borderId="0">
      <alignment horizontal="center"/>
    </xf>
    <xf numFmtId="0" fontId="124" fillId="20" borderId="0" applyNumberFormat="0" applyBorder="0" applyAlignment="0" applyProtection="0"/>
    <xf numFmtId="0" fontId="124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124" fillId="18" borderId="0" applyNumberFormat="0" applyBorder="0" applyAlignment="0" applyProtection="0"/>
    <xf numFmtId="0" fontId="124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43" fontId="130" fillId="0" borderId="7" applyNumberFormat="0" applyBorder="0"/>
    <xf numFmtId="37" fontId="131" fillId="36" borderId="27" applyBorder="0" applyProtection="0">
      <alignment vertical="center"/>
    </xf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132" fillId="0" borderId="32" applyNumberFormat="0" applyFill="0" applyAlignment="0" applyProtection="0"/>
    <xf numFmtId="0" fontId="133" fillId="0" borderId="7" applyFont="0">
      <alignment horizontal="centerContinuous"/>
    </xf>
    <xf numFmtId="0" fontId="133" fillId="0" borderId="7" applyFont="0">
      <alignment horizontal="centerContinuous"/>
    </xf>
    <xf numFmtId="0" fontId="125" fillId="0" borderId="0"/>
    <xf numFmtId="0" fontId="125" fillId="0" borderId="0"/>
    <xf numFmtId="9" fontId="126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7" fillId="0" borderId="0"/>
    <xf numFmtId="0" fontId="127" fillId="0" borderId="0"/>
    <xf numFmtId="0" fontId="18" fillId="29" borderId="0"/>
    <xf numFmtId="0" fontId="18" fillId="29" borderId="0"/>
    <xf numFmtId="0" fontId="18" fillId="29" borderId="0"/>
    <xf numFmtId="0" fontId="18" fillId="29" borderId="0"/>
    <xf numFmtId="0" fontId="226" fillId="5" borderId="0" applyNumberFormat="0" applyBorder="0" applyAlignment="0" applyProtection="0"/>
    <xf numFmtId="38" fontId="134" fillId="0" borderId="0" applyNumberFormat="0" applyFill="0" applyBorder="0" applyAlignment="0" applyProtection="0"/>
    <xf numFmtId="245" fontId="107" fillId="0" borderId="0" applyFont="0" applyFill="0" applyBorder="0" applyAlignment="0" applyProtection="0"/>
    <xf numFmtId="0" fontId="114" fillId="37" borderId="28" applyFill="0" applyBorder="0" applyProtection="0">
      <alignment horizontal="left"/>
    </xf>
    <xf numFmtId="0" fontId="135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27" fillId="0" borderId="0"/>
    <xf numFmtId="0" fontId="127" fillId="0" borderId="0"/>
    <xf numFmtId="0" fontId="137" fillId="38" borderId="0" applyBorder="0">
      <alignment horizontal="left" vertical="center" indent="1"/>
    </xf>
    <xf numFmtId="0" fontId="133" fillId="0" borderId="7" applyNumberFormat="0" applyFill="0" applyAlignment="0" applyProtection="0"/>
    <xf numFmtId="0" fontId="134" fillId="0" borderId="7" applyNumberFormat="0" applyFont="0" applyFill="0" applyAlignment="0" applyProtection="0"/>
    <xf numFmtId="0" fontId="125" fillId="0" borderId="19"/>
    <xf numFmtId="0" fontId="125" fillId="0" borderId="19"/>
    <xf numFmtId="0" fontId="138" fillId="0" borderId="0" applyFill="0" applyBorder="0">
      <alignment vertical="top"/>
    </xf>
    <xf numFmtId="246" fontId="48" fillId="29" borderId="0" applyBorder="0">
      <alignment vertical="top"/>
    </xf>
    <xf numFmtId="246" fontId="49" fillId="29" borderId="0" applyBorder="0">
      <alignment vertical="top"/>
    </xf>
    <xf numFmtId="1" fontId="61" fillId="0" borderId="0" applyFont="0" applyFill="0" applyBorder="0" applyAlignment="0" applyProtection="0"/>
    <xf numFmtId="0" fontId="127" fillId="0" borderId="7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0" fontId="18" fillId="0" borderId="2" applyBorder="0">
      <alignment horizontal="centerContinuous"/>
    </xf>
    <xf numFmtId="247" fontId="127" fillId="0" borderId="0" applyFont="0" applyFill="0" applyBorder="0" applyAlignment="0" applyProtection="0"/>
    <xf numFmtId="247" fontId="127" fillId="0" borderId="0" applyFont="0" applyFill="0" applyBorder="0" applyAlignment="0" applyProtection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6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43" fontId="125" fillId="0" borderId="0">
      <alignment horizontal="right"/>
    </xf>
    <xf numFmtId="43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215" fontId="125" fillId="0" borderId="0">
      <alignment horizontal="right"/>
    </xf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0" fontId="139" fillId="0" borderId="0"/>
    <xf numFmtId="37" fontId="127" fillId="0" borderId="0">
      <alignment horizontal="center"/>
    </xf>
    <xf numFmtId="0" fontId="127" fillId="0" borderId="0"/>
    <xf numFmtId="0" fontId="133" fillId="0" borderId="0"/>
    <xf numFmtId="0" fontId="133" fillId="0" borderId="0"/>
    <xf numFmtId="0" fontId="227" fillId="26" borderId="4" applyNumberFormat="0" applyAlignment="0" applyProtection="0"/>
    <xf numFmtId="0" fontId="140" fillId="29" borderId="0" applyNumberFormat="0" applyBorder="0">
      <alignment vertical="center"/>
    </xf>
    <xf numFmtId="0" fontId="48" fillId="0" borderId="0"/>
    <xf numFmtId="0" fontId="48" fillId="0" borderId="0"/>
    <xf numFmtId="0" fontId="141" fillId="0" borderId="0"/>
    <xf numFmtId="1" fontId="142" fillId="0" borderId="0"/>
    <xf numFmtId="0" fontId="228" fillId="27" borderId="5" applyNumberFormat="0" applyAlignment="0" applyProtection="0"/>
    <xf numFmtId="0" fontId="127" fillId="0" borderId="0"/>
    <xf numFmtId="248" fontId="49" fillId="0" borderId="0" applyFill="0" applyBorder="0" applyAlignment="0"/>
    <xf numFmtId="249" fontId="49" fillId="0" borderId="0" applyFill="0" applyBorder="0" applyAlignment="0"/>
    <xf numFmtId="0" fontId="114" fillId="39" borderId="9" applyNumberFormat="0" applyBorder="0" applyProtection="0">
      <alignment horizontal="center" vertical="center" wrapText="1"/>
    </xf>
    <xf numFmtId="43" fontId="18" fillId="0" borderId="0" applyFont="0" applyFill="0" applyBorder="0" applyAlignment="0" applyProtection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250" fontId="143" fillId="0" borderId="0"/>
    <xf numFmtId="0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42" fillId="0" borderId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ill="0" applyBorder="0" applyAlignment="0" applyProtection="0"/>
    <xf numFmtId="170" fontId="145" fillId="0" borderId="0" applyFill="0" applyBorder="0">
      <alignment horizontal="left"/>
    </xf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251" fontId="18" fillId="0" borderId="29" applyFont="0" applyFill="0" applyBorder="0" applyAlignment="0" applyProtection="0"/>
    <xf numFmtId="0" fontId="146" fillId="0" borderId="0">
      <alignment horizontal="left"/>
    </xf>
    <xf numFmtId="0" fontId="147" fillId="0" borderId="0"/>
    <xf numFmtId="0" fontId="148" fillId="0" borderId="0">
      <alignment horizontal="left"/>
    </xf>
    <xf numFmtId="44" fontId="18" fillId="0" borderId="0" applyFont="0" applyFill="0" applyBorder="0" applyAlignment="0" applyProtection="0"/>
    <xf numFmtId="252" fontId="79" fillId="0" borderId="0"/>
    <xf numFmtId="252" fontId="79" fillId="0" borderId="0"/>
    <xf numFmtId="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236" fontId="126" fillId="0" borderId="0">
      <alignment horizontal="right"/>
    </xf>
    <xf numFmtId="253" fontId="127" fillId="0" borderId="0" applyFont="0" applyFill="0" applyBorder="0" applyAlignment="0" applyProtection="0"/>
    <xf numFmtId="253" fontId="127" fillId="0" borderId="0" applyFont="0" applyFill="0" applyBorder="0" applyAlignment="0" applyProtection="0"/>
    <xf numFmtId="254" fontId="18" fillId="0" borderId="0" applyFont="0" applyFill="0" applyBorder="0" applyAlignment="0" applyProtection="0"/>
    <xf numFmtId="14" fontId="114" fillId="0" borderId="0"/>
    <xf numFmtId="14" fontId="114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5" fontId="18" fillId="0" borderId="0"/>
    <xf numFmtId="255" fontId="18" fillId="0" borderId="0"/>
    <xf numFmtId="255" fontId="18" fillId="0" borderId="0"/>
    <xf numFmtId="255" fontId="18" fillId="0" borderId="0"/>
    <xf numFmtId="14" fontId="18" fillId="0" borderId="0"/>
    <xf numFmtId="164" fontId="126" fillId="0" borderId="0"/>
    <xf numFmtId="175" fontId="126" fillId="0" borderId="0"/>
    <xf numFmtId="252" fontId="18" fillId="0" borderId="0"/>
    <xf numFmtId="252" fontId="18" fillId="0" borderId="0"/>
    <xf numFmtId="252" fontId="18" fillId="0" borderId="0"/>
    <xf numFmtId="252" fontId="18" fillId="0" borderId="0"/>
    <xf numFmtId="41" fontId="18" fillId="0" borderId="0" applyFont="0" applyFill="0" applyBorder="0" applyAlignment="0" applyProtection="0"/>
    <xf numFmtId="1" fontId="150" fillId="0" borderId="0" applyFill="0" applyBorder="0" applyAlignment="0" applyProtection="0"/>
    <xf numFmtId="174" fontId="151" fillId="0" borderId="0">
      <alignment horizontal="right"/>
    </xf>
    <xf numFmtId="236" fontId="126" fillId="0" borderId="19">
      <alignment horizontal="right"/>
    </xf>
    <xf numFmtId="176" fontId="18" fillId="0" borderId="0" applyFont="0" applyFill="0" applyBorder="0" applyAlignment="0" applyProtection="0"/>
    <xf numFmtId="170" fontId="27" fillId="0" borderId="0"/>
    <xf numFmtId="2" fontId="152" fillId="0" borderId="0"/>
    <xf numFmtId="256" fontId="18" fillId="0" borderId="0" applyFont="0" applyFill="0" applyBorder="0" applyAlignment="0" applyProtection="0"/>
    <xf numFmtId="216" fontId="18" fillId="0" borderId="0" applyFont="0" applyFill="0" applyBorder="0" applyAlignment="0" applyProtection="0">
      <alignment horizontal="left" wrapText="1"/>
    </xf>
    <xf numFmtId="216" fontId="18" fillId="0" borderId="0" applyFont="0" applyFill="0" applyBorder="0" applyAlignment="0" applyProtection="0">
      <alignment horizontal="left" wrapText="1"/>
    </xf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256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224" fontId="21" fillId="0" borderId="0" applyNumberFormat="0" applyBorder="0" applyAlignment="0">
      <alignment horizontal="left"/>
    </xf>
    <xf numFmtId="224" fontId="21" fillId="0" borderId="0" applyNumberFormat="0" applyBorder="0" applyAlignment="0">
      <alignment horizontal="left"/>
    </xf>
    <xf numFmtId="236" fontId="125" fillId="0" borderId="0">
      <alignment horizontal="right"/>
    </xf>
    <xf numFmtId="164" fontId="125" fillId="0" borderId="0">
      <alignment horizontal="right"/>
    </xf>
    <xf numFmtId="175" fontId="125" fillId="0" borderId="0">
      <alignment horizontal="right"/>
    </xf>
    <xf numFmtId="1" fontId="49" fillId="0" borderId="0" applyFill="0"/>
    <xf numFmtId="257" fontId="18" fillId="0" borderId="0"/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257" fontId="18" fillId="0" borderId="0"/>
    <xf numFmtId="257" fontId="18" fillId="0" borderId="0"/>
    <xf numFmtId="257" fontId="18" fillId="0" borderId="0"/>
    <xf numFmtId="257" fontId="18" fillId="0" borderId="0"/>
    <xf numFmtId="0" fontId="42" fillId="0" borderId="0"/>
    <xf numFmtId="258" fontId="125" fillId="0" borderId="0" applyProtection="0">
      <alignment horizontal="left"/>
    </xf>
    <xf numFmtId="258" fontId="125" fillId="0" borderId="0" applyProtection="0">
      <alignment horizontal="left"/>
    </xf>
    <xf numFmtId="0" fontId="153" fillId="0" borderId="0">
      <alignment horizontal="left"/>
    </xf>
    <xf numFmtId="0" fontId="104" fillId="0" borderId="0">
      <alignment horizontal="left"/>
    </xf>
    <xf numFmtId="0" fontId="154" fillId="0" borderId="0">
      <alignment horizontal="left"/>
    </xf>
    <xf numFmtId="0" fontId="79" fillId="0" borderId="0" applyFill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154" fillId="0" borderId="0">
      <alignment horizontal="left"/>
    </xf>
    <xf numFmtId="259" fontId="155" fillId="0" borderId="0"/>
    <xf numFmtId="260" fontId="155" fillId="0" borderId="0"/>
    <xf numFmtId="261" fontId="155" fillId="0" borderId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38" fontId="19" fillId="29" borderId="0" applyNumberFormat="0" applyBorder="0" applyAlignment="0" applyProtection="0"/>
    <xf numFmtId="0" fontId="22" fillId="38" borderId="11" applyAlignment="0" applyProtection="0"/>
    <xf numFmtId="0" fontId="107" fillId="0" borderId="24" applyFill="0" applyBorder="0" applyProtection="0">
      <alignment horizontal="left"/>
    </xf>
    <xf numFmtId="0" fontId="157" fillId="0" borderId="0" applyNumberFormat="0" applyFill="0" applyProtection="0">
      <alignment horizontal="left"/>
    </xf>
    <xf numFmtId="0" fontId="158" fillId="0" borderId="33">
      <alignment horizontal="centerContinuous"/>
    </xf>
    <xf numFmtId="0" fontId="159" fillId="0" borderId="0">
      <alignment horizontal="centerContinuous"/>
    </xf>
    <xf numFmtId="183" fontId="18" fillId="0" borderId="0" applyFont="0" applyFill="0" applyBorder="0" applyAlignment="0" applyProtection="0"/>
    <xf numFmtId="0" fontId="160" fillId="0" borderId="0">
      <alignment horizontal="left"/>
    </xf>
    <xf numFmtId="0" fontId="161" fillId="0" borderId="0" applyProtection="0">
      <alignment horizontal="right"/>
    </xf>
    <xf numFmtId="0" fontId="160" fillId="0" borderId="0">
      <alignment horizontal="left"/>
    </xf>
    <xf numFmtId="37" fontId="162" fillId="29" borderId="10" applyFill="0">
      <alignment vertical="center"/>
    </xf>
    <xf numFmtId="0" fontId="160" fillId="0" borderId="0">
      <alignment horizontal="left"/>
    </xf>
    <xf numFmtId="0" fontId="162" fillId="0" borderId="2" applyNumberFormat="0" applyFill="0">
      <alignment horizontal="centerContinuous" vertical="top"/>
    </xf>
    <xf numFmtId="0" fontId="163" fillId="36" borderId="34" applyNumberFormat="0" applyBorder="0">
      <alignment horizontal="left" vertical="center" indent="1"/>
    </xf>
    <xf numFmtId="0" fontId="230" fillId="0" borderId="35" applyNumberFormat="0" applyFill="0" applyAlignment="0" applyProtection="0"/>
    <xf numFmtId="0" fontId="164" fillId="0" borderId="0">
      <alignment horizontal="left"/>
    </xf>
    <xf numFmtId="0" fontId="165" fillId="0" borderId="24">
      <alignment horizontal="left" vertical="top"/>
    </xf>
    <xf numFmtId="0" fontId="231" fillId="0" borderId="36" applyNumberFormat="0" applyFill="0" applyAlignment="0" applyProtection="0"/>
    <xf numFmtId="0" fontId="97" fillId="0" borderId="0">
      <alignment horizontal="left"/>
    </xf>
    <xf numFmtId="0" fontId="166" fillId="0" borderId="24">
      <alignment horizontal="left" vertical="top"/>
    </xf>
    <xf numFmtId="0" fontId="232" fillId="0" borderId="37" applyNumberFormat="0" applyFill="0" applyAlignment="0" applyProtection="0"/>
    <xf numFmtId="0" fontId="92" fillId="0" borderId="0">
      <alignment horizontal="left"/>
    </xf>
    <xf numFmtId="0" fontId="232" fillId="0" borderId="0" applyNumberFormat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262" fontId="18" fillId="0" borderId="0" applyFill="0" applyBorder="0" applyAlignment="0" applyProtection="0"/>
    <xf numFmtId="0" fontId="63" fillId="0" borderId="0" applyNumberFormat="0" applyFill="0" applyBorder="0" applyAlignment="0" applyProtection="0"/>
    <xf numFmtId="0" fontId="107" fillId="0" borderId="0" applyFill="0" applyBorder="0" applyProtection="0">
      <alignment horizontal="right"/>
    </xf>
    <xf numFmtId="0" fontId="167" fillId="0" borderId="2">
      <alignment horizontal="centerContinuous"/>
    </xf>
    <xf numFmtId="0" fontId="132" fillId="0" borderId="0" applyNumberFormat="0" applyFill="0" applyBorder="0" applyAlignment="0" applyProtection="0"/>
    <xf numFmtId="263" fontId="168" fillId="0" borderId="0" applyNumberFormat="0" applyFill="0" applyBorder="0" applyAlignment="0">
      <protection locked="0"/>
    </xf>
    <xf numFmtId="0" fontId="133" fillId="0" borderId="0" applyFont="0" applyAlignment="0">
      <alignment horizontal="centerContinuous"/>
    </xf>
    <xf numFmtId="0" fontId="133" fillId="0" borderId="0" applyFont="0" applyAlignment="0">
      <alignment horizontal="centerContinuous"/>
    </xf>
    <xf numFmtId="0" fontId="126" fillId="0" borderId="9">
      <alignment horizontal="centerContinuous"/>
    </xf>
    <xf numFmtId="49" fontId="169" fillId="0" borderId="38"/>
    <xf numFmtId="49" fontId="99" fillId="0" borderId="0"/>
    <xf numFmtId="49" fontId="170" fillId="0" borderId="0"/>
    <xf numFmtId="0" fontId="127" fillId="0" borderId="0"/>
    <xf numFmtId="0" fontId="171" fillId="0" borderId="0"/>
    <xf numFmtId="0" fontId="171" fillId="0" borderId="0"/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51" fontId="18" fillId="29" borderId="0" applyNumberFormat="0" applyFill="0" applyBorder="0" applyProtection="0">
      <alignment horizontal="left" vertical="center"/>
    </xf>
    <xf numFmtId="263" fontId="172" fillId="0" borderId="0" applyNumberFormat="0" applyFill="0" applyBorder="0" applyAlignment="0"/>
    <xf numFmtId="9" fontId="152" fillId="0" borderId="0" applyAlignment="0">
      <alignment horizontal="center"/>
    </xf>
    <xf numFmtId="10" fontId="19" fillId="28" borderId="9" applyNumberFormat="0" applyBorder="0" applyAlignment="0" applyProtection="0"/>
    <xf numFmtId="0" fontId="52" fillId="4" borderId="4" applyNumberFormat="0" applyAlignment="0" applyProtection="0"/>
    <xf numFmtId="264" fontId="173" fillId="0" borderId="0" applyNumberFormat="0" applyBorder="0" applyProtection="0"/>
    <xf numFmtId="264" fontId="174" fillId="0" borderId="0"/>
    <xf numFmtId="0" fontId="174" fillId="40" borderId="0" applyNumberFormat="0" applyBorder="0" applyProtection="0">
      <alignment horizontal="center" vertical="center"/>
    </xf>
    <xf numFmtId="249" fontId="175" fillId="0" borderId="0" applyBorder="0">
      <alignment horizontal="right" vertical="top"/>
      <protection locked="0"/>
    </xf>
    <xf numFmtId="0" fontId="126" fillId="0" borderId="0" applyNumberFormat="0" applyFill="0" applyBorder="0" applyAlignment="0">
      <protection locked="0"/>
    </xf>
    <xf numFmtId="0" fontId="77" fillId="0" borderId="0" applyNumberFormat="0" applyFill="0" applyBorder="0" applyAlignment="0"/>
    <xf numFmtId="0" fontId="77" fillId="0" borderId="0" applyNumberFormat="0" applyFill="0" applyBorder="0" applyAlignment="0"/>
    <xf numFmtId="265" fontId="175" fillId="0" borderId="0" applyBorder="0">
      <alignment horizontal="right" vertical="top"/>
      <protection locked="0"/>
    </xf>
    <xf numFmtId="237" fontId="156" fillId="29" borderId="0" applyFill="0" applyBorder="0">
      <protection locked="0"/>
    </xf>
    <xf numFmtId="237" fontId="156" fillId="29" borderId="0" applyFill="0" applyBorder="0">
      <protection locked="0"/>
    </xf>
    <xf numFmtId="249" fontId="175" fillId="0" borderId="0" applyBorder="0" applyProtection="0"/>
    <xf numFmtId="249" fontId="175" fillId="0" borderId="0" applyBorder="0" applyProtection="0"/>
    <xf numFmtId="266" fontId="175" fillId="0" borderId="0" applyBorder="0">
      <alignment horizontal="right" vertical="top"/>
      <protection locked="0"/>
    </xf>
    <xf numFmtId="266" fontId="175" fillId="0" borderId="0" applyBorder="0">
      <alignment horizontal="right" vertical="top"/>
      <protection locked="0"/>
    </xf>
    <xf numFmtId="267" fontId="18" fillId="0" borderId="0"/>
    <xf numFmtId="267" fontId="18" fillId="0" borderId="0"/>
    <xf numFmtId="267" fontId="18" fillId="0" borderId="0"/>
    <xf numFmtId="267" fontId="18" fillId="0" borderId="0"/>
    <xf numFmtId="268" fontId="176" fillId="0" borderId="24" applyFill="0" applyBorder="0" applyProtection="0"/>
    <xf numFmtId="0" fontId="177" fillId="0" borderId="0"/>
    <xf numFmtId="269" fontId="178" fillId="0" borderId="0" applyFont="0" applyFill="0" applyBorder="0" applyAlignment="0" applyProtection="0"/>
    <xf numFmtId="270" fontId="178" fillId="0" borderId="0" applyFont="0" applyFill="0" applyBorder="0" applyAlignment="0" applyProtection="0"/>
    <xf numFmtId="1" fontId="179" fillId="1" borderId="39">
      <protection locked="0"/>
    </xf>
    <xf numFmtId="271" fontId="180" fillId="0" borderId="40" applyFont="0" applyFill="0" applyBorder="0" applyAlignment="0" applyProtection="0"/>
    <xf numFmtId="0" fontId="49" fillId="29" borderId="0" applyNumberFormat="0" applyFill="0" applyBorder="0"/>
    <xf numFmtId="249" fontId="181" fillId="0" borderId="0" applyNumberFormat="0" applyFill="0" applyBorder="0" applyProtection="0">
      <alignment horizontal="left" vertical="top"/>
    </xf>
    <xf numFmtId="0" fontId="182" fillId="0" borderId="0">
      <alignment horizontal="left"/>
    </xf>
    <xf numFmtId="0" fontId="183" fillId="0" borderId="0">
      <alignment horizontal="left"/>
    </xf>
    <xf numFmtId="0" fontId="157" fillId="0" borderId="0">
      <alignment horizontal="left"/>
    </xf>
    <xf numFmtId="0" fontId="157" fillId="0" borderId="0">
      <alignment horizontal="left"/>
    </xf>
    <xf numFmtId="0" fontId="123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>
      <alignment vertical="top"/>
      <protection locked="0"/>
    </xf>
    <xf numFmtId="37" fontId="184" fillId="0" borderId="0" applyNumberFormat="0" applyFill="0" applyBorder="0" applyAlignment="0" applyProtection="0">
      <alignment horizontal="right"/>
    </xf>
    <xf numFmtId="0" fontId="233" fillId="0" borderId="14" applyNumberFormat="0" applyFill="0" applyAlignment="0" applyProtection="0"/>
    <xf numFmtId="272" fontId="125" fillId="0" borderId="0">
      <alignment horizontal="right"/>
    </xf>
    <xf numFmtId="273" fontId="125" fillId="0" borderId="0">
      <alignment horizontal="right"/>
    </xf>
    <xf numFmtId="0" fontId="99" fillId="0" borderId="0" applyNumberFormat="0" applyFill="0" applyBorder="0" applyProtection="0">
      <alignment horizontal="left" vertical="center"/>
    </xf>
    <xf numFmtId="0" fontId="99" fillId="0" borderId="0" applyNumberFormat="0" applyFill="0" applyBorder="0" applyProtection="0">
      <alignment horizontal="left" vertical="center"/>
    </xf>
    <xf numFmtId="0" fontId="138" fillId="0" borderId="0">
      <alignment vertical="top"/>
    </xf>
    <xf numFmtId="0" fontId="185" fillId="0" borderId="0" applyNumberFormat="0" applyFill="0" applyBorder="0" applyAlignment="0" applyProtection="0"/>
    <xf numFmtId="0" fontId="19" fillId="0" borderId="0" applyNumberFormat="0" applyFill="0" applyBorder="0"/>
    <xf numFmtId="0" fontId="19" fillId="0" borderId="0" applyNumberFormat="0" applyFill="0" applyBorder="0"/>
    <xf numFmtId="265" fontId="19" fillId="0" borderId="0" applyFill="0" applyBorder="0">
      <alignment vertical="top"/>
    </xf>
    <xf numFmtId="265" fontId="19" fillId="0" borderId="0" applyFill="0" applyBorder="0" applyAlignment="0"/>
    <xf numFmtId="265" fontId="19" fillId="0" borderId="0" applyFill="0" applyBorder="0" applyAlignment="0"/>
    <xf numFmtId="249" fontId="185" fillId="0" borderId="0" applyNumberFormat="0" applyFill="0" applyBorder="0" applyAlignment="0"/>
    <xf numFmtId="249" fontId="186" fillId="0" borderId="0" applyNumberFormat="0" applyFill="0" applyBorder="0">
      <alignment vertical="center"/>
    </xf>
    <xf numFmtId="249" fontId="19" fillId="0" borderId="0" applyFill="0" applyBorder="0">
      <alignment horizontal="right"/>
    </xf>
    <xf numFmtId="249" fontId="19" fillId="0" borderId="0" applyFill="0" applyBorder="0">
      <alignment horizontal="right"/>
    </xf>
    <xf numFmtId="0" fontId="19" fillId="0" borderId="0" applyFill="0" applyBorder="0" applyProtection="0">
      <alignment vertical="top"/>
    </xf>
    <xf numFmtId="0" fontId="19" fillId="0" borderId="0" applyFill="0" applyBorder="0" applyProtection="0">
      <alignment vertical="top"/>
    </xf>
    <xf numFmtId="249" fontId="19" fillId="0" borderId="0" applyFill="0" applyBorder="0">
      <alignment horizontal="right" vertical="top"/>
    </xf>
    <xf numFmtId="249" fontId="19" fillId="0" borderId="0" applyFill="0" applyBorder="0">
      <alignment horizontal="right" vertical="top"/>
    </xf>
    <xf numFmtId="41" fontId="56" fillId="0" borderId="0" applyFont="0" applyFill="0" applyBorder="0" applyAlignment="0" applyProtection="0"/>
    <xf numFmtId="43" fontId="56" fillId="0" borderId="0" applyFont="0" applyFill="0" applyBorder="0" applyAlignment="0" applyProtection="0"/>
    <xf numFmtId="274" fontId="18" fillId="0" borderId="0" applyFont="0" applyFill="0" applyBorder="0" applyAlignment="0" applyProtection="0"/>
    <xf numFmtId="2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4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76" fontId="180" fillId="0" borderId="40" applyFont="0" applyFill="0" applyBorder="0" applyAlignment="0" applyProtection="0"/>
    <xf numFmtId="0" fontId="187" fillId="0" borderId="0">
      <alignment horizontal="centerContinuous"/>
    </xf>
    <xf numFmtId="277" fontId="188" fillId="0" borderId="0" applyFont="0" applyFill="0" applyBorder="0" applyProtection="0">
      <alignment horizontal="right"/>
    </xf>
    <xf numFmtId="0" fontId="81" fillId="0" borderId="0" applyFont="0" applyFill="0" applyBorder="0" applyAlignment="0" applyProtection="0">
      <alignment horizontal="right"/>
    </xf>
    <xf numFmtId="43" fontId="127" fillId="0" borderId="0"/>
    <xf numFmtId="43" fontId="127" fillId="0" borderId="0"/>
    <xf numFmtId="0" fontId="189" fillId="0" borderId="0" applyNumberFormat="0" applyFill="0" applyBorder="0" applyProtection="0">
      <alignment horizontal="left"/>
    </xf>
    <xf numFmtId="0" fontId="234" fillId="12" borderId="0" applyNumberFormat="0" applyBorder="0" applyAlignment="0" applyProtection="0"/>
    <xf numFmtId="0" fontId="125" fillId="0" borderId="0">
      <alignment horizontal="left"/>
    </xf>
    <xf numFmtId="170" fontId="44" fillId="0" borderId="0"/>
    <xf numFmtId="0" fontId="190" fillId="29" borderId="0">
      <alignment horizontal="left" indent="1"/>
    </xf>
    <xf numFmtId="0" fontId="191" fillId="0" borderId="0"/>
    <xf numFmtId="0" fontId="191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0" fontId="18" fillId="0" borderId="0"/>
    <xf numFmtId="0" fontId="191" fillId="0" borderId="0"/>
    <xf numFmtId="0" fontId="18" fillId="0" borderId="0"/>
    <xf numFmtId="0" fontId="191" fillId="0" borderId="0"/>
    <xf numFmtId="0" fontId="191" fillId="0" borderId="0"/>
    <xf numFmtId="0" fontId="18" fillId="0" borderId="0"/>
    <xf numFmtId="0" fontId="18" fillId="0" borderId="0"/>
    <xf numFmtId="0" fontId="191" fillId="0" borderId="0"/>
    <xf numFmtId="0" fontId="191" fillId="0" borderId="0"/>
    <xf numFmtId="0" fontId="192" fillId="0" borderId="0"/>
    <xf numFmtId="37" fontId="193" fillId="0" borderId="0" applyNumberFormat="0" applyFont="0" applyFill="0" applyBorder="0" applyAlignment="0" applyProtection="0"/>
    <xf numFmtId="0" fontId="56" fillId="6" borderId="16" applyNumberFormat="0" applyFont="0" applyAlignment="0" applyProtection="0"/>
    <xf numFmtId="0" fontId="56" fillId="6" borderId="16" applyNumberFormat="0" applyFont="0" applyAlignment="0" applyProtection="0"/>
    <xf numFmtId="0" fontId="194" fillId="0" borderId="30"/>
    <xf numFmtId="38" fontId="107" fillId="0" borderId="25" applyFont="0" applyFill="0" applyBorder="0" applyAlignment="0" applyProtection="0"/>
    <xf numFmtId="37" fontId="18" fillId="0" borderId="0"/>
    <xf numFmtId="215" fontId="107" fillId="0" borderId="0" applyFont="0" applyFill="0" applyBorder="0" applyAlignment="0" applyProtection="0"/>
    <xf numFmtId="214" fontId="107" fillId="0" borderId="0" applyFont="0" applyFill="0" applyBorder="0" applyAlignment="0" applyProtection="0"/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18" fillId="0" borderId="0">
      <alignment horizontal="left"/>
    </xf>
    <xf numFmtId="0" fontId="235" fillId="26" borderId="17" applyNumberFormat="0" applyAlignment="0" applyProtection="0"/>
    <xf numFmtId="10" fontId="127" fillId="0" borderId="25"/>
    <xf numFmtId="174" fontId="195" fillId="0" borderId="0" applyProtection="0">
      <alignment horizontal="right"/>
    </xf>
    <xf numFmtId="174" fontId="125" fillId="0" borderId="0"/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8" fillId="0" borderId="0" applyFill="0" applyBorder="0" applyProtection="0">
      <alignment horizontal="left"/>
    </xf>
    <xf numFmtId="0" fontId="164" fillId="0" borderId="0" applyNumberFormat="0" applyFill="0" applyBorder="0" applyProtection="0">
      <alignment horizontal="left"/>
    </xf>
    <xf numFmtId="1" fontId="100" fillId="0" borderId="0" applyProtection="0">
      <alignment horizontal="right" vertical="center"/>
    </xf>
    <xf numFmtId="246" fontId="49" fillId="0" borderId="0" applyFont="0" applyFill="0" applyBorder="0">
      <alignment horizontal="right" vertical="top"/>
    </xf>
    <xf numFmtId="278" fontId="49" fillId="29" borderId="0" applyFill="0" applyBorder="0">
      <alignment horizontal="right" vertical="top"/>
    </xf>
    <xf numFmtId="174" fontId="151" fillId="0" borderId="0">
      <alignment horizontal="right"/>
    </xf>
    <xf numFmtId="0" fontId="125" fillId="0" borderId="0"/>
    <xf numFmtId="0" fontId="125" fillId="0" borderId="0"/>
    <xf numFmtId="0" fontId="196" fillId="0" borderId="0"/>
    <xf numFmtId="0" fontId="42" fillId="0" borderId="0"/>
    <xf numFmtId="9" fontId="18" fillId="0" borderId="0" applyFont="0" applyFill="0" applyBorder="0" applyAlignment="0" applyProtection="0"/>
    <xf numFmtId="9" fontId="134" fillId="0" borderId="0" applyFont="0" applyFill="0" applyBorder="0" applyAlignment="0" applyProtection="0"/>
    <xf numFmtId="0" fontId="197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44" fillId="0" borderId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279" fontId="188" fillId="0" borderId="0" applyFont="0" applyFill="0" applyBorder="0" applyProtection="0">
      <alignment horizontal="right"/>
    </xf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280" fontId="18" fillId="0" borderId="0" applyFont="0" applyFill="0" applyBorder="0" applyAlignment="0" applyProtection="0"/>
    <xf numFmtId="174" fontId="195" fillId="0" borderId="0">
      <alignment horizontal="right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0" fontId="198" fillId="0" borderId="0" applyFont="0" applyFill="0" applyBorder="0" applyAlignment="0" applyProtection="0">
      <alignment horizontal="center"/>
    </xf>
    <xf numFmtId="10" fontId="126" fillId="0" borderId="0"/>
    <xf numFmtId="9" fontId="126" fillId="0" borderId="0"/>
    <xf numFmtId="281" fontId="18" fillId="0" borderId="0" applyFont="0" applyFill="0" applyBorder="0" applyAlignment="0" applyProtection="0"/>
    <xf numFmtId="282" fontId="18" fillId="0" borderId="0" applyFont="0" applyFill="0" applyBorder="0" applyAlignment="0" applyProtection="0"/>
    <xf numFmtId="0" fontId="199" fillId="38" borderId="0">
      <alignment horizontal="left" indent="1"/>
    </xf>
    <xf numFmtId="0" fontId="200" fillId="0" borderId="0">
      <alignment horizontal="centerContinuous"/>
    </xf>
    <xf numFmtId="0" fontId="201" fillId="0" borderId="7"/>
    <xf numFmtId="236" fontId="202" fillId="0" borderId="0">
      <alignment horizontal="right"/>
    </xf>
    <xf numFmtId="10" fontId="125" fillId="0" borderId="9"/>
    <xf numFmtId="10" fontId="125" fillId="0" borderId="9"/>
    <xf numFmtId="10" fontId="18" fillId="0" borderId="0"/>
    <xf numFmtId="10" fontId="18" fillId="0" borderId="0"/>
    <xf numFmtId="10" fontId="18" fillId="0" borderId="0"/>
    <xf numFmtId="10" fontId="18" fillId="0" borderId="0"/>
    <xf numFmtId="248" fontId="129" fillId="0" borderId="0" applyFont="0" applyFill="0" applyBorder="0" applyAlignment="0" applyProtection="0">
      <alignment horizontal="right"/>
    </xf>
    <xf numFmtId="283" fontId="48" fillId="41" borderId="9" applyNumberFormat="0" applyProtection="0">
      <alignment horizontal="center" vertical="center" wrapText="1"/>
    </xf>
    <xf numFmtId="166" fontId="18" fillId="0" borderId="0" applyFont="0" applyFill="0" applyBorder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31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1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1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203" fillId="0" borderId="0" applyNumberFormat="0" applyFill="0" applyBorder="0" applyAlignment="0" applyProtection="0"/>
    <xf numFmtId="0" fontId="204" fillId="0" borderId="0" applyNumberFormat="0" applyFill="0" applyBorder="0" applyAlignment="0" applyProtection="0"/>
    <xf numFmtId="0" fontId="48" fillId="0" borderId="0" applyNumberFormat="0" applyFill="0" applyBorder="0" applyProtection="0">
      <alignment horizontal="left"/>
    </xf>
    <xf numFmtId="0" fontId="18" fillId="17" borderId="0" applyNumberFormat="0" applyFont="0" applyBorder="0" applyAlignment="0" applyProtection="0"/>
    <xf numFmtId="0" fontId="20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284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14" fillId="39" borderId="6" applyNumberFormat="0" applyBorder="0" applyProtection="0">
      <alignment horizontal="left" wrapText="1"/>
    </xf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1" fontId="188" fillId="17" borderId="0" applyNumberFormat="0" applyFont="0" applyFill="0" applyBorder="0" applyAlignment="0" applyProtection="0"/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0"/>
    <xf numFmtId="0" fontId="206" fillId="0" borderId="31">
      <protection locked="0"/>
    </xf>
    <xf numFmtId="0" fontId="27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0" fontId="107" fillId="0" borderId="0">
      <alignment horizontal="center"/>
    </xf>
    <xf numFmtId="0" fontId="107" fillId="0" borderId="0">
      <alignment horizontal="center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236" fontId="125" fillId="0" borderId="19">
      <alignment horizontal="right"/>
    </xf>
    <xf numFmtId="236" fontId="125" fillId="0" borderId="19">
      <alignment horizontal="right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protection locked="0"/>
    </xf>
    <xf numFmtId="0" fontId="206" fillId="0" borderId="31">
      <alignment horizontal="centerContinuous"/>
    </xf>
    <xf numFmtId="177" fontId="206" fillId="0" borderId="0"/>
    <xf numFmtId="177" fontId="206" fillId="0" borderId="0"/>
    <xf numFmtId="0" fontId="206" fillId="0" borderId="31">
      <alignment horizontal="centerContinuous"/>
    </xf>
    <xf numFmtId="0" fontId="206" fillId="0" borderId="31">
      <protection locked="0"/>
    </xf>
    <xf numFmtId="0" fontId="206" fillId="0" borderId="31">
      <alignment horizontal="centerContinuous"/>
    </xf>
    <xf numFmtId="0" fontId="206" fillId="0" borderId="31">
      <protection locked="0"/>
    </xf>
    <xf numFmtId="177" fontId="206" fillId="0" borderId="0"/>
    <xf numFmtId="0" fontId="206" fillId="0" borderId="31">
      <alignment horizontal="centerContinuous"/>
    </xf>
    <xf numFmtId="0" fontId="206" fillId="0" borderId="31">
      <alignment horizontal="centerContinuous"/>
    </xf>
    <xf numFmtId="0" fontId="206" fillId="0" borderId="31">
      <protection locked="0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56" fillId="35" borderId="17" applyNumberFormat="0" applyProtection="0">
      <alignment vertical="center"/>
    </xf>
    <xf numFmtId="4" fontId="207" fillId="35" borderId="17" applyNumberFormat="0" applyProtection="0">
      <alignment vertical="center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4" fontId="56" fillId="35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3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4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5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6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7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8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49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0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56" fillId="51" borderId="17" applyNumberFormat="0" applyProtection="0">
      <alignment horizontal="right" vertical="center"/>
    </xf>
    <xf numFmtId="4" fontId="208" fillId="52" borderId="17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56" fillId="53" borderId="56" applyNumberFormat="0" applyProtection="0">
      <alignment horizontal="left" vertical="center" indent="1"/>
    </xf>
    <xf numFmtId="4" fontId="209" fillId="54" borderId="0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53" borderId="17" applyNumberFormat="0" applyProtection="0">
      <alignment horizontal="left" vertical="center" indent="1"/>
    </xf>
    <xf numFmtId="4" fontId="56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55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38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29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56" fillId="28" borderId="17" applyNumberFormat="0" applyProtection="0">
      <alignment vertical="center"/>
    </xf>
    <xf numFmtId="4" fontId="207" fillId="28" borderId="17" applyNumberFormat="0" applyProtection="0">
      <alignment vertical="center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28" borderId="17" applyNumberFormat="0" applyProtection="0">
      <alignment horizontal="left" vertical="center" indent="1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56" fillId="53" borderId="17" applyNumberFormat="0" applyProtection="0">
      <alignment horizontal="right" vertical="center"/>
    </xf>
    <xf numFmtId="4" fontId="207" fillId="53" borderId="17" applyNumberFormat="0" applyProtection="0">
      <alignment horizontal="right" vertical="center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18" fillId="42" borderId="17" applyNumberFormat="0" applyProtection="0">
      <alignment horizontal="left" vertical="center" indent="1"/>
    </xf>
    <xf numFmtId="0" fontId="210" fillId="0" borderId="0"/>
    <xf numFmtId="4" fontId="50" fillId="53" borderId="17" applyNumberFormat="0" applyProtection="0">
      <alignment horizontal="right" vertical="center"/>
    </xf>
    <xf numFmtId="177" fontId="211" fillId="0" borderId="0">
      <protection locked="0"/>
    </xf>
    <xf numFmtId="285" fontId="64" fillId="0" borderId="0" applyNumberFormat="0" applyFill="0" applyBorder="0"/>
    <xf numFmtId="0" fontId="212" fillId="0" borderId="9">
      <alignment horizontal="center" vertical="center"/>
    </xf>
    <xf numFmtId="0" fontId="213" fillId="0" borderId="0" applyNumberFormat="0" applyFill="0" applyBorder="0" applyProtection="0">
      <alignment horizontal="left" vertical="center"/>
    </xf>
    <xf numFmtId="0" fontId="59" fillId="29" borderId="0" applyNumberFormat="0" applyBorder="0">
      <alignment vertical="center"/>
    </xf>
    <xf numFmtId="177" fontId="214" fillId="0" borderId="0"/>
    <xf numFmtId="37" fontId="214" fillId="0" borderId="0"/>
    <xf numFmtId="0" fontId="107" fillId="32" borderId="0" applyNumberFormat="0" applyFont="0" applyBorder="0" applyAlignment="0" applyProtection="0"/>
    <xf numFmtId="0" fontId="174" fillId="37" borderId="0" applyNumberFormat="0" applyFont="0" applyBorder="0" applyAlignment="0" applyProtection="0"/>
    <xf numFmtId="0" fontId="174" fillId="37" borderId="0" applyNumberFormat="0" applyFont="0" applyBorder="0" applyAlignment="0" applyProtection="0"/>
    <xf numFmtId="1" fontId="61" fillId="0" borderId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286" fontId="18" fillId="0" borderId="26" applyFont="0" applyFill="0" applyBorder="0" applyAlignment="0" applyProtection="0"/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0" fontId="18" fillId="37" borderId="0" applyFill="0" applyBorder="0">
      <alignment horizontal="center"/>
    </xf>
    <xf numFmtId="40" fontId="107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236" fontId="201" fillId="0" borderId="20">
      <alignment horizontal="right"/>
    </xf>
    <xf numFmtId="0" fontId="215" fillId="0" borderId="31"/>
    <xf numFmtId="0" fontId="133" fillId="0" borderId="0">
      <alignment horizontal="centerContinuous"/>
    </xf>
    <xf numFmtId="0" fontId="133" fillId="0" borderId="0">
      <alignment horizontal="centerContinuous"/>
    </xf>
    <xf numFmtId="0" fontId="178" fillId="0" borderId="0"/>
    <xf numFmtId="0" fontId="192" fillId="0" borderId="0"/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18" fillId="0" borderId="0">
      <alignment horizontal="left" wrapText="1"/>
    </xf>
    <xf numFmtId="0" fontId="56" fillId="0" borderId="0" applyNumberFormat="0" applyBorder="0" applyAlignment="0"/>
    <xf numFmtId="0" fontId="216" fillId="0" borderId="0" applyNumberFormat="0" applyBorder="0" applyAlignment="0"/>
    <xf numFmtId="0" fontId="139" fillId="0" borderId="0" applyNumberFormat="0" applyBorder="0" applyAlignment="0"/>
    <xf numFmtId="0" fontId="217" fillId="0" borderId="0" applyNumberFormat="0" applyBorder="0" applyAlignment="0"/>
    <xf numFmtId="0" fontId="217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56" fillId="0" borderId="0" applyNumberFormat="0" applyBorder="0" applyAlignment="0"/>
    <xf numFmtId="0" fontId="139" fillId="0" borderId="0" applyNumberFormat="0" applyBorder="0" applyAlignment="0"/>
    <xf numFmtId="0" fontId="218" fillId="0" borderId="0" applyNumberFormat="0" applyBorder="0" applyAlignment="0"/>
    <xf numFmtId="0" fontId="218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139" fillId="0" borderId="0" applyNumberFormat="0" applyBorder="0" applyAlignment="0"/>
    <xf numFmtId="0" fontId="209" fillId="0" borderId="0" applyNumberFormat="0" applyBorder="0" applyAlignment="0"/>
    <xf numFmtId="0" fontId="65" fillId="0" borderId="0" applyNumberFormat="0" applyBorder="0" applyAlignment="0"/>
    <xf numFmtId="0" fontId="219" fillId="0" borderId="0" applyNumberFormat="0" applyBorder="0" applyAlignment="0"/>
    <xf numFmtId="0" fontId="62" fillId="0" borderId="0" applyNumberFormat="0" applyBorder="0" applyAlignment="0"/>
    <xf numFmtId="287" fontId="48" fillId="0" borderId="0" applyFill="0" applyBorder="0" applyProtection="0"/>
    <xf numFmtId="287" fontId="48" fillId="0" borderId="0" applyFill="0" applyBorder="0" applyProtection="0"/>
    <xf numFmtId="0" fontId="133" fillId="0" borderId="7">
      <alignment horizontal="center"/>
    </xf>
    <xf numFmtId="0" fontId="133" fillId="0" borderId="7">
      <alignment horizontal="center"/>
    </xf>
    <xf numFmtId="0" fontId="125" fillId="0" borderId="0"/>
    <xf numFmtId="0" fontId="133" fillId="0" borderId="7">
      <alignment horizontal="centerContinuous"/>
    </xf>
    <xf numFmtId="0" fontId="133" fillId="0" borderId="7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0" fontId="133" fillId="0" borderId="31">
      <alignment horizontal="centerContinuous"/>
    </xf>
    <xf numFmtId="9" fontId="133" fillId="0" borderId="0">
      <alignment horizontal="centerContinuous"/>
    </xf>
    <xf numFmtId="9" fontId="133" fillId="0" borderId="0">
      <alignment horizontal="centerContinuous"/>
    </xf>
    <xf numFmtId="0" fontId="112" fillId="0" borderId="0" applyNumberFormat="0" applyFill="0" applyBorder="0" applyProtection="0">
      <alignment horizontal="left"/>
    </xf>
    <xf numFmtId="0" fontId="110" fillId="0" borderId="0" applyBorder="0" applyProtection="0">
      <alignment vertical="center"/>
    </xf>
    <xf numFmtId="0" fontId="112" fillId="0" borderId="0" applyNumberFormat="0" applyFill="0" applyBorder="0" applyProtection="0">
      <alignment horizontal="left"/>
    </xf>
    <xf numFmtId="187" fontId="18" fillId="0" borderId="0" applyFont="0" applyFill="0" applyBorder="0" applyAlignment="0" applyProtection="0"/>
    <xf numFmtId="0" fontId="58" fillId="0" borderId="0" applyBorder="0" applyProtection="0">
      <alignment horizontal="left"/>
    </xf>
    <xf numFmtId="0" fontId="154" fillId="0" borderId="0" applyNumberFormat="0" applyFill="0" applyBorder="0" applyProtection="0">
      <alignment horizontal="left"/>
    </xf>
    <xf numFmtId="0" fontId="220" fillId="0" borderId="0" applyFill="0" applyBorder="0" applyProtection="0"/>
    <xf numFmtId="0" fontId="97" fillId="0" borderId="0" applyNumberFormat="0" applyFill="0" applyBorder="0" applyProtection="0"/>
    <xf numFmtId="0" fontId="164" fillId="0" borderId="0" applyNumberFormat="0" applyFill="0" applyBorder="0" applyProtection="0"/>
    <xf numFmtId="0" fontId="48" fillId="0" borderId="0" applyFill="0" applyBorder="0" applyProtection="0">
      <alignment horizontal="left"/>
    </xf>
    <xf numFmtId="0" fontId="154" fillId="0" borderId="0" applyNumberFormat="0" applyFill="0" applyBorder="0" applyProtection="0"/>
    <xf numFmtId="0" fontId="19" fillId="0" borderId="24" applyFill="0" applyBorder="0" applyProtection="0">
      <alignment horizontal="left" vertical="top"/>
    </xf>
    <xf numFmtId="0" fontId="221" fillId="38" borderId="0" applyBorder="0">
      <alignment horizontal="left" vertical="center" indent="1"/>
    </xf>
    <xf numFmtId="0" fontId="222" fillId="0" borderId="0" applyNumberFormat="0" applyFill="0" applyBorder="0" applyProtection="0"/>
    <xf numFmtId="0" fontId="222" fillId="0" borderId="0" applyNumberFormat="0" applyFill="0" applyBorder="0" applyProtection="0"/>
    <xf numFmtId="0" fontId="223" fillId="0" borderId="0" applyNumberFormat="0" applyFill="0" applyBorder="0" applyProtection="0"/>
    <xf numFmtId="0" fontId="223" fillId="0" borderId="0" applyNumberFormat="0" applyFill="0" applyBorder="0" applyProtection="0"/>
    <xf numFmtId="0" fontId="222" fillId="0" borderId="0" applyNumberFormat="0" applyFill="0" applyBorder="0" applyProtection="0"/>
    <xf numFmtId="0" fontId="222" fillId="0" borderId="0"/>
    <xf numFmtId="288" fontId="49" fillId="56" borderId="0" applyFill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4" fillId="39" borderId="57" applyNumberFormat="0" applyBorder="0" applyProtection="0">
      <alignment horizontal="left" vertical="center"/>
    </xf>
    <xf numFmtId="289" fontId="50" fillId="0" borderId="0" applyNumberFormat="0" applyFill="0" applyBorder="0" applyAlignment="0" applyProtection="0"/>
    <xf numFmtId="0" fontId="223" fillId="0" borderId="0"/>
    <xf numFmtId="0" fontId="222" fillId="0" borderId="0"/>
    <xf numFmtId="0" fontId="134" fillId="0" borderId="21" applyNumberFormat="0" applyFont="0" applyFill="0" applyAlignment="0" applyProtection="0"/>
    <xf numFmtId="0" fontId="208" fillId="0" borderId="58" applyNumberFormat="0" applyFill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164" fontId="126" fillId="0" borderId="0" applyFont="0" applyFill="0" applyBorder="0">
      <alignment horizontal="right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62" fontId="18" fillId="0" borderId="0" applyNumberFormat="0"/>
    <xf numFmtId="262" fontId="18" fillId="0" borderId="0" applyNumberFormat="0"/>
    <xf numFmtId="262" fontId="18" fillId="0" borderId="0" applyNumberFormat="0"/>
    <xf numFmtId="262" fontId="18" fillId="0" borderId="0" applyNumberFormat="0"/>
    <xf numFmtId="290" fontId="18" fillId="0" borderId="0" applyFont="0" applyFill="0" applyBorder="0" applyAlignment="0" applyProtection="0"/>
    <xf numFmtId="291" fontId="178" fillId="0" borderId="0" applyFont="0" applyFill="0" applyBorder="0" applyAlignment="0" applyProtection="0"/>
    <xf numFmtId="44" fontId="56" fillId="0" borderId="0" applyFont="0" applyFill="0" applyBorder="0" applyAlignment="0" applyProtection="0"/>
    <xf numFmtId="0" fontId="195" fillId="0" borderId="0" applyFill="0" applyBorder="0" applyProtection="0">
      <alignment horizontal="right"/>
    </xf>
    <xf numFmtId="0" fontId="195" fillId="0" borderId="0" applyFill="0" applyBorder="0" applyProtection="0">
      <alignment horizontal="right"/>
    </xf>
    <xf numFmtId="0" fontId="202" fillId="0" borderId="9"/>
    <xf numFmtId="236" fontId="202" fillId="0" borderId="0">
      <alignment horizontal="right"/>
    </xf>
    <xf numFmtId="0" fontId="50" fillId="0" borderId="0" applyNumberFormat="0" applyFill="0" applyBorder="0" applyAlignment="0" applyProtection="0"/>
    <xf numFmtId="288" fontId="224" fillId="0" borderId="9">
      <alignment horizontal="right" vertical="top"/>
      <protection locked="0"/>
    </xf>
    <xf numFmtId="249" fontId="49" fillId="29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249" fontId="48" fillId="0" borderId="0" applyFill="0" applyBorder="0">
      <alignment horizontal="right" vertical="top"/>
    </xf>
    <xf numFmtId="0" fontId="107" fillId="39" borderId="0" applyNumberFormat="0" applyBorder="0" applyProtection="0">
      <alignment horizontal="left"/>
    </xf>
    <xf numFmtId="14" fontId="107" fillId="0" borderId="0" applyFont="0" applyFill="0" applyBorder="0" applyProtection="0"/>
    <xf numFmtId="1" fontId="60" fillId="0" borderId="0">
      <alignment horizontal="right"/>
    </xf>
    <xf numFmtId="1" fontId="107" fillId="0" borderId="0" applyFill="0" applyBorder="0" applyProtection="0">
      <alignment horizontal="center"/>
    </xf>
    <xf numFmtId="1" fontId="61" fillId="0" borderId="0" applyFont="0" applyFill="0" applyBorder="0" applyAlignment="0" applyProtection="0"/>
    <xf numFmtId="0" fontId="133" fillId="0" borderId="0">
      <alignment horizontal="centerContinuous"/>
    </xf>
    <xf numFmtId="0" fontId="133" fillId="0" borderId="0">
      <alignment horizontal="centerContinuous"/>
    </xf>
    <xf numFmtId="292" fontId="18" fillId="0" borderId="0" applyFont="0" applyFill="0" applyBorder="0" applyAlignment="0" applyProtection="0"/>
    <xf numFmtId="9" fontId="125" fillId="0" borderId="0">
      <alignment horizontal="left"/>
    </xf>
    <xf numFmtId="0" fontId="125" fillId="0" borderId="0">
      <alignment horizontal="left"/>
    </xf>
    <xf numFmtId="0" fontId="125" fillId="0" borderId="0">
      <alignment horizontal="left"/>
    </xf>
    <xf numFmtId="0" fontId="18" fillId="0" borderId="0"/>
    <xf numFmtId="293" fontId="225" fillId="0" borderId="0"/>
    <xf numFmtId="0" fontId="18" fillId="0" borderId="0">
      <alignment horizontal="left" wrapText="1"/>
    </xf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8" fillId="0" borderId="0" applyFont="0" applyFill="0" applyBorder="0" applyAlignment="0" applyProtection="0"/>
    <xf numFmtId="0" fontId="18" fillId="0" borderId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6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0" fontId="18" fillId="0" borderId="0"/>
    <xf numFmtId="181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0" fontId="18" fillId="0" borderId="0"/>
    <xf numFmtId="187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88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 applyFont="0" applyFill="0" applyBorder="0" applyAlignment="0" applyProtection="0"/>
    <xf numFmtId="0" fontId="18" fillId="0" borderId="0"/>
    <xf numFmtId="3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191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0" fontId="18" fillId="0" borderId="0"/>
    <xf numFmtId="191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254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3" fontId="18" fillId="0" borderId="0">
      <alignment horizontal="left" wrapText="1"/>
    </xf>
    <xf numFmtId="193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195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0" fontId="18" fillId="0" borderId="0">
      <alignment horizontal="left" wrapText="1"/>
    </xf>
    <xf numFmtId="199" fontId="18" fillId="0" borderId="0" applyFont="0" applyFill="0" applyBorder="0" applyAlignment="0" applyProtection="0"/>
    <xf numFmtId="257" fontId="18" fillId="0" borderId="0"/>
    <xf numFmtId="201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 applyFont="0" applyFill="0" applyBorder="0" applyAlignment="0" applyProtection="0"/>
    <xf numFmtId="169" fontId="18" fillId="0" borderId="0">
      <alignment horizontal="left" wrapText="1"/>
    </xf>
    <xf numFmtId="169" fontId="18" fillId="0" borderId="0">
      <alignment horizontal="left" wrapText="1"/>
    </xf>
    <xf numFmtId="257" fontId="18" fillId="0" borderId="0"/>
    <xf numFmtId="0" fontId="18" fillId="0" borderId="0"/>
    <xf numFmtId="0" fontId="18" fillId="0" borderId="0"/>
    <xf numFmtId="202" fontId="18" fillId="25" borderId="1">
      <alignment horizontal="center" vertical="center"/>
    </xf>
    <xf numFmtId="8" fontId="18" fillId="0" borderId="0" applyFont="0" applyFill="0" applyBorder="0" applyAlignment="0"/>
    <xf numFmtId="211" fontId="18" fillId="0" borderId="0" applyFont="0" applyFill="0" applyBorder="0" applyAlignment="0" applyProtection="0">
      <alignment vertical="top"/>
    </xf>
    <xf numFmtId="213" fontId="18" fillId="0" borderId="0" applyFont="0" applyFill="0" applyBorder="0" applyAlignment="0" applyProtection="0">
      <alignment horizontal="right"/>
    </xf>
    <xf numFmtId="216" fontId="18" fillId="0" borderId="0" applyFont="0" applyFill="0" applyBorder="0" applyAlignment="0" applyProtection="0"/>
    <xf numFmtId="218" fontId="18" fillId="28" borderId="0" applyFont="0" applyFill="0" applyBorder="0" applyAlignment="0"/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37" fontId="18" fillId="0" borderId="0" applyFont="0" applyFill="0" applyBorder="0" applyAlignment="0" applyProtection="0"/>
    <xf numFmtId="221" fontId="18" fillId="0" borderId="0" applyFont="0" applyFill="0" applyBorder="0" applyAlignment="0" applyProtection="0">
      <alignment horizontal="left" wrapText="1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0" fontId="18" fillId="6" borderId="16" applyNumberFormat="0" applyFont="0" applyAlignment="0" applyProtection="0"/>
    <xf numFmtId="229" fontId="18" fillId="0" borderId="0" applyFont="0" applyFill="0" applyBorder="0" applyAlignment="0"/>
    <xf numFmtId="231" fontId="18" fillId="0" borderId="0" applyFont="0" applyFill="0" applyBorder="0" applyAlignment="0"/>
    <xf numFmtId="169" fontId="18" fillId="0" borderId="0">
      <alignment horizontal="left" wrapText="1"/>
    </xf>
    <xf numFmtId="0" fontId="18" fillId="0" borderId="0"/>
    <xf numFmtId="0" fontId="18" fillId="0" borderId="0"/>
    <xf numFmtId="193" fontId="18" fillId="0" borderId="0">
      <alignment horizontal="left" wrapText="1"/>
    </xf>
    <xf numFmtId="235" fontId="18" fillId="0" borderId="0"/>
    <xf numFmtId="205" fontId="18" fillId="0" borderId="0">
      <alignment horizontal="left"/>
    </xf>
    <xf numFmtId="257" fontId="18" fillId="0" borderId="0"/>
    <xf numFmtId="257" fontId="18" fillId="0" borderId="0"/>
    <xf numFmtId="257" fontId="18" fillId="0" borderId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168" fontId="18" fillId="0" borderId="0"/>
    <xf numFmtId="0" fontId="18" fillId="0" borderId="0"/>
    <xf numFmtId="191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190" fontId="18" fillId="0" borderId="0" applyFont="0" applyFill="0" applyBorder="0" applyAlignment="0" applyProtection="0"/>
    <xf numFmtId="208" fontId="18" fillId="0" borderId="0" applyFont="0" applyFill="0" applyBorder="0" applyAlignment="0"/>
    <xf numFmtId="220" fontId="18" fillId="0" borderId="0">
      <alignment horizontal="left"/>
    </xf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43" fontId="238" fillId="0" borderId="0" applyFont="0" applyFill="0" applyBorder="0" applyAlignment="0" applyProtection="0"/>
    <xf numFmtId="0" fontId="239" fillId="0" borderId="0"/>
    <xf numFmtId="44" fontId="239" fillId="0" borderId="0" applyFont="0" applyFill="0" applyBorder="0" applyAlignment="0" applyProtection="0"/>
    <xf numFmtId="9" fontId="239" fillId="0" borderId="0" applyFont="0" applyFill="0" applyBorder="0" applyAlignment="0" applyProtection="0"/>
    <xf numFmtId="0" fontId="14" fillId="0" borderId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3" borderId="0" applyNumberFormat="0" applyBorder="0" applyAlignment="0" applyProtection="0"/>
    <xf numFmtId="0" fontId="56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243" fillId="5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56" fillId="6" borderId="0" applyNumberFormat="0" applyBorder="0" applyAlignment="0" applyProtection="0"/>
    <xf numFmtId="0" fontId="243" fillId="7" borderId="0" applyNumberFormat="0" applyBorder="0" applyAlignment="0" applyProtection="0"/>
    <xf numFmtId="0" fontId="56" fillId="7" borderId="0" applyNumberFormat="0" applyBorder="0" applyAlignment="0" applyProtection="0"/>
    <xf numFmtId="0" fontId="25" fillId="7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56" fillId="26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56" fillId="9" borderId="0" applyNumberFormat="0" applyBorder="0" applyAlignment="0" applyProtection="0"/>
    <xf numFmtId="0" fontId="56" fillId="9" borderId="0" applyNumberFormat="0" applyBorder="0" applyAlignment="0" applyProtection="0"/>
    <xf numFmtId="0" fontId="243" fillId="9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4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10" borderId="0" applyNumberFormat="0" applyBorder="0" applyAlignment="0" applyProtection="0"/>
    <xf numFmtId="0" fontId="56" fillId="10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56" fillId="11" borderId="0" applyNumberFormat="0" applyBorder="0" applyAlignment="0" applyProtection="0"/>
    <xf numFmtId="0" fontId="56" fillId="11" borderId="0" applyNumberFormat="0" applyBorder="0" applyAlignment="0" applyProtection="0"/>
    <xf numFmtId="0" fontId="243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56" fillId="12" borderId="0" applyNumberFormat="0" applyBorder="0" applyAlignment="0" applyProtection="0"/>
    <xf numFmtId="0" fontId="243" fillId="13" borderId="0" applyNumberFormat="0" applyBorder="0" applyAlignment="0" applyProtection="0"/>
    <xf numFmtId="0" fontId="56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56" fillId="57" borderId="0" applyNumberFormat="0" applyBorder="0" applyAlignment="0" applyProtection="0"/>
    <xf numFmtId="0" fontId="243" fillId="8" borderId="0" applyNumberFormat="0" applyBorder="0" applyAlignment="0" applyProtection="0"/>
    <xf numFmtId="0" fontId="56" fillId="8" borderId="0" applyNumberFormat="0" applyBorder="0" applyAlignment="0" applyProtection="0"/>
    <xf numFmtId="0" fontId="25" fillId="8" borderId="0" applyNumberFormat="0" applyBorder="0" applyAlignment="0" applyProtection="0"/>
    <xf numFmtId="0" fontId="25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243" fillId="10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56" fillId="4" borderId="0" applyNumberFormat="0" applyBorder="0" applyAlignment="0" applyProtection="0"/>
    <xf numFmtId="0" fontId="243" fillId="14" borderId="0" applyNumberFormat="0" applyBorder="0" applyAlignment="0" applyProtection="0"/>
    <xf numFmtId="0" fontId="56" fillId="14" borderId="0" applyNumberFormat="0" applyBorder="0" applyAlignment="0" applyProtection="0"/>
    <xf numFmtId="0" fontId="25" fillId="14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6" borderId="0" applyNumberFormat="0" applyBorder="0" applyAlignment="0" applyProtection="0"/>
    <xf numFmtId="0" fontId="124" fillId="16" borderId="0" applyNumberFormat="0" applyBorder="0" applyAlignment="0" applyProtection="0"/>
    <xf numFmtId="0" fontId="76" fillId="16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1" borderId="0" applyNumberFormat="0" applyBorder="0" applyAlignment="0" applyProtection="0"/>
    <xf numFmtId="0" fontId="76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124" fillId="12" borderId="0" applyNumberFormat="0" applyBorder="0" applyAlignment="0" applyProtection="0"/>
    <xf numFmtId="0" fontId="244" fillId="13" borderId="0" applyNumberFormat="0" applyBorder="0" applyAlignment="0" applyProtection="0"/>
    <xf numFmtId="0" fontId="124" fillId="13" borderId="0" applyNumberFormat="0" applyBorder="0" applyAlignment="0" applyProtection="0"/>
    <xf numFmtId="0" fontId="76" fillId="13" borderId="0" applyNumberFormat="0" applyBorder="0" applyAlignment="0" applyProtection="0"/>
    <xf numFmtId="0" fontId="76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124" fillId="57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76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124" fillId="11" borderId="0" applyNumberFormat="0" applyBorder="0" applyAlignment="0" applyProtection="0"/>
    <xf numFmtId="0" fontId="244" fillId="19" borderId="0" applyNumberFormat="0" applyBorder="0" applyAlignment="0" applyProtection="0"/>
    <xf numFmtId="0" fontId="124" fillId="19" borderId="0" applyNumberFormat="0" applyBorder="0" applyAlignment="0" applyProtection="0"/>
    <xf numFmtId="0" fontId="76" fillId="19" borderId="0" applyNumberFormat="0" applyBorder="0" applyAlignment="0" applyProtection="0"/>
    <xf numFmtId="0" fontId="76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20" borderId="0" applyNumberFormat="0" applyBorder="0" applyAlignment="0" applyProtection="0"/>
    <xf numFmtId="0" fontId="124" fillId="20" borderId="0" applyNumberFormat="0" applyBorder="0" applyAlignment="0" applyProtection="0"/>
    <xf numFmtId="0" fontId="76" fillId="20" borderId="0" applyNumberFormat="0" applyBorder="0" applyAlignment="0" applyProtection="0"/>
    <xf numFmtId="0" fontId="124" fillId="22" borderId="0" applyNumberFormat="0" applyBorder="0" applyAlignment="0" applyProtection="0"/>
    <xf numFmtId="0" fontId="124" fillId="22" borderId="0" applyNumberFormat="0" applyBorder="0" applyAlignment="0" applyProtection="0"/>
    <xf numFmtId="0" fontId="244" fillId="22" borderId="0" applyNumberFormat="0" applyBorder="0" applyAlignment="0" applyProtection="0"/>
    <xf numFmtId="0" fontId="124" fillId="23" borderId="0" applyNumberFormat="0" applyBorder="0" applyAlignment="0" applyProtection="0"/>
    <xf numFmtId="0" fontId="124" fillId="23" borderId="0" applyNumberFormat="0" applyBorder="0" applyAlignment="0" applyProtection="0"/>
    <xf numFmtId="0" fontId="244" fillId="23" borderId="0" applyNumberFormat="0" applyBorder="0" applyAlignment="0" applyProtection="0"/>
    <xf numFmtId="0" fontId="76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124" fillId="24" borderId="0" applyNumberFormat="0" applyBorder="0" applyAlignment="0" applyProtection="0"/>
    <xf numFmtId="0" fontId="244" fillId="18" borderId="0" applyNumberFormat="0" applyBorder="0" applyAlignment="0" applyProtection="0"/>
    <xf numFmtId="0" fontId="124" fillId="18" borderId="0" applyNumberFormat="0" applyBorder="0" applyAlignment="0" applyProtection="0"/>
    <xf numFmtId="0" fontId="76" fillId="18" borderId="0" applyNumberFormat="0" applyBorder="0" applyAlignment="0" applyProtection="0"/>
    <xf numFmtId="0" fontId="124" fillId="15" borderId="0" applyNumberFormat="0" applyBorder="0" applyAlignment="0" applyProtection="0"/>
    <xf numFmtId="0" fontId="124" fillId="15" borderId="0" applyNumberFormat="0" applyBorder="0" applyAlignment="0" applyProtection="0"/>
    <xf numFmtId="0" fontId="244" fillId="15" borderId="0" applyNumberFormat="0" applyBorder="0" applyAlignment="0" applyProtection="0"/>
    <xf numFmtId="0" fontId="124" fillId="21" borderId="0" applyNumberFormat="0" applyBorder="0" applyAlignment="0" applyProtection="0"/>
    <xf numFmtId="0" fontId="124" fillId="21" borderId="0" applyNumberFormat="0" applyBorder="0" applyAlignment="0" applyProtection="0"/>
    <xf numFmtId="0" fontId="244" fillId="21" borderId="0" applyNumberFormat="0" applyBorder="0" applyAlignment="0" applyProtection="0"/>
    <xf numFmtId="0" fontId="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26" fillId="58" borderId="0" applyNumberFormat="0" applyBorder="0" applyAlignment="0" applyProtection="0"/>
    <xf numFmtId="0" fontId="245" fillId="5" borderId="0" applyNumberFormat="0" applyBorder="0" applyAlignment="0" applyProtection="0"/>
    <xf numFmtId="0" fontId="226" fillId="5" borderId="0" applyNumberFormat="0" applyBorder="0" applyAlignment="0" applyProtection="0"/>
    <xf numFmtId="0" fontId="26" fillId="5" borderId="0" applyNumberFormat="0" applyBorder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27" fillId="26" borderId="4" applyNumberFormat="0" applyAlignment="0" applyProtection="0"/>
    <xf numFmtId="0" fontId="246" fillId="26" borderId="4" applyNumberFormat="0" applyAlignment="0" applyProtection="0"/>
    <xf numFmtId="0" fontId="80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28" fillId="57" borderId="5" applyNumberFormat="0" applyAlignment="0" applyProtection="0"/>
    <xf numFmtId="0" fontId="247" fillId="27" borderId="5" applyNumberFormat="0" applyAlignment="0" applyProtection="0"/>
    <xf numFmtId="0" fontId="228" fillId="27" borderId="5" applyNumberFormat="0" applyAlignment="0" applyProtection="0"/>
    <xf numFmtId="0" fontId="80" fillId="27" borderId="5" applyNumberFormat="0" applyAlignment="0" applyProtection="0"/>
    <xf numFmtId="43" fontId="14" fillId="0" borderId="0" applyFont="0" applyFill="0" applyBorder="0" applyAlignment="0" applyProtection="0"/>
    <xf numFmtId="43" fontId="5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24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2" fillId="0" borderId="0" applyFont="0" applyFill="0" applyBorder="0" applyAlignment="0" applyProtection="0"/>
    <xf numFmtId="8" fontId="44" fillId="0" borderId="0" applyFont="0" applyFill="0" applyBorder="0" applyAlignment="0" applyProtection="0"/>
    <xf numFmtId="8" fontId="44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29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156" fillId="7" borderId="0" applyNumberFormat="0" applyBorder="0" applyAlignment="0" applyProtection="0"/>
    <xf numFmtId="0" fontId="156" fillId="7" borderId="0" applyNumberFormat="0" applyBorder="0" applyAlignment="0" applyProtection="0"/>
    <xf numFmtId="0" fontId="250" fillId="7" borderId="0" applyNumberFormat="0" applyBorder="0" applyAlignment="0" applyProtection="0"/>
    <xf numFmtId="0" fontId="251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2" fillId="0" borderId="60" applyNumberFormat="0" applyFill="0" applyAlignment="0" applyProtection="0"/>
    <xf numFmtId="0" fontId="253" fillId="0" borderId="35" applyNumberFormat="0" applyFill="0" applyAlignment="0" applyProtection="0"/>
    <xf numFmtId="0" fontId="230" fillId="0" borderId="35" applyNumberFormat="0" applyFill="0" applyAlignment="0" applyProtection="0"/>
    <xf numFmtId="0" fontId="240" fillId="0" borderId="35" applyNumberFormat="0" applyFill="0" applyAlignment="0" applyProtection="0"/>
    <xf numFmtId="0" fontId="254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5" fillId="0" borderId="61" applyNumberFormat="0" applyFill="0" applyAlignment="0" applyProtection="0"/>
    <xf numFmtId="0" fontId="256" fillId="0" borderId="36" applyNumberFormat="0" applyFill="0" applyAlignment="0" applyProtection="0"/>
    <xf numFmtId="0" fontId="231" fillId="0" borderId="36" applyNumberFormat="0" applyFill="0" applyAlignment="0" applyProtection="0"/>
    <xf numFmtId="0" fontId="241" fillId="0" borderId="36" applyNumberFormat="0" applyFill="0" applyAlignment="0" applyProtection="0"/>
    <xf numFmtId="0" fontId="3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7" fillId="0" borderId="12" applyNumberFormat="0" applyFill="0" applyAlignment="0" applyProtection="0"/>
    <xf numFmtId="0" fontId="258" fillId="0" borderId="37" applyNumberFormat="0" applyFill="0" applyAlignment="0" applyProtection="0"/>
    <xf numFmtId="0" fontId="232" fillId="0" borderId="37" applyNumberFormat="0" applyFill="0" applyAlignment="0" applyProtection="0"/>
    <xf numFmtId="0" fontId="93" fillId="0" borderId="37" applyNumberFormat="0" applyFill="0" applyAlignment="0" applyProtection="0"/>
    <xf numFmtId="0" fontId="3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7" fillId="0" borderId="0" applyNumberFormat="0" applyFill="0" applyBorder="0" applyAlignment="0" applyProtection="0"/>
    <xf numFmtId="0" fontId="258" fillId="0" borderId="0" applyNumberFormat="0" applyFill="0" applyBorder="0" applyAlignment="0" applyProtection="0"/>
    <xf numFmtId="0" fontId="23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52" fillId="4" borderId="4" applyNumberFormat="0" applyAlignment="0" applyProtection="0"/>
    <xf numFmtId="0" fontId="259" fillId="4" borderId="4" applyNumberFormat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33" fillId="0" borderId="14" applyNumberFormat="0" applyFill="0" applyAlignment="0" applyProtection="0"/>
    <xf numFmtId="0" fontId="260" fillId="0" borderId="14" applyNumberFormat="0" applyFill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34" fillId="12" borderId="0" applyNumberFormat="0" applyBorder="0" applyAlignment="0" applyProtection="0"/>
    <xf numFmtId="0" fontId="261" fillId="12" borderId="0" applyNumberFormat="0" applyBorder="0" applyAlignment="0" applyProtection="0"/>
    <xf numFmtId="0" fontId="237" fillId="0" borderId="0"/>
    <xf numFmtId="0" fontId="242" fillId="0" borderId="0"/>
    <xf numFmtId="37" fontId="41" fillId="0" borderId="0"/>
    <xf numFmtId="0" fontId="41" fillId="0" borderId="0"/>
    <xf numFmtId="0" fontId="4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262" fillId="0" borderId="0"/>
    <xf numFmtId="0" fontId="262" fillId="0" borderId="0"/>
    <xf numFmtId="0" fontId="242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262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38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18" fillId="0" borderId="0"/>
    <xf numFmtId="0" fontId="44" fillId="0" borderId="0"/>
    <xf numFmtId="0" fontId="242" fillId="0" borderId="0"/>
    <xf numFmtId="0" fontId="242" fillId="0" borderId="0"/>
    <xf numFmtId="0" fontId="18" fillId="0" borderId="0"/>
    <xf numFmtId="0" fontId="44" fillId="0" borderId="0"/>
    <xf numFmtId="0" fontId="1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0" borderId="0"/>
    <xf numFmtId="0" fontId="237" fillId="0" borderId="0"/>
    <xf numFmtId="0" fontId="237" fillId="0" borderId="0"/>
    <xf numFmtId="0" fontId="237" fillId="0" borderId="0"/>
    <xf numFmtId="0" fontId="18" fillId="6" borderId="16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18" fillId="6" borderId="4" applyNumberFormat="0" applyFon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35" fillId="26" borderId="17" applyNumberFormat="0" applyAlignment="0" applyProtection="0"/>
    <xf numFmtId="0" fontId="263" fillId="26" borderId="17" applyNumberFormat="0" applyAlignment="0" applyProtection="0"/>
    <xf numFmtId="9" fontId="1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0" fontId="45" fillId="0" borderId="2">
      <alignment horizontal="center"/>
    </xf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4" fillId="31" borderId="0" applyNumberFormat="0" applyFont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29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08" fillId="0" borderId="62" applyNumberFormat="0" applyFill="0" applyAlignment="0" applyProtection="0"/>
    <xf numFmtId="0" fontId="264" fillId="0" borderId="58" applyNumberFormat="0" applyFill="0" applyAlignment="0" applyProtection="0"/>
    <xf numFmtId="0" fontId="208" fillId="0" borderId="58" applyNumberFormat="0" applyFill="0" applyAlignment="0" applyProtection="0"/>
    <xf numFmtId="0" fontId="29" fillId="0" borderId="58" applyNumberFormat="0" applyFill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265" fillId="0" borderId="0" applyNumberForma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48" fillId="0" borderId="0" applyFont="0" applyFill="0" applyBorder="0" applyAlignment="0" applyProtection="0"/>
    <xf numFmtId="40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9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9" fillId="29" borderId="0"/>
    <xf numFmtId="168" fontId="18" fillId="0" borderId="0"/>
    <xf numFmtId="0" fontId="266" fillId="59" borderId="0" applyNumberFormat="0" applyBorder="0" applyAlignment="0" applyProtection="0"/>
    <xf numFmtId="0" fontId="44" fillId="0" borderId="0"/>
    <xf numFmtId="0" fontId="44" fillId="0" borderId="0"/>
    <xf numFmtId="0" fontId="18" fillId="0" borderId="0"/>
    <xf numFmtId="0" fontId="18" fillId="0" borderId="0"/>
    <xf numFmtId="0" fontId="13" fillId="0" borderId="0"/>
    <xf numFmtId="0" fontId="18" fillId="0" borderId="0" applyNumberFormat="0" applyFill="0" applyBorder="0" applyAlignment="0" applyProtection="0"/>
    <xf numFmtId="0" fontId="13" fillId="0" borderId="0"/>
    <xf numFmtId="0" fontId="267" fillId="0" borderId="0"/>
    <xf numFmtId="0" fontId="267" fillId="0" borderId="0"/>
    <xf numFmtId="0" fontId="18" fillId="0" borderId="0"/>
    <xf numFmtId="0" fontId="44" fillId="0" borderId="0"/>
    <xf numFmtId="0" fontId="44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68" fontId="18" fillId="0" borderId="0"/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0" fontId="44" fillId="0" borderId="0" applyNumberFormat="0" applyFont="0" applyFill="0" applyBorder="0" applyAlignment="0" applyProtection="0">
      <alignment horizontal="left"/>
    </xf>
    <xf numFmtId="44" fontId="13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15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4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3" fontId="44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8" fillId="0" borderId="0" applyNumberFormat="0">
      <alignment horizontal="right" vertical="top" wrapText="1"/>
    </xf>
    <xf numFmtId="0" fontId="18" fillId="0" borderId="0" applyNumberFormat="0">
      <alignment horizontal="left" vertical="top" wrapText="1"/>
    </xf>
    <xf numFmtId="0" fontId="117" fillId="0" borderId="0"/>
    <xf numFmtId="0" fontId="268" fillId="0" borderId="0"/>
    <xf numFmtId="0" fontId="269" fillId="60" borderId="0">
      <alignment horizontal="left" vertical="center"/>
    </xf>
    <xf numFmtId="0" fontId="22" fillId="0" borderId="63" applyNumberFormat="0">
      <alignment horizontal="right"/>
    </xf>
    <xf numFmtId="0" fontId="22" fillId="0" borderId="63">
      <alignment horizontal="left"/>
    </xf>
    <xf numFmtId="168" fontId="18" fillId="0" borderId="0"/>
    <xf numFmtId="44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269" fillId="60" borderId="0">
      <alignment horizontal="left" vertical="center"/>
    </xf>
    <xf numFmtId="0" fontId="13" fillId="0" borderId="0"/>
    <xf numFmtId="0" fontId="269" fillId="60" borderId="0">
      <alignment horizontal="left" vertical="center"/>
    </xf>
    <xf numFmtId="0" fontId="12" fillId="0" borderId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8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68" fontId="18" fillId="0" borderId="0"/>
    <xf numFmtId="4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269" fillId="60" borderId="0">
      <alignment horizontal="left" vertical="center"/>
    </xf>
    <xf numFmtId="0" fontId="12" fillId="0" borderId="0"/>
    <xf numFmtId="0" fontId="269" fillId="60" borderId="0">
      <alignment horizontal="left" vertical="center"/>
    </xf>
    <xf numFmtId="0" fontId="11" fillId="0" borderId="0"/>
    <xf numFmtId="43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8" fontId="18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9" fillId="60" borderId="0">
      <alignment horizontal="left" vertical="center"/>
    </xf>
    <xf numFmtId="0" fontId="10" fillId="0" borderId="0"/>
    <xf numFmtId="43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68" fontId="18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69" fillId="60" borderId="0">
      <alignment horizontal="left" vertical="center"/>
    </xf>
    <xf numFmtId="40" fontId="4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7" fillId="0" borderId="0" applyFont="0" applyFill="0" applyBorder="0" applyAlignment="0" applyProtection="0"/>
    <xf numFmtId="3" fontId="18" fillId="0" borderId="0" applyFont="0" applyFill="0" applyBorder="0" applyAlignment="0" applyProtection="0"/>
    <xf numFmtId="44" fontId="237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81" fillId="0" borderId="0" applyFont="0" applyFill="0" applyBorder="0" applyAlignment="0" applyProtection="0">
      <alignment horizontal="right"/>
    </xf>
    <xf numFmtId="254" fontId="18" fillId="0" borderId="0" applyFont="0" applyFill="0" applyBorder="0" applyAlignment="0" applyProtection="0"/>
    <xf numFmtId="257" fontId="18" fillId="0" borderId="0"/>
    <xf numFmtId="272" fontId="125" fillId="0" borderId="0">
      <alignment horizontal="right"/>
    </xf>
    <xf numFmtId="277" fontId="188" fillId="0" borderId="0" applyFont="0" applyFill="0" applyBorder="0" applyProtection="0">
      <alignment horizontal="right"/>
    </xf>
    <xf numFmtId="277" fontId="188" fillId="0" borderId="0" applyFont="0" applyFill="0" applyBorder="0" applyProtection="0">
      <alignment horizontal="right"/>
    </xf>
    <xf numFmtId="272" fontId="125" fillId="0" borderId="0">
      <alignment horizontal="right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7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9" fillId="0" borderId="0" applyFont="0" applyFill="0" applyBorder="0" applyAlignment="0" applyProtection="0"/>
    <xf numFmtId="257" fontId="18" fillId="0" borderId="0"/>
    <xf numFmtId="25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69" fillId="60" borderId="0">
      <alignment horizontal="left" vertical="center"/>
    </xf>
    <xf numFmtId="0" fontId="8" fillId="0" borderId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7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1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0" borderId="0"/>
    <xf numFmtId="9" fontId="5" fillId="0" borderId="0" applyFont="0" applyFill="0" applyBorder="0" applyAlignment="0" applyProtection="0"/>
    <xf numFmtId="0" fontId="1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275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94" fontId="25" fillId="0" borderId="0"/>
    <xf numFmtId="0" fontId="3" fillId="0" borderId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76" fillId="62" borderId="0" applyBorder="0"/>
    <xf numFmtId="41" fontId="277" fillId="63" borderId="0" applyNumberFormat="0"/>
    <xf numFmtId="9" fontId="25" fillId="0" borderId="0" applyFont="0" applyFill="0" applyBorder="0" applyAlignment="0" applyProtection="0"/>
    <xf numFmtId="41" fontId="277" fillId="63" borderId="9" applyNumberFormat="0"/>
    <xf numFmtId="4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4" fontId="278" fillId="64" borderId="9" applyNumberFormat="0"/>
    <xf numFmtId="0" fontId="279" fillId="65" borderId="9" applyNumberFormat="0"/>
    <xf numFmtId="9" fontId="267" fillId="0" borderId="0" applyFont="0" applyFill="0" applyBorder="0" applyAlignment="0" applyProtection="0"/>
    <xf numFmtId="0" fontId="267" fillId="0" borderId="0"/>
    <xf numFmtId="0" fontId="280" fillId="66" borderId="0">
      <alignment horizontal="left" vertical="center"/>
    </xf>
    <xf numFmtId="215" fontId="3" fillId="0" borderId="0" applyFont="0" applyFill="0" applyBorder="0" applyAlignment="0" applyProtection="0"/>
    <xf numFmtId="0" fontId="283" fillId="0" borderId="0"/>
    <xf numFmtId="0" fontId="18" fillId="0" borderId="0"/>
    <xf numFmtId="0" fontId="49" fillId="0" borderId="0"/>
    <xf numFmtId="0" fontId="18" fillId="0" borderId="0"/>
    <xf numFmtId="9" fontId="3" fillId="0" borderId="0" applyFont="0" applyFill="0" applyBorder="0" applyAlignment="0" applyProtection="0"/>
    <xf numFmtId="43" fontId="281" fillId="0" borderId="0" applyFont="0" applyFill="0" applyBorder="0" applyAlignment="0" applyProtection="0"/>
    <xf numFmtId="295" fontId="18" fillId="0" borderId="0" applyFont="0" applyFill="0" applyBorder="0" applyProtection="0">
      <alignment vertical="top"/>
    </xf>
    <xf numFmtId="0" fontId="18" fillId="0" borderId="0"/>
    <xf numFmtId="0" fontId="284" fillId="0" borderId="0"/>
    <xf numFmtId="0" fontId="3" fillId="0" borderId="0"/>
    <xf numFmtId="0" fontId="285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286" fillId="0" borderId="0" applyBorder="0"/>
    <xf numFmtId="0" fontId="284" fillId="0" borderId="0"/>
    <xf numFmtId="0" fontId="304" fillId="0" borderId="0" applyNumberFormat="0" applyFill="0" applyBorder="0" applyAlignment="0" applyProtection="0"/>
    <xf numFmtId="0" fontId="287" fillId="0" borderId="64" applyNumberFormat="0" applyFill="0" applyAlignment="0" applyProtection="0"/>
    <xf numFmtId="0" fontId="288" fillId="0" borderId="65" applyNumberFormat="0" applyFill="0" applyAlignment="0" applyProtection="0"/>
    <xf numFmtId="0" fontId="289" fillId="0" borderId="66" applyNumberFormat="0" applyFill="0" applyAlignment="0" applyProtection="0"/>
    <xf numFmtId="0" fontId="290" fillId="0" borderId="0" applyNumberFormat="0" applyFill="0" applyBorder="0" applyAlignment="0" applyProtection="0"/>
    <xf numFmtId="0" fontId="298" fillId="0" borderId="0" applyProtection="0"/>
    <xf numFmtId="0" fontId="299" fillId="69" borderId="0" applyProtection="0">
      <alignment vertical="center"/>
    </xf>
    <xf numFmtId="0" fontId="284" fillId="72" borderId="0" applyProtection="0">
      <alignment vertical="center"/>
    </xf>
    <xf numFmtId="0" fontId="295" fillId="70" borderId="0" applyProtection="0">
      <alignment horizontal="center" vertical="center" readingOrder="1"/>
    </xf>
    <xf numFmtId="0" fontId="300" fillId="67" borderId="0" applyProtection="0">
      <alignment horizontal="left" vertical="center" readingOrder="1"/>
    </xf>
    <xf numFmtId="0" fontId="295" fillId="68" borderId="0" applyProtection="0">
      <alignment horizontal="center" vertical="center" wrapText="1" readingOrder="1"/>
    </xf>
    <xf numFmtId="0" fontId="300" fillId="68" borderId="0" applyProtection="0">
      <alignment horizontal="left" vertical="center" readingOrder="1"/>
    </xf>
    <xf numFmtId="0" fontId="301" fillId="0" borderId="0" applyProtection="0">
      <alignment vertical="center"/>
    </xf>
    <xf numFmtId="0" fontId="302" fillId="71" borderId="0" applyProtection="0">
      <alignment vertical="center" readingOrder="1"/>
    </xf>
    <xf numFmtId="0" fontId="303" fillId="0" borderId="0" applyProtection="0">
      <alignment horizontal="right" vertical="center" readingOrder="1"/>
    </xf>
    <xf numFmtId="298" fontId="19" fillId="0" borderId="0" applyProtection="0"/>
    <xf numFmtId="296" fontId="19" fillId="0" borderId="0" applyProtection="0"/>
    <xf numFmtId="0" fontId="292" fillId="0" borderId="67" applyNumberFormat="0" applyProtection="0">
      <alignment vertical="center"/>
    </xf>
    <xf numFmtId="0" fontId="293" fillId="0" borderId="0" applyNumberFormat="0" applyProtection="0">
      <alignment vertical="center"/>
    </xf>
    <xf numFmtId="0" fontId="294" fillId="0" borderId="0" applyNumberFormat="0" applyProtection="0">
      <alignment vertical="center"/>
    </xf>
    <xf numFmtId="297" fontId="295" fillId="70" borderId="68" applyProtection="0">
      <alignment vertical="center" readingOrder="1"/>
    </xf>
    <xf numFmtId="297" fontId="295" fillId="68" borderId="68" applyProtection="0">
      <alignment vertical="center" readingOrder="1"/>
    </xf>
    <xf numFmtId="297" fontId="296" fillId="0" borderId="67" applyProtection="0">
      <alignment vertical="center" readingOrder="1"/>
    </xf>
    <xf numFmtId="0" fontId="284" fillId="0" borderId="0" applyNumberFormat="0" applyProtection="0">
      <alignment vertical="center"/>
    </xf>
    <xf numFmtId="0" fontId="284" fillId="0" borderId="67" applyProtection="0">
      <alignment vertical="center" wrapText="1" readingOrder="1"/>
    </xf>
    <xf numFmtId="298" fontId="291" fillId="0" borderId="69" applyProtection="0">
      <alignment vertical="center"/>
    </xf>
    <xf numFmtId="0" fontId="297" fillId="0" borderId="0" applyProtection="0">
      <alignment vertical="top"/>
    </xf>
    <xf numFmtId="0" fontId="284" fillId="0" borderId="0"/>
    <xf numFmtId="0" fontId="18" fillId="0" borderId="0"/>
    <xf numFmtId="0" fontId="18" fillId="0" borderId="0"/>
    <xf numFmtId="0" fontId="3" fillId="0" borderId="0"/>
    <xf numFmtId="9" fontId="285" fillId="0" borderId="0" applyFont="0" applyFill="0" applyBorder="0" applyAlignment="0" applyProtection="0"/>
    <xf numFmtId="0" fontId="3" fillId="0" borderId="0"/>
    <xf numFmtId="43" fontId="285" fillId="0" borderId="0" applyFont="0" applyFill="0" applyBorder="0" applyAlignment="0" applyProtection="0"/>
    <xf numFmtId="0" fontId="18" fillId="0" borderId="0"/>
    <xf numFmtId="0" fontId="3" fillId="0" borderId="0"/>
    <xf numFmtId="0" fontId="18" fillId="0" borderId="0"/>
    <xf numFmtId="0" fontId="3" fillId="0" borderId="0"/>
    <xf numFmtId="44" fontId="18" fillId="0" borderId="0" applyFont="0" applyFill="0" applyBorder="0" applyAlignment="0" applyProtection="0"/>
    <xf numFmtId="9" fontId="286" fillId="0" borderId="0" applyFont="0" applyFill="0" applyBorder="0" applyAlignment="0" applyProtection="0"/>
    <xf numFmtId="44" fontId="284" fillId="0" borderId="0" applyFont="0" applyFill="0" applyBorder="0" applyAlignment="0" applyProtection="0"/>
    <xf numFmtId="0" fontId="3" fillId="0" borderId="0"/>
    <xf numFmtId="0" fontId="282" fillId="0" borderId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05" fillId="0" borderId="70" applyNumberFormat="0" applyFont="0" applyProtection="0">
      <alignment wrapText="1"/>
    </xf>
    <xf numFmtId="0" fontId="305" fillId="0" borderId="0" applyNumberFormat="0" applyFill="0" applyBorder="0" applyAlignment="0" applyProtection="0"/>
    <xf numFmtId="0" fontId="305" fillId="0" borderId="71" applyNumberFormat="0" applyProtection="0">
      <alignment wrapText="1"/>
    </xf>
    <xf numFmtId="0" fontId="306" fillId="0" borderId="72" applyNumberFormat="0" applyProtection="0">
      <alignment wrapText="1"/>
    </xf>
    <xf numFmtId="0" fontId="306" fillId="0" borderId="73" applyNumberFormat="0" applyProtection="0">
      <alignment wrapText="1"/>
    </xf>
    <xf numFmtId="0" fontId="307" fillId="0" borderId="0" applyNumberFormat="0" applyProtection="0">
      <alignment horizontal="left"/>
    </xf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275" fillId="0" borderId="0" applyFont="0" applyFill="0" applyBorder="0" applyAlignment="0" applyProtection="0"/>
    <xf numFmtId="0" fontId="310" fillId="0" borderId="0" applyNumberForma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38" fontId="313" fillId="0" borderId="0">
      <protection locked="0"/>
    </xf>
    <xf numFmtId="0" fontId="2" fillId="0" borderId="0"/>
    <xf numFmtId="0" fontId="314" fillId="0" borderId="0" applyNumberFormat="0" applyFont="0" applyFill="0" applyBorder="0" applyAlignment="0" applyProtection="0">
      <alignment horizontal="left"/>
    </xf>
    <xf numFmtId="15" fontId="314" fillId="0" borderId="0" applyFont="0" applyFill="0" applyBorder="0" applyAlignment="0" applyProtection="0"/>
    <xf numFmtId="4" fontId="314" fillId="0" borderId="0" applyFont="0" applyFill="0" applyBorder="0" applyAlignment="0" applyProtection="0"/>
    <xf numFmtId="0" fontId="315" fillId="0" borderId="2">
      <alignment horizontal="center"/>
    </xf>
    <xf numFmtId="3" fontId="314" fillId="0" borderId="0" applyFont="0" applyFill="0" applyBorder="0" applyAlignment="0" applyProtection="0"/>
    <xf numFmtId="0" fontId="314" fillId="31" borderId="0" applyNumberFormat="0" applyFon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311" fillId="0" borderId="0"/>
    <xf numFmtId="43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43" fontId="90" fillId="0" borderId="0" applyFont="0" applyFill="0" applyBorder="0" applyAlignment="0" applyProtection="0"/>
    <xf numFmtId="0" fontId="311" fillId="0" borderId="0"/>
    <xf numFmtId="0" fontId="21" fillId="0" borderId="0"/>
    <xf numFmtId="9" fontId="22" fillId="0" borderId="0" applyFont="0" applyFill="0" applyBorder="0" applyAlignment="0" applyProtection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316" fillId="0" borderId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17" fillId="0" borderId="0" applyNumberFormat="0" applyFill="0" applyBorder="0" applyAlignment="0" applyProtection="0"/>
    <xf numFmtId="0" fontId="318" fillId="75" borderId="77">
      <alignment horizontal="left"/>
    </xf>
    <xf numFmtId="38" fontId="318" fillId="75" borderId="77"/>
    <xf numFmtId="0" fontId="319" fillId="63" borderId="76" applyProtection="0"/>
    <xf numFmtId="300" fontId="318" fillId="76" borderId="77">
      <alignment horizontal="center"/>
    </xf>
    <xf numFmtId="9" fontId="319" fillId="63" borderId="76" applyProtection="0">
      <alignment horizontal="center"/>
    </xf>
    <xf numFmtId="38" fontId="318" fillId="75" borderId="77"/>
    <xf numFmtId="0" fontId="320" fillId="0" borderId="0">
      <alignment horizontal="center"/>
    </xf>
    <xf numFmtId="0" fontId="321" fillId="77" borderId="76" applyNumberFormat="0" applyAlignment="0" applyProtection="0"/>
    <xf numFmtId="0" fontId="312" fillId="0" borderId="7">
      <alignment horizontal="center" wrapText="1"/>
    </xf>
    <xf numFmtId="9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5" fontId="18" fillId="0" borderId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16">
    <xf numFmtId="0" fontId="0" fillId="0" borderId="0" xfId="0"/>
    <xf numFmtId="0" fontId="30" fillId="0" borderId="0" xfId="0" applyFont="1"/>
    <xf numFmtId="164" fontId="30" fillId="0" borderId="0" xfId="0" applyNumberFormat="1" applyFont="1"/>
    <xf numFmtId="37" fontId="30" fillId="0" borderId="0" xfId="0" applyNumberFormat="1" applyFont="1"/>
    <xf numFmtId="0" fontId="18" fillId="0" borderId="0" xfId="0" applyFont="1"/>
    <xf numFmtId="37" fontId="22" fillId="0" borderId="23" xfId="0" applyNumberFormat="1" applyFont="1" applyBorder="1"/>
    <xf numFmtId="8" fontId="30" fillId="0" borderId="0" xfId="0" applyNumberFormat="1" applyFont="1"/>
    <xf numFmtId="3" fontId="30" fillId="0" borderId="0" xfId="0" applyNumberFormat="1" applyFont="1"/>
    <xf numFmtId="43" fontId="30" fillId="0" borderId="0" xfId="0" applyNumberFormat="1" applyFont="1"/>
    <xf numFmtId="179" fontId="30" fillId="0" borderId="0" xfId="436" applyNumberFormat="1" applyFont="1" applyFill="1"/>
    <xf numFmtId="0" fontId="22" fillId="61" borderId="0" xfId="0" applyFont="1" applyFill="1"/>
    <xf numFmtId="0" fontId="22" fillId="61" borderId="0" xfId="0" applyFont="1" applyFill="1" applyAlignment="1">
      <alignment horizontal="center"/>
    </xf>
    <xf numFmtId="0" fontId="23" fillId="61" borderId="7" xfId="0" applyFont="1" applyFill="1" applyBorder="1" applyAlignment="1">
      <alignment horizontal="center" vertical="center" wrapText="1"/>
    </xf>
    <xf numFmtId="0" fontId="22" fillId="61" borderId="7" xfId="0" applyFont="1" applyFill="1" applyBorder="1" applyAlignment="1">
      <alignment horizontal="center" vertical="center" wrapText="1"/>
    </xf>
    <xf numFmtId="0" fontId="22" fillId="61" borderId="19" xfId="0" applyFont="1" applyFill="1" applyBorder="1" applyAlignment="1">
      <alignment horizontal="left"/>
    </xf>
    <xf numFmtId="0" fontId="22" fillId="61" borderId="0" xfId="0" applyFont="1" applyFill="1" applyAlignment="1">
      <alignment horizontal="left"/>
    </xf>
    <xf numFmtId="0" fontId="22" fillId="61" borderId="0" xfId="0" applyFont="1" applyFill="1" applyAlignment="1">
      <alignment horizontal="left" vertical="center" wrapText="1"/>
    </xf>
    <xf numFmtId="0" fontId="22" fillId="61" borderId="0" xfId="0" applyFont="1" applyFill="1" applyAlignment="1">
      <alignment vertical="center" wrapText="1"/>
    </xf>
    <xf numFmtId="0" fontId="22" fillId="61" borderId="0" xfId="0" applyFont="1" applyFill="1" applyAlignment="1">
      <alignment horizontal="left" vertical="center"/>
    </xf>
    <xf numFmtId="38" fontId="120" fillId="61" borderId="0" xfId="0" applyNumberFormat="1" applyFont="1" applyFill="1"/>
    <xf numFmtId="43" fontId="22" fillId="61" borderId="0" xfId="0" applyNumberFormat="1" applyFont="1" applyFill="1" applyAlignment="1">
      <alignment horizontal="left" vertical="center"/>
    </xf>
    <xf numFmtId="0" fontId="55" fillId="61" borderId="0" xfId="0" applyFont="1" applyFill="1" applyAlignment="1">
      <alignment vertical="center"/>
    </xf>
    <xf numFmtId="37" fontId="30" fillId="0" borderId="19" xfId="0" applyNumberFormat="1" applyFont="1" applyBorder="1"/>
    <xf numFmtId="0" fontId="54" fillId="0" borderId="0" xfId="0" applyFont="1"/>
    <xf numFmtId="0" fontId="237" fillId="0" borderId="0" xfId="0" applyFont="1"/>
    <xf numFmtId="0" fontId="273" fillId="0" borderId="0" xfId="0" applyFont="1" applyAlignment="1">
      <alignment horizontal="center"/>
    </xf>
    <xf numFmtId="0" fontId="273" fillId="0" borderId="0" xfId="0" applyFont="1"/>
    <xf numFmtId="0" fontId="237" fillId="0" borderId="0" xfId="0" applyFont="1" applyAlignment="1">
      <alignment horizontal="center"/>
    </xf>
    <xf numFmtId="164" fontId="237" fillId="0" borderId="0" xfId="424" applyNumberFormat="1" applyFont="1"/>
    <xf numFmtId="164" fontId="237" fillId="0" borderId="7" xfId="424" applyNumberFormat="1" applyFont="1" applyFill="1" applyBorder="1"/>
    <xf numFmtId="164" fontId="237" fillId="0" borderId="0" xfId="424" applyNumberFormat="1" applyFont="1" applyFill="1"/>
    <xf numFmtId="171" fontId="273" fillId="0" borderId="0" xfId="436" applyNumberFormat="1" applyFont="1"/>
    <xf numFmtId="164" fontId="237" fillId="0" borderId="0" xfId="0" applyNumberFormat="1" applyFont="1"/>
    <xf numFmtId="171" fontId="237" fillId="0" borderId="0" xfId="0" applyNumberFormat="1" applyFont="1"/>
    <xf numFmtId="164" fontId="237" fillId="0" borderId="7" xfId="424" applyNumberFormat="1" applyFont="1" applyBorder="1"/>
    <xf numFmtId="171" fontId="237" fillId="0" borderId="0" xfId="436" applyNumberFormat="1" applyFont="1"/>
    <xf numFmtId="9" fontId="237" fillId="0" borderId="7" xfId="0" applyNumberFormat="1" applyFont="1" applyBorder="1"/>
    <xf numFmtId="0" fontId="237" fillId="0" borderId="7" xfId="0" applyFont="1" applyBorder="1"/>
    <xf numFmtId="171" fontId="30" fillId="0" borderId="0" xfId="436" applyNumberFormat="1" applyFont="1" applyFill="1"/>
    <xf numFmtId="171" fontId="30" fillId="0" borderId="0" xfId="0" applyNumberFormat="1" applyFont="1"/>
    <xf numFmtId="174" fontId="30" fillId="0" borderId="0" xfId="553" applyNumberFormat="1" applyFont="1" applyFill="1"/>
    <xf numFmtId="38" fontId="120" fillId="61" borderId="7" xfId="0" applyNumberFormat="1" applyFont="1" applyFill="1" applyBorder="1"/>
    <xf numFmtId="0" fontId="18" fillId="0" borderId="7" xfId="0" applyFont="1" applyBorder="1"/>
    <xf numFmtId="171" fontId="30" fillId="0" borderId="7" xfId="436" applyNumberFormat="1" applyFont="1" applyFill="1" applyBorder="1"/>
    <xf numFmtId="171" fontId="30" fillId="0" borderId="7" xfId="0" applyNumberFormat="1" applyFont="1" applyBorder="1"/>
    <xf numFmtId="0" fontId="18" fillId="0" borderId="11" xfId="0" applyFont="1" applyBorder="1"/>
    <xf numFmtId="171" fontId="30" fillId="0" borderId="11" xfId="436" applyNumberFormat="1" applyFont="1" applyFill="1" applyBorder="1"/>
    <xf numFmtId="43" fontId="30" fillId="0" borderId="0" xfId="424" applyFont="1" applyFill="1"/>
    <xf numFmtId="3" fontId="30" fillId="0" borderId="7" xfId="0" applyNumberFormat="1" applyFont="1" applyBorder="1"/>
    <xf numFmtId="164" fontId="18" fillId="61" borderId="0" xfId="424" applyNumberFormat="1" applyFont="1" applyFill="1" applyBorder="1" applyAlignment="1">
      <alignment vertical="center"/>
    </xf>
    <xf numFmtId="0" fontId="18" fillId="61" borderId="0" xfId="0" applyFont="1" applyFill="1" applyAlignment="1">
      <alignment vertical="center"/>
    </xf>
    <xf numFmtId="0" fontId="18" fillId="0" borderId="0" xfId="0" applyFont="1" applyAlignment="1">
      <alignment horizontal="center"/>
    </xf>
    <xf numFmtId="0" fontId="22" fillId="0" borderId="7" xfId="0" applyFont="1" applyBorder="1"/>
    <xf numFmtId="165" fontId="30" fillId="0" borderId="7" xfId="553" applyNumberFormat="1" applyFont="1" applyFill="1" applyBorder="1" applyAlignment="1">
      <alignment horizontal="right" vertical="center"/>
    </xf>
    <xf numFmtId="37" fontId="30" fillId="0" borderId="11" xfId="0" applyNumberFormat="1" applyFont="1" applyBorder="1"/>
    <xf numFmtId="164" fontId="30" fillId="0" borderId="0" xfId="424" applyNumberFormat="1" applyFont="1" applyFill="1" applyBorder="1" applyAlignment="1">
      <alignment horizontal="center"/>
    </xf>
    <xf numFmtId="0" fontId="273" fillId="0" borderId="7" xfId="0" applyFont="1" applyBorder="1" applyAlignment="1">
      <alignment horizontal="center"/>
    </xf>
    <xf numFmtId="164" fontId="18" fillId="0" borderId="0" xfId="424" applyNumberFormat="1" applyFont="1" applyFill="1"/>
    <xf numFmtId="0" fontId="18" fillId="61" borderId="0" xfId="0" applyFont="1" applyFill="1"/>
    <xf numFmtId="0" fontId="18" fillId="61" borderId="0" xfId="0" applyFont="1" applyFill="1" applyAlignment="1">
      <alignment vertical="center" wrapText="1"/>
    </xf>
    <xf numFmtId="0" fontId="18" fillId="61" borderId="0" xfId="0" applyFont="1" applyFill="1" applyAlignment="1">
      <alignment horizontal="left"/>
    </xf>
    <xf numFmtId="164" fontId="18" fillId="61" borderId="0" xfId="424" applyNumberFormat="1" applyFont="1" applyFill="1" applyBorder="1"/>
    <xf numFmtId="0" fontId="18" fillId="61" borderId="7" xfId="0" applyFont="1" applyFill="1" applyBorder="1" applyAlignment="1">
      <alignment horizontal="left"/>
    </xf>
    <xf numFmtId="164" fontId="18" fillId="61" borderId="19" xfId="424" applyNumberFormat="1" applyFont="1" applyFill="1" applyBorder="1"/>
    <xf numFmtId="0" fontId="18" fillId="61" borderId="0" xfId="0" applyFont="1" applyFill="1" applyAlignment="1">
      <alignment horizontal="left" vertical="center" wrapText="1"/>
    </xf>
    <xf numFmtId="38" fontId="18" fillId="61" borderId="0" xfId="0" applyNumberFormat="1" applyFont="1" applyFill="1" applyAlignment="1">
      <alignment horizontal="left" vertical="center" wrapText="1"/>
    </xf>
    <xf numFmtId="164" fontId="18" fillId="61" borderId="0" xfId="424" applyNumberFormat="1" applyFont="1" applyFill="1" applyBorder="1" applyAlignment="1">
      <alignment horizontal="left" vertical="center"/>
    </xf>
    <xf numFmtId="0" fontId="18" fillId="61" borderId="0" xfId="0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left" vertical="center" wrapText="1"/>
    </xf>
    <xf numFmtId="164" fontId="18" fillId="61" borderId="0" xfId="0" applyNumberFormat="1" applyFont="1" applyFill="1" applyAlignment="1">
      <alignment vertical="center"/>
    </xf>
    <xf numFmtId="43" fontId="18" fillId="61" borderId="0" xfId="0" applyNumberFormat="1" applyFont="1" applyFill="1" applyAlignment="1">
      <alignment vertical="center"/>
    </xf>
    <xf numFmtId="236" fontId="18" fillId="61" borderId="0" xfId="424" applyNumberFormat="1" applyFont="1" applyFill="1" applyBorder="1" applyAlignment="1">
      <alignment vertical="center"/>
    </xf>
    <xf numFmtId="164" fontId="18" fillId="61" borderId="0" xfId="424" applyNumberFormat="1" applyFont="1" applyFill="1" applyBorder="1" applyAlignment="1">
      <alignment horizontal="center" vertical="center"/>
    </xf>
    <xf numFmtId="43" fontId="18" fillId="61" borderId="0" xfId="424" applyFont="1" applyFill="1" applyBorder="1" applyAlignment="1">
      <alignment vertical="center"/>
    </xf>
    <xf numFmtId="0" fontId="18" fillId="61" borderId="0" xfId="0" applyFont="1" applyFill="1" applyAlignment="1">
      <alignment horizontal="right" vertical="center"/>
    </xf>
    <xf numFmtId="165" fontId="18" fillId="61" borderId="0" xfId="553" applyNumberFormat="1" applyFont="1" applyFill="1" applyBorder="1" applyAlignment="1">
      <alignment vertical="center"/>
    </xf>
    <xf numFmtId="43" fontId="18" fillId="61" borderId="0" xfId="0" applyNumberFormat="1" applyFont="1" applyFill="1" applyAlignment="1">
      <alignment horizontal="left" vertical="center"/>
    </xf>
    <xf numFmtId="2" fontId="18" fillId="61" borderId="0" xfId="553" applyNumberFormat="1" applyFont="1" applyFill="1" applyBorder="1" applyAlignment="1">
      <alignment vertical="center"/>
    </xf>
    <xf numFmtId="164" fontId="18" fillId="61" borderId="0" xfId="0" applyNumberFormat="1" applyFont="1" applyFill="1" applyAlignment="1">
      <alignment horizontal="left" vertical="center"/>
    </xf>
    <xf numFmtId="164" fontId="18" fillId="61" borderId="0" xfId="0" applyNumberFormat="1" applyFont="1" applyFill="1" applyAlignment="1">
      <alignment horizontal="center" vertical="center"/>
    </xf>
    <xf numFmtId="43" fontId="18" fillId="61" borderId="0" xfId="0" applyNumberFormat="1" applyFont="1" applyFill="1"/>
    <xf numFmtId="8" fontId="274" fillId="0" borderId="0" xfId="0" applyNumberFormat="1" applyFont="1"/>
    <xf numFmtId="0" fontId="0" fillId="0" borderId="0" xfId="0" applyAlignment="1">
      <alignment horizontal="left"/>
    </xf>
    <xf numFmtId="9" fontId="18" fillId="0" borderId="0" xfId="553" applyFont="1" applyFill="1" applyAlignment="1"/>
    <xf numFmtId="0" fontId="22" fillId="0" borderId="0" xfId="0" applyFont="1"/>
    <xf numFmtId="0" fontId="18" fillId="73" borderId="0" xfId="0" applyFont="1" applyFill="1"/>
    <xf numFmtId="164" fontId="18" fillId="73" borderId="0" xfId="424" applyNumberFormat="1" applyFont="1" applyFill="1"/>
    <xf numFmtId="3" fontId="18" fillId="0" borderId="24" xfId="0" applyNumberFormat="1" applyFont="1" applyBorder="1"/>
    <xf numFmtId="0" fontId="22" fillId="0" borderId="27" xfId="0" applyFont="1" applyBorder="1"/>
    <xf numFmtId="9" fontId="18" fillId="73" borderId="0" xfId="553" applyFont="1" applyFill="1"/>
    <xf numFmtId="164" fontId="18" fillId="73" borderId="0" xfId="424" applyNumberFormat="1" applyFont="1" applyFill="1" applyBorder="1" applyAlignment="1">
      <alignment horizontal="right"/>
    </xf>
    <xf numFmtId="38" fontId="120" fillId="61" borderId="19" xfId="0" applyNumberFormat="1" applyFont="1" applyFill="1" applyBorder="1"/>
    <xf numFmtId="38" fontId="120" fillId="61" borderId="19" xfId="0" quotePrefix="1" applyNumberFormat="1" applyFont="1" applyFill="1" applyBorder="1"/>
    <xf numFmtId="0" fontId="18" fillId="74" borderId="11" xfId="0" applyFont="1" applyFill="1" applyBorder="1" applyAlignment="1">
      <alignment horizontal="right"/>
    </xf>
    <xf numFmtId="164" fontId="18" fillId="0" borderId="0" xfId="0" applyNumberFormat="1" applyFont="1" applyAlignment="1">
      <alignment vertical="center"/>
    </xf>
    <xf numFmtId="0" fontId="22" fillId="0" borderId="7" xfId="0" applyFont="1" applyBorder="1" applyAlignment="1">
      <alignment horizontal="center"/>
    </xf>
    <xf numFmtId="0" fontId="22" fillId="0" borderId="0" xfId="0" applyFont="1" applyAlignment="1">
      <alignment horizontal="center"/>
    </xf>
    <xf numFmtId="3" fontId="18" fillId="0" borderId="0" xfId="0" applyNumberFormat="1" applyFont="1"/>
    <xf numFmtId="44" fontId="30" fillId="0" borderId="0" xfId="0" applyNumberFormat="1" applyFont="1"/>
    <xf numFmtId="3" fontId="309" fillId="0" borderId="0" xfId="0" applyNumberFormat="1" applyFont="1" applyAlignment="1">
      <alignment wrapText="1"/>
    </xf>
    <xf numFmtId="171" fontId="30" fillId="0" borderId="19" xfId="0" applyNumberFormat="1" applyFont="1" applyBorder="1"/>
    <xf numFmtId="164" fontId="18" fillId="0" borderId="11" xfId="424" applyNumberFormat="1" applyFont="1" applyFill="1" applyBorder="1" applyAlignment="1">
      <alignment horizontal="right"/>
    </xf>
    <xf numFmtId="0" fontId="0" fillId="0" borderId="0" xfId="0" applyAlignment="1">
      <alignment horizontal="left" indent="2"/>
    </xf>
    <xf numFmtId="0" fontId="18" fillId="0" borderId="0" xfId="0" applyFont="1" applyProtection="1">
      <protection locked="0"/>
    </xf>
    <xf numFmtId="164" fontId="18" fillId="0" borderId="0" xfId="424" applyNumberFormat="1" applyFont="1" applyFill="1" applyBorder="1"/>
    <xf numFmtId="174" fontId="18" fillId="0" borderId="0" xfId="553" applyNumberFormat="1" applyFont="1" applyFill="1" applyBorder="1"/>
    <xf numFmtId="299" fontId="30" fillId="0" borderId="0" xfId="0" applyNumberFormat="1" applyFont="1"/>
    <xf numFmtId="0" fontId="30" fillId="0" borderId="19" xfId="0" applyFont="1" applyBorder="1"/>
    <xf numFmtId="164" fontId="18" fillId="61" borderId="0" xfId="424" applyNumberFormat="1" applyFont="1" applyFill="1" applyBorder="1" applyAlignment="1">
      <alignment horizontal="right"/>
    </xf>
    <xf numFmtId="0" fontId="18" fillId="61" borderId="0" xfId="0" applyFont="1" applyFill="1" applyAlignment="1">
      <alignment horizontal="right"/>
    </xf>
    <xf numFmtId="10" fontId="18" fillId="0" borderId="0" xfId="553" applyNumberFormat="1" applyFont="1" applyFill="1"/>
    <xf numFmtId="3" fontId="22" fillId="0" borderId="0" xfId="0" applyNumberFormat="1" applyFont="1"/>
    <xf numFmtId="37" fontId="22" fillId="0" borderId="11" xfId="0" applyNumberFormat="1" applyFont="1" applyBorder="1"/>
    <xf numFmtId="0" fontId="18" fillId="61" borderId="7" xfId="0" applyFont="1" applyFill="1" applyBorder="1" applyAlignment="1">
      <alignment horizontal="right" vertical="center"/>
    </xf>
    <xf numFmtId="10" fontId="0" fillId="0" borderId="7" xfId="0" applyNumberFormat="1" applyBorder="1"/>
    <xf numFmtId="0" fontId="18" fillId="0" borderId="7" xfId="0" applyFont="1" applyBorder="1" applyAlignment="1">
      <alignment horizontal="center"/>
    </xf>
    <xf numFmtId="0" fontId="18" fillId="0" borderId="0" xfId="0" applyFont="1" applyAlignment="1">
      <alignment horizontal="left" indent="2"/>
    </xf>
    <xf numFmtId="164" fontId="18" fillId="73" borderId="7" xfId="424" applyNumberFormat="1" applyFont="1" applyFill="1" applyBorder="1"/>
    <xf numFmtId="164" fontId="18" fillId="0" borderId="0" xfId="0" applyNumberFormat="1" applyFont="1"/>
    <xf numFmtId="164" fontId="18" fillId="73" borderId="0" xfId="424" applyNumberFormat="1" applyFont="1" applyFill="1" applyBorder="1"/>
    <xf numFmtId="10" fontId="18" fillId="0" borderId="0" xfId="553" applyNumberFormat="1" applyFont="1" applyFill="1" applyBorder="1"/>
    <xf numFmtId="301" fontId="18" fillId="0" borderId="0" xfId="424" applyNumberFormat="1" applyFont="1" applyFill="1" applyBorder="1"/>
    <xf numFmtId="43" fontId="30" fillId="0" borderId="7" xfId="424" applyFont="1" applyFill="1" applyBorder="1"/>
    <xf numFmtId="10" fontId="18" fillId="61" borderId="0" xfId="0" applyNumberFormat="1" applyFont="1" applyFill="1" applyAlignment="1">
      <alignment vertical="center"/>
    </xf>
    <xf numFmtId="37" fontId="0" fillId="0" borderId="0" xfId="0" applyNumberFormat="1"/>
    <xf numFmtId="164" fontId="0" fillId="0" borderId="0" xfId="424" applyNumberFormat="1" applyFont="1"/>
    <xf numFmtId="9" fontId="0" fillId="0" borderId="0" xfId="553" applyFont="1"/>
    <xf numFmtId="171" fontId="0" fillId="0" borderId="0" xfId="0" applyNumberFormat="1"/>
    <xf numFmtId="0" fontId="0" fillId="0" borderId="7" xfId="0" applyBorder="1"/>
    <xf numFmtId="0" fontId="0" fillId="0" borderId="0" xfId="0" applyAlignment="1">
      <alignment horizontal="right"/>
    </xf>
    <xf numFmtId="0" fontId="273" fillId="78" borderId="0" xfId="0" applyFont="1" applyFill="1" applyAlignment="1">
      <alignment horizontal="center"/>
    </xf>
    <xf numFmtId="0" fontId="273" fillId="78" borderId="0" xfId="0" applyFont="1" applyFill="1"/>
    <xf numFmtId="171" fontId="22" fillId="78" borderId="0" xfId="0" applyNumberFormat="1" applyFont="1" applyFill="1"/>
    <xf numFmtId="0" fontId="55" fillId="74" borderId="11" xfId="0" applyFont="1" applyFill="1" applyBorder="1" applyAlignment="1">
      <alignment horizontal="right"/>
    </xf>
    <xf numFmtId="164" fontId="55" fillId="74" borderId="11" xfId="424" applyNumberFormat="1" applyFont="1" applyFill="1" applyBorder="1" applyAlignment="1">
      <alignment horizontal="right"/>
    </xf>
    <xf numFmtId="0" fontId="1" fillId="0" borderId="0" xfId="2959"/>
    <xf numFmtId="0" fontId="322" fillId="0" borderId="0" xfId="2959" applyFont="1"/>
    <xf numFmtId="10" fontId="1" fillId="0" borderId="0" xfId="2960" applyNumberFormat="1"/>
    <xf numFmtId="10" fontId="18" fillId="73" borderId="0" xfId="553" applyNumberFormat="1" applyFont="1" applyFill="1"/>
    <xf numFmtId="0" fontId="18" fillId="0" borderId="0" xfId="0" applyFont="1" applyAlignment="1">
      <alignment horizontal="left"/>
    </xf>
    <xf numFmtId="2" fontId="18" fillId="73" borderId="0" xfId="0" applyNumberFormat="1" applyFont="1" applyFill="1"/>
    <xf numFmtId="0" fontId="18" fillId="0" borderId="24" xfId="0" applyFont="1" applyBorder="1"/>
    <xf numFmtId="0" fontId="18" fillId="0" borderId="26" xfId="0" applyFont="1" applyBorder="1"/>
    <xf numFmtId="0" fontId="18" fillId="0" borderId="28" xfId="0" applyFont="1" applyBorder="1"/>
    <xf numFmtId="0" fontId="22" fillId="0" borderId="74" xfId="0" applyFont="1" applyBorder="1" applyAlignment="1">
      <alignment horizontal="center"/>
    </xf>
    <xf numFmtId="0" fontId="18" fillId="0" borderId="25" xfId="0" applyFont="1" applyBorder="1"/>
    <xf numFmtId="171" fontId="18" fillId="0" borderId="25" xfId="436" applyNumberFormat="1" applyFont="1" applyFill="1" applyBorder="1" applyProtection="1"/>
    <xf numFmtId="171" fontId="18" fillId="0" borderId="75" xfId="436" applyNumberFormat="1" applyFont="1" applyFill="1" applyBorder="1" applyProtection="1"/>
    <xf numFmtId="164" fontId="22" fillId="0" borderId="25" xfId="424" applyNumberFormat="1" applyFont="1" applyFill="1" applyBorder="1" applyProtection="1"/>
    <xf numFmtId="0" fontId="22" fillId="73" borderId="0" xfId="0" applyFont="1" applyFill="1"/>
    <xf numFmtId="0" fontId="0" fillId="0" borderId="0" xfId="0" quotePrefix="1" applyAlignment="1">
      <alignment horizontal="right"/>
    </xf>
    <xf numFmtId="10" fontId="0" fillId="0" borderId="0" xfId="553" applyNumberFormat="1" applyFont="1"/>
    <xf numFmtId="171" fontId="0" fillId="0" borderId="0" xfId="436" applyNumberFormat="1" applyFont="1"/>
    <xf numFmtId="164" fontId="0" fillId="0" borderId="0" xfId="0" applyNumberFormat="1"/>
    <xf numFmtId="0" fontId="18" fillId="0" borderId="0" xfId="0" applyFont="1" applyAlignment="1">
      <alignment horizontal="right"/>
    </xf>
    <xf numFmtId="49" fontId="18" fillId="0" borderId="0" xfId="0" applyNumberFormat="1" applyFont="1" applyAlignment="1">
      <alignment horizontal="center"/>
    </xf>
    <xf numFmtId="49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 wrapText="1"/>
    </xf>
    <xf numFmtId="37" fontId="18" fillId="0" borderId="0" xfId="0" applyNumberFormat="1" applyFont="1" applyAlignment="1">
      <alignment horizontal="center"/>
    </xf>
    <xf numFmtId="5" fontId="18" fillId="0" borderId="0" xfId="0" applyNumberFormat="1" applyFont="1"/>
    <xf numFmtId="10" fontId="18" fillId="0" borderId="0" xfId="0" applyNumberFormat="1" applyFont="1"/>
    <xf numFmtId="0" fontId="18" fillId="0" borderId="0" xfId="1157"/>
    <xf numFmtId="49" fontId="22" fillId="0" borderId="0" xfId="1157" applyNumberFormat="1" applyFont="1" applyAlignment="1">
      <alignment horizontal="center" wrapText="1"/>
    </xf>
    <xf numFmtId="0" fontId="324" fillId="0" borderId="0" xfId="1157" applyFont="1" applyAlignment="1">
      <alignment horizontal="center"/>
    </xf>
    <xf numFmtId="37" fontId="22" fillId="0" borderId="0" xfId="1157" applyNumberFormat="1" applyFont="1" applyAlignment="1">
      <alignment horizontal="center"/>
    </xf>
    <xf numFmtId="37" fontId="22" fillId="0" borderId="0" xfId="1157" applyNumberFormat="1" applyFont="1" applyAlignment="1">
      <alignment horizontal="center" wrapText="1"/>
    </xf>
    <xf numFmtId="49" fontId="18" fillId="0" borderId="0" xfId="1157" applyNumberFormat="1" applyAlignment="1">
      <alignment wrapText="1"/>
    </xf>
    <xf numFmtId="37" fontId="18" fillId="0" borderId="0" xfId="1157" applyNumberFormat="1" applyAlignment="1">
      <alignment horizontal="center"/>
    </xf>
    <xf numFmtId="304" fontId="18" fillId="0" borderId="0" xfId="1157" applyNumberFormat="1"/>
    <xf numFmtId="49" fontId="18" fillId="0" borderId="0" xfId="1157" applyNumberFormat="1"/>
    <xf numFmtId="302" fontId="18" fillId="0" borderId="0" xfId="1157" applyNumberFormat="1"/>
    <xf numFmtId="305" fontId="18" fillId="0" borderId="0" xfId="1157" applyNumberFormat="1"/>
    <xf numFmtId="302" fontId="0" fillId="0" borderId="0" xfId="0" applyNumberFormat="1"/>
    <xf numFmtId="175" fontId="0" fillId="0" borderId="0" xfId="424" applyNumberFormat="1" applyFont="1"/>
    <xf numFmtId="164" fontId="0" fillId="0" borderId="0" xfId="424" applyNumberFormat="1" applyFont="1" applyFill="1" applyBorder="1"/>
    <xf numFmtId="302" fontId="0" fillId="0" borderId="0" xfId="424" applyNumberFormat="1" applyFont="1" applyFill="1" applyBorder="1"/>
    <xf numFmtId="164" fontId="0" fillId="0" borderId="0" xfId="424" applyNumberFormat="1" applyFont="1" applyFill="1" applyBorder="1" applyAlignment="1">
      <alignment horizontal="center"/>
    </xf>
    <xf numFmtId="304" fontId="0" fillId="0" borderId="0" xfId="0" applyNumberFormat="1"/>
    <xf numFmtId="166" fontId="18" fillId="0" borderId="0" xfId="0" applyNumberFormat="1" applyFont="1"/>
    <xf numFmtId="10" fontId="18" fillId="0" borderId="0" xfId="0" applyNumberFormat="1" applyFont="1" applyAlignment="1">
      <alignment horizontal="right"/>
    </xf>
    <xf numFmtId="49" fontId="18" fillId="0" borderId="0" xfId="0" applyNumberFormat="1" applyFont="1" applyAlignment="1">
      <alignment horizontal="right"/>
    </xf>
    <xf numFmtId="303" fontId="22" fillId="0" borderId="0" xfId="0" applyNumberFormat="1" applyFont="1"/>
    <xf numFmtId="10" fontId="30" fillId="0" borderId="0" xfId="553" applyNumberFormat="1" applyFont="1" applyFill="1"/>
    <xf numFmtId="44" fontId="30" fillId="0" borderId="0" xfId="436" applyFont="1" applyFill="1"/>
    <xf numFmtId="9" fontId="18" fillId="61" borderId="0" xfId="553" applyFont="1" applyFill="1" applyBorder="1" applyAlignment="1">
      <alignment vertical="center"/>
    </xf>
    <xf numFmtId="44" fontId="30" fillId="0" borderId="0" xfId="436" applyFont="1" applyFill="1" applyAlignment="1"/>
    <xf numFmtId="0" fontId="18" fillId="79" borderId="0" xfId="0" applyFont="1" applyFill="1"/>
    <xf numFmtId="165" fontId="30" fillId="0" borderId="0" xfId="553" applyNumberFormat="1" applyFont="1" applyFill="1" applyBorder="1" applyAlignment="1">
      <alignment horizontal="right" vertical="center"/>
    </xf>
    <xf numFmtId="171" fontId="30" fillId="0" borderId="0" xfId="436" applyNumberFormat="1" applyFont="1" applyFill="1" applyBorder="1"/>
    <xf numFmtId="43" fontId="30" fillId="0" borderId="0" xfId="424" applyFont="1" applyFill="1" applyBorder="1"/>
    <xf numFmtId="37" fontId="22" fillId="0" borderId="0" xfId="0" applyNumberFormat="1" applyFont="1"/>
    <xf numFmtId="179" fontId="30" fillId="0" borderId="0" xfId="436" applyNumberFormat="1" applyFont="1" applyFill="1" applyBorder="1"/>
    <xf numFmtId="44" fontId="30" fillId="0" borderId="0" xfId="436" applyFont="1" applyFill="1" applyBorder="1"/>
    <xf numFmtId="174" fontId="30" fillId="0" borderId="0" xfId="553" applyNumberFormat="1" applyFont="1" applyFill="1" applyBorder="1"/>
    <xf numFmtId="9" fontId="18" fillId="0" borderId="0" xfId="553" applyFont="1" applyFill="1" applyBorder="1"/>
    <xf numFmtId="10" fontId="0" fillId="61" borderId="7" xfId="0" applyNumberFormat="1" applyFill="1" applyBorder="1"/>
    <xf numFmtId="0" fontId="18" fillId="0" borderId="11" xfId="0" applyFont="1" applyBorder="1" applyAlignment="1">
      <alignment horizontal="right"/>
    </xf>
    <xf numFmtId="164" fontId="18" fillId="0" borderId="0" xfId="424" applyNumberFormat="1" applyFont="1" applyFill="1" applyBorder="1" applyAlignment="1">
      <alignment horizontal="right"/>
    </xf>
    <xf numFmtId="0" fontId="310" fillId="0" borderId="0" xfId="2916" applyFill="1" applyBorder="1"/>
    <xf numFmtId="0" fontId="325" fillId="0" borderId="0" xfId="0" applyFont="1"/>
    <xf numFmtId="0" fontId="326" fillId="0" borderId="0" xfId="0" applyFont="1"/>
    <xf numFmtId="164" fontId="326" fillId="0" borderId="0" xfId="424" applyNumberFormat="1" applyFont="1" applyFill="1" applyBorder="1"/>
    <xf numFmtId="10" fontId="0" fillId="0" borderId="0" xfId="0" applyNumberFormat="1"/>
    <xf numFmtId="0" fontId="18" fillId="73" borderId="0" xfId="0" applyFont="1" applyFill="1" applyProtection="1">
      <protection locked="0"/>
    </xf>
    <xf numFmtId="0" fontId="18" fillId="0" borderId="24" xfId="0" applyFont="1" applyBorder="1" applyAlignment="1">
      <alignment horizontal="left"/>
    </xf>
    <xf numFmtId="3" fontId="18" fillId="73" borderId="0" xfId="0" applyNumberFormat="1" applyFont="1" applyFill="1"/>
    <xf numFmtId="10" fontId="0" fillId="0" borderId="0" xfId="553" applyNumberFormat="1" applyFont="1" applyFill="1"/>
    <xf numFmtId="164" fontId="22" fillId="0" borderId="0" xfId="424" applyNumberFormat="1" applyFont="1" applyFill="1"/>
    <xf numFmtId="49" fontId="18" fillId="0" borderId="0" xfId="0" applyNumberFormat="1" applyFont="1" applyAlignment="1">
      <alignment horizontal="center"/>
    </xf>
    <xf numFmtId="49" fontId="18" fillId="0" borderId="0" xfId="0" applyNumberFormat="1" applyFont="1"/>
    <xf numFmtId="0" fontId="0" fillId="0" borderId="0" xfId="0"/>
    <xf numFmtId="49" fontId="323" fillId="0" borderId="0" xfId="1157" applyNumberFormat="1" applyFon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72" fillId="61" borderId="0" xfId="0" applyFont="1" applyFill="1" applyAlignment="1">
      <alignment horizontal="center"/>
    </xf>
    <xf numFmtId="0" fontId="20" fillId="0" borderId="0" xfId="533" applyFont="1" applyAlignment="1">
      <alignment horizontal="center"/>
    </xf>
  </cellXfs>
  <cellStyles count="2961">
    <cellStyle name="_x0013_" xfId="1" xr:uid="{00000000-0005-0000-0000-000000000000}"/>
    <cellStyle name="-" xfId="654" xr:uid="{00000000-0005-0000-0000-000001000000}"/>
    <cellStyle name="_x0013_ 2" xfId="1640" xr:uid="{00000000-0005-0000-0000-000002000000}"/>
    <cellStyle name="#2 [0.00000]" xfId="2950" xr:uid="{2773563F-DEC4-42A9-9012-5D07732F129C}"/>
    <cellStyle name="%" xfId="655" xr:uid="{00000000-0005-0000-0000-000003000000}"/>
    <cellStyle name="%0" xfId="656" xr:uid="{00000000-0005-0000-0000-000004000000}"/>
    <cellStyle name="%0 2" xfId="657" xr:uid="{00000000-0005-0000-0000-000005000000}"/>
    <cellStyle name="%1" xfId="658" xr:uid="{00000000-0005-0000-0000-000006000000}"/>
    <cellStyle name="%1 2" xfId="659" xr:uid="{00000000-0005-0000-0000-000007000000}"/>
    <cellStyle name="%2" xfId="660" xr:uid="{00000000-0005-0000-0000-000008000000}"/>
    <cellStyle name="%2 2" xfId="661" xr:uid="{00000000-0005-0000-0000-000009000000}"/>
    <cellStyle name="?? [0]_??" xfId="2" xr:uid="{00000000-0005-0000-0000-00000A000000}"/>
    <cellStyle name="??_?.????" xfId="3" xr:uid="{00000000-0005-0000-0000-00000B000000}"/>
    <cellStyle name="__ [0]___" xfId="4" xr:uid="{00000000-0005-0000-0000-00000C000000}"/>
    <cellStyle name="__ [0]___ 2" xfId="1641" xr:uid="{00000000-0005-0000-0000-00000D000000}"/>
    <cellStyle name="__ [0]____" xfId="5" xr:uid="{00000000-0005-0000-0000-00000E000000}"/>
    <cellStyle name="__ [0]____ 2" xfId="1642" xr:uid="{00000000-0005-0000-0000-00000F000000}"/>
    <cellStyle name="__ [0]______" xfId="6" xr:uid="{00000000-0005-0000-0000-000010000000}"/>
    <cellStyle name="__ [0]______ 2" xfId="1643" xr:uid="{00000000-0005-0000-0000-000011000000}"/>
    <cellStyle name="__ [0]__________" xfId="7" xr:uid="{00000000-0005-0000-0000-000012000000}"/>
    <cellStyle name="__ [0]__________ 2" xfId="1644" xr:uid="{00000000-0005-0000-0000-000013000000}"/>
    <cellStyle name="__ [0]___________ClearSky_AEP_Min_04.04.02_Bank" xfId="8" xr:uid="{00000000-0005-0000-0000-000014000000}"/>
    <cellStyle name="__ [0]___________ClearSky_AEP_Min_04.04.02_Bank 2" xfId="1645" xr:uid="{00000000-0005-0000-0000-000015000000}"/>
    <cellStyle name="__ [0]___________Clearsky_internal_050301" xfId="9" xr:uid="{00000000-0005-0000-0000-000016000000}"/>
    <cellStyle name="__ [0]___________Clearsky_internal_050301 2" xfId="1646" xr:uid="{00000000-0005-0000-0000-000017000000}"/>
    <cellStyle name="__ [0]___________Clearsky_internal_050301_1" xfId="10" xr:uid="{00000000-0005-0000-0000-000018000000}"/>
    <cellStyle name="__ [0]___________Clearsky_internal_050301_1 2" xfId="1647" xr:uid="{00000000-0005-0000-0000-000019000000}"/>
    <cellStyle name="__ [0]___________Clearsky_internal_070201" xfId="11" xr:uid="{00000000-0005-0000-0000-00001A000000}"/>
    <cellStyle name="__ [0]___________Clearsky_internal_070201 2" xfId="1648" xr:uid="{00000000-0005-0000-0000-00001B000000}"/>
    <cellStyle name="__ [0]___________Clearsky_internal_070201.xls Chart 2" xfId="12" xr:uid="{00000000-0005-0000-0000-00001C000000}"/>
    <cellStyle name="__ [0]___________Clearsky_internal_070201.xls Chart 2 2" xfId="1649" xr:uid="{00000000-0005-0000-0000-00001D000000}"/>
    <cellStyle name="__ [0]___________Clearsky_internal_070201_1" xfId="13" xr:uid="{00000000-0005-0000-0000-00001E000000}"/>
    <cellStyle name="__ [0]___________Clearsky_internal_070201_1 2" xfId="1650" xr:uid="{00000000-0005-0000-0000-00001F000000}"/>
    <cellStyle name="__ [0]___________Clearsky_internal_070201_Clearsky_internal_070201" xfId="14" xr:uid="{00000000-0005-0000-0000-000020000000}"/>
    <cellStyle name="__ [0]___________Clearsky_internal_070201_Clearsky_internal_070201 2" xfId="1651" xr:uid="{00000000-0005-0000-0000-000021000000}"/>
    <cellStyle name="__ [0]___________Clearsky_internal_070201_Clearsky_Outside_070201.xls Chart 2" xfId="15" xr:uid="{00000000-0005-0000-0000-000022000000}"/>
    <cellStyle name="__ [0]___________Clearsky_internal_070201_Clearsky_Outside_070201.xls Chart 2 2" xfId="1652" xr:uid="{00000000-0005-0000-0000-000023000000}"/>
    <cellStyle name="__ [0]___________Clearsky_Outside_070201.xls Chart 2" xfId="16" xr:uid="{00000000-0005-0000-0000-000024000000}"/>
    <cellStyle name="__ [0]___________Clearsky_Outside_070201.xls Chart 2 2" xfId="1653" xr:uid="{00000000-0005-0000-0000-000025000000}"/>
    <cellStyle name="__ [0]_______ClearSky_AEP_Min_04.04.02_Bank" xfId="17" xr:uid="{00000000-0005-0000-0000-000026000000}"/>
    <cellStyle name="__ [0]_______ClearSky_AEP_Min_04.04.02_Bank 2" xfId="1654" xr:uid="{00000000-0005-0000-0000-000027000000}"/>
    <cellStyle name="__ [0]_______Clearsky_internal_050301" xfId="18" xr:uid="{00000000-0005-0000-0000-000028000000}"/>
    <cellStyle name="__ [0]_______Clearsky_internal_050301 2" xfId="1655" xr:uid="{00000000-0005-0000-0000-000029000000}"/>
    <cellStyle name="__ [0]_______Clearsky_internal_070201" xfId="19" xr:uid="{00000000-0005-0000-0000-00002A000000}"/>
    <cellStyle name="__ [0]_______Clearsky_internal_070201 2" xfId="1656" xr:uid="{00000000-0005-0000-0000-00002B000000}"/>
    <cellStyle name="__ [0]_______Clearsky_internal_070201.xls Chart 2" xfId="20" xr:uid="{00000000-0005-0000-0000-00002C000000}"/>
    <cellStyle name="__ [0]_______Clearsky_internal_070201.xls Chart 2 2" xfId="1657" xr:uid="{00000000-0005-0000-0000-00002D000000}"/>
    <cellStyle name="__ [0]_______Clearsky_Outside_070201.xls Chart 2" xfId="21" xr:uid="{00000000-0005-0000-0000-00002E000000}"/>
    <cellStyle name="__ [0]_______Clearsky_Outside_070201.xls Chart 2 2" xfId="1658" xr:uid="{00000000-0005-0000-0000-00002F000000}"/>
    <cellStyle name="__ [0]_____ClearSky_AEP_Min_04.04.02_Bank" xfId="22" xr:uid="{00000000-0005-0000-0000-000030000000}"/>
    <cellStyle name="__ [0]_____ClearSky_AEP_Min_04.04.02_Bank 2" xfId="1659" xr:uid="{00000000-0005-0000-0000-000031000000}"/>
    <cellStyle name="__ [0]_____Clearsky_internal_050301" xfId="23" xr:uid="{00000000-0005-0000-0000-000032000000}"/>
    <cellStyle name="__ [0]_____Clearsky_internal_050301 2" xfId="1660" xr:uid="{00000000-0005-0000-0000-000033000000}"/>
    <cellStyle name="__ [0]_____Clearsky_internal_050301_1" xfId="24" xr:uid="{00000000-0005-0000-0000-000034000000}"/>
    <cellStyle name="__ [0]_____Clearsky_internal_050301_1 2" xfId="1661" xr:uid="{00000000-0005-0000-0000-000035000000}"/>
    <cellStyle name="__ [0]_____Clearsky_internal_070201" xfId="25" xr:uid="{00000000-0005-0000-0000-000036000000}"/>
    <cellStyle name="__ [0]_____Clearsky_internal_070201 2" xfId="1662" xr:uid="{00000000-0005-0000-0000-000037000000}"/>
    <cellStyle name="__ [0]_____Clearsky_internal_070201.xls Chart 2" xfId="26" xr:uid="{00000000-0005-0000-0000-000038000000}"/>
    <cellStyle name="__ [0]_____Clearsky_internal_070201.xls Chart 2 2" xfId="1663" xr:uid="{00000000-0005-0000-0000-000039000000}"/>
    <cellStyle name="__ [0]_____Clearsky_internal_070201_1" xfId="27" xr:uid="{00000000-0005-0000-0000-00003A000000}"/>
    <cellStyle name="__ [0]_____Clearsky_internal_070201_1 2" xfId="1664" xr:uid="{00000000-0005-0000-0000-00003B000000}"/>
    <cellStyle name="__ [0]_____Clearsky_internal_070201_Clearsky_internal_070201" xfId="28" xr:uid="{00000000-0005-0000-0000-00003C000000}"/>
    <cellStyle name="__ [0]_____Clearsky_internal_070201_Clearsky_internal_070201 2" xfId="1665" xr:uid="{00000000-0005-0000-0000-00003D000000}"/>
    <cellStyle name="__ [0]_____Clearsky_internal_070201_Clearsky_Outside_070201.xls Chart 2" xfId="29" xr:uid="{00000000-0005-0000-0000-00003E000000}"/>
    <cellStyle name="__ [0]_____Clearsky_internal_070201_Clearsky_Outside_070201.xls Chart 2 2" xfId="1666" xr:uid="{00000000-0005-0000-0000-00003F000000}"/>
    <cellStyle name="__ [0]_____Clearsky_Outside_070201.xls Chart 2" xfId="30" xr:uid="{00000000-0005-0000-0000-000040000000}"/>
    <cellStyle name="__ [0]_____Clearsky_Outside_070201.xls Chart 2 2" xfId="1667" xr:uid="{00000000-0005-0000-0000-000041000000}"/>
    <cellStyle name="__ [0]____ClearSky_AEP_Min_04.04.02_Bank" xfId="31" xr:uid="{00000000-0005-0000-0000-000042000000}"/>
    <cellStyle name="__ [0]____ClearSky_AEP_Min_04.04.02_Bank 2" xfId="1668" xr:uid="{00000000-0005-0000-0000-000043000000}"/>
    <cellStyle name="__ [0]____Clearsky_internal_050301" xfId="32" xr:uid="{00000000-0005-0000-0000-000044000000}"/>
    <cellStyle name="__ [0]____Clearsky_internal_050301 2" xfId="1669" xr:uid="{00000000-0005-0000-0000-000045000000}"/>
    <cellStyle name="__ [0]____Clearsky_internal_070201" xfId="33" xr:uid="{00000000-0005-0000-0000-000046000000}"/>
    <cellStyle name="__ [0]____Clearsky_internal_070201 2" xfId="1670" xr:uid="{00000000-0005-0000-0000-000047000000}"/>
    <cellStyle name="__ [0]____Clearsky_internal_070201.xls Chart 2" xfId="34" xr:uid="{00000000-0005-0000-0000-000048000000}"/>
    <cellStyle name="__ [0]____Clearsky_internal_070201.xls Chart 2 2" xfId="1671" xr:uid="{00000000-0005-0000-0000-000049000000}"/>
    <cellStyle name="__ [0]____Clearsky_Outside_070201.xls Chart 2" xfId="35" xr:uid="{00000000-0005-0000-0000-00004A000000}"/>
    <cellStyle name="__ [0]____Clearsky_Outside_070201.xls Chart 2 2" xfId="1672" xr:uid="{00000000-0005-0000-0000-00004B000000}"/>
    <cellStyle name="__ [0]_94___" xfId="36" xr:uid="{00000000-0005-0000-0000-00004C000000}"/>
    <cellStyle name="__ [0]_94___ 2" xfId="1673" xr:uid="{00000000-0005-0000-0000-00004D000000}"/>
    <cellStyle name="__ [0]_94____ClearSky_AEP_Min_04.04.02_Bank" xfId="37" xr:uid="{00000000-0005-0000-0000-00004E000000}"/>
    <cellStyle name="__ [0]_94____ClearSky_AEP_Min_04.04.02_Bank 2" xfId="1674" xr:uid="{00000000-0005-0000-0000-00004F000000}"/>
    <cellStyle name="__ [0]_94____Clearsky_internal_050301" xfId="38" xr:uid="{00000000-0005-0000-0000-000050000000}"/>
    <cellStyle name="__ [0]_94____Clearsky_internal_050301 2" xfId="1675" xr:uid="{00000000-0005-0000-0000-000051000000}"/>
    <cellStyle name="__ [0]_94____Clearsky_internal_070201" xfId="39" xr:uid="{00000000-0005-0000-0000-000052000000}"/>
    <cellStyle name="__ [0]_94____Clearsky_internal_070201 2" xfId="1676" xr:uid="{00000000-0005-0000-0000-000053000000}"/>
    <cellStyle name="__ [0]_94____Clearsky_internal_070201.xls Chart 2" xfId="40" xr:uid="{00000000-0005-0000-0000-000054000000}"/>
    <cellStyle name="__ [0]_94____Clearsky_internal_070201.xls Chart 2 2" xfId="1677" xr:uid="{00000000-0005-0000-0000-000055000000}"/>
    <cellStyle name="__ [0]_94____Clearsky_internal_070201_Clearsky_Outside_070201.xls Chart 2" xfId="41" xr:uid="{00000000-0005-0000-0000-000056000000}"/>
    <cellStyle name="__ [0]_94____Clearsky_internal_070201_Clearsky_Outside_070201.xls Chart 2 2" xfId="1678" xr:uid="{00000000-0005-0000-0000-000057000000}"/>
    <cellStyle name="__ [0]_94____Clearsky_Outside_070201.xls Chart 2" xfId="42" xr:uid="{00000000-0005-0000-0000-000058000000}"/>
    <cellStyle name="__ [0]_94____Clearsky_Outside_070201.xls Chart 2 2" xfId="1679" xr:uid="{00000000-0005-0000-0000-000059000000}"/>
    <cellStyle name="__ [0]_dimon" xfId="43" xr:uid="{00000000-0005-0000-0000-00005A000000}"/>
    <cellStyle name="__ [0]_dimon 2" xfId="1680" xr:uid="{00000000-0005-0000-0000-00005B000000}"/>
    <cellStyle name="__ [0]_form" xfId="44" xr:uid="{00000000-0005-0000-0000-00005C000000}"/>
    <cellStyle name="__ [0]_form 2" xfId="1681" xr:uid="{00000000-0005-0000-0000-00005D000000}"/>
    <cellStyle name="__ [0]_form_ClearSky_AEP_Min_04.04.02_Bank" xfId="45" xr:uid="{00000000-0005-0000-0000-00005E000000}"/>
    <cellStyle name="__ [0]_form_ClearSky_AEP_Min_04.04.02_Bank 2" xfId="1682" xr:uid="{00000000-0005-0000-0000-00005F000000}"/>
    <cellStyle name="__ [0]_form_Clearsky_internal_050301" xfId="46" xr:uid="{00000000-0005-0000-0000-000060000000}"/>
    <cellStyle name="__ [0]_form_Clearsky_internal_050301 2" xfId="1683" xr:uid="{00000000-0005-0000-0000-000061000000}"/>
    <cellStyle name="__ [0]_form_Clearsky_internal_050301_1" xfId="47" xr:uid="{00000000-0005-0000-0000-000062000000}"/>
    <cellStyle name="__ [0]_form_Clearsky_internal_050301_1 2" xfId="1684" xr:uid="{00000000-0005-0000-0000-000063000000}"/>
    <cellStyle name="__ [0]_form_Clearsky_internal_070201" xfId="48" xr:uid="{00000000-0005-0000-0000-000064000000}"/>
    <cellStyle name="__ [0]_form_Clearsky_internal_070201 2" xfId="1685" xr:uid="{00000000-0005-0000-0000-000065000000}"/>
    <cellStyle name="__ [0]_form_Clearsky_internal_070201.xls Chart 2" xfId="49" xr:uid="{00000000-0005-0000-0000-000066000000}"/>
    <cellStyle name="__ [0]_form_Clearsky_internal_070201.xls Chart 2 2" xfId="1686" xr:uid="{00000000-0005-0000-0000-000067000000}"/>
    <cellStyle name="__ [0]_form_Clearsky_internal_070201_Clearsky_Outside_070201.xls Chart 2" xfId="50" xr:uid="{00000000-0005-0000-0000-000068000000}"/>
    <cellStyle name="__ [0]_form_Clearsky_internal_070201_Clearsky_Outside_070201.xls Chart 2 2" xfId="1687" xr:uid="{00000000-0005-0000-0000-000069000000}"/>
    <cellStyle name="__ [0]_form_Clearsky_Outside_070201.xls Chart 2" xfId="51" xr:uid="{00000000-0005-0000-0000-00006A000000}"/>
    <cellStyle name="__ [0]_form_Clearsky_Outside_070201.xls Chart 2 2" xfId="1688" xr:uid="{00000000-0005-0000-0000-00006B000000}"/>
    <cellStyle name="__ [0]_laroux" xfId="52" xr:uid="{00000000-0005-0000-0000-00006C000000}"/>
    <cellStyle name="__ [0]_laroux 2" xfId="1689" xr:uid="{00000000-0005-0000-0000-00006D000000}"/>
    <cellStyle name="__ [0]_laroux_1" xfId="53" xr:uid="{00000000-0005-0000-0000-00006E000000}"/>
    <cellStyle name="__ [0]_laroux_1_ClearSky_AEP_Min_04.04.02_Bank" xfId="54" xr:uid="{00000000-0005-0000-0000-00006F000000}"/>
    <cellStyle name="__ [0]_laroux_1_Clearsky_internal_050301" xfId="55" xr:uid="{00000000-0005-0000-0000-000070000000}"/>
    <cellStyle name="__ [0]_laroux_1_Clearsky_internal_050301_1" xfId="56" xr:uid="{00000000-0005-0000-0000-000071000000}"/>
    <cellStyle name="__ [0]_laroux_1_Clearsky_internal_070201" xfId="57" xr:uid="{00000000-0005-0000-0000-000072000000}"/>
    <cellStyle name="__ [0]_laroux_1_Clearsky_internal_070201.xls Chart 2" xfId="58" xr:uid="{00000000-0005-0000-0000-000073000000}"/>
    <cellStyle name="__ [0]_laroux_1_Clearsky_internal_070201_1" xfId="59" xr:uid="{00000000-0005-0000-0000-000074000000}"/>
    <cellStyle name="__ [0]_laroux_1_Clearsky_Outside_070201.xls Chart 2" xfId="60" xr:uid="{00000000-0005-0000-0000-000075000000}"/>
    <cellStyle name="__ [0]_laroux_2" xfId="61" xr:uid="{00000000-0005-0000-0000-000076000000}"/>
    <cellStyle name="__ [0]_laroux_2 2" xfId="1690" xr:uid="{00000000-0005-0000-0000-000077000000}"/>
    <cellStyle name="__ [0]_laroux_ClearSky_AEP_Min_04.04.02_Bank" xfId="62" xr:uid="{00000000-0005-0000-0000-000078000000}"/>
    <cellStyle name="__ [0]_laroux_ClearSky_AEP_Min_04.04.02_Bank 2" xfId="1691" xr:uid="{00000000-0005-0000-0000-000079000000}"/>
    <cellStyle name="__ [0]_laroux_Clearsky_internal_050301" xfId="63" xr:uid="{00000000-0005-0000-0000-00007A000000}"/>
    <cellStyle name="__ [0]_laroux_Clearsky_internal_050301 2" xfId="1692" xr:uid="{00000000-0005-0000-0000-00007B000000}"/>
    <cellStyle name="__ [0]_laroux_Clearsky_internal_070201" xfId="64" xr:uid="{00000000-0005-0000-0000-00007C000000}"/>
    <cellStyle name="__ [0]_laroux_Clearsky_internal_070201 2" xfId="1693" xr:uid="{00000000-0005-0000-0000-00007D000000}"/>
    <cellStyle name="__ [0]_laroux_Clearsky_internal_070201.xls Chart 2" xfId="65" xr:uid="{00000000-0005-0000-0000-00007E000000}"/>
    <cellStyle name="__ [0]_laroux_Clearsky_internal_070201.xls Chart 2 2" xfId="1694" xr:uid="{00000000-0005-0000-0000-00007F000000}"/>
    <cellStyle name="__ [0]_laroux_Clearsky_internal_070201_1" xfId="66" xr:uid="{00000000-0005-0000-0000-000080000000}"/>
    <cellStyle name="__ [0]_laroux_Clearsky_internal_070201_1 2" xfId="1695" xr:uid="{00000000-0005-0000-0000-000081000000}"/>
    <cellStyle name="__ [0]_laroux_Clearsky_internal_070201_Clearsky_Outside_070201.xls Chart 2" xfId="67" xr:uid="{00000000-0005-0000-0000-000082000000}"/>
    <cellStyle name="__ [0]_laroux_Clearsky_internal_070201_Clearsky_Outside_070201.xls Chart 2 2" xfId="1696" xr:uid="{00000000-0005-0000-0000-000083000000}"/>
    <cellStyle name="__ [0]_laroux_Clearsky_Outside_070201.xls Chart 2" xfId="68" xr:uid="{00000000-0005-0000-0000-000084000000}"/>
    <cellStyle name="__ [0]_laroux_Clearsky_Outside_070201.xls Chart 2 2" xfId="1697" xr:uid="{00000000-0005-0000-0000-000085000000}"/>
    <cellStyle name="__ [0]_PERSONAL" xfId="69" xr:uid="{00000000-0005-0000-0000-000086000000}"/>
    <cellStyle name="__ [0]_PERSONAL 2" xfId="1698" xr:uid="{00000000-0005-0000-0000-000087000000}"/>
    <cellStyle name="__ [0]_PERSONAL_1" xfId="70" xr:uid="{00000000-0005-0000-0000-000088000000}"/>
    <cellStyle name="__ [0]_PERSONAL_1 2" xfId="1699" xr:uid="{00000000-0005-0000-0000-000089000000}"/>
    <cellStyle name="__ [0]_PERSONAL_1_ClearSky_AEP_Min_04.04.02_Bank" xfId="71" xr:uid="{00000000-0005-0000-0000-00008A000000}"/>
    <cellStyle name="__ [0]_PERSONAL_1_ClearSky_AEP_Min_04.04.02_Bank 2" xfId="1700" xr:uid="{00000000-0005-0000-0000-00008B000000}"/>
    <cellStyle name="__ [0]_PERSONAL_1_Clearsky_internal_050301" xfId="72" xr:uid="{00000000-0005-0000-0000-00008C000000}"/>
    <cellStyle name="__ [0]_PERSONAL_1_Clearsky_internal_050301 2" xfId="1701" xr:uid="{00000000-0005-0000-0000-00008D000000}"/>
    <cellStyle name="__ [0]_PERSONAL_1_Clearsky_internal_070201" xfId="73" xr:uid="{00000000-0005-0000-0000-00008E000000}"/>
    <cellStyle name="__ [0]_PERSONAL_1_Clearsky_internal_070201 2" xfId="1702" xr:uid="{00000000-0005-0000-0000-00008F000000}"/>
    <cellStyle name="__ [0]_PERSONAL_1_Clearsky_internal_070201.xls Chart 2" xfId="74" xr:uid="{00000000-0005-0000-0000-000090000000}"/>
    <cellStyle name="__ [0]_PERSONAL_1_Clearsky_internal_070201.xls Chart 2 2" xfId="1703" xr:uid="{00000000-0005-0000-0000-000091000000}"/>
    <cellStyle name="__ [0]_PERSONAL_1_Clearsky_internal_070201_1" xfId="75" xr:uid="{00000000-0005-0000-0000-000092000000}"/>
    <cellStyle name="__ [0]_PERSONAL_1_Clearsky_internal_070201_1 2" xfId="1704" xr:uid="{00000000-0005-0000-0000-000093000000}"/>
    <cellStyle name="__ [0]_PERSONAL_1_Clearsky_internal_070201_Clearsky_internal_070201" xfId="76" xr:uid="{00000000-0005-0000-0000-000094000000}"/>
    <cellStyle name="__ [0]_PERSONAL_1_Clearsky_internal_070201_Clearsky_internal_070201 2" xfId="1705" xr:uid="{00000000-0005-0000-0000-000095000000}"/>
    <cellStyle name="__ [0]_PERSONAL_1_Clearsky_internal_070201_Clearsky_Outside_070201.xls Chart 2" xfId="77" xr:uid="{00000000-0005-0000-0000-000096000000}"/>
    <cellStyle name="__ [0]_PERSONAL_1_Clearsky_internal_070201_Clearsky_Outside_070201.xls Chart 2 2" xfId="1706" xr:uid="{00000000-0005-0000-0000-000097000000}"/>
    <cellStyle name="__ [0]_PERSONAL_1_Clearsky_Outside_070201.xls Chart 2" xfId="78" xr:uid="{00000000-0005-0000-0000-000098000000}"/>
    <cellStyle name="__ [0]_PERSONAL_1_Clearsky_Outside_070201.xls Chart 2 2" xfId="1707" xr:uid="{00000000-0005-0000-0000-000099000000}"/>
    <cellStyle name="__ [0]_PERSONAL_2" xfId="79" xr:uid="{00000000-0005-0000-0000-00009A000000}"/>
    <cellStyle name="__ [0]_PERSONAL_2 2" xfId="1708" xr:uid="{00000000-0005-0000-0000-00009B000000}"/>
    <cellStyle name="__ [0]_PERSONAL_2_ClearSky_AEP_Min_04.04.02_Bank" xfId="80" xr:uid="{00000000-0005-0000-0000-00009C000000}"/>
    <cellStyle name="__ [0]_PERSONAL_2_ClearSky_AEP_Min_04.04.02_Bank 2" xfId="1709" xr:uid="{00000000-0005-0000-0000-00009D000000}"/>
    <cellStyle name="__ [0]_PERSONAL_2_Clearsky_internal_050301" xfId="81" xr:uid="{00000000-0005-0000-0000-00009E000000}"/>
    <cellStyle name="__ [0]_PERSONAL_2_Clearsky_internal_050301 2" xfId="1710" xr:uid="{00000000-0005-0000-0000-00009F000000}"/>
    <cellStyle name="__ [0]_PERSONAL_2_Clearsky_internal_070201" xfId="82" xr:uid="{00000000-0005-0000-0000-0000A0000000}"/>
    <cellStyle name="__ [0]_PERSONAL_2_Clearsky_internal_070201 2" xfId="1711" xr:uid="{00000000-0005-0000-0000-0000A1000000}"/>
    <cellStyle name="__ [0]_PERSONAL_2_Clearsky_internal_070201.xls Chart 2" xfId="83" xr:uid="{00000000-0005-0000-0000-0000A2000000}"/>
    <cellStyle name="__ [0]_PERSONAL_2_Clearsky_internal_070201.xls Chart 2 2" xfId="1712" xr:uid="{00000000-0005-0000-0000-0000A3000000}"/>
    <cellStyle name="__ [0]_PERSONAL_2_Clearsky_internal_070201_1" xfId="84" xr:uid="{00000000-0005-0000-0000-0000A4000000}"/>
    <cellStyle name="__ [0]_PERSONAL_2_Clearsky_internal_070201_1 2" xfId="1713" xr:uid="{00000000-0005-0000-0000-0000A5000000}"/>
    <cellStyle name="__ [0]_PERSONAL_2_Clearsky_internal_070201_Clearsky_internal_070201" xfId="85" xr:uid="{00000000-0005-0000-0000-0000A6000000}"/>
    <cellStyle name="__ [0]_PERSONAL_2_Clearsky_internal_070201_Clearsky_internal_070201 2" xfId="1714" xr:uid="{00000000-0005-0000-0000-0000A7000000}"/>
    <cellStyle name="__ [0]_PERSONAL_2_Clearsky_internal_070201_Clearsky_Outside_070201.xls Chart 2" xfId="86" xr:uid="{00000000-0005-0000-0000-0000A8000000}"/>
    <cellStyle name="__ [0]_PERSONAL_2_Clearsky_internal_070201_Clearsky_Outside_070201.xls Chart 2 2" xfId="1715" xr:uid="{00000000-0005-0000-0000-0000A9000000}"/>
    <cellStyle name="__ [0]_PERSONAL_2_Clearsky_Outside_070201.xls Chart 2" xfId="87" xr:uid="{00000000-0005-0000-0000-0000AA000000}"/>
    <cellStyle name="__ [0]_PERSONAL_2_Clearsky_Outside_070201.xls Chart 2 2" xfId="1716" xr:uid="{00000000-0005-0000-0000-0000AB000000}"/>
    <cellStyle name="__ [0]_PERSONAL_3" xfId="88" xr:uid="{00000000-0005-0000-0000-0000AC000000}"/>
    <cellStyle name="__ [0]_PERSONAL_3 2" xfId="1717" xr:uid="{00000000-0005-0000-0000-0000AD000000}"/>
    <cellStyle name="__ [0]_PERSONAL_ClearSky_AEP_Min_04.04.02_Bank" xfId="89" xr:uid="{00000000-0005-0000-0000-0000AE000000}"/>
    <cellStyle name="__ [0]_PERSONAL_ClearSky_AEP_Min_04.04.02_Bank 2" xfId="1718" xr:uid="{00000000-0005-0000-0000-0000AF000000}"/>
    <cellStyle name="__ [0]_PERSONAL_Clearsky_internal_050301" xfId="90" xr:uid="{00000000-0005-0000-0000-0000B0000000}"/>
    <cellStyle name="__ [0]_PERSONAL_Clearsky_internal_050301 2" xfId="1719" xr:uid="{00000000-0005-0000-0000-0000B1000000}"/>
    <cellStyle name="__ [0]_PERSONAL_Clearsky_internal_070201" xfId="91" xr:uid="{00000000-0005-0000-0000-0000B2000000}"/>
    <cellStyle name="__ [0]_PERSONAL_Clearsky_internal_070201 2" xfId="1720" xr:uid="{00000000-0005-0000-0000-0000B3000000}"/>
    <cellStyle name="__ [0]_PERSONAL_Clearsky_internal_070201.xls Chart 2" xfId="92" xr:uid="{00000000-0005-0000-0000-0000B4000000}"/>
    <cellStyle name="__ [0]_PERSONAL_Clearsky_internal_070201.xls Chart 2 2" xfId="1721" xr:uid="{00000000-0005-0000-0000-0000B5000000}"/>
    <cellStyle name="__ [0]_PERSONAL_Clearsky_internal_070201_1" xfId="93" xr:uid="{00000000-0005-0000-0000-0000B6000000}"/>
    <cellStyle name="__ [0]_PERSONAL_Clearsky_internal_070201_1 2" xfId="1722" xr:uid="{00000000-0005-0000-0000-0000B7000000}"/>
    <cellStyle name="__ [0]_PERSONAL_Clearsky_internal_070201_Clearsky_Outside_070201.xls Chart 2" xfId="94" xr:uid="{00000000-0005-0000-0000-0000B8000000}"/>
    <cellStyle name="__ [0]_PERSONAL_Clearsky_internal_070201_Clearsky_Outside_070201.xls Chart 2 2" xfId="1723" xr:uid="{00000000-0005-0000-0000-0000B9000000}"/>
    <cellStyle name="__ [0]_PERSONAL_Clearsky_Outside_070201.xls Chart 2" xfId="95" xr:uid="{00000000-0005-0000-0000-0000BA000000}"/>
    <cellStyle name="__ [0]_PERSONAL_Clearsky_Outside_070201.xls Chart 2 2" xfId="1724" xr:uid="{00000000-0005-0000-0000-0000BB000000}"/>
    <cellStyle name="__ [0]_Sheet2" xfId="96" xr:uid="{00000000-0005-0000-0000-0000BC000000}"/>
    <cellStyle name="__ [0]_Sheet2 2" xfId="1725" xr:uid="{00000000-0005-0000-0000-0000BD000000}"/>
    <cellStyle name="____.____" xfId="97" xr:uid="{00000000-0005-0000-0000-0000BE000000}"/>
    <cellStyle name="_____" xfId="98" xr:uid="{00000000-0005-0000-0000-0000BF000000}"/>
    <cellStyle name="______" xfId="99" xr:uid="{00000000-0005-0000-0000-0000C0000000}"/>
    <cellStyle name="_______" xfId="100" xr:uid="{00000000-0005-0000-0000-0000C1000000}"/>
    <cellStyle name="________" xfId="101" xr:uid="{00000000-0005-0000-0000-0000C2000000}"/>
    <cellStyle name="________ 2" xfId="1726" xr:uid="{00000000-0005-0000-0000-0000C3000000}"/>
    <cellStyle name="__________" xfId="102" xr:uid="{00000000-0005-0000-0000-0000C4000000}"/>
    <cellStyle name="____________" xfId="103" xr:uid="{00000000-0005-0000-0000-0000C5000000}"/>
    <cellStyle name="_____________ClearSky_AEP_Min_04.04.02_Bank" xfId="104" xr:uid="{00000000-0005-0000-0000-0000C6000000}"/>
    <cellStyle name="_____________ClearSky_AEP_Min_04.04.02_Bank 2" xfId="1727" xr:uid="{00000000-0005-0000-0000-0000C7000000}"/>
    <cellStyle name="_____________ClearSky_AEP_Min_04.04.02_Bank_1" xfId="105" xr:uid="{00000000-0005-0000-0000-0000C8000000}"/>
    <cellStyle name="_____________ClearSky_AEP_Min_04.04.02_Bank_1 2" xfId="1728" xr:uid="{00000000-0005-0000-0000-0000C9000000}"/>
    <cellStyle name="_____________Clearsky_internal_050301" xfId="106" xr:uid="{00000000-0005-0000-0000-0000CA000000}"/>
    <cellStyle name="_____________Clearsky_internal_050301_1" xfId="107" xr:uid="{00000000-0005-0000-0000-0000CB000000}"/>
    <cellStyle name="_____________Clearsky_internal_050301_1 2" xfId="1729" xr:uid="{00000000-0005-0000-0000-0000CC000000}"/>
    <cellStyle name="_____________Clearsky_internal_050301_2" xfId="108" xr:uid="{00000000-0005-0000-0000-0000CD000000}"/>
    <cellStyle name="_____________Clearsky_internal_050301_2 2" xfId="1730" xr:uid="{00000000-0005-0000-0000-0000CE000000}"/>
    <cellStyle name="_____________Clearsky_internal_070201" xfId="109" xr:uid="{00000000-0005-0000-0000-0000CF000000}"/>
    <cellStyle name="_____________Clearsky_internal_070201.xls Chart 2" xfId="110" xr:uid="{00000000-0005-0000-0000-0000D0000000}"/>
    <cellStyle name="_____________Clearsky_internal_070201.xls Chart 2_1" xfId="111" xr:uid="{00000000-0005-0000-0000-0000D1000000}"/>
    <cellStyle name="_____________Clearsky_internal_070201.xls Chart 2_1 2" xfId="1731" xr:uid="{00000000-0005-0000-0000-0000D2000000}"/>
    <cellStyle name="_____________Clearsky_internal_070201_1" xfId="112" xr:uid="{00000000-0005-0000-0000-0000D3000000}"/>
    <cellStyle name="_____________Clearsky_internal_070201_1 2" xfId="1732" xr:uid="{00000000-0005-0000-0000-0000D4000000}"/>
    <cellStyle name="_____________Clearsky_internal_070201_2" xfId="113" xr:uid="{00000000-0005-0000-0000-0000D5000000}"/>
    <cellStyle name="_____________Clearsky_internal_070201_2 2" xfId="1733" xr:uid="{00000000-0005-0000-0000-0000D6000000}"/>
    <cellStyle name="_____________Clearsky_Outside_070201.xls Chart 2" xfId="114" xr:uid="{00000000-0005-0000-0000-0000D7000000}"/>
    <cellStyle name="_____________Clearsky_Outside_070201.xls Chart 2 2" xfId="1734" xr:uid="{00000000-0005-0000-0000-0000D8000000}"/>
    <cellStyle name="_____________Clearsky_Outside_070201.xls Chart 2_1" xfId="115" xr:uid="{00000000-0005-0000-0000-0000D9000000}"/>
    <cellStyle name="_____________Clearsky_Outside_070201.xls Chart 2_1 2" xfId="1735" xr:uid="{00000000-0005-0000-0000-0000DA000000}"/>
    <cellStyle name="___________ClearSky_AEP_Min_04.04.02_Bank" xfId="116" xr:uid="{00000000-0005-0000-0000-0000DB000000}"/>
    <cellStyle name="___________Clearsky_internal_050301" xfId="117" xr:uid="{00000000-0005-0000-0000-0000DC000000}"/>
    <cellStyle name="___________Clearsky_internal_050301_1" xfId="118" xr:uid="{00000000-0005-0000-0000-0000DD000000}"/>
    <cellStyle name="___________Clearsky_internal_070201" xfId="119" xr:uid="{00000000-0005-0000-0000-0000DE000000}"/>
    <cellStyle name="___________Clearsky_internal_070201.xls Chart 2" xfId="120" xr:uid="{00000000-0005-0000-0000-0000DF000000}"/>
    <cellStyle name="___________Clearsky_internal_070201_1" xfId="121" xr:uid="{00000000-0005-0000-0000-0000E0000000}"/>
    <cellStyle name="___________Clearsky_Outside_070201.xls Chart 2" xfId="122" xr:uid="{00000000-0005-0000-0000-0000E1000000}"/>
    <cellStyle name="_________1" xfId="123" xr:uid="{00000000-0005-0000-0000-0000E2000000}"/>
    <cellStyle name="_________2" xfId="124" xr:uid="{00000000-0005-0000-0000-0000E3000000}"/>
    <cellStyle name="_________ClearSky_AEP_Min_04.04.02_Bank" xfId="125" xr:uid="{00000000-0005-0000-0000-0000E4000000}"/>
    <cellStyle name="_________ClearSky_AEP_Min_04.04.02_Bank_1" xfId="126" xr:uid="{00000000-0005-0000-0000-0000E5000000}"/>
    <cellStyle name="_________ClearSky_AEP_Min_04.04.02_Bank_1 2" xfId="1736" xr:uid="{00000000-0005-0000-0000-0000E6000000}"/>
    <cellStyle name="_________Clearsky_internal_050301" xfId="127" xr:uid="{00000000-0005-0000-0000-0000E7000000}"/>
    <cellStyle name="_________Clearsky_internal_050301_1" xfId="128" xr:uid="{00000000-0005-0000-0000-0000E8000000}"/>
    <cellStyle name="_________Clearsky_internal_050301_1 2" xfId="1737" xr:uid="{00000000-0005-0000-0000-0000E9000000}"/>
    <cellStyle name="_________Clearsky_internal_050301_2" xfId="129" xr:uid="{00000000-0005-0000-0000-0000EA000000}"/>
    <cellStyle name="_________Clearsky_internal_050301_2 2" xfId="1738" xr:uid="{00000000-0005-0000-0000-0000EB000000}"/>
    <cellStyle name="_________Clearsky_internal_070201" xfId="130" xr:uid="{00000000-0005-0000-0000-0000EC000000}"/>
    <cellStyle name="_________Clearsky_internal_070201 2" xfId="1739" xr:uid="{00000000-0005-0000-0000-0000ED000000}"/>
    <cellStyle name="_________Clearsky_internal_070201.xls Chart 2" xfId="131" xr:uid="{00000000-0005-0000-0000-0000EE000000}"/>
    <cellStyle name="_________Clearsky_internal_070201.xls Chart 2_1" xfId="132" xr:uid="{00000000-0005-0000-0000-0000EF000000}"/>
    <cellStyle name="_________Clearsky_internal_070201.xls Chart 2_1 2" xfId="1740" xr:uid="{00000000-0005-0000-0000-0000F0000000}"/>
    <cellStyle name="_________Clearsky_internal_070201_1" xfId="133" xr:uid="{00000000-0005-0000-0000-0000F1000000}"/>
    <cellStyle name="_________Clearsky_internal_070201_1 2" xfId="1741" xr:uid="{00000000-0005-0000-0000-0000F2000000}"/>
    <cellStyle name="_________Clearsky_internal_070201_2" xfId="134" xr:uid="{00000000-0005-0000-0000-0000F3000000}"/>
    <cellStyle name="_________Clearsky_Outside_070201.xls Chart 2" xfId="135" xr:uid="{00000000-0005-0000-0000-0000F4000000}"/>
    <cellStyle name="_________Clearsky_Outside_070201.xls Chart 2_1" xfId="136" xr:uid="{00000000-0005-0000-0000-0000F5000000}"/>
    <cellStyle name="_________Clearsky_Outside_070201.xls Chart 2_1 2" xfId="1742" xr:uid="{00000000-0005-0000-0000-0000F6000000}"/>
    <cellStyle name="________1" xfId="137" xr:uid="{00000000-0005-0000-0000-0000F7000000}"/>
    <cellStyle name="_______ClearSky_AEP_Min_04.04.02_Bank" xfId="138" xr:uid="{00000000-0005-0000-0000-0000F8000000}"/>
    <cellStyle name="_______ClearSky_AEP_Min_04.04.02_Bank 2" xfId="1743" xr:uid="{00000000-0005-0000-0000-0000F9000000}"/>
    <cellStyle name="_______ClearSky_AEP_Min_04.04.02_Bank_1" xfId="139" xr:uid="{00000000-0005-0000-0000-0000FA000000}"/>
    <cellStyle name="_______ClearSky_AEP_Min_04.04.02_Bank_1 2" xfId="1744" xr:uid="{00000000-0005-0000-0000-0000FB000000}"/>
    <cellStyle name="_______Clearsky_internal_050301" xfId="140" xr:uid="{00000000-0005-0000-0000-0000FC000000}"/>
    <cellStyle name="_______Clearsky_internal_050301 2" xfId="1745" xr:uid="{00000000-0005-0000-0000-0000FD000000}"/>
    <cellStyle name="_______Clearsky_internal_050301_1" xfId="141" xr:uid="{00000000-0005-0000-0000-0000FE000000}"/>
    <cellStyle name="_______Clearsky_internal_050301_1 2" xfId="1746" xr:uid="{00000000-0005-0000-0000-0000FF000000}"/>
    <cellStyle name="_______Clearsky_internal_070201" xfId="142" xr:uid="{00000000-0005-0000-0000-000000010000}"/>
    <cellStyle name="_______Clearsky_internal_070201 2" xfId="1747" xr:uid="{00000000-0005-0000-0000-000001010000}"/>
    <cellStyle name="_______Clearsky_internal_070201.xls Chart 2" xfId="143" xr:uid="{00000000-0005-0000-0000-000002010000}"/>
    <cellStyle name="_______Clearsky_internal_070201.xls Chart 2 2" xfId="1748" xr:uid="{00000000-0005-0000-0000-000003010000}"/>
    <cellStyle name="_______Clearsky_internal_070201.xls Chart 2_1" xfId="144" xr:uid="{00000000-0005-0000-0000-000004010000}"/>
    <cellStyle name="_______Clearsky_internal_070201.xls Chart 2_1 2" xfId="1749" xr:uid="{00000000-0005-0000-0000-000005010000}"/>
    <cellStyle name="_______Clearsky_internal_070201_1" xfId="145" xr:uid="{00000000-0005-0000-0000-000006010000}"/>
    <cellStyle name="_______Clearsky_internal_070201_1 2" xfId="1750" xr:uid="{00000000-0005-0000-0000-000007010000}"/>
    <cellStyle name="_______Clearsky_Outside_070201.xls Chart 2" xfId="146" xr:uid="{00000000-0005-0000-0000-000008010000}"/>
    <cellStyle name="_______Clearsky_Outside_070201.xls Chart 2 2" xfId="1751" xr:uid="{00000000-0005-0000-0000-000009010000}"/>
    <cellStyle name="_______Clearsky_Outside_070201.xls Chart 2_1" xfId="147" xr:uid="{00000000-0005-0000-0000-00000A010000}"/>
    <cellStyle name="_______Clearsky_Outside_070201.xls Chart 2_1 2" xfId="1752" xr:uid="{00000000-0005-0000-0000-00000B010000}"/>
    <cellStyle name="______1" xfId="148" xr:uid="{00000000-0005-0000-0000-00000C010000}"/>
    <cellStyle name="______ClearSky_AEP_Min_04.04.02_Bank" xfId="149" xr:uid="{00000000-0005-0000-0000-00000D010000}"/>
    <cellStyle name="______ClearSky_AEP_Min_04.04.02_Bank 2" xfId="1753" xr:uid="{00000000-0005-0000-0000-00000E010000}"/>
    <cellStyle name="______ClearSky_AEP_Min_04.04.02_Bank_1" xfId="150" xr:uid="{00000000-0005-0000-0000-00000F010000}"/>
    <cellStyle name="______ClearSky_AEP_Min_04.04.02_Bank_2" xfId="151" xr:uid="{00000000-0005-0000-0000-000010010000}"/>
    <cellStyle name="______ClearSky_AEP_Min_04.04.02_Bank_2 2" xfId="1754" xr:uid="{00000000-0005-0000-0000-000011010000}"/>
    <cellStyle name="______Clearsky_internal_050301" xfId="152" xr:uid="{00000000-0005-0000-0000-000012010000}"/>
    <cellStyle name="______Clearsky_internal_050301 2" xfId="1755" xr:uid="{00000000-0005-0000-0000-000013010000}"/>
    <cellStyle name="______Clearsky_internal_050301_1" xfId="153" xr:uid="{00000000-0005-0000-0000-000014010000}"/>
    <cellStyle name="______Clearsky_internal_050301_2" xfId="154" xr:uid="{00000000-0005-0000-0000-000015010000}"/>
    <cellStyle name="______Clearsky_internal_050301_2 2" xfId="1756" xr:uid="{00000000-0005-0000-0000-000016010000}"/>
    <cellStyle name="______Clearsky_internal_050301_3" xfId="155" xr:uid="{00000000-0005-0000-0000-000017010000}"/>
    <cellStyle name="______Clearsky_internal_070201" xfId="156" xr:uid="{00000000-0005-0000-0000-000018010000}"/>
    <cellStyle name="______Clearsky_internal_070201.xls Chart 2" xfId="157" xr:uid="{00000000-0005-0000-0000-000019010000}"/>
    <cellStyle name="______Clearsky_internal_070201.xls Chart 2_1" xfId="158" xr:uid="{00000000-0005-0000-0000-00001A010000}"/>
    <cellStyle name="______Clearsky_internal_070201.xls Chart 2_1 2" xfId="1757" xr:uid="{00000000-0005-0000-0000-00001B010000}"/>
    <cellStyle name="______Clearsky_internal_070201.xls Chart 2_2" xfId="159" xr:uid="{00000000-0005-0000-0000-00001C010000}"/>
    <cellStyle name="______Clearsky_internal_070201_1" xfId="160" xr:uid="{00000000-0005-0000-0000-00001D010000}"/>
    <cellStyle name="______Clearsky_internal_070201_1 2" xfId="1758" xr:uid="{00000000-0005-0000-0000-00001E010000}"/>
    <cellStyle name="______Clearsky_internal_070201_2" xfId="161" xr:uid="{00000000-0005-0000-0000-00001F010000}"/>
    <cellStyle name="______Clearsky_internal_070201_2_Clearsky_Outside_070201.xls Chart 2" xfId="162" xr:uid="{00000000-0005-0000-0000-000020010000}"/>
    <cellStyle name="______Clearsky_internal_070201_2_Clearsky_Outside_070201.xls Chart 2 2" xfId="1759" xr:uid="{00000000-0005-0000-0000-000021010000}"/>
    <cellStyle name="______Clearsky_internal_070201_3" xfId="163" xr:uid="{00000000-0005-0000-0000-000022010000}"/>
    <cellStyle name="______Clearsky_internal_070201_3 2" xfId="1760" xr:uid="{00000000-0005-0000-0000-000023010000}"/>
    <cellStyle name="______Clearsky_internal_070201_Clearsky_internal_070201" xfId="164" xr:uid="{00000000-0005-0000-0000-000024010000}"/>
    <cellStyle name="______Clearsky_internal_070201_Clearsky_Outside_070201.xls Chart 2" xfId="165" xr:uid="{00000000-0005-0000-0000-000025010000}"/>
    <cellStyle name="______Clearsky_Outside_070201.xls Chart 2" xfId="166" xr:uid="{00000000-0005-0000-0000-000026010000}"/>
    <cellStyle name="______Clearsky_Outside_070201.xls Chart 2_1" xfId="167" xr:uid="{00000000-0005-0000-0000-000027010000}"/>
    <cellStyle name="______Clearsky_Outside_070201.xls Chart 2_1 2" xfId="1761" xr:uid="{00000000-0005-0000-0000-000028010000}"/>
    <cellStyle name="______Clearsky_Outside_070201.xls Chart 2_2" xfId="168" xr:uid="{00000000-0005-0000-0000-000029010000}"/>
    <cellStyle name="______Clearsky_Outside_070201.xls Chart 2_2 2" xfId="1762" xr:uid="{00000000-0005-0000-0000-00002A010000}"/>
    <cellStyle name="___94___" xfId="169" xr:uid="{00000000-0005-0000-0000-00002B010000}"/>
    <cellStyle name="___94___ 2" xfId="1763" xr:uid="{00000000-0005-0000-0000-00002C010000}"/>
    <cellStyle name="___94____ClearSky_AEP_Min_04.04.02_Bank" xfId="170" xr:uid="{00000000-0005-0000-0000-00002D010000}"/>
    <cellStyle name="___94____ClearSky_AEP_Min_04.04.02_Bank 2" xfId="1764" xr:uid="{00000000-0005-0000-0000-00002E010000}"/>
    <cellStyle name="___94____Clearsky_internal_050301" xfId="171" xr:uid="{00000000-0005-0000-0000-00002F010000}"/>
    <cellStyle name="___94____Clearsky_internal_050301 2" xfId="1765" xr:uid="{00000000-0005-0000-0000-000030010000}"/>
    <cellStyle name="___94____Clearsky_internal_050301_1" xfId="172" xr:uid="{00000000-0005-0000-0000-000031010000}"/>
    <cellStyle name="___94____Clearsky_internal_050301_1 2" xfId="1766" xr:uid="{00000000-0005-0000-0000-000032010000}"/>
    <cellStyle name="___94____Clearsky_internal_070201" xfId="173" xr:uid="{00000000-0005-0000-0000-000033010000}"/>
    <cellStyle name="___94____Clearsky_internal_070201 2" xfId="1767" xr:uid="{00000000-0005-0000-0000-000034010000}"/>
    <cellStyle name="___94____Clearsky_internal_070201.xls Chart 2" xfId="174" xr:uid="{00000000-0005-0000-0000-000035010000}"/>
    <cellStyle name="___94____Clearsky_internal_070201.xls Chart 2 2" xfId="1768" xr:uid="{00000000-0005-0000-0000-000036010000}"/>
    <cellStyle name="___94____Clearsky_internal_070201_1" xfId="175" xr:uid="{00000000-0005-0000-0000-000037010000}"/>
    <cellStyle name="___94____Clearsky_internal_070201_1 2" xfId="1769" xr:uid="{00000000-0005-0000-0000-000038010000}"/>
    <cellStyle name="___94____Clearsky_internal_070201_Clearsky_Outside_070201.xls Chart 2" xfId="176" xr:uid="{00000000-0005-0000-0000-000039010000}"/>
    <cellStyle name="___94____Clearsky_internal_070201_Clearsky_Outside_070201.xls Chart 2 2" xfId="1770" xr:uid="{00000000-0005-0000-0000-00003A010000}"/>
    <cellStyle name="___94____Clearsky_Outside_070201.xls Chart 2" xfId="177" xr:uid="{00000000-0005-0000-0000-00003B010000}"/>
    <cellStyle name="___94____Clearsky_Outside_070201.xls Chart 2 2" xfId="1771" xr:uid="{00000000-0005-0000-0000-00003C010000}"/>
    <cellStyle name="___97___" xfId="178" xr:uid="{00000000-0005-0000-0000-00003D010000}"/>
    <cellStyle name="___970120" xfId="179" xr:uid="{00000000-0005-0000-0000-00003E010000}"/>
    <cellStyle name="___BEBU_GI" xfId="180" xr:uid="{00000000-0005-0000-0000-00003F010000}"/>
    <cellStyle name="___dimon" xfId="181" xr:uid="{00000000-0005-0000-0000-000040010000}"/>
    <cellStyle name="___dimon 2" xfId="1772" xr:uid="{00000000-0005-0000-0000-000041010000}"/>
    <cellStyle name="___dimon_ClearSky_AEP_Min_04.04.02_Bank" xfId="182" xr:uid="{00000000-0005-0000-0000-000042010000}"/>
    <cellStyle name="___dimon_ClearSky_AEP_Min_04.04.02_Bank 2" xfId="1773" xr:uid="{00000000-0005-0000-0000-000043010000}"/>
    <cellStyle name="___dimon_Clearsky_internal_050301" xfId="183" xr:uid="{00000000-0005-0000-0000-000044010000}"/>
    <cellStyle name="___dimon_Clearsky_internal_050301 2" xfId="1774" xr:uid="{00000000-0005-0000-0000-000045010000}"/>
    <cellStyle name="___dimon_Clearsky_internal_070201" xfId="184" xr:uid="{00000000-0005-0000-0000-000046010000}"/>
    <cellStyle name="___dimon_Clearsky_internal_070201 2" xfId="1775" xr:uid="{00000000-0005-0000-0000-000047010000}"/>
    <cellStyle name="___dimon_Clearsky_internal_070201.xls Chart 2" xfId="185" xr:uid="{00000000-0005-0000-0000-000048010000}"/>
    <cellStyle name="___dimon_Clearsky_internal_070201.xls Chart 2 2" xfId="1776" xr:uid="{00000000-0005-0000-0000-000049010000}"/>
    <cellStyle name="___dimon_Clearsky_internal_070201_1" xfId="186" xr:uid="{00000000-0005-0000-0000-00004A010000}"/>
    <cellStyle name="___dimon_Clearsky_internal_070201_1 2" xfId="1777" xr:uid="{00000000-0005-0000-0000-00004B010000}"/>
    <cellStyle name="___dimon_Clearsky_Outside_070201.xls Chart 2" xfId="187" xr:uid="{00000000-0005-0000-0000-00004C010000}"/>
    <cellStyle name="___dimon_Clearsky_Outside_070201.xls Chart 2 2" xfId="1778" xr:uid="{00000000-0005-0000-0000-00004D010000}"/>
    <cellStyle name="___form" xfId="188" xr:uid="{00000000-0005-0000-0000-00004E010000}"/>
    <cellStyle name="___form_ClearSky_AEP_Min_04.04.02_Bank" xfId="189" xr:uid="{00000000-0005-0000-0000-00004F010000}"/>
    <cellStyle name="___form_ClearSky_AEP_Min_04.04.02_Bank 2" xfId="1779" xr:uid="{00000000-0005-0000-0000-000050010000}"/>
    <cellStyle name="___form_ClearSky_AEP_Min_04.04.02_Bank_1" xfId="190" xr:uid="{00000000-0005-0000-0000-000051010000}"/>
    <cellStyle name="___form_ClearSky_AEP_Min_04.04.02_Bank_1 2" xfId="1780" xr:uid="{00000000-0005-0000-0000-000052010000}"/>
    <cellStyle name="___form_Clearsky_internal_050301" xfId="191" xr:uid="{00000000-0005-0000-0000-000053010000}"/>
    <cellStyle name="___form_Clearsky_internal_050301 2" xfId="1781" xr:uid="{00000000-0005-0000-0000-000054010000}"/>
    <cellStyle name="___form_Clearsky_internal_050301_1" xfId="192" xr:uid="{00000000-0005-0000-0000-000055010000}"/>
    <cellStyle name="___form_Clearsky_internal_050301_1 2" xfId="1782" xr:uid="{00000000-0005-0000-0000-000056010000}"/>
    <cellStyle name="___form_Clearsky_internal_070201" xfId="193" xr:uid="{00000000-0005-0000-0000-000057010000}"/>
    <cellStyle name="___form_Clearsky_internal_070201 2" xfId="1783" xr:uid="{00000000-0005-0000-0000-000058010000}"/>
    <cellStyle name="___form_Clearsky_internal_070201.xls Chart 2" xfId="194" xr:uid="{00000000-0005-0000-0000-000059010000}"/>
    <cellStyle name="___form_Clearsky_internal_070201.xls Chart 2 2" xfId="1784" xr:uid="{00000000-0005-0000-0000-00005A010000}"/>
    <cellStyle name="___form_Clearsky_internal_070201.xls Chart 2_1" xfId="195" xr:uid="{00000000-0005-0000-0000-00005B010000}"/>
    <cellStyle name="___form_Clearsky_internal_070201_1" xfId="196" xr:uid="{00000000-0005-0000-0000-00005C010000}"/>
    <cellStyle name="___form_Clearsky_internal_070201_2" xfId="197" xr:uid="{00000000-0005-0000-0000-00005D010000}"/>
    <cellStyle name="___form_Clearsky_internal_070201_2 2" xfId="1785" xr:uid="{00000000-0005-0000-0000-00005E010000}"/>
    <cellStyle name="___form_Clearsky_Outside_070201.xls Chart 2" xfId="198" xr:uid="{00000000-0005-0000-0000-00005F010000}"/>
    <cellStyle name="___form_Clearsky_Outside_070201.xls Chart 2 2" xfId="1786" xr:uid="{00000000-0005-0000-0000-000060010000}"/>
    <cellStyle name="___form_Clearsky_Outside_070201.xls Chart 2_1" xfId="199" xr:uid="{00000000-0005-0000-0000-000061010000}"/>
    <cellStyle name="___form_Clearsky_Outside_070201.xls Chart 2_1 2" xfId="1787" xr:uid="{00000000-0005-0000-0000-000062010000}"/>
    <cellStyle name="___ga_PB" xfId="200" xr:uid="{00000000-0005-0000-0000-000063010000}"/>
    <cellStyle name="___laroux" xfId="201" xr:uid="{00000000-0005-0000-0000-000064010000}"/>
    <cellStyle name="___laroux 2" xfId="1788" xr:uid="{00000000-0005-0000-0000-000065010000}"/>
    <cellStyle name="___laroux_1" xfId="202" xr:uid="{00000000-0005-0000-0000-000066010000}"/>
    <cellStyle name="___laroux_1_ClearSky_AEP_Min_04.04.02_Bank" xfId="203" xr:uid="{00000000-0005-0000-0000-000067010000}"/>
    <cellStyle name="___laroux_1_ClearSky_AEP_Min_04.04.02_Bank_1" xfId="204" xr:uid="{00000000-0005-0000-0000-000068010000}"/>
    <cellStyle name="___laroux_1_Clearsky_internal_050301" xfId="205" xr:uid="{00000000-0005-0000-0000-000069010000}"/>
    <cellStyle name="___laroux_1_Clearsky_internal_050301_1" xfId="206" xr:uid="{00000000-0005-0000-0000-00006A010000}"/>
    <cellStyle name="___laroux_1_Clearsky_internal_050301_2" xfId="207" xr:uid="{00000000-0005-0000-0000-00006B010000}"/>
    <cellStyle name="___laroux_1_Clearsky_internal_070201" xfId="208" xr:uid="{00000000-0005-0000-0000-00006C010000}"/>
    <cellStyle name="___laroux_1_Clearsky_internal_070201.xls Chart 2" xfId="209" xr:uid="{00000000-0005-0000-0000-00006D010000}"/>
    <cellStyle name="___laroux_1_Clearsky_internal_070201.xls Chart 2_1" xfId="210" xr:uid="{00000000-0005-0000-0000-00006E010000}"/>
    <cellStyle name="___laroux_1_Clearsky_internal_070201_1" xfId="211" xr:uid="{00000000-0005-0000-0000-00006F010000}"/>
    <cellStyle name="___laroux_1_Clearsky_internal_070201_2" xfId="212" xr:uid="{00000000-0005-0000-0000-000070010000}"/>
    <cellStyle name="___laroux_1_Clearsky_Outside_070201.xls Chart 2" xfId="213" xr:uid="{00000000-0005-0000-0000-000071010000}"/>
    <cellStyle name="___laroux_1_Clearsky_Outside_070201.xls Chart 2_1" xfId="214" xr:uid="{00000000-0005-0000-0000-000072010000}"/>
    <cellStyle name="___laroux_2" xfId="215" xr:uid="{00000000-0005-0000-0000-000073010000}"/>
    <cellStyle name="___laroux_2_ClearSky_AEP_Min_04.04.02_Bank" xfId="216" xr:uid="{00000000-0005-0000-0000-000074010000}"/>
    <cellStyle name="___laroux_2_ClearSky_AEP_Min_04.04.02_Bank 2" xfId="1789" xr:uid="{00000000-0005-0000-0000-000075010000}"/>
    <cellStyle name="___laroux_2_Clearsky_internal_050301" xfId="217" xr:uid="{00000000-0005-0000-0000-000076010000}"/>
    <cellStyle name="___laroux_2_Clearsky_internal_050301_1" xfId="218" xr:uid="{00000000-0005-0000-0000-000077010000}"/>
    <cellStyle name="___laroux_2_Clearsky_internal_050301_1 2" xfId="1790" xr:uid="{00000000-0005-0000-0000-000078010000}"/>
    <cellStyle name="___laroux_2_Clearsky_internal_070201" xfId="219" xr:uid="{00000000-0005-0000-0000-000079010000}"/>
    <cellStyle name="___laroux_2_Clearsky_internal_070201.xls Chart 2" xfId="220" xr:uid="{00000000-0005-0000-0000-00007A010000}"/>
    <cellStyle name="___laroux_2_Clearsky_internal_070201.xls Chart 2_1" xfId="221" xr:uid="{00000000-0005-0000-0000-00007B010000}"/>
    <cellStyle name="___laroux_2_Clearsky_internal_070201.xls Chart 2_1 2" xfId="1791" xr:uid="{00000000-0005-0000-0000-00007C010000}"/>
    <cellStyle name="___laroux_2_Clearsky_internal_070201_1" xfId="222" xr:uid="{00000000-0005-0000-0000-00007D010000}"/>
    <cellStyle name="___laroux_2_Clearsky_internal_070201_1 2" xfId="1792" xr:uid="{00000000-0005-0000-0000-00007E010000}"/>
    <cellStyle name="___laroux_2_Clearsky_Outside_070201.xls Chart 2" xfId="223" xr:uid="{00000000-0005-0000-0000-00007F010000}"/>
    <cellStyle name="___laroux_2_Clearsky_Outside_070201.xls Chart 2_1" xfId="224" xr:uid="{00000000-0005-0000-0000-000080010000}"/>
    <cellStyle name="___laroux_2_Clearsky_Outside_070201.xls Chart 2_1 2" xfId="1793" xr:uid="{00000000-0005-0000-0000-000081010000}"/>
    <cellStyle name="___laroux_3" xfId="225" xr:uid="{00000000-0005-0000-0000-000082010000}"/>
    <cellStyle name="___laroux_4" xfId="226" xr:uid="{00000000-0005-0000-0000-000083010000}"/>
    <cellStyle name="___laroux_5" xfId="227" xr:uid="{00000000-0005-0000-0000-000084010000}"/>
    <cellStyle name="___laroux_6" xfId="228" xr:uid="{00000000-0005-0000-0000-000085010000}"/>
    <cellStyle name="___laroux_7" xfId="229" xr:uid="{00000000-0005-0000-0000-000086010000}"/>
    <cellStyle name="___laroux_8" xfId="230" xr:uid="{00000000-0005-0000-0000-000087010000}"/>
    <cellStyle name="___laroux_8 2" xfId="1794" xr:uid="{00000000-0005-0000-0000-000088010000}"/>
    <cellStyle name="___laroux_ClearSky_AEP_Min_04.04.02_Bank" xfId="231" xr:uid="{00000000-0005-0000-0000-000089010000}"/>
    <cellStyle name="___laroux_ClearSky_AEP_Min_04.04.02_Bank_1" xfId="232" xr:uid="{00000000-0005-0000-0000-00008A010000}"/>
    <cellStyle name="___laroux_ClearSky_AEP_Min_04.04.02_Bank_1 2" xfId="1795" xr:uid="{00000000-0005-0000-0000-00008B010000}"/>
    <cellStyle name="___laroux_Clearsky_internal_050301" xfId="233" xr:uid="{00000000-0005-0000-0000-00008C010000}"/>
    <cellStyle name="___laroux_Clearsky_internal_050301 2" xfId="1571" xr:uid="{00000000-0005-0000-0000-00008D010000}"/>
    <cellStyle name="___laroux_Clearsky_internal_050301_1" xfId="234" xr:uid="{00000000-0005-0000-0000-00008E010000}"/>
    <cellStyle name="___laroux_Clearsky_internal_050301_1 2" xfId="1797" xr:uid="{00000000-0005-0000-0000-00008F010000}"/>
    <cellStyle name="___laroux_Clearsky_internal_070201" xfId="235" xr:uid="{00000000-0005-0000-0000-000090010000}"/>
    <cellStyle name="___laroux_Clearsky_internal_070201 2" xfId="1798" xr:uid="{00000000-0005-0000-0000-000091010000}"/>
    <cellStyle name="___laroux_Clearsky_internal_070201.xls Chart 2" xfId="236" xr:uid="{00000000-0005-0000-0000-000092010000}"/>
    <cellStyle name="___laroux_Clearsky_internal_070201.xls Chart 2 2" xfId="1799" xr:uid="{00000000-0005-0000-0000-000093010000}"/>
    <cellStyle name="___laroux_Clearsky_internal_070201.xls Chart 2_1" xfId="237" xr:uid="{00000000-0005-0000-0000-000094010000}"/>
    <cellStyle name="___laroux_Clearsky_internal_070201.xls Chart 2_1 2" xfId="1800" xr:uid="{00000000-0005-0000-0000-000095010000}"/>
    <cellStyle name="___laroux_Clearsky_internal_070201.xls Chart 2_2" xfId="238" xr:uid="{00000000-0005-0000-0000-000096010000}"/>
    <cellStyle name="___laroux_Clearsky_internal_070201_1" xfId="239" xr:uid="{00000000-0005-0000-0000-000097010000}"/>
    <cellStyle name="___laroux_Clearsky_internal_070201_2" xfId="240" xr:uid="{00000000-0005-0000-0000-000098010000}"/>
    <cellStyle name="___laroux_Clearsky_internal_070201_2 2" xfId="1801" xr:uid="{00000000-0005-0000-0000-000099010000}"/>
    <cellStyle name="___laroux_Clearsky_Outside_070201.xls Chart 2" xfId="241" xr:uid="{00000000-0005-0000-0000-00009A010000}"/>
    <cellStyle name="___laroux_Clearsky_Outside_070201.xls Chart 2 2" xfId="1802" xr:uid="{00000000-0005-0000-0000-00009B010000}"/>
    <cellStyle name="___laroux_Clearsky_Outside_070201.xls Chart 2_1" xfId="242" xr:uid="{00000000-0005-0000-0000-00009C010000}"/>
    <cellStyle name="___PERSONAL" xfId="243" xr:uid="{00000000-0005-0000-0000-00009D010000}"/>
    <cellStyle name="___PERSONAL 2" xfId="652" xr:uid="{00000000-0005-0000-0000-00009E010000}"/>
    <cellStyle name="___PERSONAL_1" xfId="244" xr:uid="{00000000-0005-0000-0000-00009F010000}"/>
    <cellStyle name="___PERSONAL_1_ClearSky_AEP_Min_04.04.02_Bank" xfId="245" xr:uid="{00000000-0005-0000-0000-0000A0010000}"/>
    <cellStyle name="___PERSONAL_1_ClearSky_AEP_Min_04.04.02_Bank 2" xfId="1804" xr:uid="{00000000-0005-0000-0000-0000A1010000}"/>
    <cellStyle name="___PERSONAL_1_ClearSky_AEP_Min_04.04.02_Bank_1" xfId="246" xr:uid="{00000000-0005-0000-0000-0000A2010000}"/>
    <cellStyle name="___PERSONAL_1_ClearSky_AEP_Min_04.04.02_Bank_1 2" xfId="1796" xr:uid="{00000000-0005-0000-0000-0000A3010000}"/>
    <cellStyle name="___PERSONAL_1_Clearsky_internal_050301" xfId="247" xr:uid="{00000000-0005-0000-0000-0000A4010000}"/>
    <cellStyle name="___PERSONAL_1_Clearsky_internal_050301 2" xfId="1908" xr:uid="{00000000-0005-0000-0000-0000A5010000}"/>
    <cellStyle name="___PERSONAL_1_Clearsky_internal_050301_1" xfId="248" xr:uid="{00000000-0005-0000-0000-0000A6010000}"/>
    <cellStyle name="___PERSONAL_1_Clearsky_internal_050301_1 2" xfId="1805" xr:uid="{00000000-0005-0000-0000-0000A7010000}"/>
    <cellStyle name="___PERSONAL_1_Clearsky_internal_070201" xfId="249" xr:uid="{00000000-0005-0000-0000-0000A8010000}"/>
    <cellStyle name="___PERSONAL_1_Clearsky_internal_070201 2" xfId="1806" xr:uid="{00000000-0005-0000-0000-0000A9010000}"/>
    <cellStyle name="___PERSONAL_1_Clearsky_internal_070201.xls Chart 2" xfId="250" xr:uid="{00000000-0005-0000-0000-0000AA010000}"/>
    <cellStyle name="___PERSONAL_1_Clearsky_internal_070201.xls Chart 2_1" xfId="251" xr:uid="{00000000-0005-0000-0000-0000AB010000}"/>
    <cellStyle name="___PERSONAL_1_Clearsky_internal_070201.xls Chart 2_1 2" xfId="1807" xr:uid="{00000000-0005-0000-0000-0000AC010000}"/>
    <cellStyle name="___PERSONAL_1_Clearsky_internal_070201_1" xfId="252" xr:uid="{00000000-0005-0000-0000-0000AD010000}"/>
    <cellStyle name="___PERSONAL_1_Clearsky_internal_070201_1 2" xfId="1808" xr:uid="{00000000-0005-0000-0000-0000AE010000}"/>
    <cellStyle name="___PERSONAL_1_Clearsky_internal_070201_1_Clearsky_Outside_070201.xls Chart 2" xfId="253" xr:uid="{00000000-0005-0000-0000-0000AF010000}"/>
    <cellStyle name="___PERSONAL_1_Clearsky_internal_070201_1_Clearsky_Outside_070201.xls Chart 2 2" xfId="1031" xr:uid="{00000000-0005-0000-0000-0000B0010000}"/>
    <cellStyle name="___PERSONAL_1_Clearsky_internal_070201_2" xfId="254" xr:uid="{00000000-0005-0000-0000-0000B1010000}"/>
    <cellStyle name="___PERSONAL_1_Clearsky_internal_070201_Clearsky_Outside_070201.xls Chart 2" xfId="255" xr:uid="{00000000-0005-0000-0000-0000B2010000}"/>
    <cellStyle name="___PERSONAL_1_Clearsky_Outside_070201.xls Chart 2" xfId="256" xr:uid="{00000000-0005-0000-0000-0000B3010000}"/>
    <cellStyle name="___PERSONAL_1_Clearsky_Outside_070201.xls Chart 2 2" xfId="1803" xr:uid="{00000000-0005-0000-0000-0000B4010000}"/>
    <cellStyle name="___PERSONAL_1_Clearsky_Outside_070201.xls Chart 2_1" xfId="257" xr:uid="{00000000-0005-0000-0000-0000B5010000}"/>
    <cellStyle name="___PERSONAL_2" xfId="258" xr:uid="{00000000-0005-0000-0000-0000B6010000}"/>
    <cellStyle name="___PERSONAL_2 2" xfId="1810" xr:uid="{00000000-0005-0000-0000-0000B7010000}"/>
    <cellStyle name="___PERSONAL_2_ClearSky_AEP_Min_04.04.02_Bank" xfId="259" xr:uid="{00000000-0005-0000-0000-0000B8010000}"/>
    <cellStyle name="___PERSONAL_2_ClearSky_AEP_Min_04.04.02_Bank 2" xfId="1812" xr:uid="{00000000-0005-0000-0000-0000B9010000}"/>
    <cellStyle name="___PERSONAL_2_ClearSky_AEP_Min_04.04.02_Bank_1" xfId="260" xr:uid="{00000000-0005-0000-0000-0000BA010000}"/>
    <cellStyle name="___PERSONAL_2_ClearSky_AEP_Min_04.04.02_Bank_1 2" xfId="1813" xr:uid="{00000000-0005-0000-0000-0000BB010000}"/>
    <cellStyle name="___PERSONAL_2_Clearsky_internal_050301" xfId="261" xr:uid="{00000000-0005-0000-0000-0000BC010000}"/>
    <cellStyle name="___PERSONAL_2_Clearsky_internal_050301 2" xfId="1814" xr:uid="{00000000-0005-0000-0000-0000BD010000}"/>
    <cellStyle name="___PERSONAL_2_Clearsky_internal_050301_1" xfId="262" xr:uid="{00000000-0005-0000-0000-0000BE010000}"/>
    <cellStyle name="___PERSONAL_2_Clearsky_internal_050301_1 2" xfId="1815" xr:uid="{00000000-0005-0000-0000-0000BF010000}"/>
    <cellStyle name="___PERSONAL_2_Clearsky_internal_070201" xfId="263" xr:uid="{00000000-0005-0000-0000-0000C0010000}"/>
    <cellStyle name="___PERSONAL_2_Clearsky_internal_070201 2" xfId="1816" xr:uid="{00000000-0005-0000-0000-0000C1010000}"/>
    <cellStyle name="___PERSONAL_2_Clearsky_internal_070201.xls Chart 2" xfId="264" xr:uid="{00000000-0005-0000-0000-0000C2010000}"/>
    <cellStyle name="___PERSONAL_2_Clearsky_internal_070201.xls Chart 2 2" xfId="1817" xr:uid="{00000000-0005-0000-0000-0000C3010000}"/>
    <cellStyle name="___PERSONAL_2_Clearsky_internal_070201.xls Chart 2_1" xfId="265" xr:uid="{00000000-0005-0000-0000-0000C4010000}"/>
    <cellStyle name="___PERSONAL_2_Clearsky_internal_070201.xls Chart 2_1 2" xfId="1818" xr:uid="{00000000-0005-0000-0000-0000C5010000}"/>
    <cellStyle name="___PERSONAL_2_Clearsky_internal_070201_1" xfId="266" xr:uid="{00000000-0005-0000-0000-0000C6010000}"/>
    <cellStyle name="___PERSONAL_2_Clearsky_internal_070201_1 2" xfId="1809" xr:uid="{00000000-0005-0000-0000-0000C7010000}"/>
    <cellStyle name="___PERSONAL_2_Clearsky_internal_070201_1_Clearsky_internal_070201" xfId="267" xr:uid="{00000000-0005-0000-0000-0000C8010000}"/>
    <cellStyle name="___PERSONAL_2_Clearsky_internal_070201_1_Clearsky_internal_070201 2" xfId="1905" xr:uid="{00000000-0005-0000-0000-0000C9010000}"/>
    <cellStyle name="___PERSONAL_2_Clearsky_internal_070201_1_Clearsky_Outside_070201.xls Chart 2" xfId="268" xr:uid="{00000000-0005-0000-0000-0000CA010000}"/>
    <cellStyle name="___PERSONAL_2_Clearsky_internal_070201_1_Clearsky_Outside_070201.xls Chart 2 2" xfId="1819" xr:uid="{00000000-0005-0000-0000-0000CB010000}"/>
    <cellStyle name="___PERSONAL_2_Clearsky_internal_070201_2" xfId="269" xr:uid="{00000000-0005-0000-0000-0000CC010000}"/>
    <cellStyle name="___PERSONAL_2_Clearsky_internal_070201_2 2" xfId="1821" xr:uid="{00000000-0005-0000-0000-0000CD010000}"/>
    <cellStyle name="___PERSONAL_2_Clearsky_internal_070201_Clearsky_Outside_070201.xls Chart 2" xfId="270" xr:uid="{00000000-0005-0000-0000-0000CE010000}"/>
    <cellStyle name="___PERSONAL_2_Clearsky_internal_070201_Clearsky_Outside_070201.xls Chart 2 2" xfId="1822" xr:uid="{00000000-0005-0000-0000-0000CF010000}"/>
    <cellStyle name="___PERSONAL_2_Clearsky_Outside_070201.xls Chart 2" xfId="271" xr:uid="{00000000-0005-0000-0000-0000D0010000}"/>
    <cellStyle name="___PERSONAL_2_Clearsky_Outside_070201.xls Chart 2 2" xfId="1823" xr:uid="{00000000-0005-0000-0000-0000D1010000}"/>
    <cellStyle name="___PERSONAL_2_Clearsky_Outside_070201.xls Chart 2_1" xfId="272" xr:uid="{00000000-0005-0000-0000-0000D2010000}"/>
    <cellStyle name="___PERSONAL_2_Clearsky_Outside_070201.xls Chart 2_1 2" xfId="1824" xr:uid="{00000000-0005-0000-0000-0000D3010000}"/>
    <cellStyle name="___PERSONAL_2_Clearsky_Outside_070201.xls Chart 2_2" xfId="273" xr:uid="{00000000-0005-0000-0000-0000D4010000}"/>
    <cellStyle name="___PERSONAL_2_Clearsky_Outside_070201.xls Chart 2_2 2" xfId="1825" xr:uid="{00000000-0005-0000-0000-0000D5010000}"/>
    <cellStyle name="___PERSONAL_3" xfId="274" xr:uid="{00000000-0005-0000-0000-0000D6010000}"/>
    <cellStyle name="___PERSONAL_3_ClearSky_AEP_Min_04.04.02_Bank" xfId="275" xr:uid="{00000000-0005-0000-0000-0000D7010000}"/>
    <cellStyle name="___PERSONAL_3_ClearSky_AEP_Min_04.04.02_Bank 2" xfId="1826" xr:uid="{00000000-0005-0000-0000-0000D8010000}"/>
    <cellStyle name="___PERSONAL_3_Clearsky_internal_050301" xfId="276" xr:uid="{00000000-0005-0000-0000-0000D9010000}"/>
    <cellStyle name="___PERSONAL_3_Clearsky_internal_070201" xfId="277" xr:uid="{00000000-0005-0000-0000-0000DA010000}"/>
    <cellStyle name="___PERSONAL_3_Clearsky_internal_070201.xls Chart 2" xfId="278" xr:uid="{00000000-0005-0000-0000-0000DB010000}"/>
    <cellStyle name="___PERSONAL_3_Clearsky_internal_070201.xls Chart 2 2" xfId="1828" xr:uid="{00000000-0005-0000-0000-0000DC010000}"/>
    <cellStyle name="___PERSONAL_3_Clearsky_internal_070201_1" xfId="279" xr:uid="{00000000-0005-0000-0000-0000DD010000}"/>
    <cellStyle name="___PERSONAL_3_Clearsky_internal_070201_1 2" xfId="1829" xr:uid="{00000000-0005-0000-0000-0000DE010000}"/>
    <cellStyle name="___PERSONAL_3_Clearsky_internal_070201_Clearsky_Outside_070201.xls Chart 2" xfId="280" xr:uid="{00000000-0005-0000-0000-0000DF010000}"/>
    <cellStyle name="___PERSONAL_3_Clearsky_internal_070201_Clearsky_Outside_070201.xls Chart 2 2" xfId="1830" xr:uid="{00000000-0005-0000-0000-0000E0010000}"/>
    <cellStyle name="___PERSONAL_3_Clearsky_Outside_070201.xls Chart 2" xfId="281" xr:uid="{00000000-0005-0000-0000-0000E1010000}"/>
    <cellStyle name="___PERSONAL_4" xfId="282" xr:uid="{00000000-0005-0000-0000-0000E2010000}"/>
    <cellStyle name="___PERSONAL_ClearSky_AEP_Min_04.04.02_Bank" xfId="283" xr:uid="{00000000-0005-0000-0000-0000E3010000}"/>
    <cellStyle name="___PERSONAL_ClearSky_AEP_Min_04.04.02_Bank_1" xfId="284" xr:uid="{00000000-0005-0000-0000-0000E4010000}"/>
    <cellStyle name="___PERSONAL_ClearSky_AEP_Min_04.04.02_Bank_1 2" xfId="1832" xr:uid="{00000000-0005-0000-0000-0000E5010000}"/>
    <cellStyle name="___PERSONAL_Clearsky_internal_050301" xfId="285" xr:uid="{00000000-0005-0000-0000-0000E6010000}"/>
    <cellStyle name="___PERSONAL_Clearsky_internal_050301_1" xfId="286" xr:uid="{00000000-0005-0000-0000-0000E7010000}"/>
    <cellStyle name="___PERSONAL_Clearsky_internal_050301_1 2" xfId="1909" xr:uid="{00000000-0005-0000-0000-0000E8010000}"/>
    <cellStyle name="___PERSONAL_Clearsky_internal_070201" xfId="287" xr:uid="{00000000-0005-0000-0000-0000E9010000}"/>
    <cellStyle name="___PERSONAL_Clearsky_internal_070201.xls Chart 2" xfId="288" xr:uid="{00000000-0005-0000-0000-0000EA010000}"/>
    <cellStyle name="___PERSONAL_Clearsky_internal_070201.xls Chart 2_1" xfId="289" xr:uid="{00000000-0005-0000-0000-0000EB010000}"/>
    <cellStyle name="___PERSONAL_Clearsky_internal_070201.xls Chart 2_1 2" xfId="1833" xr:uid="{00000000-0005-0000-0000-0000EC010000}"/>
    <cellStyle name="___PERSONAL_Clearsky_internal_070201_1" xfId="290" xr:uid="{00000000-0005-0000-0000-0000ED010000}"/>
    <cellStyle name="___PERSONAL_Clearsky_internal_070201_1 2" xfId="1834" xr:uid="{00000000-0005-0000-0000-0000EE010000}"/>
    <cellStyle name="___PERSONAL_Clearsky_internal_070201_1_Clearsky_internal_070201" xfId="291" xr:uid="{00000000-0005-0000-0000-0000EF010000}"/>
    <cellStyle name="___PERSONAL_Clearsky_internal_070201_1_Clearsky_Outside_070201.xls Chart 2" xfId="292" xr:uid="{00000000-0005-0000-0000-0000F0010000}"/>
    <cellStyle name="___PERSONAL_Clearsky_internal_070201_2" xfId="293" xr:uid="{00000000-0005-0000-0000-0000F1010000}"/>
    <cellStyle name="___PERSONAL_Clearsky_internal_070201_2 2" xfId="1836" xr:uid="{00000000-0005-0000-0000-0000F2010000}"/>
    <cellStyle name="___PERSONAL_Clearsky_internal_070201_Clearsky_Outside_070201.xls Chart 2" xfId="294" xr:uid="{00000000-0005-0000-0000-0000F3010000}"/>
    <cellStyle name="___PERSONAL_Clearsky_internal_070201_Clearsky_Outside_070201.xls Chart 2 2" xfId="1831" xr:uid="{00000000-0005-0000-0000-0000F4010000}"/>
    <cellStyle name="___PERSONAL_Clearsky_Outside_070201.xls Chart 2" xfId="295" xr:uid="{00000000-0005-0000-0000-0000F5010000}"/>
    <cellStyle name="___PERSONAL_Clearsky_Outside_070201.xls Chart 2_1" xfId="296" xr:uid="{00000000-0005-0000-0000-0000F6010000}"/>
    <cellStyle name="___PERSONAL_Clearsky_Outside_070201.xls Chart 2_1 2" xfId="1838" xr:uid="{00000000-0005-0000-0000-0000F7010000}"/>
    <cellStyle name="___Query11" xfId="297" xr:uid="{00000000-0005-0000-0000-0000F8010000}"/>
    <cellStyle name="___Query11 2" xfId="1839" xr:uid="{00000000-0005-0000-0000-0000F9010000}"/>
    <cellStyle name="___Sheet1" xfId="298" xr:uid="{00000000-0005-0000-0000-0000FA010000}"/>
    <cellStyle name="___Sheet1 (2)" xfId="299" xr:uid="{00000000-0005-0000-0000-0000FB010000}"/>
    <cellStyle name="___Sheet2" xfId="300" xr:uid="{00000000-0005-0000-0000-0000FC010000}"/>
    <cellStyle name="___Sheet2_ClearSky_AEP_Min_04.04.02_Bank" xfId="301" xr:uid="{00000000-0005-0000-0000-0000FD010000}"/>
    <cellStyle name="___Sheet2_ClearSky_AEP_Min_04.04.02_Bank 2" xfId="1840" xr:uid="{00000000-0005-0000-0000-0000FE010000}"/>
    <cellStyle name="___Sheet2_Clearsky_internal_050301" xfId="302" xr:uid="{00000000-0005-0000-0000-0000FF010000}"/>
    <cellStyle name="___Sheet2_Clearsky_internal_070201" xfId="303" xr:uid="{00000000-0005-0000-0000-000000020000}"/>
    <cellStyle name="___Sheet2_Clearsky_internal_070201 2" xfId="1835" xr:uid="{00000000-0005-0000-0000-000001020000}"/>
    <cellStyle name="___Sheet2_Clearsky_internal_070201.xls Chart 2" xfId="304" xr:uid="{00000000-0005-0000-0000-000002020000}"/>
    <cellStyle name="___Sheet2_Clearsky_internal_070201.xls Chart 2 2" xfId="1906" xr:uid="{00000000-0005-0000-0000-000003020000}"/>
    <cellStyle name="___Sheet2_Clearsky_internal_070201_1" xfId="305" xr:uid="{00000000-0005-0000-0000-000004020000}"/>
    <cellStyle name="___Sheet2_Clearsky_internal_070201_Clearsky_Outside_070201.xls Chart 2" xfId="306" xr:uid="{00000000-0005-0000-0000-000005020000}"/>
    <cellStyle name="___Sheet2_Clearsky_Outside_070201.xls Chart 2" xfId="307" xr:uid="{00000000-0005-0000-0000-000006020000}"/>
    <cellStyle name="_020122 TIM MITCHELL" xfId="308" xr:uid="{00000000-0005-0000-0000-000007020000}"/>
    <cellStyle name="_020122 TIM MITCHELL 2" xfId="1842" xr:uid="{00000000-0005-0000-0000-000008020000}"/>
    <cellStyle name="_020205 AEP Mitchell v2.3" xfId="309" xr:uid="{00000000-0005-0000-0000-000009020000}"/>
    <cellStyle name="_20030202 Mulberry_Financial Model v2" xfId="310" xr:uid="{00000000-0005-0000-0000-00000A020000}"/>
    <cellStyle name="_20030203 Mulberry_Financial Model v1" xfId="311" xr:uid="{00000000-0005-0000-0000-00000B020000}"/>
    <cellStyle name="_20030204 Mulberry_Financial Model v3" xfId="312" xr:uid="{00000000-0005-0000-0000-00000C020000}"/>
    <cellStyle name="_20030710 Mulberry_CSFB" xfId="313" xr:uid="{00000000-0005-0000-0000-00000D020000}"/>
    <cellStyle name="_20051108 Plaquemine Comps" xfId="314" xr:uid="{00000000-0005-0000-0000-00000E020000}"/>
    <cellStyle name="_20051108 Plaquemine Comps 2" xfId="1844" xr:uid="{00000000-0005-0000-0000-00000F020000}"/>
    <cellStyle name="_Annual Fin" xfId="315" xr:uid="{00000000-0005-0000-0000-000010020000}"/>
    <cellStyle name="_Annual Fin 2" xfId="1845" xr:uid="{00000000-0005-0000-0000-000011020000}"/>
    <cellStyle name="_APS Financial Model v1.0" xfId="316" xr:uid="{00000000-0005-0000-0000-000012020000}"/>
    <cellStyle name="_Colorado Wind - Case A v1.11 levelized debt - interest in 2003 Final for Board Package" xfId="317" xr:uid="{00000000-0005-0000-0000-000013020000}"/>
    <cellStyle name="_Colorado Wind - Case A v1.11 levelized debt - interest in 2003 Final for Board Package 2" xfId="1846" xr:uid="{00000000-0005-0000-0000-000014020000}"/>
    <cellStyle name="_Colorado Wind v3.11" xfId="318" xr:uid="{00000000-0005-0000-0000-000015020000}"/>
    <cellStyle name="_Colorado Wind v3.11 2" xfId="1847" xr:uid="{00000000-0005-0000-0000-000016020000}"/>
    <cellStyle name="_Comma" xfId="319" xr:uid="{00000000-0005-0000-0000-000017020000}"/>
    <cellStyle name="_Comma 2" xfId="663" xr:uid="{00000000-0005-0000-0000-000018020000}"/>
    <cellStyle name="_Comma 3" xfId="664" xr:uid="{00000000-0005-0000-0000-000019020000}"/>
    <cellStyle name="_Comma 4" xfId="665" xr:uid="{00000000-0005-0000-0000-00001A020000}"/>
    <cellStyle name="_Comma 5" xfId="662" xr:uid="{00000000-0005-0000-0000-00001B020000}"/>
    <cellStyle name="_Compare All-NEW" xfId="666" xr:uid="{00000000-0005-0000-0000-00001C020000}"/>
    <cellStyle name="_Currency" xfId="320" xr:uid="{00000000-0005-0000-0000-00001D020000}"/>
    <cellStyle name="_Currency 2" xfId="668" xr:uid="{00000000-0005-0000-0000-00001E020000}"/>
    <cellStyle name="_Currency 3" xfId="669" xr:uid="{00000000-0005-0000-0000-00001F020000}"/>
    <cellStyle name="_Currency 4" xfId="670" xr:uid="{00000000-0005-0000-0000-000020020000}"/>
    <cellStyle name="_Currency 5" xfId="667" xr:uid="{00000000-0005-0000-0000-000021020000}"/>
    <cellStyle name="_Currency_Novartis-Roche 0805 v2" xfId="671" xr:uid="{00000000-0005-0000-0000-000022020000}"/>
    <cellStyle name="_Currency_Novartis-Roche 0805 v2 2" xfId="672" xr:uid="{00000000-0005-0000-0000-000023020000}"/>
    <cellStyle name="_Currency_Novartis-Roche 0805 v2 3" xfId="673" xr:uid="{00000000-0005-0000-0000-000024020000}"/>
    <cellStyle name="_Currency_Novartis-Roche 0805 v2 4" xfId="674" xr:uid="{00000000-0005-0000-0000-000025020000}"/>
    <cellStyle name="_Currency_wacc bb final" xfId="675" xr:uid="{00000000-0005-0000-0000-000026020000}"/>
    <cellStyle name="_Currency_wacc bb final 2" xfId="676" xr:uid="{00000000-0005-0000-0000-000027020000}"/>
    <cellStyle name="_Currency_wacc bb final 3" xfId="677" xr:uid="{00000000-0005-0000-0000-000028020000}"/>
    <cellStyle name="_Currency_wacc bb final 4" xfId="678" xr:uid="{00000000-0005-0000-0000-000029020000}"/>
    <cellStyle name="_CurrencySpace" xfId="321" xr:uid="{00000000-0005-0000-0000-00002A020000}"/>
    <cellStyle name="_CurrencySpace 2" xfId="680" xr:uid="{00000000-0005-0000-0000-00002B020000}"/>
    <cellStyle name="_CurrencySpace 3" xfId="681" xr:uid="{00000000-0005-0000-0000-00002C020000}"/>
    <cellStyle name="_CurrencySpace 4" xfId="682" xr:uid="{00000000-0005-0000-0000-00002D020000}"/>
    <cellStyle name="_CurrencySpace 5" xfId="679" xr:uid="{00000000-0005-0000-0000-00002E020000}"/>
    <cellStyle name="_Debt Template" xfId="322" xr:uid="{00000000-0005-0000-0000-00002F020000}"/>
    <cellStyle name="_DEPR" xfId="323" xr:uid="{00000000-0005-0000-0000-000030020000}"/>
    <cellStyle name="_DEPR 2" xfId="1848" xr:uid="{00000000-0005-0000-0000-000031020000}"/>
    <cellStyle name="_Eastex 21" xfId="324" xr:uid="{00000000-0005-0000-0000-000032020000}"/>
    <cellStyle name="_Eastex 21 2" xfId="1849" xr:uid="{00000000-0005-0000-0000-000033020000}"/>
    <cellStyle name="_enXco NSP IV (mdf) v3.7" xfId="325" xr:uid="{00000000-0005-0000-0000-000034020000}"/>
    <cellStyle name="_Fitch VECTOR" xfId="683" xr:uid="{00000000-0005-0000-0000-000035020000}"/>
    <cellStyle name="_Fitch_VECTOR_Model" xfId="684" xr:uid="{00000000-0005-0000-0000-000036020000}"/>
    <cellStyle name="_Fitch_VECTOR_Model_Portfolio Definition" xfId="685" xr:uid="{00000000-0005-0000-0000-000037020000}"/>
    <cellStyle name="_GS Model2_11" xfId="326" xr:uid="{00000000-0005-0000-0000-000038020000}"/>
    <cellStyle name="_GS Model2_11 2" xfId="1850" xr:uid="{00000000-0005-0000-0000-000039020000}"/>
    <cellStyle name="_Holidays" xfId="327" xr:uid="{00000000-0005-0000-0000-00003A020000}"/>
    <cellStyle name="_Holidays 2" xfId="1851" xr:uid="{00000000-0005-0000-0000-00003B020000}"/>
    <cellStyle name="_Holidays_Formula Legend" xfId="328" xr:uid="{00000000-0005-0000-0000-00003C020000}"/>
    <cellStyle name="_Holidays_Formula Legend 2" xfId="1852" xr:uid="{00000000-0005-0000-0000-00003D020000}"/>
    <cellStyle name="_Inman  - Static ABS Deal" xfId="686" xr:uid="{00000000-0005-0000-0000-00003E020000}"/>
    <cellStyle name="_Inputs" xfId="329" xr:uid="{00000000-0005-0000-0000-00003F020000}"/>
    <cellStyle name="_Inputs 2" xfId="1853" xr:uid="{00000000-0005-0000-0000-000040020000}"/>
    <cellStyle name="_Monthly Fin" xfId="330" xr:uid="{00000000-0005-0000-0000-000041020000}"/>
    <cellStyle name="_Monthly Fin 2" xfId="1854" xr:uid="{00000000-0005-0000-0000-000042020000}"/>
    <cellStyle name="_Multiple" xfId="331" xr:uid="{00000000-0005-0000-0000-000043020000}"/>
    <cellStyle name="_Multiple 2" xfId="688" xr:uid="{00000000-0005-0000-0000-000044020000}"/>
    <cellStyle name="_Multiple 3" xfId="689" xr:uid="{00000000-0005-0000-0000-000045020000}"/>
    <cellStyle name="_Multiple 4" xfId="690" xr:uid="{00000000-0005-0000-0000-000046020000}"/>
    <cellStyle name="_Multiple 5" xfId="687" xr:uid="{00000000-0005-0000-0000-000047020000}"/>
    <cellStyle name="_Multiple_GS Model2_11" xfId="332" xr:uid="{00000000-0005-0000-0000-000048020000}"/>
    <cellStyle name="_Multiple_GS Model2_11 2" xfId="1855" xr:uid="{00000000-0005-0000-0000-000049020000}"/>
    <cellStyle name="_Multiple_Novartis-Roche 0805 v2" xfId="691" xr:uid="{00000000-0005-0000-0000-00004A020000}"/>
    <cellStyle name="_Multiple_Novartis-Roche 0805 v2 2" xfId="692" xr:uid="{00000000-0005-0000-0000-00004B020000}"/>
    <cellStyle name="_Multiple_Novartis-Roche 0805 v2 3" xfId="693" xr:uid="{00000000-0005-0000-0000-00004C020000}"/>
    <cellStyle name="_Multiple_Novartis-Roche 0805 v2 4" xfId="694" xr:uid="{00000000-0005-0000-0000-00004D020000}"/>
    <cellStyle name="_Multiple_wacc bb final" xfId="695" xr:uid="{00000000-0005-0000-0000-00004E020000}"/>
    <cellStyle name="_Multiple_wacc bb final 2" xfId="696" xr:uid="{00000000-0005-0000-0000-00004F020000}"/>
    <cellStyle name="_Multiple_wacc bb final 3" xfId="697" xr:uid="{00000000-0005-0000-0000-000050020000}"/>
    <cellStyle name="_Multiple_wacc bb final 4" xfId="698" xr:uid="{00000000-0005-0000-0000-000051020000}"/>
    <cellStyle name="_MultipleSpace" xfId="333" xr:uid="{00000000-0005-0000-0000-000052020000}"/>
    <cellStyle name="_MultipleSpace 2" xfId="700" xr:uid="{00000000-0005-0000-0000-000053020000}"/>
    <cellStyle name="_MultipleSpace 3" xfId="701" xr:uid="{00000000-0005-0000-0000-000054020000}"/>
    <cellStyle name="_MultipleSpace 4" xfId="702" xr:uid="{00000000-0005-0000-0000-000055020000}"/>
    <cellStyle name="_MultipleSpace 5" xfId="699" xr:uid="{00000000-0005-0000-0000-000056020000}"/>
    <cellStyle name="_MultipleSpace_GS Model2_11" xfId="334" xr:uid="{00000000-0005-0000-0000-000057020000}"/>
    <cellStyle name="_MultipleSpace_GS Model2_11 2" xfId="1856" xr:uid="{00000000-0005-0000-0000-000058020000}"/>
    <cellStyle name="_MultipleSpace_Novartis-Roche 0805 v2" xfId="703" xr:uid="{00000000-0005-0000-0000-000059020000}"/>
    <cellStyle name="_MultipleSpace_Novartis-Roche 0805 v2 2" xfId="704" xr:uid="{00000000-0005-0000-0000-00005A020000}"/>
    <cellStyle name="_MultipleSpace_Novartis-Roche 0805 v2 3" xfId="705" xr:uid="{00000000-0005-0000-0000-00005B020000}"/>
    <cellStyle name="_MultipleSpace_Novartis-Roche 0805 v2 4" xfId="706" xr:uid="{00000000-0005-0000-0000-00005C020000}"/>
    <cellStyle name="_MultipleSpace_wacc bb final" xfId="707" xr:uid="{00000000-0005-0000-0000-00005D020000}"/>
    <cellStyle name="_MultipleSpace_wacc bb final 2" xfId="708" xr:uid="{00000000-0005-0000-0000-00005E020000}"/>
    <cellStyle name="_MultipleSpace_wacc bb final 3" xfId="709" xr:uid="{00000000-0005-0000-0000-00005F020000}"/>
    <cellStyle name="_MultipleSpace_wacc bb final 4" xfId="710" xr:uid="{00000000-0005-0000-0000-000060020000}"/>
    <cellStyle name="_Orange-Mulberry Res. 061201a" xfId="335" xr:uid="{00000000-0005-0000-0000-000061020000}"/>
    <cellStyle name="_Orange-Mulberry Res. 061201a 2" xfId="1857" xr:uid="{00000000-0005-0000-0000-000062020000}"/>
    <cellStyle name="_OR-xx  3rd Party Transmission Revenue 3-25-08" xfId="336" xr:uid="{00000000-0005-0000-0000-000063020000}"/>
    <cellStyle name="_Percent" xfId="337" xr:uid="{00000000-0005-0000-0000-000064020000}"/>
    <cellStyle name="_Percent 2" xfId="712" xr:uid="{00000000-0005-0000-0000-000065020000}"/>
    <cellStyle name="_Percent 3" xfId="713" xr:uid="{00000000-0005-0000-0000-000066020000}"/>
    <cellStyle name="_Percent 4" xfId="714" xr:uid="{00000000-0005-0000-0000-000067020000}"/>
    <cellStyle name="_Percent 5" xfId="711" xr:uid="{00000000-0005-0000-0000-000068020000}"/>
    <cellStyle name="_Percent_GS Model2_11" xfId="338" xr:uid="{00000000-0005-0000-0000-000069020000}"/>
    <cellStyle name="_Percent_GS Model2_11 2" xfId="1858" xr:uid="{00000000-0005-0000-0000-00006A020000}"/>
    <cellStyle name="_PercentSpace" xfId="339" xr:uid="{00000000-0005-0000-0000-00006B020000}"/>
    <cellStyle name="_PercentSpace 2" xfId="716" xr:uid="{00000000-0005-0000-0000-00006C020000}"/>
    <cellStyle name="_PercentSpace 3" xfId="717" xr:uid="{00000000-0005-0000-0000-00006D020000}"/>
    <cellStyle name="_PercentSpace 4" xfId="718" xr:uid="{00000000-0005-0000-0000-00006E020000}"/>
    <cellStyle name="_PercentSpace 5" xfId="715" xr:uid="{00000000-0005-0000-0000-00006F020000}"/>
    <cellStyle name="_PercentSpace_GS Model2_11" xfId="340" xr:uid="{00000000-0005-0000-0000-000070020000}"/>
    <cellStyle name="_PercentSpace_GS Model2_11 2" xfId="1860" xr:uid="{00000000-0005-0000-0000-000071020000}"/>
    <cellStyle name="_PercentSpace_Novartis-Roche 0805 v2" xfId="719" xr:uid="{00000000-0005-0000-0000-000072020000}"/>
    <cellStyle name="_PercentSpace_Novartis-Roche 0805 v2 2" xfId="720" xr:uid="{00000000-0005-0000-0000-000073020000}"/>
    <cellStyle name="_PercentSpace_Novartis-Roche 0805 v2 3" xfId="721" xr:uid="{00000000-0005-0000-0000-000074020000}"/>
    <cellStyle name="_PercentSpace_Novartis-Roche 0805 v2 4" xfId="722" xr:uid="{00000000-0005-0000-0000-000075020000}"/>
    <cellStyle name="_PercentSpace_wacc bb final" xfId="723" xr:uid="{00000000-0005-0000-0000-000076020000}"/>
    <cellStyle name="_PercentSpace_wacc bb final 2" xfId="724" xr:uid="{00000000-0005-0000-0000-000077020000}"/>
    <cellStyle name="_PercentSpace_wacc bb final 3" xfId="725" xr:uid="{00000000-0005-0000-0000-000078020000}"/>
    <cellStyle name="_PercentSpace_wacc bb final 4" xfId="726" xr:uid="{00000000-0005-0000-0000-000079020000}"/>
    <cellStyle name="_Portfolio Definition" xfId="727" xr:uid="{00000000-0005-0000-0000-00007A020000}"/>
    <cellStyle name="_prestemp" xfId="341" xr:uid="{00000000-0005-0000-0000-00007B020000}"/>
    <cellStyle name="_prestemp 2" xfId="1861" xr:uid="{00000000-0005-0000-0000-00007C020000}"/>
    <cellStyle name="_Price Curves" xfId="342" xr:uid="{00000000-0005-0000-0000-00007D020000}"/>
    <cellStyle name="_Price Curves 2" xfId="1862" xr:uid="{00000000-0005-0000-0000-00007E020000}"/>
    <cellStyle name="_PSEG asset valuation 1.1" xfId="343" xr:uid="{00000000-0005-0000-0000-00007F020000}"/>
    <cellStyle name="_PSEG asset valuation 1.1 2" xfId="1863" xr:uid="{00000000-0005-0000-0000-000080020000}"/>
    <cellStyle name="_PSEG Swap v3.1" xfId="344" xr:uid="{00000000-0005-0000-0000-000081020000}"/>
    <cellStyle name="_PSEG Swap v3.5 PSEG Assets" xfId="345" xr:uid="{00000000-0005-0000-0000-000082020000}"/>
    <cellStyle name="_Quarterly Fin" xfId="346" xr:uid="{00000000-0005-0000-0000-000083020000}"/>
    <cellStyle name="_Quarterly Fin 2" xfId="1864" xr:uid="{00000000-0005-0000-0000-000084020000}"/>
    <cellStyle name="_SA Financial Model v1.0" xfId="347" xr:uid="{00000000-0005-0000-0000-000085020000}"/>
    <cellStyle name="_Sheet5" xfId="348" xr:uid="{00000000-0005-0000-0000-000086020000}"/>
    <cellStyle name="_Synthetic ABS NOV 4" xfId="728" xr:uid="{00000000-0005-0000-0000-000087020000}"/>
    <cellStyle name="_TableHead" xfId="729" xr:uid="{00000000-0005-0000-0000-000088020000}"/>
    <cellStyle name="_Thermo 2003 - tcp dscr 6_05a" xfId="349" xr:uid="{00000000-0005-0000-0000-000089020000}"/>
    <cellStyle name="_Thermo 2003 - tcp dscr 6_05a 2" xfId="1866" xr:uid="{00000000-0005-0000-0000-00008A020000}"/>
    <cellStyle name="_TRENT6_09_BANK" xfId="350" xr:uid="{00000000-0005-0000-0000-00008B020000}"/>
    <cellStyle name="_TRENT6_09_BANK 2" xfId="1867" xr:uid="{00000000-0005-0000-0000-00008C020000}"/>
    <cellStyle name="_Worksheet Template with Print Macro1" xfId="351" xr:uid="{00000000-0005-0000-0000-00008D020000}"/>
    <cellStyle name="_Worksheet Template with Print Macro1 2" xfId="1868" xr:uid="{00000000-0005-0000-0000-00008E020000}"/>
    <cellStyle name="~Capacity (0)" xfId="352" xr:uid="{00000000-0005-0000-0000-00008F020000}"/>
    <cellStyle name="~Capacity (1)" xfId="353" xr:uid="{00000000-0005-0000-0000-000090020000}"/>
    <cellStyle name="~Escalation" xfId="354" xr:uid="{00000000-0005-0000-0000-000091020000}"/>
    <cellStyle name="~Gas (0)" xfId="355" xr:uid="{00000000-0005-0000-0000-000092020000}"/>
    <cellStyle name="~Gas Price" xfId="356" xr:uid="{00000000-0005-0000-0000-000093020000}"/>
    <cellStyle name="~Power (0)" xfId="357" xr:uid="{00000000-0005-0000-0000-000094020000}"/>
    <cellStyle name="~Power Price" xfId="358" xr:uid="{00000000-0005-0000-0000-000095020000}"/>
    <cellStyle name="’Ê‰Ý_GE 3 MINIMUM" xfId="730" xr:uid="{00000000-0005-0000-0000-000096020000}"/>
    <cellStyle name="_x0010_“+ˆÉ•?pý¤" xfId="731" xr:uid="{00000000-0005-0000-0000-000097020000}"/>
    <cellStyle name="_x0010_“+ˆÉ•?pý¤ 2" xfId="732" xr:uid="{00000000-0005-0000-0000-000098020000}"/>
    <cellStyle name="_x0010_“+ˆÉ•?pý¤ 3" xfId="733" xr:uid="{00000000-0005-0000-0000-000099020000}"/>
    <cellStyle name="_x0010_“+ˆÉ•?pý¤ 4" xfId="734" xr:uid="{00000000-0005-0000-0000-00009A020000}"/>
    <cellStyle name="_x0010_“+ˆÉ•?pý¤ 5" xfId="735" xr:uid="{00000000-0005-0000-0000-00009B020000}"/>
    <cellStyle name="£ BP" xfId="736" xr:uid="{00000000-0005-0000-0000-00009C020000}"/>
    <cellStyle name="£ BP 2" xfId="737" xr:uid="{00000000-0005-0000-0000-00009D020000}"/>
    <cellStyle name="¥ JY" xfId="738" xr:uid="{00000000-0005-0000-0000-00009E020000}"/>
    <cellStyle name="¥ JY 2" xfId="739" xr:uid="{00000000-0005-0000-0000-00009F020000}"/>
    <cellStyle name="=C:\WINNT35\SYSTEM32\COMMAND.COM" xfId="359" xr:uid="{00000000-0005-0000-0000-0000A0020000}"/>
    <cellStyle name="=C:\WINNT35\SYSTEM32\COMMAND.COM 2" xfId="740" xr:uid="{00000000-0005-0000-0000-0000A1020000}"/>
    <cellStyle name="=C:\WINNT35\SYSTEM32\COMMAND.COM 3" xfId="1870" xr:uid="{00000000-0005-0000-0000-0000A2020000}"/>
    <cellStyle name="=C:\WINNT40\SYSTEM32\COMMAND.COM" xfId="360" xr:uid="{00000000-0005-0000-0000-0000A3020000}"/>
    <cellStyle name="=C:\WINNT40\SYSTEM32\COMMAND.COM 2" xfId="1871" xr:uid="{00000000-0005-0000-0000-0000A4020000}"/>
    <cellStyle name="•W€_GE 3 MINIMUM" xfId="741" xr:uid="{00000000-0005-0000-0000-0000A5020000}"/>
    <cellStyle name="•W_GE 3 MINIMUM" xfId="742" xr:uid="{00000000-0005-0000-0000-0000A6020000}"/>
    <cellStyle name="0" xfId="743" xr:uid="{00000000-0005-0000-0000-0000A7020000}"/>
    <cellStyle name="0%" xfId="744" xr:uid="{00000000-0005-0000-0000-0000A8020000}"/>
    <cellStyle name="0% 2" xfId="745" xr:uid="{00000000-0005-0000-0000-0000A9020000}"/>
    <cellStyle name="0% 3" xfId="746" xr:uid="{00000000-0005-0000-0000-0000AA020000}"/>
    <cellStyle name="0% 4" xfId="747" xr:uid="{00000000-0005-0000-0000-0000AB020000}"/>
    <cellStyle name="0.0" xfId="748" xr:uid="{00000000-0005-0000-0000-0000AC020000}"/>
    <cellStyle name="0.0%" xfId="749" xr:uid="{00000000-0005-0000-0000-0000AD020000}"/>
    <cellStyle name="0.00" xfId="750" xr:uid="{00000000-0005-0000-0000-0000AE020000}"/>
    <cellStyle name="0.00%" xfId="751" xr:uid="{00000000-0005-0000-0000-0000AF020000}"/>
    <cellStyle name="0.0x" xfId="752" xr:uid="{00000000-0005-0000-0000-0000B0020000}"/>
    <cellStyle name="0_Bullet model 122" xfId="753" xr:uid="{00000000-0005-0000-0000-0000B1020000}"/>
    <cellStyle name="0_FSG Standard LBO model 050404" xfId="754" xr:uid="{00000000-0005-0000-0000-0000B2020000}"/>
    <cellStyle name="0_Grandvision_LBO2" xfId="755" xr:uid="{00000000-0005-0000-0000-0000B3020000}"/>
    <cellStyle name="0_Proforma Model 100701 v.5" xfId="756" xr:uid="{00000000-0005-0000-0000-0000B4020000}"/>
    <cellStyle name="01. Page Heading" xfId="2870" xr:uid="{67EB068C-6385-4BBB-8B55-F04351423FB1}"/>
    <cellStyle name="02. (in millions)" xfId="2871" xr:uid="{D72B40FD-0B53-40C1-ADAD-D7BC512B79EA}"/>
    <cellStyle name="03. Message Text" xfId="2872" xr:uid="{CE454EB9-E43E-462F-8ECB-887320B1218A}"/>
    <cellStyle name="04. Heading 1" xfId="2873" xr:uid="{7DEF6D87-18A3-48EC-9B77-6CF9BA46B7AA}"/>
    <cellStyle name="05. Heading 2" xfId="2874" xr:uid="{B5BCF614-E030-4350-A04B-53A9BA605B2B}"/>
    <cellStyle name="06. Heading 3" xfId="2875" xr:uid="{1D601D1C-5B51-482B-B2C4-2F7F862EAD4A}"/>
    <cellStyle name="07. Laz Normal / Content Row" xfId="2876" xr:uid="{F69A2CC9-3E12-4CDD-AB84-17C2A1C6981C}"/>
    <cellStyle name="08a. Last Row" xfId="2877" xr:uid="{6FB8613A-9A1F-4AE9-BF08-EFCFED9DBD22}"/>
    <cellStyle name="08b. Total" xfId="2878" xr:uid="{E490315F-6887-4409-A7B4-DEA973E0381B}"/>
    <cellStyle name="09. Footnote" xfId="2879" xr:uid="{61A6EFCC-FB4F-443B-943E-1A8A5EEB911E}"/>
    <cellStyle name="10. Table Column" xfId="2858" xr:uid="{F116C930-BCB4-495A-AE4B-8BBC988EF6EB}"/>
    <cellStyle name="1000-sep (2 dec)_Backbone Cost Talkline Internet, Festnetz and Combined" xfId="757" xr:uid="{00000000-0005-0000-0000-0000B5020000}"/>
    <cellStyle name="11. LtBlueFill" xfId="2859" xr:uid="{10E56A5D-7D2A-4746-8D24-892C66A65A5E}"/>
    <cellStyle name="12. LtGrayFill" xfId="2860" xr:uid="{D53262BB-4582-44DA-A087-CE9CA1538CD4}"/>
    <cellStyle name="13. Marker" xfId="2861" xr:uid="{4EAB5388-C345-4C6C-AC69-1FBA4D9A717C}"/>
    <cellStyle name="13a. Marker Title" xfId="2862" xr:uid="{79333F32-62D9-4158-AC85-B7D58A5D99DE}"/>
    <cellStyle name="14. Sub Marker" xfId="2863" xr:uid="{FD9D1ED7-6CC2-4865-B81D-70147C6EEA50}"/>
    <cellStyle name="14a. Sub-Marker Title" xfId="2864" xr:uid="{18A9046A-0784-46F7-BFD4-941956B81160}"/>
    <cellStyle name="15.  M I N I   S P A C E R" xfId="2865" xr:uid="{11ECDBC7-DE98-4B62-8A41-3372479CBFD2}"/>
    <cellStyle name="16. Comments" xfId="2866" xr:uid="{DB64EC9F-E9DA-46DD-89C4-0A7889266AF3}"/>
    <cellStyle name="17. Draft Notes" xfId="2867" xr:uid="{38B6F1B0-7AF1-4D9F-AFC3-4BC0810A152F}"/>
    <cellStyle name="18. Integer" xfId="2868" xr:uid="{3371A7B5-6C4C-4527-8E8E-D1862D823C50}"/>
    <cellStyle name="19. Percent" xfId="2869" xr:uid="{AE2774D7-72E1-4AC2-A899-B2E27FC790AA}"/>
    <cellStyle name="20% - Accent1" xfId="361" builtinId="30" customBuiltin="1"/>
    <cellStyle name="20% - Accent1 2" xfId="362" xr:uid="{00000000-0005-0000-0000-0000B7020000}"/>
    <cellStyle name="20% - Accent1 2 2" xfId="758" xr:uid="{00000000-0005-0000-0000-0000B8020000}"/>
    <cellStyle name="20% - Accent1 2 2 2" xfId="1921" xr:uid="{00000000-0005-0000-0000-0000B9020000}"/>
    <cellStyle name="20% - Accent1 2 3" xfId="1920" xr:uid="{00000000-0005-0000-0000-0000BA020000}"/>
    <cellStyle name="20% - Accent1 3" xfId="759" xr:uid="{00000000-0005-0000-0000-0000BB020000}"/>
    <cellStyle name="20% - Accent1 3 2" xfId="1922" xr:uid="{00000000-0005-0000-0000-0000BC020000}"/>
    <cellStyle name="20% - Accent1 4" xfId="1923" xr:uid="{00000000-0005-0000-0000-0000BD020000}"/>
    <cellStyle name="20% - Accent1 5" xfId="1924" xr:uid="{00000000-0005-0000-0000-0000BE020000}"/>
    <cellStyle name="20% - Accent1 6" xfId="1925" xr:uid="{00000000-0005-0000-0000-0000BF020000}"/>
    <cellStyle name="20% - Accent1 7" xfId="1926" xr:uid="{00000000-0005-0000-0000-0000C0020000}"/>
    <cellStyle name="20% - Accent1 8" xfId="1927" xr:uid="{00000000-0005-0000-0000-0000C1020000}"/>
    <cellStyle name="20% - Accent2" xfId="363" builtinId="34" customBuiltin="1"/>
    <cellStyle name="20% - Accent2 2" xfId="364" xr:uid="{00000000-0005-0000-0000-0000C3020000}"/>
    <cellStyle name="20% - Accent2 2 2" xfId="760" xr:uid="{00000000-0005-0000-0000-0000C4020000}"/>
    <cellStyle name="20% - Accent2 2 2 2" xfId="1928" xr:uid="{00000000-0005-0000-0000-0000C5020000}"/>
    <cellStyle name="20% - Accent2 3" xfId="761" xr:uid="{00000000-0005-0000-0000-0000C6020000}"/>
    <cellStyle name="20% - Accent2 4" xfId="1929" xr:uid="{00000000-0005-0000-0000-0000C7020000}"/>
    <cellStyle name="20% - Accent2 5" xfId="1930" xr:uid="{00000000-0005-0000-0000-0000C8020000}"/>
    <cellStyle name="20% - Accent2 6" xfId="1931" xr:uid="{00000000-0005-0000-0000-0000C9020000}"/>
    <cellStyle name="20% - Accent3" xfId="365" builtinId="38" customBuiltin="1"/>
    <cellStyle name="20% - Accent3 2" xfId="366" xr:uid="{00000000-0005-0000-0000-0000CB020000}"/>
    <cellStyle name="20% - Accent3 2 2" xfId="762" xr:uid="{00000000-0005-0000-0000-0000CC020000}"/>
    <cellStyle name="20% - Accent3 2 2 2" xfId="1933" xr:uid="{00000000-0005-0000-0000-0000CD020000}"/>
    <cellStyle name="20% - Accent3 2 3" xfId="1932" xr:uid="{00000000-0005-0000-0000-0000CE020000}"/>
    <cellStyle name="20% - Accent3 3" xfId="763" xr:uid="{00000000-0005-0000-0000-0000CF020000}"/>
    <cellStyle name="20% - Accent3 3 2" xfId="1934" xr:uid="{00000000-0005-0000-0000-0000D0020000}"/>
    <cellStyle name="20% - Accent3 4" xfId="1935" xr:uid="{00000000-0005-0000-0000-0000D1020000}"/>
    <cellStyle name="20% - Accent3 5" xfId="1936" xr:uid="{00000000-0005-0000-0000-0000D2020000}"/>
    <cellStyle name="20% - Accent3 6" xfId="1937" xr:uid="{00000000-0005-0000-0000-0000D3020000}"/>
    <cellStyle name="20% - Accent3 7" xfId="1938" xr:uid="{00000000-0005-0000-0000-0000D4020000}"/>
    <cellStyle name="20% - Accent3 8" xfId="1939" xr:uid="{00000000-0005-0000-0000-0000D5020000}"/>
    <cellStyle name="20% - Accent4" xfId="367" builtinId="42" customBuiltin="1"/>
    <cellStyle name="20% - Accent4 2" xfId="368" xr:uid="{00000000-0005-0000-0000-0000D7020000}"/>
    <cellStyle name="20% - Accent4 2 2" xfId="764" xr:uid="{00000000-0005-0000-0000-0000D8020000}"/>
    <cellStyle name="20% - Accent4 2 2 2" xfId="1941" xr:uid="{00000000-0005-0000-0000-0000D9020000}"/>
    <cellStyle name="20% - Accent4 2 3" xfId="1940" xr:uid="{00000000-0005-0000-0000-0000DA020000}"/>
    <cellStyle name="20% - Accent4 3" xfId="765" xr:uid="{00000000-0005-0000-0000-0000DB020000}"/>
    <cellStyle name="20% - Accent4 3 2" xfId="1942" xr:uid="{00000000-0005-0000-0000-0000DC020000}"/>
    <cellStyle name="20% - Accent4 4" xfId="1943" xr:uid="{00000000-0005-0000-0000-0000DD020000}"/>
    <cellStyle name="20% - Accent4 5" xfId="1944" xr:uid="{00000000-0005-0000-0000-0000DE020000}"/>
    <cellStyle name="20% - Accent4 6" xfId="1945" xr:uid="{00000000-0005-0000-0000-0000DF020000}"/>
    <cellStyle name="20% - Accent4 7" xfId="1946" xr:uid="{00000000-0005-0000-0000-0000E0020000}"/>
    <cellStyle name="20% - Accent4 8" xfId="1947" xr:uid="{00000000-0005-0000-0000-0000E1020000}"/>
    <cellStyle name="20% - Accent5" xfId="369" builtinId="46" customBuiltin="1"/>
    <cellStyle name="20% - Accent5 2" xfId="370" xr:uid="{00000000-0005-0000-0000-0000E3020000}"/>
    <cellStyle name="20% - Accent5 2 2" xfId="766" xr:uid="{00000000-0005-0000-0000-0000E4020000}"/>
    <cellStyle name="20% - Accent5 2 2 2" xfId="1948" xr:uid="{00000000-0005-0000-0000-0000E5020000}"/>
    <cellStyle name="20% - Accent5 3" xfId="767" xr:uid="{00000000-0005-0000-0000-0000E6020000}"/>
    <cellStyle name="20% - Accent5 4" xfId="1949" xr:uid="{00000000-0005-0000-0000-0000E7020000}"/>
    <cellStyle name="20% - Accent5 5" xfId="1950" xr:uid="{00000000-0005-0000-0000-0000E8020000}"/>
    <cellStyle name="20% - Accent5 6" xfId="1951" xr:uid="{00000000-0005-0000-0000-0000E9020000}"/>
    <cellStyle name="20% - Accent6" xfId="371" builtinId="50" customBuiltin="1"/>
    <cellStyle name="20% - Accent6 2" xfId="372" xr:uid="{00000000-0005-0000-0000-0000EB020000}"/>
    <cellStyle name="20% - Accent6 2 2" xfId="768" xr:uid="{00000000-0005-0000-0000-0000EC020000}"/>
    <cellStyle name="20% - Accent6 2 2 2" xfId="1952" xr:uid="{00000000-0005-0000-0000-0000ED020000}"/>
    <cellStyle name="20% - Accent6 3" xfId="769" xr:uid="{00000000-0005-0000-0000-0000EE020000}"/>
    <cellStyle name="20% - Accent6 4" xfId="1953" xr:uid="{00000000-0005-0000-0000-0000EF020000}"/>
    <cellStyle name="20% - Accent6 5" xfId="1954" xr:uid="{00000000-0005-0000-0000-0000F0020000}"/>
    <cellStyle name="20% - Accent6 6" xfId="1955" xr:uid="{00000000-0005-0000-0000-0000F1020000}"/>
    <cellStyle name="40% - Accent1" xfId="373" builtinId="31" customBuiltin="1"/>
    <cellStyle name="40% - Accent1 2" xfId="374" xr:uid="{00000000-0005-0000-0000-0000F3020000}"/>
    <cellStyle name="40% - Accent1 2 2" xfId="770" xr:uid="{00000000-0005-0000-0000-0000F4020000}"/>
    <cellStyle name="40% - Accent1 2 2 2" xfId="1957" xr:uid="{00000000-0005-0000-0000-0000F5020000}"/>
    <cellStyle name="40% - Accent1 2 3" xfId="1956" xr:uid="{00000000-0005-0000-0000-0000F6020000}"/>
    <cellStyle name="40% - Accent1 3" xfId="771" xr:uid="{00000000-0005-0000-0000-0000F7020000}"/>
    <cellStyle name="40% - Accent1 3 2" xfId="1958" xr:uid="{00000000-0005-0000-0000-0000F8020000}"/>
    <cellStyle name="40% - Accent1 4" xfId="1959" xr:uid="{00000000-0005-0000-0000-0000F9020000}"/>
    <cellStyle name="40% - Accent1 5" xfId="1960" xr:uid="{00000000-0005-0000-0000-0000FA020000}"/>
    <cellStyle name="40% - Accent1 6" xfId="1961" xr:uid="{00000000-0005-0000-0000-0000FB020000}"/>
    <cellStyle name="40% - Accent1 7" xfId="1962" xr:uid="{00000000-0005-0000-0000-0000FC020000}"/>
    <cellStyle name="40% - Accent1 8" xfId="1963" xr:uid="{00000000-0005-0000-0000-0000FD020000}"/>
    <cellStyle name="40% - Accent2" xfId="375" builtinId="35" customBuiltin="1"/>
    <cellStyle name="40% - Accent2 2" xfId="376" xr:uid="{00000000-0005-0000-0000-0000FF020000}"/>
    <cellStyle name="40% - Accent2 2 2" xfId="772" xr:uid="{00000000-0005-0000-0000-000000030000}"/>
    <cellStyle name="40% - Accent2 2 2 2" xfId="1964" xr:uid="{00000000-0005-0000-0000-000001030000}"/>
    <cellStyle name="40% - Accent2 3" xfId="773" xr:uid="{00000000-0005-0000-0000-000002030000}"/>
    <cellStyle name="40% - Accent2 4" xfId="1965" xr:uid="{00000000-0005-0000-0000-000003030000}"/>
    <cellStyle name="40% - Accent2 5" xfId="1966" xr:uid="{00000000-0005-0000-0000-000004030000}"/>
    <cellStyle name="40% - Accent2 6" xfId="1967" xr:uid="{00000000-0005-0000-0000-000005030000}"/>
    <cellStyle name="40% - Accent3" xfId="377" builtinId="39" customBuiltin="1"/>
    <cellStyle name="40% - Accent3 2" xfId="378" xr:uid="{00000000-0005-0000-0000-000007030000}"/>
    <cellStyle name="40% - Accent3 2 2" xfId="774" xr:uid="{00000000-0005-0000-0000-000008030000}"/>
    <cellStyle name="40% - Accent3 2 2 2" xfId="1969" xr:uid="{00000000-0005-0000-0000-000009030000}"/>
    <cellStyle name="40% - Accent3 2 3" xfId="1968" xr:uid="{00000000-0005-0000-0000-00000A030000}"/>
    <cellStyle name="40% - Accent3 3" xfId="775" xr:uid="{00000000-0005-0000-0000-00000B030000}"/>
    <cellStyle name="40% - Accent3 3 2" xfId="1970" xr:uid="{00000000-0005-0000-0000-00000C030000}"/>
    <cellStyle name="40% - Accent3 4" xfId="1971" xr:uid="{00000000-0005-0000-0000-00000D030000}"/>
    <cellStyle name="40% - Accent3 5" xfId="1972" xr:uid="{00000000-0005-0000-0000-00000E030000}"/>
    <cellStyle name="40% - Accent3 6" xfId="1973" xr:uid="{00000000-0005-0000-0000-00000F030000}"/>
    <cellStyle name="40% - Accent3 7" xfId="1974" xr:uid="{00000000-0005-0000-0000-000010030000}"/>
    <cellStyle name="40% - Accent3 8" xfId="1975" xr:uid="{00000000-0005-0000-0000-000011030000}"/>
    <cellStyle name="40% - Accent4" xfId="379" builtinId="43" customBuiltin="1"/>
    <cellStyle name="40% - Accent4 2" xfId="380" xr:uid="{00000000-0005-0000-0000-000013030000}"/>
    <cellStyle name="40% - Accent4 2 2" xfId="776" xr:uid="{00000000-0005-0000-0000-000014030000}"/>
    <cellStyle name="40% - Accent4 2 2 2" xfId="1977" xr:uid="{00000000-0005-0000-0000-000015030000}"/>
    <cellStyle name="40% - Accent4 2 3" xfId="1976" xr:uid="{00000000-0005-0000-0000-000016030000}"/>
    <cellStyle name="40% - Accent4 3" xfId="777" xr:uid="{00000000-0005-0000-0000-000017030000}"/>
    <cellStyle name="40% - Accent4 3 2" xfId="1978" xr:uid="{00000000-0005-0000-0000-000018030000}"/>
    <cellStyle name="40% - Accent4 4" xfId="1979" xr:uid="{00000000-0005-0000-0000-000019030000}"/>
    <cellStyle name="40% - Accent4 5" xfId="1980" xr:uid="{00000000-0005-0000-0000-00001A030000}"/>
    <cellStyle name="40% - Accent4 6" xfId="1981" xr:uid="{00000000-0005-0000-0000-00001B030000}"/>
    <cellStyle name="40% - Accent4 7" xfId="1982" xr:uid="{00000000-0005-0000-0000-00001C030000}"/>
    <cellStyle name="40% - Accent4 8" xfId="1983" xr:uid="{00000000-0005-0000-0000-00001D030000}"/>
    <cellStyle name="40% - Accent5" xfId="381" builtinId="47" customBuiltin="1"/>
    <cellStyle name="40% - Accent5 2" xfId="382" xr:uid="{00000000-0005-0000-0000-00001F030000}"/>
    <cellStyle name="40% - Accent5 2 2" xfId="778" xr:uid="{00000000-0005-0000-0000-000020030000}"/>
    <cellStyle name="40% - Accent5 2 2 2" xfId="1984" xr:uid="{00000000-0005-0000-0000-000021030000}"/>
    <cellStyle name="40% - Accent5 3" xfId="779" xr:uid="{00000000-0005-0000-0000-000022030000}"/>
    <cellStyle name="40% - Accent5 4" xfId="1985" xr:uid="{00000000-0005-0000-0000-000023030000}"/>
    <cellStyle name="40% - Accent5 5" xfId="1986" xr:uid="{00000000-0005-0000-0000-000024030000}"/>
    <cellStyle name="40% - Accent5 6" xfId="1987" xr:uid="{00000000-0005-0000-0000-000025030000}"/>
    <cellStyle name="40% - Accent6" xfId="383" builtinId="51" customBuiltin="1"/>
    <cellStyle name="40% - Accent6 2" xfId="384" xr:uid="{00000000-0005-0000-0000-000027030000}"/>
    <cellStyle name="40% - Accent6 2 2" xfId="780" xr:uid="{00000000-0005-0000-0000-000028030000}"/>
    <cellStyle name="40% - Accent6 2 2 2" xfId="1989" xr:uid="{00000000-0005-0000-0000-000029030000}"/>
    <cellStyle name="40% - Accent6 2 3" xfId="1988" xr:uid="{00000000-0005-0000-0000-00002A030000}"/>
    <cellStyle name="40% - Accent6 3" xfId="781" xr:uid="{00000000-0005-0000-0000-00002B030000}"/>
    <cellStyle name="40% - Accent6 3 2" xfId="1990" xr:uid="{00000000-0005-0000-0000-00002C030000}"/>
    <cellStyle name="40% - Accent6 4" xfId="1991" xr:uid="{00000000-0005-0000-0000-00002D030000}"/>
    <cellStyle name="40% - Accent6 5" xfId="1992" xr:uid="{00000000-0005-0000-0000-00002E030000}"/>
    <cellStyle name="40% - Accent6 6" xfId="1993" xr:uid="{00000000-0005-0000-0000-00002F030000}"/>
    <cellStyle name="40% - Accent6 7" xfId="1994" xr:uid="{00000000-0005-0000-0000-000030030000}"/>
    <cellStyle name="40% - Accent6 8" xfId="1995" xr:uid="{00000000-0005-0000-0000-000031030000}"/>
    <cellStyle name="60% - Accent1" xfId="385" builtinId="32" customBuiltin="1"/>
    <cellStyle name="60% - Accent1 2" xfId="386" xr:uid="{00000000-0005-0000-0000-000033030000}"/>
    <cellStyle name="60% - Accent1 2 2" xfId="782" xr:uid="{00000000-0005-0000-0000-000034030000}"/>
    <cellStyle name="60% - Accent1 2 3" xfId="1996" xr:uid="{00000000-0005-0000-0000-000035030000}"/>
    <cellStyle name="60% - Accent1 3" xfId="783" xr:uid="{00000000-0005-0000-0000-000036030000}"/>
    <cellStyle name="60% - Accent1 3 2" xfId="1997" xr:uid="{00000000-0005-0000-0000-000037030000}"/>
    <cellStyle name="60% - Accent1 4" xfId="1998" xr:uid="{00000000-0005-0000-0000-000038030000}"/>
    <cellStyle name="60% - Accent1 5" xfId="1999" xr:uid="{00000000-0005-0000-0000-000039030000}"/>
    <cellStyle name="60% - Accent1 6" xfId="2000" xr:uid="{00000000-0005-0000-0000-00003A030000}"/>
    <cellStyle name="60% - Accent1 7" xfId="2001" xr:uid="{00000000-0005-0000-0000-00003B030000}"/>
    <cellStyle name="60% - Accent1 8" xfId="2002" xr:uid="{00000000-0005-0000-0000-00003C030000}"/>
    <cellStyle name="60% - Accent2" xfId="387" builtinId="36" customBuiltin="1"/>
    <cellStyle name="60% - Accent2 2" xfId="388" xr:uid="{00000000-0005-0000-0000-00003E030000}"/>
    <cellStyle name="60% - Accent2 2 2" xfId="784" xr:uid="{00000000-0005-0000-0000-00003F030000}"/>
    <cellStyle name="60% - Accent2 3" xfId="785" xr:uid="{00000000-0005-0000-0000-000040030000}"/>
    <cellStyle name="60% - Accent2 4" xfId="2003" xr:uid="{00000000-0005-0000-0000-000041030000}"/>
    <cellStyle name="60% - Accent2 5" xfId="2004" xr:uid="{00000000-0005-0000-0000-000042030000}"/>
    <cellStyle name="60% - Accent2 6" xfId="2005" xr:uid="{00000000-0005-0000-0000-000043030000}"/>
    <cellStyle name="60% - Accent3" xfId="389" builtinId="40" customBuiltin="1"/>
    <cellStyle name="60% - Accent3 2" xfId="390" xr:uid="{00000000-0005-0000-0000-000045030000}"/>
    <cellStyle name="60% - Accent3 2 2" xfId="786" xr:uid="{00000000-0005-0000-0000-000046030000}"/>
    <cellStyle name="60% - Accent3 2 3" xfId="2006" xr:uid="{00000000-0005-0000-0000-000047030000}"/>
    <cellStyle name="60% - Accent3 3" xfId="787" xr:uid="{00000000-0005-0000-0000-000048030000}"/>
    <cellStyle name="60% - Accent3 3 2" xfId="2007" xr:uid="{00000000-0005-0000-0000-000049030000}"/>
    <cellStyle name="60% - Accent3 4" xfId="2008" xr:uid="{00000000-0005-0000-0000-00004A030000}"/>
    <cellStyle name="60% - Accent3 5" xfId="2009" xr:uid="{00000000-0005-0000-0000-00004B030000}"/>
    <cellStyle name="60% - Accent3 6" xfId="2010" xr:uid="{00000000-0005-0000-0000-00004C030000}"/>
    <cellStyle name="60% - Accent3 7" xfId="2011" xr:uid="{00000000-0005-0000-0000-00004D030000}"/>
    <cellStyle name="60% - Accent3 8" xfId="2012" xr:uid="{00000000-0005-0000-0000-00004E030000}"/>
    <cellStyle name="60% - Accent4" xfId="391" builtinId="44" customBuiltin="1"/>
    <cellStyle name="60% - Accent4 2" xfId="392" xr:uid="{00000000-0005-0000-0000-000050030000}"/>
    <cellStyle name="60% - Accent4 2 2" xfId="788" xr:uid="{00000000-0005-0000-0000-000051030000}"/>
    <cellStyle name="60% - Accent4 2 3" xfId="2013" xr:uid="{00000000-0005-0000-0000-000052030000}"/>
    <cellStyle name="60% - Accent4 3" xfId="789" xr:uid="{00000000-0005-0000-0000-000053030000}"/>
    <cellStyle name="60% - Accent4 3 2" xfId="2014" xr:uid="{00000000-0005-0000-0000-000054030000}"/>
    <cellStyle name="60% - Accent4 4" xfId="2015" xr:uid="{00000000-0005-0000-0000-000055030000}"/>
    <cellStyle name="60% - Accent4 5" xfId="2016" xr:uid="{00000000-0005-0000-0000-000056030000}"/>
    <cellStyle name="60% - Accent4 6" xfId="2017" xr:uid="{00000000-0005-0000-0000-000057030000}"/>
    <cellStyle name="60% - Accent4 7" xfId="2018" xr:uid="{00000000-0005-0000-0000-000058030000}"/>
    <cellStyle name="60% - Accent4 8" xfId="2019" xr:uid="{00000000-0005-0000-0000-000059030000}"/>
    <cellStyle name="60% - Accent5" xfId="393" builtinId="48" customBuiltin="1"/>
    <cellStyle name="60% - Accent5 2" xfId="394" xr:uid="{00000000-0005-0000-0000-00005B030000}"/>
    <cellStyle name="60% - Accent5 2 2" xfId="790" xr:uid="{00000000-0005-0000-0000-00005C030000}"/>
    <cellStyle name="60% - Accent5 3" xfId="791" xr:uid="{00000000-0005-0000-0000-00005D030000}"/>
    <cellStyle name="60% - Accent5 4" xfId="2020" xr:uid="{00000000-0005-0000-0000-00005E030000}"/>
    <cellStyle name="60% - Accent5 5" xfId="2021" xr:uid="{00000000-0005-0000-0000-00005F030000}"/>
    <cellStyle name="60% - Accent5 6" xfId="2022" xr:uid="{00000000-0005-0000-0000-000060030000}"/>
    <cellStyle name="60% - Accent6" xfId="395" builtinId="52" customBuiltin="1"/>
    <cellStyle name="60% - Accent6 2" xfId="396" xr:uid="{00000000-0005-0000-0000-000062030000}"/>
    <cellStyle name="60% - Accent6 2 2" xfId="792" xr:uid="{00000000-0005-0000-0000-000063030000}"/>
    <cellStyle name="60% - Accent6 2 3" xfId="2023" xr:uid="{00000000-0005-0000-0000-000064030000}"/>
    <cellStyle name="60% - Accent6 3" xfId="793" xr:uid="{00000000-0005-0000-0000-000065030000}"/>
    <cellStyle name="60% - Accent6 3 2" xfId="2024" xr:uid="{00000000-0005-0000-0000-000066030000}"/>
    <cellStyle name="60% - Accent6 4" xfId="2025" xr:uid="{00000000-0005-0000-0000-000067030000}"/>
    <cellStyle name="60% - Accent6 5" xfId="2026" xr:uid="{00000000-0005-0000-0000-000068030000}"/>
    <cellStyle name="60% - Accent6 6" xfId="2027" xr:uid="{00000000-0005-0000-0000-000069030000}"/>
    <cellStyle name="60% - Accent6 7" xfId="2028" xr:uid="{00000000-0005-0000-0000-00006A030000}"/>
    <cellStyle name="60% - Accent6 8" xfId="2029" xr:uid="{00000000-0005-0000-0000-00006B030000}"/>
    <cellStyle name="752131" xfId="794" xr:uid="{00000000-0005-0000-0000-00006C030000}"/>
    <cellStyle name="A3 297 x 420 mm" xfId="397" xr:uid="{00000000-0005-0000-0000-00006D030000}"/>
    <cellStyle name="Accent1" xfId="398" builtinId="29" customBuiltin="1"/>
    <cellStyle name="Accent1 2" xfId="399" xr:uid="{00000000-0005-0000-0000-00006F030000}"/>
    <cellStyle name="Accent1 2 2" xfId="795" xr:uid="{00000000-0005-0000-0000-000070030000}"/>
    <cellStyle name="Accent1 2 3" xfId="2030" xr:uid="{00000000-0005-0000-0000-000071030000}"/>
    <cellStyle name="Accent1 3" xfId="796" xr:uid="{00000000-0005-0000-0000-000072030000}"/>
    <cellStyle name="Accent1 3 2" xfId="2031" xr:uid="{00000000-0005-0000-0000-000073030000}"/>
    <cellStyle name="Accent1 4" xfId="2032" xr:uid="{00000000-0005-0000-0000-000074030000}"/>
    <cellStyle name="Accent1 5" xfId="2033" xr:uid="{00000000-0005-0000-0000-000075030000}"/>
    <cellStyle name="Accent1 6" xfId="2034" xr:uid="{00000000-0005-0000-0000-000076030000}"/>
    <cellStyle name="Accent1 7" xfId="2035" xr:uid="{00000000-0005-0000-0000-000077030000}"/>
    <cellStyle name="Accent1 8" xfId="2036" xr:uid="{00000000-0005-0000-0000-000078030000}"/>
    <cellStyle name="Accent2" xfId="400" builtinId="33" customBuiltin="1"/>
    <cellStyle name="Accent2 2" xfId="401" xr:uid="{00000000-0005-0000-0000-00007A030000}"/>
    <cellStyle name="Accent2 2 2" xfId="797" xr:uid="{00000000-0005-0000-0000-00007B030000}"/>
    <cellStyle name="Accent2 3" xfId="798" xr:uid="{00000000-0005-0000-0000-00007C030000}"/>
    <cellStyle name="Accent2 4" xfId="2037" xr:uid="{00000000-0005-0000-0000-00007D030000}"/>
    <cellStyle name="Accent2 5" xfId="2038" xr:uid="{00000000-0005-0000-0000-00007E030000}"/>
    <cellStyle name="Accent2 6" xfId="2039" xr:uid="{00000000-0005-0000-0000-00007F030000}"/>
    <cellStyle name="Accent3" xfId="402" builtinId="37" customBuiltin="1"/>
    <cellStyle name="Accent3 2" xfId="403" xr:uid="{00000000-0005-0000-0000-000081030000}"/>
    <cellStyle name="Accent3 2 2" xfId="799" xr:uid="{00000000-0005-0000-0000-000082030000}"/>
    <cellStyle name="Accent3 3" xfId="800" xr:uid="{00000000-0005-0000-0000-000083030000}"/>
    <cellStyle name="Accent3 4" xfId="2040" xr:uid="{00000000-0005-0000-0000-000084030000}"/>
    <cellStyle name="Accent3 5" xfId="2041" xr:uid="{00000000-0005-0000-0000-000085030000}"/>
    <cellStyle name="Accent3 6" xfId="2042" xr:uid="{00000000-0005-0000-0000-000086030000}"/>
    <cellStyle name="Accent4" xfId="404" builtinId="41" customBuiltin="1"/>
    <cellStyle name="Accent4 2" xfId="405" xr:uid="{00000000-0005-0000-0000-000088030000}"/>
    <cellStyle name="Accent4 2 2" xfId="801" xr:uid="{00000000-0005-0000-0000-000089030000}"/>
    <cellStyle name="Accent4 2 3" xfId="2043" xr:uid="{00000000-0005-0000-0000-00008A030000}"/>
    <cellStyle name="Accent4 3" xfId="802" xr:uid="{00000000-0005-0000-0000-00008B030000}"/>
    <cellStyle name="Accent4 3 2" xfId="2044" xr:uid="{00000000-0005-0000-0000-00008C030000}"/>
    <cellStyle name="Accent4 4" xfId="2045" xr:uid="{00000000-0005-0000-0000-00008D030000}"/>
    <cellStyle name="Accent4 5" xfId="2046" xr:uid="{00000000-0005-0000-0000-00008E030000}"/>
    <cellStyle name="Accent4 6" xfId="2047" xr:uid="{00000000-0005-0000-0000-00008F030000}"/>
    <cellStyle name="Accent4 7" xfId="2048" xr:uid="{00000000-0005-0000-0000-000090030000}"/>
    <cellStyle name="Accent4 8" xfId="2049" xr:uid="{00000000-0005-0000-0000-000091030000}"/>
    <cellStyle name="Accent5" xfId="406" builtinId="45" customBuiltin="1"/>
    <cellStyle name="Accent5 2" xfId="407" xr:uid="{00000000-0005-0000-0000-000093030000}"/>
    <cellStyle name="Accent5 2 2" xfId="803" xr:uid="{00000000-0005-0000-0000-000094030000}"/>
    <cellStyle name="Accent5 3" xfId="804" xr:uid="{00000000-0005-0000-0000-000095030000}"/>
    <cellStyle name="Accent5 4" xfId="2050" xr:uid="{00000000-0005-0000-0000-000096030000}"/>
    <cellStyle name="Accent5 5" xfId="2051" xr:uid="{00000000-0005-0000-0000-000097030000}"/>
    <cellStyle name="Accent5 6" xfId="2052" xr:uid="{00000000-0005-0000-0000-000098030000}"/>
    <cellStyle name="Accent6" xfId="408" builtinId="49" customBuiltin="1"/>
    <cellStyle name="Accent6 2" xfId="409" xr:uid="{00000000-0005-0000-0000-00009A030000}"/>
    <cellStyle name="Accent6 2 2" xfId="805" xr:uid="{00000000-0005-0000-0000-00009B030000}"/>
    <cellStyle name="Accent6 3" xfId="806" xr:uid="{00000000-0005-0000-0000-00009C030000}"/>
    <cellStyle name="Accent6 4" xfId="2053" xr:uid="{00000000-0005-0000-0000-00009D030000}"/>
    <cellStyle name="Accent6 5" xfId="2054" xr:uid="{00000000-0005-0000-0000-00009E030000}"/>
    <cellStyle name="Accent6 6" xfId="2055" xr:uid="{00000000-0005-0000-0000-00009F030000}"/>
    <cellStyle name="accounting" xfId="807" xr:uid="{00000000-0005-0000-0000-0000A0030000}"/>
    <cellStyle name="Actual Date" xfId="410" xr:uid="{00000000-0005-0000-0000-0000A1030000}"/>
    <cellStyle name="Actual Date 2" xfId="1872" xr:uid="{00000000-0005-0000-0000-0000A2030000}"/>
    <cellStyle name="Adjustable" xfId="411" xr:uid="{00000000-0005-0000-0000-0000A3030000}"/>
    <cellStyle name="amount" xfId="808" xr:uid="{00000000-0005-0000-0000-0000A4030000}"/>
    <cellStyle name="Arial 10" xfId="809" xr:uid="{00000000-0005-0000-0000-0000A5030000}"/>
    <cellStyle name="Arial 12" xfId="810" xr:uid="{00000000-0005-0000-0000-0000A6030000}"/>
    <cellStyle name="Arial 12 2" xfId="811" xr:uid="{00000000-0005-0000-0000-0000A7030000}"/>
    <cellStyle name="Assumption" xfId="812" xr:uid="{00000000-0005-0000-0000-0000A8030000}"/>
    <cellStyle name="at" xfId="813" xr:uid="{00000000-0005-0000-0000-0000A9030000}"/>
    <cellStyle name="at 2" xfId="814" xr:uid="{00000000-0005-0000-0000-0000AA030000}"/>
    <cellStyle name="b" xfId="815" xr:uid="{00000000-0005-0000-0000-0000AB030000}"/>
    <cellStyle name="b 2" xfId="816" xr:uid="{00000000-0005-0000-0000-0000AC030000}"/>
    <cellStyle name="b%0" xfId="817" xr:uid="{00000000-0005-0000-0000-0000AD030000}"/>
    <cellStyle name="b%1" xfId="818" xr:uid="{00000000-0005-0000-0000-0000AE030000}"/>
    <cellStyle name="b%2" xfId="819" xr:uid="{00000000-0005-0000-0000-0000AF030000}"/>
    <cellStyle name="b0" xfId="820" xr:uid="{00000000-0005-0000-0000-0000B0030000}"/>
    <cellStyle name="b09" xfId="821" xr:uid="{00000000-0005-0000-0000-0000B1030000}"/>
    <cellStyle name="b1" xfId="822" xr:uid="{00000000-0005-0000-0000-0000B2030000}"/>
    <cellStyle name="b1 2" xfId="823" xr:uid="{00000000-0005-0000-0000-0000B3030000}"/>
    <cellStyle name="b1 3" xfId="824" xr:uid="{00000000-0005-0000-0000-0000B4030000}"/>
    <cellStyle name="b1 4" xfId="825" xr:uid="{00000000-0005-0000-0000-0000B5030000}"/>
    <cellStyle name="b2" xfId="826" xr:uid="{00000000-0005-0000-0000-0000B6030000}"/>
    <cellStyle name="b2 2" xfId="827" xr:uid="{00000000-0005-0000-0000-0000B7030000}"/>
    <cellStyle name="Background" xfId="828" xr:uid="{00000000-0005-0000-0000-0000B8030000}"/>
    <cellStyle name="Background 2" xfId="829" xr:uid="{00000000-0005-0000-0000-0000B9030000}"/>
    <cellStyle name="Background 3" xfId="830" xr:uid="{00000000-0005-0000-0000-0000BA030000}"/>
    <cellStyle name="Background 4" xfId="831" xr:uid="{00000000-0005-0000-0000-0000BB030000}"/>
    <cellStyle name="Bad" xfId="412" builtinId="27" customBuiltin="1"/>
    <cellStyle name="Bad 2" xfId="413" xr:uid="{00000000-0005-0000-0000-0000BD030000}"/>
    <cellStyle name="Bad 2 2" xfId="832" xr:uid="{00000000-0005-0000-0000-0000BE030000}"/>
    <cellStyle name="Bad 2 3" xfId="2056" xr:uid="{00000000-0005-0000-0000-0000BF030000}"/>
    <cellStyle name="Bad 3" xfId="2057" xr:uid="{00000000-0005-0000-0000-0000C0030000}"/>
    <cellStyle name="Bad 4" xfId="2058" xr:uid="{00000000-0005-0000-0000-0000C1030000}"/>
    <cellStyle name="Bad 5" xfId="2059" xr:uid="{00000000-0005-0000-0000-0000C2030000}"/>
    <cellStyle name="Bad 6" xfId="2060" xr:uid="{00000000-0005-0000-0000-0000C3030000}"/>
    <cellStyle name="Bad 7" xfId="2061" xr:uid="{00000000-0005-0000-0000-0000C4030000}"/>
    <cellStyle name="Bad 8" xfId="2062" xr:uid="{00000000-0005-0000-0000-0000C5030000}"/>
    <cellStyle name="Basic" xfId="414" xr:uid="{00000000-0005-0000-0000-0000C6030000}"/>
    <cellStyle name="Basic - Style1" xfId="415" xr:uid="{00000000-0005-0000-0000-0000C7030000}"/>
    <cellStyle name="Black" xfId="833" xr:uid="{00000000-0005-0000-0000-0000C8030000}"/>
    <cellStyle name="BlankedZeros" xfId="834" xr:uid="{00000000-0005-0000-0000-0000C9030000}"/>
    <cellStyle name="Block Titles" xfId="835" xr:uid="{00000000-0005-0000-0000-0000CA030000}"/>
    <cellStyle name="Blue" xfId="836" xr:uid="{00000000-0005-0000-0000-0000CB030000}"/>
    <cellStyle name="Blue 2" xfId="837" xr:uid="{00000000-0005-0000-0000-0000CC030000}"/>
    <cellStyle name="bo" xfId="838" xr:uid="{00000000-0005-0000-0000-0000CD030000}"/>
    <cellStyle name="bo 2" xfId="839" xr:uid="{00000000-0005-0000-0000-0000CE030000}"/>
    <cellStyle name="Body text" xfId="840" xr:uid="{00000000-0005-0000-0000-0000CF030000}"/>
    <cellStyle name="Body: normal cell" xfId="2900" xr:uid="{EC0D2422-F83E-48E1-BE09-9ACDE3301D48}"/>
    <cellStyle name="Bold/Border" xfId="841" xr:uid="{00000000-0005-0000-0000-0000D0030000}"/>
    <cellStyle name="Border Heavy" xfId="416" xr:uid="{00000000-0005-0000-0000-0000D1030000}"/>
    <cellStyle name="Border Thin" xfId="417" xr:uid="{00000000-0005-0000-0000-0000D2030000}"/>
    <cellStyle name="Bottom" xfId="842" xr:uid="{00000000-0005-0000-0000-0000D3030000}"/>
    <cellStyle name="bout" xfId="843" xr:uid="{00000000-0005-0000-0000-0000D4030000}"/>
    <cellStyle name="bout 2" xfId="844" xr:uid="{00000000-0005-0000-0000-0000D5030000}"/>
    <cellStyle name="BoxSubHeader" xfId="2823" xr:uid="{AE6057F9-6B5F-494F-B566-DAF140328CEB}"/>
    <cellStyle name="BPchg" xfId="845" xr:uid="{00000000-0005-0000-0000-0000D6030000}"/>
    <cellStyle name="BPChgB" xfId="846" xr:uid="{00000000-0005-0000-0000-0000D7030000}"/>
    <cellStyle name="BPchgStd" xfId="847" xr:uid="{00000000-0005-0000-0000-0000D8030000}"/>
    <cellStyle name="British Pound" xfId="848" xr:uid="{00000000-0005-0000-0000-0000D9030000}"/>
    <cellStyle name="bt" xfId="849" xr:uid="{00000000-0005-0000-0000-0000DA030000}"/>
    <cellStyle name="btit" xfId="850" xr:uid="{00000000-0005-0000-0000-0000DB030000}"/>
    <cellStyle name="btit 2" xfId="851" xr:uid="{00000000-0005-0000-0000-0000DC030000}"/>
    <cellStyle name="btit 3" xfId="852" xr:uid="{00000000-0005-0000-0000-0000DD030000}"/>
    <cellStyle name="btit 4" xfId="853" xr:uid="{00000000-0005-0000-0000-0000DE030000}"/>
    <cellStyle name="Bullet" xfId="854" xr:uid="{00000000-0005-0000-0000-0000DF030000}"/>
    <cellStyle name="Bullet 2" xfId="855" xr:uid="{00000000-0005-0000-0000-0000E0030000}"/>
    <cellStyle name="c" xfId="856" xr:uid="{00000000-0005-0000-0000-0000E1030000}"/>
    <cellStyle name="c_ad3" xfId="857" xr:uid="{00000000-0005-0000-0000-0000E2030000}"/>
    <cellStyle name="c_ad5" xfId="858" xr:uid="{00000000-0005-0000-0000-0000E3030000}"/>
    <cellStyle name="c_asko1" xfId="859" xr:uid="{00000000-0005-0000-0000-0000E4030000}"/>
    <cellStyle name="c_btr_2" xfId="860" xr:uid="{00000000-0005-0000-0000-0000E5030000}"/>
    <cellStyle name="c_btr_3" xfId="861" xr:uid="{00000000-0005-0000-0000-0000E6030000}"/>
    <cellStyle name="c_Cases (2)" xfId="862" xr:uid="{00000000-0005-0000-0000-0000E7030000}"/>
    <cellStyle name="c_dccmod1" xfId="863" xr:uid="{00000000-0005-0000-0000-0000E8030000}"/>
    <cellStyle name="c_Earnings (2)" xfId="864" xr:uid="{00000000-0005-0000-0000-0000E9030000}"/>
    <cellStyle name="c_Grouse+Pelican" xfId="865" xr:uid="{00000000-0005-0000-0000-0000EA030000}"/>
    <cellStyle name="c_LBO" xfId="866" xr:uid="{00000000-0005-0000-0000-0000EB030000}"/>
    <cellStyle name="c_lbo1" xfId="867" xr:uid="{00000000-0005-0000-0000-0000EC030000}"/>
    <cellStyle name="c_lbo3" xfId="868" xr:uid="{00000000-0005-0000-0000-0000ED030000}"/>
    <cellStyle name="c_LBO5" xfId="869" xr:uid="{00000000-0005-0000-0000-0000EE030000}"/>
    <cellStyle name="c_Macros" xfId="870" xr:uid="{00000000-0005-0000-0000-0000EF030000}"/>
    <cellStyle name="c_Macros (2)" xfId="871" xr:uid="{00000000-0005-0000-0000-0000F0030000}"/>
    <cellStyle name="c_Macros (2) 2" xfId="872" xr:uid="{00000000-0005-0000-0000-0000F1030000}"/>
    <cellStyle name="c_Macros 2" xfId="873" xr:uid="{00000000-0005-0000-0000-0000F2030000}"/>
    <cellStyle name="c_Macros 3" xfId="874" xr:uid="{00000000-0005-0000-0000-0000F3030000}"/>
    <cellStyle name="c_Macros 4" xfId="875" xr:uid="{00000000-0005-0000-0000-0000F4030000}"/>
    <cellStyle name="c_Macros 5" xfId="876" xr:uid="{00000000-0005-0000-0000-0000F5030000}"/>
    <cellStyle name="c_Manager (2)" xfId="877" xr:uid="{00000000-0005-0000-0000-0000F6030000}"/>
    <cellStyle name="c_Manager (2) 2" xfId="878" xr:uid="{00000000-0005-0000-0000-0000F7030000}"/>
    <cellStyle name="c_model1" xfId="879" xr:uid="{00000000-0005-0000-0000-0000F8030000}"/>
    <cellStyle name="c_model6" xfId="880" xr:uid="{00000000-0005-0000-0000-0000F9030000}"/>
    <cellStyle name="c_saft_1" xfId="881" xr:uid="{00000000-0005-0000-0000-0000FA030000}"/>
    <cellStyle name="c_WACC benchmarking" xfId="882" xr:uid="{00000000-0005-0000-0000-0000FB030000}"/>
    <cellStyle name="c_WACC benchmarking 2" xfId="883" xr:uid="{00000000-0005-0000-0000-0000FC030000}"/>
    <cellStyle name="c_WACC benchmarking_Advantage_Completed_20071127_new assumptions_newlibor" xfId="884" xr:uid="{00000000-0005-0000-0000-0000FD030000}"/>
    <cellStyle name="c_WACC benchmarking_Advantage_Completed_20071127_new assumptions_newlibor 2" xfId="885" xr:uid="{00000000-0005-0000-0000-0000FE030000}"/>
    <cellStyle name="c_WACC benchmarking_Advantage_Completed_20071127_new assumptions_newlibor 3" xfId="886" xr:uid="{00000000-0005-0000-0000-0000FF030000}"/>
    <cellStyle name="c_West Ham (2)" xfId="887" xr:uid="{00000000-0005-0000-0000-000000040000}"/>
    <cellStyle name="c_Westham (2)" xfId="888" xr:uid="{00000000-0005-0000-0000-000001040000}"/>
    <cellStyle name="c_Wool_01_07_12_1999" xfId="889" xr:uid="{00000000-0005-0000-0000-000002040000}"/>
    <cellStyle name="c_Wool_14_12_1999_2" xfId="890" xr:uid="{00000000-0005-0000-0000-000003040000}"/>
    <cellStyle name="c_Wool_15_02_2000" xfId="891" xr:uid="{00000000-0005-0000-0000-000004040000}"/>
    <cellStyle name="c_Wool_28_01_2000_02" xfId="892" xr:uid="{00000000-0005-0000-0000-000005040000}"/>
    <cellStyle name="c_WoolEuro_12_04_2000_02" xfId="893" xr:uid="{00000000-0005-0000-0000-000006040000}"/>
    <cellStyle name="c_WoolEuro_17_03_2000" xfId="894" xr:uid="{00000000-0005-0000-0000-000007040000}"/>
    <cellStyle name="c_WoolEuro_20_03_2000_3" xfId="895" xr:uid="{00000000-0005-0000-0000-000008040000}"/>
    <cellStyle name="c_WoolEuroEx_14_04_2000_01" xfId="896" xr:uid="{00000000-0005-0000-0000-000009040000}"/>
    <cellStyle name="c0" xfId="897" xr:uid="{00000000-0005-0000-0000-00000A040000}"/>
    <cellStyle name="c2" xfId="898" xr:uid="{00000000-0005-0000-0000-00000B040000}"/>
    <cellStyle name="cach" xfId="899" xr:uid="{00000000-0005-0000-0000-00000C040000}"/>
    <cellStyle name="cach 2" xfId="900" xr:uid="{00000000-0005-0000-0000-00000D040000}"/>
    <cellStyle name="cajun" xfId="418" xr:uid="{00000000-0005-0000-0000-00000E040000}"/>
    <cellStyle name="Calc# [0,000]" xfId="2952" xr:uid="{C6923CDC-028D-4720-8C65-180F30A0CD80}"/>
    <cellStyle name="Calculation" xfId="419" builtinId="22" customBuiltin="1"/>
    <cellStyle name="Calculation 2" xfId="420" xr:uid="{00000000-0005-0000-0000-000010040000}"/>
    <cellStyle name="Calculation 2 2" xfId="901" xr:uid="{00000000-0005-0000-0000-000011040000}"/>
    <cellStyle name="Calculation 3" xfId="2063" xr:uid="{00000000-0005-0000-0000-000012040000}"/>
    <cellStyle name="Calculation 4" xfId="2064" xr:uid="{00000000-0005-0000-0000-000013040000}"/>
    <cellStyle name="Calculation 5" xfId="2065" xr:uid="{00000000-0005-0000-0000-000014040000}"/>
    <cellStyle name="Calculation 6" xfId="2066" xr:uid="{00000000-0005-0000-0000-000015040000}"/>
    <cellStyle name="CatTitle" xfId="902" xr:uid="{00000000-0005-0000-0000-000016040000}"/>
    <cellStyle name="CatTotal" xfId="903" xr:uid="{00000000-0005-0000-0000-000017040000}"/>
    <cellStyle name="CatTotal 2" xfId="904" xr:uid="{00000000-0005-0000-0000-000018040000}"/>
    <cellStyle name="cd" xfId="421" xr:uid="{00000000-0005-0000-0000-000019040000}"/>
    <cellStyle name="Center Bold" xfId="2953" xr:uid="{3FF5F6AE-123A-497F-AED6-864A61CB86FF}"/>
    <cellStyle name="Change" xfId="905" xr:uid="{00000000-0005-0000-0000-00001A040000}"/>
    <cellStyle name="Changeable" xfId="906" xr:uid="{00000000-0005-0000-0000-00001B040000}"/>
    <cellStyle name="Check Cell" xfId="422" builtinId="23" customBuiltin="1"/>
    <cellStyle name="Check Cell 2" xfId="423" xr:uid="{00000000-0005-0000-0000-00001D040000}"/>
    <cellStyle name="Check Cell 2 2" xfId="907" xr:uid="{00000000-0005-0000-0000-00001E040000}"/>
    <cellStyle name="Check Cell 2 3" xfId="2067" xr:uid="{00000000-0005-0000-0000-00001F040000}"/>
    <cellStyle name="Check Cell 3" xfId="2068" xr:uid="{00000000-0005-0000-0000-000020040000}"/>
    <cellStyle name="Check Cell 4" xfId="2069" xr:uid="{00000000-0005-0000-0000-000021040000}"/>
    <cellStyle name="Check Cell 5" xfId="2070" xr:uid="{00000000-0005-0000-0000-000022040000}"/>
    <cellStyle name="Check Cell 6" xfId="2071" xr:uid="{00000000-0005-0000-0000-000023040000}"/>
    <cellStyle name="Check Cell 7" xfId="2072" xr:uid="{00000000-0005-0000-0000-000024040000}"/>
    <cellStyle name="Check Cell 8" xfId="2073" xr:uid="{00000000-0005-0000-0000-000025040000}"/>
    <cellStyle name="co" xfId="908" xr:uid="{00000000-0005-0000-0000-000026040000}"/>
    <cellStyle name="ColHide" xfId="909" xr:uid="{00000000-0005-0000-0000-000027040000}"/>
    <cellStyle name="ColShow" xfId="910" xr:uid="{00000000-0005-0000-0000-000028040000}"/>
    <cellStyle name="Column Heading" xfId="911" xr:uid="{00000000-0005-0000-0000-000029040000}"/>
    <cellStyle name="Comma" xfId="424" builtinId="3"/>
    <cellStyle name="Comma  - Style1" xfId="913" xr:uid="{00000000-0005-0000-0000-00002B040000}"/>
    <cellStyle name="Comma  - Style2" xfId="914" xr:uid="{00000000-0005-0000-0000-00002C040000}"/>
    <cellStyle name="Comma  - Style3" xfId="915" xr:uid="{00000000-0005-0000-0000-00002D040000}"/>
    <cellStyle name="Comma  - Style4" xfId="916" xr:uid="{00000000-0005-0000-0000-00002E040000}"/>
    <cellStyle name="Comma  - Style5" xfId="917" xr:uid="{00000000-0005-0000-0000-00002F040000}"/>
    <cellStyle name="Comma  - Style6" xfId="918" xr:uid="{00000000-0005-0000-0000-000030040000}"/>
    <cellStyle name="Comma  - Style7" xfId="919" xr:uid="{00000000-0005-0000-0000-000031040000}"/>
    <cellStyle name="Comma  - Style8" xfId="920" xr:uid="{00000000-0005-0000-0000-000032040000}"/>
    <cellStyle name="Comma [0] 2" xfId="2568" xr:uid="{00000000-0005-0000-0000-000033040000}"/>
    <cellStyle name="Comma [0] 2 2" xfId="2828" xr:uid="{3EB44241-4C1B-4231-B244-D153315323EB}"/>
    <cellStyle name="Comma [0] 2 3" xfId="2938" xr:uid="{304B841C-DC65-4D93-A081-755455952231}"/>
    <cellStyle name="Comma [1]" xfId="425" xr:uid="{00000000-0005-0000-0000-000034040000}"/>
    <cellStyle name="Comma [1] 2" xfId="921" xr:uid="{00000000-0005-0000-0000-000035040000}"/>
    <cellStyle name="Comma [2]" xfId="426" xr:uid="{00000000-0005-0000-0000-000036040000}"/>
    <cellStyle name="Comma [2] 2" xfId="922" xr:uid="{00000000-0005-0000-0000-000037040000}"/>
    <cellStyle name="Comma [3]" xfId="427" xr:uid="{00000000-0005-0000-0000-000038040000}"/>
    <cellStyle name="Comma 0" xfId="428" xr:uid="{00000000-0005-0000-0000-000039040000}"/>
    <cellStyle name="Comma 0*" xfId="429" xr:uid="{00000000-0005-0000-0000-00003A040000}"/>
    <cellStyle name="Comma 10" xfId="639" xr:uid="{00000000-0005-0000-0000-00003B040000}"/>
    <cellStyle name="Comma 10 2" xfId="923" xr:uid="{00000000-0005-0000-0000-00003C040000}"/>
    <cellStyle name="Comma 11" xfId="642" xr:uid="{00000000-0005-0000-0000-00003D040000}"/>
    <cellStyle name="Comma 11 2" xfId="1634" xr:uid="{00000000-0005-0000-0000-00003E040000}"/>
    <cellStyle name="Comma 11 3" xfId="912" xr:uid="{00000000-0005-0000-0000-00003F040000}"/>
    <cellStyle name="Comma 11 4" xfId="2075" xr:uid="{00000000-0005-0000-0000-000040040000}"/>
    <cellStyle name="Comma 12" xfId="638" xr:uid="{00000000-0005-0000-0000-000041040000}"/>
    <cellStyle name="Comma 12 2" xfId="2076" xr:uid="{00000000-0005-0000-0000-000042040000}"/>
    <cellStyle name="Comma 12 3" xfId="2734" xr:uid="{00000000-0005-0000-0000-000043040000}"/>
    <cellStyle name="Comma 13" xfId="1912" xr:uid="{00000000-0005-0000-0000-000044040000}"/>
    <cellStyle name="Comma 13 2" xfId="2077" xr:uid="{00000000-0005-0000-0000-000045040000}"/>
    <cellStyle name="Comma 14" xfId="1913" xr:uid="{00000000-0005-0000-0000-000046040000}"/>
    <cellStyle name="Comma 14 2" xfId="2078" xr:uid="{00000000-0005-0000-0000-000047040000}"/>
    <cellStyle name="Comma 14 3" xfId="2569" xr:uid="{00000000-0005-0000-0000-000048040000}"/>
    <cellStyle name="Comma 15" xfId="1914" xr:uid="{00000000-0005-0000-0000-000049040000}"/>
    <cellStyle name="Comma 15 2" xfId="2079" xr:uid="{00000000-0005-0000-0000-00004A040000}"/>
    <cellStyle name="Comma 15 3" xfId="2570" xr:uid="{00000000-0005-0000-0000-00004B040000}"/>
    <cellStyle name="Comma 16" xfId="1915" xr:uid="{00000000-0005-0000-0000-00004C040000}"/>
    <cellStyle name="Comma 16 2" xfId="2080" xr:uid="{00000000-0005-0000-0000-00004D040000}"/>
    <cellStyle name="Comma 17" xfId="2081" xr:uid="{00000000-0005-0000-0000-00004E040000}"/>
    <cellStyle name="Comma 17 2" xfId="2082" xr:uid="{00000000-0005-0000-0000-00004F040000}"/>
    <cellStyle name="Comma 17 2 2" xfId="2083" xr:uid="{00000000-0005-0000-0000-000050040000}"/>
    <cellStyle name="Comma 17 2 2 2" xfId="2084" xr:uid="{00000000-0005-0000-0000-000051040000}"/>
    <cellStyle name="Comma 17 2 3" xfId="2085" xr:uid="{00000000-0005-0000-0000-000052040000}"/>
    <cellStyle name="Comma 17 3" xfId="2086" xr:uid="{00000000-0005-0000-0000-000053040000}"/>
    <cellStyle name="Comma 17 3 2" xfId="2087" xr:uid="{00000000-0005-0000-0000-000054040000}"/>
    <cellStyle name="Comma 17 3 2 2" xfId="2088" xr:uid="{00000000-0005-0000-0000-000055040000}"/>
    <cellStyle name="Comma 17 3 3" xfId="2089" xr:uid="{00000000-0005-0000-0000-000056040000}"/>
    <cellStyle name="Comma 17 4" xfId="2090" xr:uid="{00000000-0005-0000-0000-000057040000}"/>
    <cellStyle name="Comma 17 4 2" xfId="2091" xr:uid="{00000000-0005-0000-0000-000058040000}"/>
    <cellStyle name="Comma 17 5" xfId="2092" xr:uid="{00000000-0005-0000-0000-000059040000}"/>
    <cellStyle name="Comma 17 6" xfId="2571" xr:uid="{00000000-0005-0000-0000-00005A040000}"/>
    <cellStyle name="Comma 18" xfId="2093" xr:uid="{00000000-0005-0000-0000-00005B040000}"/>
    <cellStyle name="Comma 19" xfId="2094" xr:uid="{00000000-0005-0000-0000-00005C040000}"/>
    <cellStyle name="Comma 2" xfId="430" xr:uid="{00000000-0005-0000-0000-00005D040000}"/>
    <cellStyle name="Comma 2 2" xfId="628" xr:uid="{00000000-0005-0000-0000-00005E040000}"/>
    <cellStyle name="Comma 2 2 2" xfId="925" xr:uid="{00000000-0005-0000-0000-00005F040000}"/>
    <cellStyle name="Comma 2 2 2 2" xfId="2847" xr:uid="{D81628D1-3F95-472F-8CC3-49176DDC5BB9}"/>
    <cellStyle name="Comma 2 2 2 3" xfId="2827" xr:uid="{561696D6-2479-4E06-A03C-F24E837541F0}"/>
    <cellStyle name="Comma 2 2 3" xfId="2096" xr:uid="{00000000-0005-0000-0000-000060040000}"/>
    <cellStyle name="Comma 2 2 4" xfId="2095" xr:uid="{00000000-0005-0000-0000-000061040000}"/>
    <cellStyle name="Comma 2 2 5" xfId="2886" xr:uid="{56517431-3397-4CC0-B6A2-7CA631ADE6B0}"/>
    <cellStyle name="Comma 2 2 6" xfId="2934" xr:uid="{AB7C0677-4397-4150-912C-4F7FD955F9A5}"/>
    <cellStyle name="Comma 2 3" xfId="924" xr:uid="{00000000-0005-0000-0000-000062040000}"/>
    <cellStyle name="Comma 2 3 2" xfId="2674" xr:uid="{00000000-0005-0000-0000-000063040000}"/>
    <cellStyle name="Comma 2 3 3" xfId="2673" xr:uid="{00000000-0005-0000-0000-000064040000}"/>
    <cellStyle name="Comma 2 3 4" xfId="2957" xr:uid="{E1A5405F-A7AA-4C98-9DBA-6112D8501C7A}"/>
    <cellStyle name="Comma 2 4" xfId="2097" xr:uid="{00000000-0005-0000-0000-000065040000}"/>
    <cellStyle name="Comma 2 4 2" xfId="2675" xr:uid="{00000000-0005-0000-0000-000066040000}"/>
    <cellStyle name="Comma 2 5" xfId="2098" xr:uid="{00000000-0005-0000-0000-000067040000}"/>
    <cellStyle name="Comma 2 6" xfId="2834" xr:uid="{66B84918-EA8D-419B-92ED-CC3FFC3B86FE}"/>
    <cellStyle name="Comma 2 7" xfId="2929" xr:uid="{602D83ED-B925-4292-83C1-8512B75ABE0F}"/>
    <cellStyle name="Comma 2_Allocators" xfId="2099" xr:uid="{00000000-0005-0000-0000-000068040000}"/>
    <cellStyle name="Comma 20" xfId="2100" xr:uid="{00000000-0005-0000-0000-000069040000}"/>
    <cellStyle name="Comma 20 2" xfId="2101" xr:uid="{00000000-0005-0000-0000-00006A040000}"/>
    <cellStyle name="Comma 20 2 2" xfId="2102" xr:uid="{00000000-0005-0000-0000-00006B040000}"/>
    <cellStyle name="Comma 20 2 2 2" xfId="2103" xr:uid="{00000000-0005-0000-0000-00006C040000}"/>
    <cellStyle name="Comma 20 2 3" xfId="2104" xr:uid="{00000000-0005-0000-0000-00006D040000}"/>
    <cellStyle name="Comma 20 3" xfId="2105" xr:uid="{00000000-0005-0000-0000-00006E040000}"/>
    <cellStyle name="Comma 20 3 2" xfId="2106" xr:uid="{00000000-0005-0000-0000-00006F040000}"/>
    <cellStyle name="Comma 20 3 2 2" xfId="2107" xr:uid="{00000000-0005-0000-0000-000070040000}"/>
    <cellStyle name="Comma 20 3 3" xfId="2108" xr:uid="{00000000-0005-0000-0000-000071040000}"/>
    <cellStyle name="Comma 20 4" xfId="2109" xr:uid="{00000000-0005-0000-0000-000072040000}"/>
    <cellStyle name="Comma 20 4 2" xfId="2110" xr:uid="{00000000-0005-0000-0000-000073040000}"/>
    <cellStyle name="Comma 20 5" xfId="2111" xr:uid="{00000000-0005-0000-0000-000074040000}"/>
    <cellStyle name="Comma 20 6" xfId="2573" xr:uid="{00000000-0005-0000-0000-000075040000}"/>
    <cellStyle name="Comma 21" xfId="2112" xr:uid="{00000000-0005-0000-0000-000076040000}"/>
    <cellStyle name="Comma 22" xfId="2074" xr:uid="{00000000-0005-0000-0000-000077040000}"/>
    <cellStyle name="Comma 22 2" xfId="2574" xr:uid="{00000000-0005-0000-0000-000078040000}"/>
    <cellStyle name="Comma 23" xfId="2575" xr:uid="{00000000-0005-0000-0000-000079040000}"/>
    <cellStyle name="Comma 24" xfId="2567" xr:uid="{00000000-0005-0000-0000-00007A040000}"/>
    <cellStyle name="Comma 25" xfId="2616" xr:uid="{00000000-0005-0000-0000-00007B040000}"/>
    <cellStyle name="Comma 26" xfId="2627" xr:uid="{00000000-0005-0000-0000-00007C040000}"/>
    <cellStyle name="Comma 27" xfId="2632" xr:uid="{00000000-0005-0000-0000-00007D040000}"/>
    <cellStyle name="Comma 28" xfId="2645" xr:uid="{00000000-0005-0000-0000-00007E040000}"/>
    <cellStyle name="Comma 29" xfId="2650" xr:uid="{00000000-0005-0000-0000-00007F040000}"/>
    <cellStyle name="Comma 29 2" xfId="2803" xr:uid="{00000000-0005-0000-0000-000080040000}"/>
    <cellStyle name="Comma 29 2 2" xfId="2811" xr:uid="{00000000-0005-0000-0000-000081040000}"/>
    <cellStyle name="Comma 3" xfId="431" xr:uid="{00000000-0005-0000-0000-000082040000}"/>
    <cellStyle name="Comma 3 10" xfId="2113" xr:uid="{00000000-0005-0000-0000-000083040000}"/>
    <cellStyle name="Comma 3 10 2" xfId="2114" xr:uid="{00000000-0005-0000-0000-000084040000}"/>
    <cellStyle name="Comma 3 10 2 2" xfId="2115" xr:uid="{00000000-0005-0000-0000-000085040000}"/>
    <cellStyle name="Comma 3 10 2 2 2" xfId="2116" xr:uid="{00000000-0005-0000-0000-000086040000}"/>
    <cellStyle name="Comma 3 10 2 3" xfId="2117" xr:uid="{00000000-0005-0000-0000-000087040000}"/>
    <cellStyle name="Comma 3 10 3" xfId="2118" xr:uid="{00000000-0005-0000-0000-000088040000}"/>
    <cellStyle name="Comma 3 10 3 2" xfId="2119" xr:uid="{00000000-0005-0000-0000-000089040000}"/>
    <cellStyle name="Comma 3 10 3 2 2" xfId="2120" xr:uid="{00000000-0005-0000-0000-00008A040000}"/>
    <cellStyle name="Comma 3 10 3 3" xfId="2121" xr:uid="{00000000-0005-0000-0000-00008B040000}"/>
    <cellStyle name="Comma 3 10 4" xfId="2122" xr:uid="{00000000-0005-0000-0000-00008C040000}"/>
    <cellStyle name="Comma 3 10 4 2" xfId="2123" xr:uid="{00000000-0005-0000-0000-00008D040000}"/>
    <cellStyle name="Comma 3 10 5" xfId="2124" xr:uid="{00000000-0005-0000-0000-00008E040000}"/>
    <cellStyle name="Comma 3 11" xfId="2125" xr:uid="{00000000-0005-0000-0000-00008F040000}"/>
    <cellStyle name="Comma 3 12" xfId="2126" xr:uid="{00000000-0005-0000-0000-000090040000}"/>
    <cellStyle name="Comma 3 12 2" xfId="2127" xr:uid="{00000000-0005-0000-0000-000091040000}"/>
    <cellStyle name="Comma 3 12 2 2" xfId="2128" xr:uid="{00000000-0005-0000-0000-000092040000}"/>
    <cellStyle name="Comma 3 12 3" xfId="2129" xr:uid="{00000000-0005-0000-0000-000093040000}"/>
    <cellStyle name="Comma 3 13" xfId="2130" xr:uid="{00000000-0005-0000-0000-000094040000}"/>
    <cellStyle name="Comma 3 14" xfId="2676" xr:uid="{00000000-0005-0000-0000-000095040000}"/>
    <cellStyle name="Comma 3 15" xfId="2932" xr:uid="{B179D018-D20E-4857-B2C1-87E0966285AE}"/>
    <cellStyle name="Comma 3 2" xfId="926" xr:uid="{00000000-0005-0000-0000-000096040000}"/>
    <cellStyle name="Comma 3 3" xfId="2131" xr:uid="{00000000-0005-0000-0000-000097040000}"/>
    <cellStyle name="Comma 3 4" xfId="2132" xr:uid="{00000000-0005-0000-0000-000098040000}"/>
    <cellStyle name="Comma 3 4 2" xfId="2133" xr:uid="{00000000-0005-0000-0000-000099040000}"/>
    <cellStyle name="Comma 3 4 2 2" xfId="2134" xr:uid="{00000000-0005-0000-0000-00009A040000}"/>
    <cellStyle name="Comma 3 4 2 2 2" xfId="2135" xr:uid="{00000000-0005-0000-0000-00009B040000}"/>
    <cellStyle name="Comma 3 4 2 3" xfId="2136" xr:uid="{00000000-0005-0000-0000-00009C040000}"/>
    <cellStyle name="Comma 3 4 3" xfId="2137" xr:uid="{00000000-0005-0000-0000-00009D040000}"/>
    <cellStyle name="Comma 3 4 3 2" xfId="2138" xr:uid="{00000000-0005-0000-0000-00009E040000}"/>
    <cellStyle name="Comma 3 4 3 2 2" xfId="2139" xr:uid="{00000000-0005-0000-0000-00009F040000}"/>
    <cellStyle name="Comma 3 4 3 3" xfId="2140" xr:uid="{00000000-0005-0000-0000-0000A0040000}"/>
    <cellStyle name="Comma 3 4 4" xfId="2141" xr:uid="{00000000-0005-0000-0000-0000A1040000}"/>
    <cellStyle name="Comma 3 4 4 2" xfId="2142" xr:uid="{00000000-0005-0000-0000-0000A2040000}"/>
    <cellStyle name="Comma 3 4 5" xfId="2143" xr:uid="{00000000-0005-0000-0000-0000A3040000}"/>
    <cellStyle name="Comma 3 5" xfId="2144" xr:uid="{00000000-0005-0000-0000-0000A4040000}"/>
    <cellStyle name="Comma 3 5 2" xfId="2145" xr:uid="{00000000-0005-0000-0000-0000A5040000}"/>
    <cellStyle name="Comma 3 5 2 2" xfId="2146" xr:uid="{00000000-0005-0000-0000-0000A6040000}"/>
    <cellStyle name="Comma 3 5 2 2 2" xfId="2147" xr:uid="{00000000-0005-0000-0000-0000A7040000}"/>
    <cellStyle name="Comma 3 5 2 3" xfId="2148" xr:uid="{00000000-0005-0000-0000-0000A8040000}"/>
    <cellStyle name="Comma 3 5 3" xfId="2149" xr:uid="{00000000-0005-0000-0000-0000A9040000}"/>
    <cellStyle name="Comma 3 5 3 2" xfId="2150" xr:uid="{00000000-0005-0000-0000-0000AA040000}"/>
    <cellStyle name="Comma 3 5 3 2 2" xfId="2151" xr:uid="{00000000-0005-0000-0000-0000AB040000}"/>
    <cellStyle name="Comma 3 5 3 3" xfId="2152" xr:uid="{00000000-0005-0000-0000-0000AC040000}"/>
    <cellStyle name="Comma 3 5 4" xfId="2153" xr:uid="{00000000-0005-0000-0000-0000AD040000}"/>
    <cellStyle name="Comma 3 5 4 2" xfId="2154" xr:uid="{00000000-0005-0000-0000-0000AE040000}"/>
    <cellStyle name="Comma 3 5 5" xfId="2155" xr:uid="{00000000-0005-0000-0000-0000AF040000}"/>
    <cellStyle name="Comma 3 6" xfId="2156" xr:uid="{00000000-0005-0000-0000-0000B0040000}"/>
    <cellStyle name="Comma 3 6 2" xfId="2157" xr:uid="{00000000-0005-0000-0000-0000B1040000}"/>
    <cellStyle name="Comma 3 6 2 2" xfId="2158" xr:uid="{00000000-0005-0000-0000-0000B2040000}"/>
    <cellStyle name="Comma 3 6 2 2 2" xfId="2159" xr:uid="{00000000-0005-0000-0000-0000B3040000}"/>
    <cellStyle name="Comma 3 6 2 3" xfId="2160" xr:uid="{00000000-0005-0000-0000-0000B4040000}"/>
    <cellStyle name="Comma 3 6 3" xfId="2161" xr:uid="{00000000-0005-0000-0000-0000B5040000}"/>
    <cellStyle name="Comma 3 6 3 2" xfId="2162" xr:uid="{00000000-0005-0000-0000-0000B6040000}"/>
    <cellStyle name="Comma 3 6 3 2 2" xfId="2163" xr:uid="{00000000-0005-0000-0000-0000B7040000}"/>
    <cellStyle name="Comma 3 6 3 3" xfId="2164" xr:uid="{00000000-0005-0000-0000-0000B8040000}"/>
    <cellStyle name="Comma 3 6 4" xfId="2165" xr:uid="{00000000-0005-0000-0000-0000B9040000}"/>
    <cellStyle name="Comma 3 6 4 2" xfId="2166" xr:uid="{00000000-0005-0000-0000-0000BA040000}"/>
    <cellStyle name="Comma 3 6 5" xfId="2167" xr:uid="{00000000-0005-0000-0000-0000BB040000}"/>
    <cellStyle name="Comma 3 7" xfId="2168" xr:uid="{00000000-0005-0000-0000-0000BC040000}"/>
    <cellStyle name="Comma 3 7 2" xfId="2169" xr:uid="{00000000-0005-0000-0000-0000BD040000}"/>
    <cellStyle name="Comma 3 7 2 2" xfId="2170" xr:uid="{00000000-0005-0000-0000-0000BE040000}"/>
    <cellStyle name="Comma 3 7 2 2 2" xfId="2171" xr:uid="{00000000-0005-0000-0000-0000BF040000}"/>
    <cellStyle name="Comma 3 7 2 3" xfId="2172" xr:uid="{00000000-0005-0000-0000-0000C0040000}"/>
    <cellStyle name="Comma 3 7 3" xfId="2173" xr:uid="{00000000-0005-0000-0000-0000C1040000}"/>
    <cellStyle name="Comma 3 7 3 2" xfId="2174" xr:uid="{00000000-0005-0000-0000-0000C2040000}"/>
    <cellStyle name="Comma 3 7 3 2 2" xfId="2175" xr:uid="{00000000-0005-0000-0000-0000C3040000}"/>
    <cellStyle name="Comma 3 7 3 3" xfId="2176" xr:uid="{00000000-0005-0000-0000-0000C4040000}"/>
    <cellStyle name="Comma 3 7 4" xfId="2177" xr:uid="{00000000-0005-0000-0000-0000C5040000}"/>
    <cellStyle name="Comma 3 7 4 2" xfId="2178" xr:uid="{00000000-0005-0000-0000-0000C6040000}"/>
    <cellStyle name="Comma 3 7 5" xfId="2179" xr:uid="{00000000-0005-0000-0000-0000C7040000}"/>
    <cellStyle name="Comma 3 8" xfId="2180" xr:uid="{00000000-0005-0000-0000-0000C8040000}"/>
    <cellStyle name="Comma 3 8 2" xfId="2181" xr:uid="{00000000-0005-0000-0000-0000C9040000}"/>
    <cellStyle name="Comma 3 8 2 2" xfId="2182" xr:uid="{00000000-0005-0000-0000-0000CA040000}"/>
    <cellStyle name="Comma 3 8 2 2 2" xfId="2183" xr:uid="{00000000-0005-0000-0000-0000CB040000}"/>
    <cellStyle name="Comma 3 8 2 3" xfId="2184" xr:uid="{00000000-0005-0000-0000-0000CC040000}"/>
    <cellStyle name="Comma 3 8 3" xfId="2185" xr:uid="{00000000-0005-0000-0000-0000CD040000}"/>
    <cellStyle name="Comma 3 8 3 2" xfId="2186" xr:uid="{00000000-0005-0000-0000-0000CE040000}"/>
    <cellStyle name="Comma 3 8 3 2 2" xfId="2187" xr:uid="{00000000-0005-0000-0000-0000CF040000}"/>
    <cellStyle name="Comma 3 8 3 3" xfId="2188" xr:uid="{00000000-0005-0000-0000-0000D0040000}"/>
    <cellStyle name="Comma 3 8 4" xfId="2189" xr:uid="{00000000-0005-0000-0000-0000D1040000}"/>
    <cellStyle name="Comma 3 8 4 2" xfId="2190" xr:uid="{00000000-0005-0000-0000-0000D2040000}"/>
    <cellStyle name="Comma 3 8 5" xfId="2191" xr:uid="{00000000-0005-0000-0000-0000D3040000}"/>
    <cellStyle name="Comma 3 9" xfId="2192" xr:uid="{00000000-0005-0000-0000-0000D4040000}"/>
    <cellStyle name="Comma 3 9 2" xfId="2193" xr:uid="{00000000-0005-0000-0000-0000D5040000}"/>
    <cellStyle name="Comma 3 9 2 2" xfId="2194" xr:uid="{00000000-0005-0000-0000-0000D6040000}"/>
    <cellStyle name="Comma 3 9 2 2 2" xfId="2195" xr:uid="{00000000-0005-0000-0000-0000D7040000}"/>
    <cellStyle name="Comma 3 9 2 3" xfId="2196" xr:uid="{00000000-0005-0000-0000-0000D8040000}"/>
    <cellStyle name="Comma 3 9 3" xfId="2197" xr:uid="{00000000-0005-0000-0000-0000D9040000}"/>
    <cellStyle name="Comma 3 9 3 2" xfId="2198" xr:uid="{00000000-0005-0000-0000-0000DA040000}"/>
    <cellStyle name="Comma 3 9 3 2 2" xfId="2199" xr:uid="{00000000-0005-0000-0000-0000DB040000}"/>
    <cellStyle name="Comma 3 9 3 3" xfId="2200" xr:uid="{00000000-0005-0000-0000-0000DC040000}"/>
    <cellStyle name="Comma 3 9 4" xfId="2201" xr:uid="{00000000-0005-0000-0000-0000DD040000}"/>
    <cellStyle name="Comma 3 9 4 2" xfId="2202" xr:uid="{00000000-0005-0000-0000-0000DE040000}"/>
    <cellStyle name="Comma 3 9 5" xfId="2203" xr:uid="{00000000-0005-0000-0000-0000DF040000}"/>
    <cellStyle name="Comma 30" xfId="2662" xr:uid="{00000000-0005-0000-0000-0000E0040000}"/>
    <cellStyle name="Comma 31" xfId="2736" xr:uid="{00000000-0005-0000-0000-0000E1040000}"/>
    <cellStyle name="Comma 32" xfId="2751" xr:uid="{00000000-0005-0000-0000-0000E2040000}"/>
    <cellStyle name="Comma 33" xfId="2754" xr:uid="{00000000-0005-0000-0000-0000E3040000}"/>
    <cellStyle name="Comma 34" xfId="2756" xr:uid="{00000000-0005-0000-0000-0000E4040000}"/>
    <cellStyle name="Comma 35" xfId="2759" xr:uid="{00000000-0005-0000-0000-0000E5040000}"/>
    <cellStyle name="Comma 36" xfId="2770" xr:uid="{00000000-0005-0000-0000-0000E6040000}"/>
    <cellStyle name="Comma 37" xfId="2774" xr:uid="{00000000-0005-0000-0000-0000E7040000}"/>
    <cellStyle name="Comma 38" xfId="2793" xr:uid="{00000000-0005-0000-0000-0000E8040000}"/>
    <cellStyle name="Comma 39" xfId="2796" xr:uid="{00000000-0005-0000-0000-0000E9040000}"/>
    <cellStyle name="Comma 4" xfId="618" xr:uid="{00000000-0005-0000-0000-0000EA040000}"/>
    <cellStyle name="Comma 4 2" xfId="927" xr:uid="{00000000-0005-0000-0000-0000EB040000}"/>
    <cellStyle name="Comma 4 2 2" xfId="2840" xr:uid="{4F60FB38-822D-432F-ADB7-2ADB1A50E525}"/>
    <cellStyle name="Comma 4 3" xfId="2204" xr:uid="{00000000-0005-0000-0000-0000EC040000}"/>
    <cellStyle name="Comma 4 4" xfId="2205" xr:uid="{00000000-0005-0000-0000-0000ED040000}"/>
    <cellStyle name="Comma 4 5" xfId="2576" xr:uid="{00000000-0005-0000-0000-0000EE040000}"/>
    <cellStyle name="Comma 4 6" xfId="2804" xr:uid="{00000000-0005-0000-0000-0000EF040000}"/>
    <cellStyle name="Comma 4 7" xfId="2812" xr:uid="{00000000-0005-0000-0000-0000F0040000}"/>
    <cellStyle name="Comma 4 8" xfId="2939" xr:uid="{DFD5249F-1BFD-4478-9805-4241E21CBC1D}"/>
    <cellStyle name="Comma 40" xfId="2798" xr:uid="{00000000-0005-0000-0000-0000F1040000}"/>
    <cellStyle name="Comma 41" xfId="2773" xr:uid="{00000000-0005-0000-0000-0000F2040000}"/>
    <cellStyle name="Comma 42" xfId="2800" xr:uid="{00000000-0005-0000-0000-0000F3040000}"/>
    <cellStyle name="Comma 43" xfId="2817" xr:uid="{A33A3F6D-FBF1-41BE-B003-EF4359449B00}"/>
    <cellStyle name="Comma 44" xfId="2919" xr:uid="{FC6CF595-E841-485D-83D9-FE5BCA07C84F}"/>
    <cellStyle name="Comma 5" xfId="622" xr:uid="{00000000-0005-0000-0000-0000F4040000}"/>
    <cellStyle name="Comma 5 2" xfId="928" xr:uid="{00000000-0005-0000-0000-0000F5040000}"/>
    <cellStyle name="Comma 5 2 2" xfId="2578" xr:uid="{00000000-0005-0000-0000-0000F6040000}"/>
    <cellStyle name="Comma 5 2 2 2 2 2" xfId="2822" xr:uid="{C5EC4D44-EDAB-471D-BA96-E3242E2E5D0B}"/>
    <cellStyle name="Comma 5 3" xfId="2206" xr:uid="{00000000-0005-0000-0000-0000F7040000}"/>
    <cellStyle name="Comma 5 4" xfId="2577" xr:uid="{00000000-0005-0000-0000-0000F8040000}"/>
    <cellStyle name="Comma 5 5" xfId="2896" xr:uid="{638F0F4A-D1EF-4A1E-B63B-1EFE94924A49}"/>
    <cellStyle name="Comma 6" xfId="621" xr:uid="{00000000-0005-0000-0000-0000F9040000}"/>
    <cellStyle name="Comma 6 2" xfId="929" xr:uid="{00000000-0005-0000-0000-0000FA040000}"/>
    <cellStyle name="Comma 6 3" xfId="2907" xr:uid="{7DE78513-FB4E-4BD0-9A1B-0583D86C7288}"/>
    <cellStyle name="Comma 7" xfId="643" xr:uid="{00000000-0005-0000-0000-0000FB040000}"/>
    <cellStyle name="Comma 7 2" xfId="930" xr:uid="{00000000-0005-0000-0000-0000FC040000}"/>
    <cellStyle name="Comma 7 2 9" xfId="2850" xr:uid="{8C9AC677-0C49-420E-8627-87A77BDB1429}"/>
    <cellStyle name="Comma 7 3" xfId="2908" xr:uid="{7C4A0FA3-2F12-4743-AE6E-88B81C74561D}"/>
    <cellStyle name="Comma 8" xfId="640" xr:uid="{00000000-0005-0000-0000-0000FD040000}"/>
    <cellStyle name="Comma 8 2" xfId="931" xr:uid="{00000000-0005-0000-0000-0000FE040000}"/>
    <cellStyle name="Comma 8 3" xfId="2913" xr:uid="{F4EEE506-F3CB-4E20-A03D-CBB746F62D97}"/>
    <cellStyle name="Comma 9" xfId="641" xr:uid="{00000000-0005-0000-0000-0000FF040000}"/>
    <cellStyle name="Comma 9 2" xfId="932" xr:uid="{00000000-0005-0000-0000-000000050000}"/>
    <cellStyle name="Comma 9 3" xfId="2914" xr:uid="{313A85A3-CA31-4EC4-B5E5-5B76D698CA90}"/>
    <cellStyle name="Comma0" xfId="432" xr:uid="{00000000-0005-0000-0000-000001050000}"/>
    <cellStyle name="Comma0 - Style3" xfId="433" xr:uid="{00000000-0005-0000-0000-000002050000}"/>
    <cellStyle name="Comma0 - Style3 2" xfId="934" xr:uid="{00000000-0005-0000-0000-000003050000}"/>
    <cellStyle name="Comma0 10" xfId="1902" xr:uid="{00000000-0005-0000-0000-000004050000}"/>
    <cellStyle name="Comma0 11" xfId="1827" xr:uid="{00000000-0005-0000-0000-000005050000}"/>
    <cellStyle name="Comma0 12" xfId="1901" xr:uid="{00000000-0005-0000-0000-000006050000}"/>
    <cellStyle name="Comma0 13" xfId="2677" xr:uid="{00000000-0005-0000-0000-000007050000}"/>
    <cellStyle name="Comma0 14" xfId="2730" xr:uid="{00000000-0005-0000-0000-000008050000}"/>
    <cellStyle name="Comma0 2" xfId="935" xr:uid="{00000000-0005-0000-0000-000009050000}"/>
    <cellStyle name="Comma0 3" xfId="936" xr:uid="{00000000-0005-0000-0000-00000A050000}"/>
    <cellStyle name="Comma0 4" xfId="937" xr:uid="{00000000-0005-0000-0000-00000B050000}"/>
    <cellStyle name="Comma0 5" xfId="938" xr:uid="{00000000-0005-0000-0000-00000C050000}"/>
    <cellStyle name="Comma0 6" xfId="933" xr:uid="{00000000-0005-0000-0000-00000D050000}"/>
    <cellStyle name="Comma0 7" xfId="1811" xr:uid="{00000000-0005-0000-0000-00000E050000}"/>
    <cellStyle name="Comma0 8" xfId="1903" xr:uid="{00000000-0005-0000-0000-00000F050000}"/>
    <cellStyle name="Comma0 9" xfId="1820" xr:uid="{00000000-0005-0000-0000-000010050000}"/>
    <cellStyle name="Comma0_AEP DSO Calcs Collection Curve Worksheet Sent to Brian Dunaway" xfId="939" xr:uid="{00000000-0005-0000-0000-000011050000}"/>
    <cellStyle name="CommaBlank" xfId="434" xr:uid="{00000000-0005-0000-0000-000012050000}"/>
    <cellStyle name="CommaBlank 2" xfId="1907" xr:uid="{00000000-0005-0000-0000-000013050000}"/>
    <cellStyle name="CompanyName" xfId="940" xr:uid="{00000000-0005-0000-0000-000014050000}"/>
    <cellStyle name="Constant" xfId="435" xr:uid="{00000000-0005-0000-0000-000015050000}"/>
    <cellStyle name="Cost" xfId="941" xr:uid="{00000000-0005-0000-0000-000016050000}"/>
    <cellStyle name="Cost 2" xfId="942" xr:uid="{00000000-0005-0000-0000-000017050000}"/>
    <cellStyle name="Cost 3" xfId="943" xr:uid="{00000000-0005-0000-0000-000018050000}"/>
    <cellStyle name="Cost 4" xfId="944" xr:uid="{00000000-0005-0000-0000-000019050000}"/>
    <cellStyle name="Cover Date" xfId="945" xr:uid="{00000000-0005-0000-0000-00001A050000}"/>
    <cellStyle name="Cover Subtitle" xfId="946" xr:uid="{00000000-0005-0000-0000-00001B050000}"/>
    <cellStyle name="Cover Title" xfId="947" xr:uid="{00000000-0005-0000-0000-00001C050000}"/>
    <cellStyle name="Currency" xfId="436" builtinId="4"/>
    <cellStyle name="Currency (1)" xfId="949" xr:uid="{00000000-0005-0000-0000-00001E050000}"/>
    <cellStyle name="Currency (1) 2" xfId="950" xr:uid="{00000000-0005-0000-0000-00001F050000}"/>
    <cellStyle name="Currency [1]" xfId="437" xr:uid="{00000000-0005-0000-0000-000020050000}"/>
    <cellStyle name="Currency [1] 2" xfId="951" xr:uid="{00000000-0005-0000-0000-000021050000}"/>
    <cellStyle name="Currency [2]" xfId="438" xr:uid="{00000000-0005-0000-0000-000022050000}"/>
    <cellStyle name="Currency [2] 2" xfId="952" xr:uid="{00000000-0005-0000-0000-000023050000}"/>
    <cellStyle name="Currency [2] 3" xfId="1873" xr:uid="{00000000-0005-0000-0000-000024050000}"/>
    <cellStyle name="Currency [3]" xfId="439" xr:uid="{00000000-0005-0000-0000-000025050000}"/>
    <cellStyle name="Currency 0" xfId="440" xr:uid="{00000000-0005-0000-0000-000026050000}"/>
    <cellStyle name="Currency 10" xfId="645" xr:uid="{00000000-0005-0000-0000-000027050000}"/>
    <cellStyle name="Currency 10 2" xfId="2209" xr:uid="{00000000-0005-0000-0000-000028050000}"/>
    <cellStyle name="Currency 10 2 2" xfId="2210" xr:uid="{00000000-0005-0000-0000-000029050000}"/>
    <cellStyle name="Currency 10 2 2 2" xfId="2211" xr:uid="{00000000-0005-0000-0000-00002A050000}"/>
    <cellStyle name="Currency 10 2 3" xfId="2212" xr:uid="{00000000-0005-0000-0000-00002B050000}"/>
    <cellStyle name="Currency 10 3" xfId="2213" xr:uid="{00000000-0005-0000-0000-00002C050000}"/>
    <cellStyle name="Currency 10 3 2" xfId="2214" xr:uid="{00000000-0005-0000-0000-00002D050000}"/>
    <cellStyle name="Currency 10 3 2 2" xfId="2215" xr:uid="{00000000-0005-0000-0000-00002E050000}"/>
    <cellStyle name="Currency 10 3 3" xfId="2216" xr:uid="{00000000-0005-0000-0000-00002F050000}"/>
    <cellStyle name="Currency 10 4" xfId="2217" xr:uid="{00000000-0005-0000-0000-000030050000}"/>
    <cellStyle name="Currency 10 4 2" xfId="2218" xr:uid="{00000000-0005-0000-0000-000031050000}"/>
    <cellStyle name="Currency 10 5" xfId="2219" xr:uid="{00000000-0005-0000-0000-000032050000}"/>
    <cellStyle name="Currency 10 6" xfId="2208" xr:uid="{00000000-0005-0000-0000-000033050000}"/>
    <cellStyle name="Currency 11" xfId="635" xr:uid="{00000000-0005-0000-0000-000034050000}"/>
    <cellStyle name="Currency 11 2" xfId="2220" xr:uid="{00000000-0005-0000-0000-000035050000}"/>
    <cellStyle name="Currency 12" xfId="1917" xr:uid="{00000000-0005-0000-0000-000036050000}"/>
    <cellStyle name="Currency 13" xfId="2207" xr:uid="{00000000-0005-0000-0000-000037050000}"/>
    <cellStyle name="Currency 13 2" xfId="2891" xr:uid="{EAEFFB02-1C9D-42D9-B370-53C215408192}"/>
    <cellStyle name="Currency 14" xfId="2580" xr:uid="{00000000-0005-0000-0000-000038050000}"/>
    <cellStyle name="Currency 15" xfId="2606" xr:uid="{00000000-0005-0000-0000-000039050000}"/>
    <cellStyle name="Currency 16" xfId="2626" xr:uid="{00000000-0005-0000-0000-00003A050000}"/>
    <cellStyle name="Currency 17" xfId="2633" xr:uid="{00000000-0005-0000-0000-00003B050000}"/>
    <cellStyle name="Currency 18" xfId="2644" xr:uid="{00000000-0005-0000-0000-00003C050000}"/>
    <cellStyle name="Currency 19" xfId="2651" xr:uid="{00000000-0005-0000-0000-00003D050000}"/>
    <cellStyle name="Currency 2" xfId="441" xr:uid="{00000000-0005-0000-0000-00003E050000}"/>
    <cellStyle name="Currency 2 11" xfId="2820" xr:uid="{642DAED7-A4C2-423D-B4DF-A05EC45ED02B}"/>
    <cellStyle name="Currency 2 2" xfId="2222" xr:uid="{00000000-0005-0000-0000-00003F050000}"/>
    <cellStyle name="Currency 2 3" xfId="2223" xr:uid="{00000000-0005-0000-0000-000040050000}"/>
    <cellStyle name="Currency 2 3 2" xfId="2679" xr:uid="{00000000-0005-0000-0000-000041050000}"/>
    <cellStyle name="Currency 2 3 3" xfId="2678" xr:uid="{00000000-0005-0000-0000-000042050000}"/>
    <cellStyle name="Currency 2 4" xfId="2224" xr:uid="{00000000-0005-0000-0000-000043050000}"/>
    <cellStyle name="Currency 2 5" xfId="2221" xr:uid="{00000000-0005-0000-0000-000044050000}"/>
    <cellStyle name="Currency 2 5 2" xfId="2680" xr:uid="{00000000-0005-0000-0000-000045050000}"/>
    <cellStyle name="Currency 2 6" xfId="2893" xr:uid="{CC3C472D-41E2-470B-8F31-762206FF9D25}"/>
    <cellStyle name="Currency 20" xfId="2663" xr:uid="{00000000-0005-0000-0000-000046050000}"/>
    <cellStyle name="Currency 21" xfId="2738" xr:uid="{00000000-0005-0000-0000-000047050000}"/>
    <cellStyle name="Currency 22" xfId="2749" xr:uid="{00000000-0005-0000-0000-000048050000}"/>
    <cellStyle name="Currency 23" xfId="2737" xr:uid="{00000000-0005-0000-0000-000049050000}"/>
    <cellStyle name="Currency 24" xfId="2750" xr:uid="{00000000-0005-0000-0000-00004A050000}"/>
    <cellStyle name="Currency 25" xfId="2760" xr:uid="{00000000-0005-0000-0000-00004B050000}"/>
    <cellStyle name="Currency 26" xfId="2769" xr:uid="{00000000-0005-0000-0000-00004C050000}"/>
    <cellStyle name="Currency 27" xfId="2776" xr:uid="{00000000-0005-0000-0000-00004D050000}"/>
    <cellStyle name="Currency 28" xfId="2790" xr:uid="{00000000-0005-0000-0000-00004E050000}"/>
    <cellStyle name="Currency 29" xfId="2775" xr:uid="{00000000-0005-0000-0000-00004F050000}"/>
    <cellStyle name="Currency 3" xfId="442" xr:uid="{00000000-0005-0000-0000-000050050000}"/>
    <cellStyle name="Currency 3 10" xfId="2664" xr:uid="{00000000-0005-0000-0000-000051050000}"/>
    <cellStyle name="Currency 3 11" xfId="2739" xr:uid="{00000000-0005-0000-0000-000052050000}"/>
    <cellStyle name="Currency 3 12" xfId="2761" xr:uid="{00000000-0005-0000-0000-000053050000}"/>
    <cellStyle name="Currency 3 13" xfId="2777" xr:uid="{00000000-0005-0000-0000-000054050000}"/>
    <cellStyle name="Currency 3 2" xfId="953" xr:uid="{00000000-0005-0000-0000-000055050000}"/>
    <cellStyle name="Currency 3 3" xfId="2226" xr:uid="{00000000-0005-0000-0000-000056050000}"/>
    <cellStyle name="Currency 3 4" xfId="2227" xr:uid="{00000000-0005-0000-0000-000057050000}"/>
    <cellStyle name="Currency 3 5" xfId="2228" xr:uid="{00000000-0005-0000-0000-000058050000}"/>
    <cellStyle name="Currency 3 6" xfId="2225" xr:uid="{00000000-0005-0000-0000-000059050000}"/>
    <cellStyle name="Currency 3 7" xfId="2581" xr:uid="{00000000-0005-0000-0000-00005A050000}"/>
    <cellStyle name="Currency 3 8" xfId="2634" xr:uid="{00000000-0005-0000-0000-00005B050000}"/>
    <cellStyle name="Currency 3 9" xfId="2652" xr:uid="{00000000-0005-0000-0000-00005C050000}"/>
    <cellStyle name="Currency 30" xfId="2791" xr:uid="{00000000-0005-0000-0000-00005D050000}"/>
    <cellStyle name="Currency 31" xfId="2778" xr:uid="{00000000-0005-0000-0000-00005E050000}"/>
    <cellStyle name="Currency 32" xfId="2792" xr:uid="{00000000-0005-0000-0000-00005F050000}"/>
    <cellStyle name="Currency 33" xfId="2915" xr:uid="{DB2B18D4-401F-469D-9148-95FA1D476F08}"/>
    <cellStyle name="Currency 34" xfId="2945" xr:uid="{57366C80-D176-43A2-80C0-3416A3F8BB6D}"/>
    <cellStyle name="Currency 4" xfId="623" xr:uid="{00000000-0005-0000-0000-000060050000}"/>
    <cellStyle name="Currency 4 2" xfId="954" xr:uid="{00000000-0005-0000-0000-000061050000}"/>
    <cellStyle name="Currency 4 3" xfId="2230" xr:uid="{00000000-0005-0000-0000-000062050000}"/>
    <cellStyle name="Currency 4 4" xfId="2231" xr:uid="{00000000-0005-0000-0000-000063050000}"/>
    <cellStyle name="Currency 4 5" xfId="2229" xr:uid="{00000000-0005-0000-0000-000064050000}"/>
    <cellStyle name="Currency 5" xfId="620" xr:uid="{00000000-0005-0000-0000-000065050000}"/>
    <cellStyle name="Currency 5 2" xfId="955" xr:uid="{00000000-0005-0000-0000-000066050000}"/>
    <cellStyle name="Currency 5 3" xfId="2582" xr:uid="{00000000-0005-0000-0000-000067050000}"/>
    <cellStyle name="Currency 5 4" xfId="2635" xr:uid="{00000000-0005-0000-0000-000068050000}"/>
    <cellStyle name="Currency 5 5" xfId="2653" xr:uid="{00000000-0005-0000-0000-000069050000}"/>
    <cellStyle name="Currency 5 6" xfId="2665" xr:uid="{00000000-0005-0000-0000-00006A050000}"/>
    <cellStyle name="Currency 5 7" xfId="2740" xr:uid="{00000000-0005-0000-0000-00006B050000}"/>
    <cellStyle name="Currency 5 8" xfId="2762" xr:uid="{00000000-0005-0000-0000-00006C050000}"/>
    <cellStyle name="Currency 5 9" xfId="2779" xr:uid="{00000000-0005-0000-0000-00006D050000}"/>
    <cellStyle name="Currency 6" xfId="646" xr:uid="{00000000-0005-0000-0000-00006E050000}"/>
    <cellStyle name="Currency 6 2" xfId="956" xr:uid="{00000000-0005-0000-0000-00006F050000}"/>
    <cellStyle name="Currency 7" xfId="637" xr:uid="{00000000-0005-0000-0000-000070050000}"/>
    <cellStyle name="Currency 7 2" xfId="957" xr:uid="{00000000-0005-0000-0000-000071050000}"/>
    <cellStyle name="Currency 7 3" xfId="2232" xr:uid="{00000000-0005-0000-0000-000072050000}"/>
    <cellStyle name="Currency 8" xfId="644" xr:uid="{00000000-0005-0000-0000-000073050000}"/>
    <cellStyle name="Currency 8 2" xfId="1635" xr:uid="{00000000-0005-0000-0000-000074050000}"/>
    <cellStyle name="Currency 8 3" xfId="948" xr:uid="{00000000-0005-0000-0000-000075050000}"/>
    <cellStyle name="Currency 8 4" xfId="2233" xr:uid="{00000000-0005-0000-0000-000076050000}"/>
    <cellStyle name="Currency 9" xfId="636" xr:uid="{00000000-0005-0000-0000-000077050000}"/>
    <cellStyle name="Currency 9 2" xfId="2234" xr:uid="{00000000-0005-0000-0000-000078050000}"/>
    <cellStyle name="Currency0" xfId="443" xr:uid="{00000000-0005-0000-0000-000079050000}"/>
    <cellStyle name="Currency0 2" xfId="959" xr:uid="{00000000-0005-0000-0000-00007A050000}"/>
    <cellStyle name="Currency0 2 2" xfId="2958" xr:uid="{1C1B1B58-B660-426C-97F6-DCC57C990620}"/>
    <cellStyle name="Currency0 3" xfId="960" xr:uid="{00000000-0005-0000-0000-00007B050000}"/>
    <cellStyle name="Currency0 4" xfId="961" xr:uid="{00000000-0005-0000-0000-00007C050000}"/>
    <cellStyle name="Currency0 5" xfId="958" xr:uid="{00000000-0005-0000-0000-00007D050000}"/>
    <cellStyle name="d" xfId="962" xr:uid="{00000000-0005-0000-0000-00007E050000}"/>
    <cellStyle name="Dash" xfId="963" xr:uid="{00000000-0005-0000-0000-00007F050000}"/>
    <cellStyle name="Dash 2" xfId="964" xr:uid="{00000000-0005-0000-0000-000080050000}"/>
    <cellStyle name="DATA TYPE" xfId="444" xr:uid="{00000000-0005-0000-0000-000081050000}"/>
    <cellStyle name="Date" xfId="445" xr:uid="{00000000-0005-0000-0000-000082050000}"/>
    <cellStyle name="Date [mm-d-yyyy]" xfId="446" xr:uid="{00000000-0005-0000-0000-000083050000}"/>
    <cellStyle name="Date [mmm-d-yyyy]" xfId="447" xr:uid="{00000000-0005-0000-0000-000084050000}"/>
    <cellStyle name="Date [mmm-yyyy]" xfId="448" xr:uid="{00000000-0005-0000-0000-000085050000}"/>
    <cellStyle name="Date 10" xfId="1899" xr:uid="{00000000-0005-0000-0000-000086050000}"/>
    <cellStyle name="Date 11" xfId="1843" xr:uid="{00000000-0005-0000-0000-000087050000}"/>
    <cellStyle name="Date 12" xfId="1898" xr:uid="{00000000-0005-0000-0000-000088050000}"/>
    <cellStyle name="Date 13" xfId="2681" xr:uid="{00000000-0005-0000-0000-000089050000}"/>
    <cellStyle name="Date 14" xfId="2729" xr:uid="{00000000-0005-0000-0000-00008A050000}"/>
    <cellStyle name="Date 2" xfId="966" xr:uid="{00000000-0005-0000-0000-00008B050000}"/>
    <cellStyle name="Date 2 2" xfId="967" xr:uid="{00000000-0005-0000-0000-00008C050000}"/>
    <cellStyle name="Date 2 3" xfId="968" xr:uid="{00000000-0005-0000-0000-00008D050000}"/>
    <cellStyle name="Date 3" xfId="969" xr:uid="{00000000-0005-0000-0000-00008E050000}"/>
    <cellStyle name="Date 4" xfId="970" xr:uid="{00000000-0005-0000-0000-00008F050000}"/>
    <cellStyle name="Date 5" xfId="971" xr:uid="{00000000-0005-0000-0000-000090050000}"/>
    <cellStyle name="Date 6" xfId="965" xr:uid="{00000000-0005-0000-0000-000091050000}"/>
    <cellStyle name="Date 7" xfId="1837" xr:uid="{00000000-0005-0000-0000-000092050000}"/>
    <cellStyle name="Date 8" xfId="1900" xr:uid="{00000000-0005-0000-0000-000093050000}"/>
    <cellStyle name="Date 9" xfId="1841" xr:uid="{00000000-0005-0000-0000-000094050000}"/>
    <cellStyle name="Date Aligned" xfId="449" xr:uid="{00000000-0005-0000-0000-000095050000}"/>
    <cellStyle name="Date_$ FEL Managed View" xfId="450" xr:uid="{00000000-0005-0000-0000-000096050000}"/>
    <cellStyle name="Date2" xfId="451" xr:uid="{00000000-0005-0000-0000-000097050000}"/>
    <cellStyle name="Date2 2" xfId="973" xr:uid="{00000000-0005-0000-0000-000098050000}"/>
    <cellStyle name="Date2 3" xfId="974" xr:uid="{00000000-0005-0000-0000-000099050000}"/>
    <cellStyle name="Date2 4" xfId="975" xr:uid="{00000000-0005-0000-0000-00009A050000}"/>
    <cellStyle name="Date2 5" xfId="972" xr:uid="{00000000-0005-0000-0000-00009B050000}"/>
    <cellStyle name="DateFormat" xfId="976" xr:uid="{00000000-0005-0000-0000-00009C050000}"/>
    <cellStyle name="DateLong" xfId="452" xr:uid="{00000000-0005-0000-0000-00009D050000}"/>
    <cellStyle name="DateLong 2" xfId="1874" xr:uid="{00000000-0005-0000-0000-00009E050000}"/>
    <cellStyle name="DateShort" xfId="453" xr:uid="{00000000-0005-0000-0000-00009F050000}"/>
    <cellStyle name="Day" xfId="454" xr:uid="{00000000-0005-0000-0000-0000A0050000}"/>
    <cellStyle name="Day 2" xfId="1875" xr:uid="{00000000-0005-0000-0000-0000A1050000}"/>
    <cellStyle name="dd" xfId="977" xr:uid="{00000000-0005-0000-0000-0000A2050000}"/>
    <cellStyle name="ddd" xfId="978" xr:uid="{00000000-0005-0000-0000-0000A3050000}"/>
    <cellStyle name="decimal" xfId="455" xr:uid="{00000000-0005-0000-0000-0000A4050000}"/>
    <cellStyle name="Dezimal [0]_Compiling Utility Macros" xfId="456" xr:uid="{00000000-0005-0000-0000-0000A5050000}"/>
    <cellStyle name="Dezimal_Compiling Utility Macros" xfId="457" xr:uid="{00000000-0005-0000-0000-0000A6050000}"/>
    <cellStyle name="dohm" xfId="458" xr:uid="{00000000-0005-0000-0000-0000A7050000}"/>
    <cellStyle name="dohm1" xfId="459" xr:uid="{00000000-0005-0000-0000-0000A8050000}"/>
    <cellStyle name="dohm2" xfId="460" xr:uid="{00000000-0005-0000-0000-0000A9050000}"/>
    <cellStyle name="Dollar" xfId="979" xr:uid="{00000000-0005-0000-0000-0000AA050000}"/>
    <cellStyle name="Dollar 2" xfId="980" xr:uid="{00000000-0005-0000-0000-0000AB050000}"/>
    <cellStyle name="Dollar 3" xfId="981" xr:uid="{00000000-0005-0000-0000-0000AC050000}"/>
    <cellStyle name="Dollar 4" xfId="982" xr:uid="{00000000-0005-0000-0000-0000AD050000}"/>
    <cellStyle name="Dollar_Zero" xfId="461" xr:uid="{00000000-0005-0000-0000-0000AE050000}"/>
    <cellStyle name="Dollars" xfId="462" xr:uid="{00000000-0005-0000-0000-0000AF050000}"/>
    <cellStyle name="Dollars 2" xfId="983" xr:uid="{00000000-0005-0000-0000-0000B0050000}"/>
    <cellStyle name="Dotted Line" xfId="463" xr:uid="{00000000-0005-0000-0000-0000B1050000}"/>
    <cellStyle name="Double Accounting" xfId="984" xr:uid="{00000000-0005-0000-0000-0000B2050000}"/>
    <cellStyle name="dr" xfId="985" xr:uid="{00000000-0005-0000-0000-0000B3050000}"/>
    <cellStyle name="ds" xfId="986" xr:uid="{00000000-0005-0000-0000-0000B4050000}"/>
    <cellStyle name="Duration" xfId="987" xr:uid="{00000000-0005-0000-0000-0000B5050000}"/>
    <cellStyle name="ep" xfId="988" xr:uid="{00000000-0005-0000-0000-0000B6050000}"/>
    <cellStyle name="Escalation" xfId="464" xr:uid="{00000000-0005-0000-0000-0000B7050000}"/>
    <cellStyle name="Estimate" xfId="989" xr:uid="{00000000-0005-0000-0000-0000B8050000}"/>
    <cellStyle name="Euro" xfId="465" xr:uid="{00000000-0005-0000-0000-0000B9050000}"/>
    <cellStyle name="Euro 2" xfId="991" xr:uid="{00000000-0005-0000-0000-0000BA050000}"/>
    <cellStyle name="Euro 2 2" xfId="992" xr:uid="{00000000-0005-0000-0000-0000BB050000}"/>
    <cellStyle name="Euro 2 3" xfId="993" xr:uid="{00000000-0005-0000-0000-0000BC050000}"/>
    <cellStyle name="Euro 3" xfId="994" xr:uid="{00000000-0005-0000-0000-0000BD050000}"/>
    <cellStyle name="Euro 4" xfId="995" xr:uid="{00000000-0005-0000-0000-0000BE050000}"/>
    <cellStyle name="Euro 5" xfId="996" xr:uid="{00000000-0005-0000-0000-0000BF050000}"/>
    <cellStyle name="Euro 6" xfId="990" xr:uid="{00000000-0005-0000-0000-0000C0050000}"/>
    <cellStyle name="Euro 7" xfId="1876" xr:uid="{00000000-0005-0000-0000-0000C1050000}"/>
    <cellStyle name="Explanatory Text" xfId="466" builtinId="53" customBuiltin="1"/>
    <cellStyle name="Explanatory Text 2" xfId="467" xr:uid="{00000000-0005-0000-0000-0000C3050000}"/>
    <cellStyle name="Explanatory Text 2 2" xfId="997" xr:uid="{00000000-0005-0000-0000-0000C4050000}"/>
    <cellStyle name="Explanatory Text 3" xfId="2235" xr:uid="{00000000-0005-0000-0000-0000C5050000}"/>
    <cellStyle name="Explanatory Text 4" xfId="2236" xr:uid="{00000000-0005-0000-0000-0000C6050000}"/>
    <cellStyle name="Explanatory Text 5" xfId="2237" xr:uid="{00000000-0005-0000-0000-0000C7050000}"/>
    <cellStyle name="Explanatory Text 6" xfId="2238" xr:uid="{00000000-0005-0000-0000-0000C8050000}"/>
    <cellStyle name="extra" xfId="998" xr:uid="{00000000-0005-0000-0000-0000C9050000}"/>
    <cellStyle name="extra 2" xfId="999" xr:uid="{00000000-0005-0000-0000-0000CA050000}"/>
    <cellStyle name="f" xfId="1000" xr:uid="{00000000-0005-0000-0000-0000CB050000}"/>
    <cellStyle name="Factor" xfId="468" xr:uid="{00000000-0005-0000-0000-0000CC050000}"/>
    <cellStyle name="ff" xfId="1001" xr:uid="{00000000-0005-0000-0000-0000CD050000}"/>
    <cellStyle name="fff" xfId="1002" xr:uid="{00000000-0005-0000-0000-0000CE050000}"/>
    <cellStyle name="FilterCol" xfId="1003" xr:uid="{00000000-0005-0000-0000-0000CF050000}"/>
    <cellStyle name="FinClose" xfId="469" xr:uid="{00000000-0005-0000-0000-0000D0050000}"/>
    <cellStyle name="Fixed" xfId="470" xr:uid="{00000000-0005-0000-0000-0000D1050000}"/>
    <cellStyle name="Fixed [0]" xfId="471" xr:uid="{00000000-0005-0000-0000-0000D2050000}"/>
    <cellStyle name="Fixed [0] 2" xfId="1877" xr:uid="{00000000-0005-0000-0000-0000D3050000}"/>
    <cellStyle name="Fixed 10" xfId="1896" xr:uid="{00000000-0005-0000-0000-0000D4050000}"/>
    <cellStyle name="Fixed 11" xfId="1869" xr:uid="{00000000-0005-0000-0000-0000D5050000}"/>
    <cellStyle name="Fixed 12" xfId="1895" xr:uid="{00000000-0005-0000-0000-0000D6050000}"/>
    <cellStyle name="Fixed 13" xfId="2682" xr:uid="{00000000-0005-0000-0000-0000D7050000}"/>
    <cellStyle name="Fixed 14" xfId="2728" xr:uid="{00000000-0005-0000-0000-0000D8050000}"/>
    <cellStyle name="Fixed 2" xfId="1005" xr:uid="{00000000-0005-0000-0000-0000D9050000}"/>
    <cellStyle name="Fixed 2 2" xfId="1006" xr:uid="{00000000-0005-0000-0000-0000DA050000}"/>
    <cellStyle name="Fixed 2 3" xfId="1007" xr:uid="{00000000-0005-0000-0000-0000DB050000}"/>
    <cellStyle name="Fixed 3" xfId="1008" xr:uid="{00000000-0005-0000-0000-0000DC050000}"/>
    <cellStyle name="Fixed 4" xfId="1009" xr:uid="{00000000-0005-0000-0000-0000DD050000}"/>
    <cellStyle name="Fixed 5" xfId="1010" xr:uid="{00000000-0005-0000-0000-0000DE050000}"/>
    <cellStyle name="Fixed 6" xfId="1004" xr:uid="{00000000-0005-0000-0000-0000DF050000}"/>
    <cellStyle name="Fixed 7" xfId="1859" xr:uid="{00000000-0005-0000-0000-0000E0050000}"/>
    <cellStyle name="Fixed 8" xfId="1897" xr:uid="{00000000-0005-0000-0000-0000E1050000}"/>
    <cellStyle name="Fixed 9" xfId="1865" xr:uid="{00000000-0005-0000-0000-0000E2050000}"/>
    <cellStyle name="Fixed_$ FEL Managed View" xfId="472" xr:uid="{00000000-0005-0000-0000-0000E3050000}"/>
    <cellStyle name="Fixed2 - Style2" xfId="473" xr:uid="{00000000-0005-0000-0000-0000E4050000}"/>
    <cellStyle name="Fixed2 - Style2 2" xfId="1011" xr:uid="{00000000-0005-0000-0000-0000E5050000}"/>
    <cellStyle name="fn" xfId="1012" xr:uid="{00000000-0005-0000-0000-0000E6050000}"/>
    <cellStyle name="fn 2" xfId="1013" xr:uid="{00000000-0005-0000-0000-0000E7050000}"/>
    <cellStyle name="Font: Calibri, 9pt regular" xfId="2901" xr:uid="{FBD152F7-5D17-4B38-BE77-0E55A038B57B}"/>
    <cellStyle name="Footer SBILogo1" xfId="1014" xr:uid="{00000000-0005-0000-0000-0000E8050000}"/>
    <cellStyle name="Footer SBILogo2" xfId="1015" xr:uid="{00000000-0005-0000-0000-0000E9050000}"/>
    <cellStyle name="Footnote" xfId="474" xr:uid="{00000000-0005-0000-0000-0000EA050000}"/>
    <cellStyle name="Footnote 2" xfId="1017" xr:uid="{00000000-0005-0000-0000-0000EB050000}"/>
    <cellStyle name="Footnote 3" xfId="1016" xr:uid="{00000000-0005-0000-0000-0000EC050000}"/>
    <cellStyle name="Footnote Reference" xfId="1018" xr:uid="{00000000-0005-0000-0000-0000ED050000}"/>
    <cellStyle name="Footnote_AccessGroup 012509 v3" xfId="1019" xr:uid="{00000000-0005-0000-0000-0000EE050000}"/>
    <cellStyle name="Footnotes: top row" xfId="2902" xr:uid="{E2FDF3B4-A4F8-431B-8D3A-B7410DFBCAB1}"/>
    <cellStyle name="FRxAmtStyle" xfId="1020" xr:uid="{00000000-0005-0000-0000-0000EF050000}"/>
    <cellStyle name="FRxCurrStyle" xfId="1021" xr:uid="{00000000-0005-0000-0000-0000F0050000}"/>
    <cellStyle name="FRxPcntStyle" xfId="1022" xr:uid="{00000000-0005-0000-0000-0000F1050000}"/>
    <cellStyle name="FS_Zero" xfId="475" xr:uid="{00000000-0005-0000-0000-0000F2050000}"/>
    <cellStyle name="FS-Hist_Zero" xfId="476" xr:uid="{00000000-0005-0000-0000-0000F3050000}"/>
    <cellStyle name="FUEL SUBTOTAL" xfId="477" xr:uid="{00000000-0005-0000-0000-0000F4050000}"/>
    <cellStyle name="FUEL TYPE" xfId="478" xr:uid="{00000000-0005-0000-0000-0000F5050000}"/>
    <cellStyle name="general" xfId="479" xr:uid="{00000000-0005-0000-0000-0000F6050000}"/>
    <cellStyle name="Good" xfId="480" builtinId="26" customBuiltin="1"/>
    <cellStyle name="Good 2" xfId="481" xr:uid="{00000000-0005-0000-0000-0000F8050000}"/>
    <cellStyle name="Good 2 2" xfId="1023" xr:uid="{00000000-0005-0000-0000-0000F9050000}"/>
    <cellStyle name="Good 3" xfId="1024" xr:uid="{00000000-0005-0000-0000-0000FA050000}"/>
    <cellStyle name="Good 4" xfId="2239" xr:uid="{00000000-0005-0000-0000-0000FB050000}"/>
    <cellStyle name="Good 5" xfId="2240" xr:uid="{00000000-0005-0000-0000-0000FC050000}"/>
    <cellStyle name="Good 6" xfId="2241" xr:uid="{00000000-0005-0000-0000-0000FD050000}"/>
    <cellStyle name="Grey" xfId="482" xr:uid="{00000000-0005-0000-0000-0000FE050000}"/>
    <cellStyle name="Grey 2" xfId="1025" xr:uid="{00000000-0005-0000-0000-0000FF050000}"/>
    <cellStyle name="GreybarHeader" xfId="1026" xr:uid="{00000000-0005-0000-0000-000000060000}"/>
    <cellStyle name="Group Headings" xfId="1027" xr:uid="{00000000-0005-0000-0000-000001060000}"/>
    <cellStyle name="h" xfId="1028" xr:uid="{00000000-0005-0000-0000-000002060000}"/>
    <cellStyle name="h1" xfId="1029" xr:uid="{00000000-0005-0000-0000-000003060000}"/>
    <cellStyle name="h2" xfId="1030" xr:uid="{00000000-0005-0000-0000-000004060000}"/>
    <cellStyle name="Hard Percent" xfId="483" xr:uid="{00000000-0005-0000-0000-000005060000}"/>
    <cellStyle name="hardCode" xfId="2824" xr:uid="{4614C8D1-0964-41D4-A856-7A6447E33113}"/>
    <cellStyle name="HEADER" xfId="484" xr:uid="{00000000-0005-0000-0000-000006060000}"/>
    <cellStyle name="Header 2" xfId="1033" xr:uid="{00000000-0005-0000-0000-000007060000}"/>
    <cellStyle name="Header 3" xfId="1032" xr:uid="{00000000-0005-0000-0000-000008060000}"/>
    <cellStyle name="Header Draft Stamp" xfId="1034" xr:uid="{00000000-0005-0000-0000-000009060000}"/>
    <cellStyle name="Header Total" xfId="1035" xr:uid="{00000000-0005-0000-0000-00000A060000}"/>
    <cellStyle name="Header: bottom row" xfId="2903" xr:uid="{8A29BD2B-0095-4C5E-9761-1E10A65BF57D}"/>
    <cellStyle name="Header_AccessGroup 012509 v3" xfId="1036" xr:uid="{00000000-0005-0000-0000-00000B060000}"/>
    <cellStyle name="Header1" xfId="485" xr:uid="{00000000-0005-0000-0000-00000C060000}"/>
    <cellStyle name="Header2" xfId="486" xr:uid="{00000000-0005-0000-0000-00000D060000}"/>
    <cellStyle name="Header3" xfId="1037" xr:uid="{00000000-0005-0000-0000-00000E060000}"/>
    <cellStyle name="Header4" xfId="1038" xr:uid="{00000000-0005-0000-0000-00000F060000}"/>
    <cellStyle name="Heading 1" xfId="487" builtinId="16" customBuiltin="1"/>
    <cellStyle name="Heading 1 2" xfId="488" xr:uid="{00000000-0005-0000-0000-000011060000}"/>
    <cellStyle name="Heading 1 2 2" xfId="1039" xr:uid="{00000000-0005-0000-0000-000012060000}"/>
    <cellStyle name="Heading 1 2 3" xfId="2242" xr:uid="{00000000-0005-0000-0000-000013060000}"/>
    <cellStyle name="Heading 1 2 4" xfId="2854" xr:uid="{B857B418-1AD8-4834-BAFD-9A309867CC3E}"/>
    <cellStyle name="Heading 1 3" xfId="2243" xr:uid="{00000000-0005-0000-0000-000014060000}"/>
    <cellStyle name="Heading 1 4" xfId="2244" xr:uid="{00000000-0005-0000-0000-000015060000}"/>
    <cellStyle name="Heading 1 5" xfId="2245" xr:uid="{00000000-0005-0000-0000-000016060000}"/>
    <cellStyle name="Heading 1 6" xfId="2246" xr:uid="{00000000-0005-0000-0000-000017060000}"/>
    <cellStyle name="Heading 1 7" xfId="2247" xr:uid="{00000000-0005-0000-0000-000018060000}"/>
    <cellStyle name="Heading 1 8" xfId="2248" xr:uid="{00000000-0005-0000-0000-000019060000}"/>
    <cellStyle name="Heading 1 Above" xfId="1040" xr:uid="{00000000-0005-0000-0000-00001A060000}"/>
    <cellStyle name="Heading 1+" xfId="1041" xr:uid="{00000000-0005-0000-0000-00001B060000}"/>
    <cellStyle name="Heading 2" xfId="489" builtinId="17" customBuiltin="1"/>
    <cellStyle name="Heading 2 2" xfId="490" xr:uid="{00000000-0005-0000-0000-00001D060000}"/>
    <cellStyle name="Heading 2 2 2" xfId="1042" xr:uid="{00000000-0005-0000-0000-00001E060000}"/>
    <cellStyle name="Heading 2 2 3" xfId="2249" xr:uid="{00000000-0005-0000-0000-00001F060000}"/>
    <cellStyle name="Heading 2 2 4" xfId="2855" xr:uid="{DD0DEF82-5C8A-4044-B8D4-DEAF5D0EB2C0}"/>
    <cellStyle name="Heading 2 3" xfId="2250" xr:uid="{00000000-0005-0000-0000-000020060000}"/>
    <cellStyle name="Heading 2 4" xfId="2251" xr:uid="{00000000-0005-0000-0000-000021060000}"/>
    <cellStyle name="Heading 2 5" xfId="2252" xr:uid="{00000000-0005-0000-0000-000022060000}"/>
    <cellStyle name="Heading 2 6" xfId="2253" xr:uid="{00000000-0005-0000-0000-000023060000}"/>
    <cellStyle name="Heading 2 7" xfId="2254" xr:uid="{00000000-0005-0000-0000-000024060000}"/>
    <cellStyle name="Heading 2 8" xfId="2255" xr:uid="{00000000-0005-0000-0000-000025060000}"/>
    <cellStyle name="Heading 2 Below" xfId="1043" xr:uid="{00000000-0005-0000-0000-000026060000}"/>
    <cellStyle name="Heading 2+" xfId="1044" xr:uid="{00000000-0005-0000-0000-000027060000}"/>
    <cellStyle name="Heading 3" xfId="491" builtinId="18" customBuiltin="1"/>
    <cellStyle name="Heading 3 2" xfId="492" xr:uid="{00000000-0005-0000-0000-000029060000}"/>
    <cellStyle name="Heading 3 2 2" xfId="1045" xr:uid="{00000000-0005-0000-0000-00002A060000}"/>
    <cellStyle name="Heading 3 2 3" xfId="2256" xr:uid="{00000000-0005-0000-0000-00002B060000}"/>
    <cellStyle name="Heading 3 2 4" xfId="2856" xr:uid="{615A87D3-DAB5-43DD-9252-B522E70E345A}"/>
    <cellStyle name="Heading 3 3" xfId="2257" xr:uid="{00000000-0005-0000-0000-00002C060000}"/>
    <cellStyle name="Heading 3 4" xfId="2258" xr:uid="{00000000-0005-0000-0000-00002D060000}"/>
    <cellStyle name="Heading 3 5" xfId="2259" xr:uid="{00000000-0005-0000-0000-00002E060000}"/>
    <cellStyle name="Heading 3 6" xfId="2260" xr:uid="{00000000-0005-0000-0000-00002F060000}"/>
    <cellStyle name="Heading 3 7" xfId="2261" xr:uid="{00000000-0005-0000-0000-000030060000}"/>
    <cellStyle name="Heading 3 8" xfId="2262" xr:uid="{00000000-0005-0000-0000-000031060000}"/>
    <cellStyle name="Heading 3+" xfId="1046" xr:uid="{00000000-0005-0000-0000-000032060000}"/>
    <cellStyle name="Heading 4" xfId="493" builtinId="19" customBuiltin="1"/>
    <cellStyle name="Heading 4 2" xfId="494" xr:uid="{00000000-0005-0000-0000-000034060000}"/>
    <cellStyle name="Heading 4 2 2" xfId="1047" xr:uid="{00000000-0005-0000-0000-000035060000}"/>
    <cellStyle name="Heading 4 2 3" xfId="2263" xr:uid="{00000000-0005-0000-0000-000036060000}"/>
    <cellStyle name="Heading 4 2 4" xfId="2857" xr:uid="{61993958-1817-486C-B2EA-E4314089791D}"/>
    <cellStyle name="Heading 4 3" xfId="2264" xr:uid="{00000000-0005-0000-0000-000037060000}"/>
    <cellStyle name="Heading 4 4" xfId="2265" xr:uid="{00000000-0005-0000-0000-000038060000}"/>
    <cellStyle name="Heading 4 5" xfId="2266" xr:uid="{00000000-0005-0000-0000-000039060000}"/>
    <cellStyle name="Heading 4 6" xfId="2267" xr:uid="{00000000-0005-0000-0000-00003A060000}"/>
    <cellStyle name="Heading 4 7" xfId="2268" xr:uid="{00000000-0005-0000-0000-00003B060000}"/>
    <cellStyle name="Heading 4 8" xfId="2269" xr:uid="{00000000-0005-0000-0000-00003C060000}"/>
    <cellStyle name="Heading1" xfId="495" xr:uid="{00000000-0005-0000-0000-00003D060000}"/>
    <cellStyle name="HEADING1 2" xfId="1049" xr:uid="{00000000-0005-0000-0000-00003E060000}"/>
    <cellStyle name="HEADING1 3" xfId="1050" xr:uid="{00000000-0005-0000-0000-00003F060000}"/>
    <cellStyle name="HEADING1 4" xfId="1051" xr:uid="{00000000-0005-0000-0000-000040060000}"/>
    <cellStyle name="HEADING1 5" xfId="1048" xr:uid="{00000000-0005-0000-0000-000041060000}"/>
    <cellStyle name="Heading2" xfId="496" xr:uid="{00000000-0005-0000-0000-000042060000}"/>
    <cellStyle name="HEADING2 2" xfId="1052" xr:uid="{00000000-0005-0000-0000-000043060000}"/>
    <cellStyle name="Heading2 3" xfId="2833" xr:uid="{85420044-BB7D-47A7-ACA0-0E44C3547CA7}"/>
    <cellStyle name="Headings" xfId="1053" xr:uid="{00000000-0005-0000-0000-000044060000}"/>
    <cellStyle name="hh" xfId="1054" xr:uid="{00000000-0005-0000-0000-000045060000}"/>
    <cellStyle name="HHV" xfId="497" xr:uid="{00000000-0005-0000-0000-000046060000}"/>
    <cellStyle name="HHV 2" xfId="1911" xr:uid="{00000000-0005-0000-0000-000047060000}"/>
    <cellStyle name="Hidden" xfId="498" xr:uid="{00000000-0005-0000-0000-000048060000}"/>
    <cellStyle name="HIGHLIGHT" xfId="499" xr:uid="{00000000-0005-0000-0000-000049060000}"/>
    <cellStyle name="Highlight 2" xfId="1055" xr:uid="{00000000-0005-0000-0000-00004A060000}"/>
    <cellStyle name="Hist inmatning" xfId="1056" xr:uid="{00000000-0005-0000-0000-00004B060000}"/>
    <cellStyle name="hj" xfId="1057" xr:uid="{00000000-0005-0000-0000-00004C060000}"/>
    <cellStyle name="hj 2" xfId="1058" xr:uid="{00000000-0005-0000-0000-00004D060000}"/>
    <cellStyle name="Hyperlink" xfId="2916" builtinId="8"/>
    <cellStyle name="Hyperlink 2" xfId="2583" xr:uid="{00000000-0005-0000-0000-00004E060000}"/>
    <cellStyle name="i" xfId="1059" xr:uid="{00000000-0005-0000-0000-00004F060000}"/>
    <cellStyle name="i0" xfId="1060" xr:uid="{00000000-0005-0000-0000-000050060000}"/>
    <cellStyle name="i1" xfId="1061" xr:uid="{00000000-0005-0000-0000-000051060000}"/>
    <cellStyle name="i2" xfId="1062" xr:uid="{00000000-0005-0000-0000-000052060000}"/>
    <cellStyle name="i3" xfId="1063" xr:uid="{00000000-0005-0000-0000-000053060000}"/>
    <cellStyle name="i4" xfId="1064" xr:uid="{00000000-0005-0000-0000-000054060000}"/>
    <cellStyle name="i5" xfId="1065" xr:uid="{00000000-0005-0000-0000-000055060000}"/>
    <cellStyle name="Indirect Reference" xfId="1066" xr:uid="{00000000-0005-0000-0000-000056060000}"/>
    <cellStyle name="Indirect Reference 2" xfId="1067" xr:uid="{00000000-0005-0000-0000-000057060000}"/>
    <cellStyle name="Indirect Reference 3" xfId="1068" xr:uid="{00000000-0005-0000-0000-000058060000}"/>
    <cellStyle name="Indirect Reference 4" xfId="1069" xr:uid="{00000000-0005-0000-0000-000059060000}"/>
    <cellStyle name="inmatning" xfId="1070" xr:uid="{00000000-0005-0000-0000-00005A060000}"/>
    <cellStyle name="Input" xfId="500" builtinId="20" customBuiltin="1"/>
    <cellStyle name="Input (estimate)" xfId="1071" xr:uid="{00000000-0005-0000-0000-00005C060000}"/>
    <cellStyle name="Input [yellow]" xfId="501" xr:uid="{00000000-0005-0000-0000-00005D060000}"/>
    <cellStyle name="Input [yellow] 2" xfId="1072" xr:uid="{00000000-0005-0000-0000-00005E060000}"/>
    <cellStyle name="Input 2" xfId="502" xr:uid="{00000000-0005-0000-0000-00005F060000}"/>
    <cellStyle name="Input 2 2" xfId="1073" xr:uid="{00000000-0005-0000-0000-000060060000}"/>
    <cellStyle name="Input 3" xfId="2270" xr:uid="{00000000-0005-0000-0000-000061060000}"/>
    <cellStyle name="Input 4" xfId="2271" xr:uid="{00000000-0005-0000-0000-000062060000}"/>
    <cellStyle name="Input 5" xfId="2272" xr:uid="{00000000-0005-0000-0000-000063060000}"/>
    <cellStyle name="Input 6" xfId="2273" xr:uid="{00000000-0005-0000-0000-000064060000}"/>
    <cellStyle name="Input 7" xfId="2954" xr:uid="{2B3638B6-8D7C-4F25-9EC1-0E3E3997A919}"/>
    <cellStyle name="Input from Analysys" xfId="1074" xr:uid="{00000000-0005-0000-0000-000065060000}"/>
    <cellStyle name="Input from CETI" xfId="1075" xr:uid="{00000000-0005-0000-0000-000066060000}"/>
    <cellStyle name="Input Link" xfId="1076" xr:uid="{00000000-0005-0000-0000-000067060000}"/>
    <cellStyle name="Input Text" xfId="2949" xr:uid="{FE5C78EE-5303-45FE-9CB3-DAAD154A507C}"/>
    <cellStyle name="Input% [00%]" xfId="2951" xr:uid="{EFE9C882-1249-46D5-AF86-975FD183B9FE}"/>
    <cellStyle name="InputAmt" xfId="1077" xr:uid="{00000000-0005-0000-0000-000068060000}"/>
    <cellStyle name="InputBlueFont" xfId="1078" xr:uid="{00000000-0005-0000-0000-000069060000}"/>
    <cellStyle name="InputBlueFontLocked" xfId="1079" xr:uid="{00000000-0005-0000-0000-00006A060000}"/>
    <cellStyle name="InputBlueFontLocked 2" xfId="1080" xr:uid="{00000000-0005-0000-0000-00006B060000}"/>
    <cellStyle name="inputCell" xfId="2826" xr:uid="{72BC24AE-2C5E-4641-9EA3-05430EC23029}"/>
    <cellStyle name="InputPct" xfId="1081" xr:uid="{00000000-0005-0000-0000-00006C060000}"/>
    <cellStyle name="InputShaded" xfId="1082" xr:uid="{00000000-0005-0000-0000-00006D060000}"/>
    <cellStyle name="InputShaded 2" xfId="1083" xr:uid="{00000000-0005-0000-0000-00006E060000}"/>
    <cellStyle name="InputVal" xfId="1084" xr:uid="{00000000-0005-0000-0000-00006F060000}"/>
    <cellStyle name="InputVal 2" xfId="1085" xr:uid="{00000000-0005-0000-0000-000070060000}"/>
    <cellStyle name="InputValNeg" xfId="1086" xr:uid="{00000000-0005-0000-0000-000071060000}"/>
    <cellStyle name="InputValNeg 2" xfId="1087" xr:uid="{00000000-0005-0000-0000-000072060000}"/>
    <cellStyle name="Integer" xfId="1088" xr:uid="{00000000-0005-0000-0000-000073060000}"/>
    <cellStyle name="Integer 2" xfId="1089" xr:uid="{00000000-0005-0000-0000-000074060000}"/>
    <cellStyle name="Integer 3" xfId="1090" xr:uid="{00000000-0005-0000-0000-000075060000}"/>
    <cellStyle name="Integer 4" xfId="1091" xr:uid="{00000000-0005-0000-0000-000076060000}"/>
    <cellStyle name="italic" xfId="1092" xr:uid="{00000000-0005-0000-0000-000077060000}"/>
    <cellStyle name="ItalicHeader" xfId="1093" xr:uid="{00000000-0005-0000-0000-000078060000}"/>
    <cellStyle name="kirkdollars" xfId="503" xr:uid="{00000000-0005-0000-0000-000079060000}"/>
    <cellStyle name="Komma [0]_Sheet1" xfId="1094" xr:uid="{00000000-0005-0000-0000-00007A060000}"/>
    <cellStyle name="Komma_Sheet1" xfId="1095" xr:uid="{00000000-0005-0000-0000-00007B060000}"/>
    <cellStyle name="kopregel" xfId="1096" xr:uid="{00000000-0005-0000-0000-00007C060000}"/>
    <cellStyle name="Ks" xfId="1097" xr:uid="{00000000-0005-0000-0000-00007D060000}"/>
    <cellStyle name="Label" xfId="1098" xr:uid="{00000000-0005-0000-0000-00007E060000}"/>
    <cellStyle name="LblRed" xfId="1099" xr:uid="{00000000-0005-0000-0000-00007F060000}"/>
    <cellStyle name="lev1" xfId="1100" xr:uid="{00000000-0005-0000-0000-000080060000}"/>
    <cellStyle name="lev2" xfId="1101" xr:uid="{00000000-0005-0000-0000-000081060000}"/>
    <cellStyle name="lev3" xfId="1102" xr:uid="{00000000-0005-0000-0000-000082060000}"/>
    <cellStyle name="lev4" xfId="1103" xr:uid="{00000000-0005-0000-0000-000083060000}"/>
    <cellStyle name="Lien hypertexte" xfId="1104" xr:uid="{00000000-0005-0000-0000-000084060000}"/>
    <cellStyle name="Lien hypertexte visité" xfId="1105" xr:uid="{00000000-0005-0000-0000-000085060000}"/>
    <cellStyle name="Lines" xfId="2584" xr:uid="{00000000-0005-0000-0000-000086060000}"/>
    <cellStyle name="link:# [0,000]" xfId="2948" xr:uid="{9EE554A5-94A9-4F25-841B-3992E438FDEF}"/>
    <cellStyle name="link:Text" xfId="2947" xr:uid="{D44AFE48-0587-4014-A97E-8C7E22EF77CB}"/>
    <cellStyle name="Linked" xfId="1106" xr:uid="{00000000-0005-0000-0000-000087060000}"/>
    <cellStyle name="Linked Cell" xfId="504" builtinId="24" customBuiltin="1"/>
    <cellStyle name="Linked Cell 2" xfId="505" xr:uid="{00000000-0005-0000-0000-000089060000}"/>
    <cellStyle name="Linked Cell 2 2" xfId="1107" xr:uid="{00000000-0005-0000-0000-00008A060000}"/>
    <cellStyle name="Linked Cell 3" xfId="2274" xr:uid="{00000000-0005-0000-0000-00008B060000}"/>
    <cellStyle name="Linked Cell 4" xfId="2275" xr:uid="{00000000-0005-0000-0000-00008C060000}"/>
    <cellStyle name="Linked Cell 5" xfId="2276" xr:uid="{00000000-0005-0000-0000-00008D060000}"/>
    <cellStyle name="Linked Cell 6" xfId="2277" xr:uid="{00000000-0005-0000-0000-00008E060000}"/>
    <cellStyle name="M" xfId="506" xr:uid="{00000000-0005-0000-0000-00008F060000}"/>
    <cellStyle name="M 10" xfId="2666" xr:uid="{00000000-0005-0000-0000-000090060000}"/>
    <cellStyle name="m 11" xfId="2683" xr:uid="{00000000-0005-0000-0000-000091060000}"/>
    <cellStyle name="m 12" xfId="2686" xr:uid="{00000000-0005-0000-0000-000092060000}"/>
    <cellStyle name="m 2" xfId="1108" xr:uid="{00000000-0005-0000-0000-000093060000}"/>
    <cellStyle name="M 3" xfId="1904" xr:uid="{00000000-0005-0000-0000-000094060000}"/>
    <cellStyle name="M 4" xfId="2585" xr:uid="{00000000-0005-0000-0000-000095060000}"/>
    <cellStyle name="M 5" xfId="2602" xr:uid="{00000000-0005-0000-0000-000096060000}"/>
    <cellStyle name="M 6" xfId="2625" xr:uid="{00000000-0005-0000-0000-000097060000}"/>
    <cellStyle name="M 7" xfId="2636" xr:uid="{00000000-0005-0000-0000-000098060000}"/>
    <cellStyle name="M 8" xfId="2643" xr:uid="{00000000-0005-0000-0000-000099060000}"/>
    <cellStyle name="M 9" xfId="2654" xr:uid="{00000000-0005-0000-0000-00009A060000}"/>
    <cellStyle name="m/d/yy" xfId="507" xr:uid="{00000000-0005-0000-0000-00009B060000}"/>
    <cellStyle name="m2" xfId="1109" xr:uid="{00000000-0005-0000-0000-00009C060000}"/>
    <cellStyle name="Main Title" xfId="1110" xr:uid="{00000000-0005-0000-0000-00009D060000}"/>
    <cellStyle name="Main Title 2" xfId="1111" xr:uid="{00000000-0005-0000-0000-00009E060000}"/>
    <cellStyle name="Margin" xfId="1112" xr:uid="{00000000-0005-0000-0000-00009F060000}"/>
    <cellStyle name="Memo" xfId="1113" xr:uid="{00000000-0005-0000-0000-0000A0060000}"/>
    <cellStyle name="MemoLbl" xfId="1114" xr:uid="{00000000-0005-0000-0000-0000A1060000}"/>
    <cellStyle name="MemoLbl 2" xfId="1115" xr:uid="{00000000-0005-0000-0000-0000A2060000}"/>
    <cellStyle name="MemoPct_Wide" xfId="1116" xr:uid="{00000000-0005-0000-0000-0000A3060000}"/>
    <cellStyle name="MemoPercent" xfId="1117" xr:uid="{00000000-0005-0000-0000-0000A4060000}"/>
    <cellStyle name="MemoPercent 2" xfId="1118" xr:uid="{00000000-0005-0000-0000-0000A5060000}"/>
    <cellStyle name="MemoTitle" xfId="1119" xr:uid="{00000000-0005-0000-0000-0000A6060000}"/>
    <cellStyle name="MemoTitleItal" xfId="1120" xr:uid="{00000000-0005-0000-0000-0000A7060000}"/>
    <cellStyle name="MemoValue" xfId="1121" xr:uid="{00000000-0005-0000-0000-0000A8060000}"/>
    <cellStyle name="MemoValue 2" xfId="1122" xr:uid="{00000000-0005-0000-0000-0000A9060000}"/>
    <cellStyle name="MemoValueRow18" xfId="1123" xr:uid="{00000000-0005-0000-0000-0000AA060000}"/>
    <cellStyle name="MemoValueRow18 2" xfId="1124" xr:uid="{00000000-0005-0000-0000-0000AB060000}"/>
    <cellStyle name="MemoValueWide" xfId="1125" xr:uid="{00000000-0005-0000-0000-0000AC060000}"/>
    <cellStyle name="MemoValueWide 2" xfId="1126" xr:uid="{00000000-0005-0000-0000-0000AD060000}"/>
    <cellStyle name="Migliaia (0)_All 2" xfId="1127" xr:uid="{00000000-0005-0000-0000-0000AE060000}"/>
    <cellStyle name="Migliaia_All 2" xfId="1128" xr:uid="{00000000-0005-0000-0000-0000AF060000}"/>
    <cellStyle name="Millares [0]_2AV_M_M " xfId="1129" xr:uid="{00000000-0005-0000-0000-0000B0060000}"/>
    <cellStyle name="Millares_2AV_M_M " xfId="1130" xr:uid="{00000000-0005-0000-0000-0000B1060000}"/>
    <cellStyle name="Milliers [0] 2" xfId="2942" xr:uid="{B205489D-258F-4E61-8456-556E38582207}"/>
    <cellStyle name="Milliers [0]_comparable" xfId="1131" xr:uid="{00000000-0005-0000-0000-0000B2060000}"/>
    <cellStyle name="Milliers 2" xfId="2941" xr:uid="{03F6B493-C14E-49F0-99AA-78FFE3887466}"/>
    <cellStyle name="Milliers_comparable" xfId="1132" xr:uid="{00000000-0005-0000-0000-0000B3060000}"/>
    <cellStyle name="MLComma0" xfId="508" xr:uid="{00000000-0005-0000-0000-0000B4060000}"/>
    <cellStyle name="MLComma0 2" xfId="1881" xr:uid="{00000000-0005-0000-0000-0000B5060000}"/>
    <cellStyle name="MLPercent0" xfId="509" xr:uid="{00000000-0005-0000-0000-0000B6060000}"/>
    <cellStyle name="MLPercent0 2" xfId="1882" xr:uid="{00000000-0005-0000-0000-0000B7060000}"/>
    <cellStyle name="Moneda [0]_2AV_M_M " xfId="1133" xr:uid="{00000000-0005-0000-0000-0000B8060000}"/>
    <cellStyle name="Moneda_2AV_M_M " xfId="1134" xr:uid="{00000000-0005-0000-0000-0000B9060000}"/>
    <cellStyle name="Monétaire [0]_comparable" xfId="1135" xr:uid="{00000000-0005-0000-0000-0000BA060000}"/>
    <cellStyle name="Monétaire 2" xfId="2943" xr:uid="{775D3A41-9722-482C-A105-D6B2A5A5208D}"/>
    <cellStyle name="Monétaire_comparable" xfId="1136" xr:uid="{00000000-0005-0000-0000-0000BB060000}"/>
    <cellStyle name="Month" xfId="510" xr:uid="{00000000-0005-0000-0000-0000BC060000}"/>
    <cellStyle name="Month-long" xfId="511" xr:uid="{00000000-0005-0000-0000-0000BD060000}"/>
    <cellStyle name="Month-short" xfId="512" xr:uid="{00000000-0005-0000-0000-0000BE060000}"/>
    <cellStyle name="Mon-yr" xfId="513" xr:uid="{00000000-0005-0000-0000-0000BF060000}"/>
    <cellStyle name="Ms" xfId="1137" xr:uid="{00000000-0005-0000-0000-0000C0060000}"/>
    <cellStyle name="mt" xfId="1138" xr:uid="{00000000-0005-0000-0000-0000C1060000}"/>
    <cellStyle name="Multiple" xfId="514" xr:uid="{00000000-0005-0000-0000-0000C2060000}"/>
    <cellStyle name="Multiple [1]" xfId="515" xr:uid="{00000000-0005-0000-0000-0000C3060000}"/>
    <cellStyle name="Multiple 10" xfId="2685" xr:uid="{00000000-0005-0000-0000-0000C4060000}"/>
    <cellStyle name="Multiple 11" xfId="2684" xr:uid="{00000000-0005-0000-0000-0000C5060000}"/>
    <cellStyle name="Multiple 2" xfId="1140" xr:uid="{00000000-0005-0000-0000-0000C6060000}"/>
    <cellStyle name="Multiple 3" xfId="1139" xr:uid="{00000000-0005-0000-0000-0000C7060000}"/>
    <cellStyle name="Multiple 4" xfId="1878" xr:uid="{00000000-0005-0000-0000-0000C8060000}"/>
    <cellStyle name="Multiple 5" xfId="1885" xr:uid="{00000000-0005-0000-0000-0000C9060000}"/>
    <cellStyle name="Multiple 6" xfId="1879" xr:uid="{00000000-0005-0000-0000-0000CA060000}"/>
    <cellStyle name="Multiple 7" xfId="1884" xr:uid="{00000000-0005-0000-0000-0000CB060000}"/>
    <cellStyle name="Multiple 8" xfId="1880" xr:uid="{00000000-0005-0000-0000-0000CC060000}"/>
    <cellStyle name="Multiple 9" xfId="1883" xr:uid="{00000000-0005-0000-0000-0000CD060000}"/>
    <cellStyle name="Multiple_Quarterly Fin" xfId="516" xr:uid="{00000000-0005-0000-0000-0000CE060000}"/>
    <cellStyle name="n2" xfId="1141" xr:uid="{00000000-0005-0000-0000-0000CF060000}"/>
    <cellStyle name="n2 2" xfId="1142" xr:uid="{00000000-0005-0000-0000-0000D0060000}"/>
    <cellStyle name="NA is zero" xfId="517" xr:uid="{00000000-0005-0000-0000-0000D1060000}"/>
    <cellStyle name="Name" xfId="1143" xr:uid="{00000000-0005-0000-0000-0000D2060000}"/>
    <cellStyle name="Neutral" xfId="518" builtinId="28" customBuiltin="1"/>
    <cellStyle name="Neutral 2" xfId="519" xr:uid="{00000000-0005-0000-0000-0000D4060000}"/>
    <cellStyle name="Neutral 2 2" xfId="1144" xr:uid="{00000000-0005-0000-0000-0000D5060000}"/>
    <cellStyle name="Neutral 2 3" xfId="2586" xr:uid="{00000000-0005-0000-0000-0000D6060000}"/>
    <cellStyle name="Neutral 3" xfId="2278" xr:uid="{00000000-0005-0000-0000-0000D7060000}"/>
    <cellStyle name="Neutral 4" xfId="2279" xr:uid="{00000000-0005-0000-0000-0000D8060000}"/>
    <cellStyle name="Neutral 5" xfId="2280" xr:uid="{00000000-0005-0000-0000-0000D9060000}"/>
    <cellStyle name="Neutral 6" xfId="2281" xr:uid="{00000000-0005-0000-0000-0000DA060000}"/>
    <cellStyle name="no" xfId="1145" xr:uid="{00000000-0005-0000-0000-0000DB060000}"/>
    <cellStyle name="no dec" xfId="520" xr:uid="{00000000-0005-0000-0000-0000DC060000}"/>
    <cellStyle name="No.s to 1dp" xfId="1146" xr:uid="{00000000-0005-0000-0000-0000DD060000}"/>
    <cellStyle name="NonPrint_Heading" xfId="1147" xr:uid="{00000000-0005-0000-0000-0000DE060000}"/>
    <cellStyle name="Normal" xfId="0" builtinId="0"/>
    <cellStyle name="Normal - Style1" xfId="521" xr:uid="{00000000-0005-0000-0000-0000E0060000}"/>
    <cellStyle name="Normal - Style1 11" xfId="2842" xr:uid="{DC5EA6C1-CDC5-48A5-BABA-1BF04E5722A9}"/>
    <cellStyle name="Normal - Style1 2_Project CF &amp; Project Structures" xfId="2836" xr:uid="{3777C85B-0600-47E4-8AD7-5FD99439E145}"/>
    <cellStyle name="Normal - Style2" xfId="522" xr:uid="{00000000-0005-0000-0000-0000E1060000}"/>
    <cellStyle name="Normal - Style3" xfId="523" xr:uid="{00000000-0005-0000-0000-0000E2060000}"/>
    <cellStyle name="Normal [0]" xfId="524" xr:uid="{00000000-0005-0000-0000-0000E3060000}"/>
    <cellStyle name="Normal [1]" xfId="525" xr:uid="{00000000-0005-0000-0000-0000E4060000}"/>
    <cellStyle name="Normal [1] 2" xfId="1910" xr:uid="{00000000-0005-0000-0000-0000E5060000}"/>
    <cellStyle name="Normal [2]" xfId="526" xr:uid="{00000000-0005-0000-0000-0000E6060000}"/>
    <cellStyle name="Normal [3]" xfId="527" xr:uid="{00000000-0005-0000-0000-0000E7060000}"/>
    <cellStyle name="Normal 10" xfId="1148" xr:uid="{00000000-0005-0000-0000-0000E8060000}"/>
    <cellStyle name="Normal 10 11" xfId="2889" xr:uid="{BD67DB34-83C5-4EDC-8217-662F27069D33}"/>
    <cellStyle name="Normal 10 2" xfId="2282" xr:uid="{00000000-0005-0000-0000-0000E9060000}"/>
    <cellStyle name="Normal 10 3" xfId="2587" xr:uid="{00000000-0005-0000-0000-0000EA060000}"/>
    <cellStyle name="Normal 10 4" xfId="2912" xr:uid="{771A17B4-C4C4-409D-9EFA-006B3BE98A59}"/>
    <cellStyle name="Normal 11" xfId="1149" xr:uid="{00000000-0005-0000-0000-0000EB060000}"/>
    <cellStyle name="Normal 11 2" xfId="2283" xr:uid="{00000000-0005-0000-0000-0000EC060000}"/>
    <cellStyle name="Normal 11 3" xfId="2588" xr:uid="{00000000-0005-0000-0000-0000ED060000}"/>
    <cellStyle name="Normal 12" xfId="1150" xr:uid="{00000000-0005-0000-0000-0000EE060000}"/>
    <cellStyle name="Normal 12 2" xfId="2284" xr:uid="{00000000-0005-0000-0000-0000EF060000}"/>
    <cellStyle name="Normal 12 3" xfId="2589" xr:uid="{00000000-0005-0000-0000-0000F0060000}"/>
    <cellStyle name="Normal 13" xfId="1151" xr:uid="{00000000-0005-0000-0000-0000F1060000}"/>
    <cellStyle name="Normal 13 2" xfId="2285" xr:uid="{00000000-0005-0000-0000-0000F2060000}"/>
    <cellStyle name="Normal 13 3" xfId="2590" xr:uid="{00000000-0005-0000-0000-0000F3060000}"/>
    <cellStyle name="Normal 14" xfId="1152" xr:uid="{00000000-0005-0000-0000-0000F4060000}"/>
    <cellStyle name="Normal 14 2" xfId="2286" xr:uid="{00000000-0005-0000-0000-0000F5060000}"/>
    <cellStyle name="Normal 14 3" xfId="2591" xr:uid="{00000000-0005-0000-0000-0000F6060000}"/>
    <cellStyle name="Normal 14 4" xfId="2637" xr:uid="{00000000-0005-0000-0000-0000F7060000}"/>
    <cellStyle name="Normal 14 5" xfId="2655" xr:uid="{00000000-0005-0000-0000-0000F8060000}"/>
    <cellStyle name="Normal 14 6" xfId="2667" xr:uid="{00000000-0005-0000-0000-0000F9060000}"/>
    <cellStyle name="Normal 14 7" xfId="2741" xr:uid="{00000000-0005-0000-0000-0000FA060000}"/>
    <cellStyle name="Normal 14 8" xfId="2763" xr:uid="{00000000-0005-0000-0000-0000FB060000}"/>
    <cellStyle name="Normal 14 9" xfId="2780" xr:uid="{00000000-0005-0000-0000-0000FC060000}"/>
    <cellStyle name="Normal 15" xfId="1153" xr:uid="{00000000-0005-0000-0000-0000FD060000}"/>
    <cellStyle name="Normal 15 2" xfId="2288" xr:uid="{00000000-0005-0000-0000-0000FE060000}"/>
    <cellStyle name="Normal 15 2 2" xfId="2289" xr:uid="{00000000-0005-0000-0000-0000FF060000}"/>
    <cellStyle name="Normal 15 2 2 2" xfId="2290" xr:uid="{00000000-0005-0000-0000-000000070000}"/>
    <cellStyle name="Normal 15 2 3" xfId="2291" xr:uid="{00000000-0005-0000-0000-000001070000}"/>
    <cellStyle name="Normal 15 3" xfId="2292" xr:uid="{00000000-0005-0000-0000-000002070000}"/>
    <cellStyle name="Normal 15 3 2" xfId="2293" xr:uid="{00000000-0005-0000-0000-000003070000}"/>
    <cellStyle name="Normal 15 3 2 2" xfId="2294" xr:uid="{00000000-0005-0000-0000-000004070000}"/>
    <cellStyle name="Normal 15 3 3" xfId="2295" xr:uid="{00000000-0005-0000-0000-000005070000}"/>
    <cellStyle name="Normal 15 4" xfId="2296" xr:uid="{00000000-0005-0000-0000-000006070000}"/>
    <cellStyle name="Normal 15 4 2" xfId="2297" xr:uid="{00000000-0005-0000-0000-000007070000}"/>
    <cellStyle name="Normal 15 5" xfId="2298" xr:uid="{00000000-0005-0000-0000-000008070000}"/>
    <cellStyle name="Normal 15 6" xfId="2287" xr:uid="{00000000-0005-0000-0000-000009070000}"/>
    <cellStyle name="Normal 15 7" xfId="2592" xr:uid="{00000000-0005-0000-0000-00000A070000}"/>
    <cellStyle name="Normal 16" xfId="1154" xr:uid="{00000000-0005-0000-0000-00000B070000}"/>
    <cellStyle name="Normal 16 2" xfId="1636" xr:uid="{00000000-0005-0000-0000-00000C070000}"/>
    <cellStyle name="Normal 16 2 2" xfId="2688" xr:uid="{00000000-0005-0000-0000-00000D070000}"/>
    <cellStyle name="Normal 16 3" xfId="2299" xr:uid="{00000000-0005-0000-0000-00000E070000}"/>
    <cellStyle name="Normal 16 4" xfId="2687" xr:uid="{00000000-0005-0000-0000-00000F070000}"/>
    <cellStyle name="Normal 17" xfId="1155" xr:uid="{00000000-0005-0000-0000-000010070000}"/>
    <cellStyle name="Normal 17 2" xfId="1637" xr:uid="{00000000-0005-0000-0000-000011070000}"/>
    <cellStyle name="Normal 17 2 2" xfId="2690" xr:uid="{00000000-0005-0000-0000-000012070000}"/>
    <cellStyle name="Normal 17 3" xfId="2300" xr:uid="{00000000-0005-0000-0000-000013070000}"/>
    <cellStyle name="Normal 17 4" xfId="2689" xr:uid="{00000000-0005-0000-0000-000014070000}"/>
    <cellStyle name="Normal 18" xfId="1156" xr:uid="{00000000-0005-0000-0000-000015070000}"/>
    <cellStyle name="Normal 18 2" xfId="1638" xr:uid="{00000000-0005-0000-0000-000016070000}"/>
    <cellStyle name="Normal 18 2 2" xfId="2692" xr:uid="{00000000-0005-0000-0000-000017070000}"/>
    <cellStyle name="Normal 18 2 3" xfId="2838" xr:uid="{75DA34E5-A467-471C-A4A1-C61AF403E102}"/>
    <cellStyle name="Normal 18 2 8 2 2" xfId="2894" xr:uid="{E815865F-A596-40ED-8383-DA266BC6EC43}"/>
    <cellStyle name="Normal 18 3" xfId="2301" xr:uid="{00000000-0005-0000-0000-000018070000}"/>
    <cellStyle name="Normal 18 4" xfId="2691" xr:uid="{00000000-0005-0000-0000-000019070000}"/>
    <cellStyle name="Normal 19" xfId="1916" xr:uid="{00000000-0005-0000-0000-00001A070000}"/>
    <cellStyle name="Normal 19 2" xfId="2302" xr:uid="{00000000-0005-0000-0000-00001B070000}"/>
    <cellStyle name="Normal 19 3" xfId="2693" xr:uid="{00000000-0005-0000-0000-00001C070000}"/>
    <cellStyle name="Normal 2" xfId="528" xr:uid="{00000000-0005-0000-0000-00001D070000}"/>
    <cellStyle name="Normal 2 10 2" xfId="2881" xr:uid="{A38338A0-5386-4939-A58D-BE0C8E4574F6}"/>
    <cellStyle name="Normal 2 16 2" xfId="2882" xr:uid="{313549E4-8E5F-4900-B2A5-C976E952C7D8}"/>
    <cellStyle name="Normal 2 17" xfId="2818" xr:uid="{50999A38-2A27-45D0-9207-FDB90D8550C6}"/>
    <cellStyle name="Normal 2 17 2" xfId="2888" xr:uid="{16111C2E-9C03-48D7-9AA0-539A7FA61E4C}"/>
    <cellStyle name="Normal 2 2" xfId="629" xr:uid="{00000000-0005-0000-0000-00001E070000}"/>
    <cellStyle name="Normal 2 2 2" xfId="1158" xr:uid="{00000000-0005-0000-0000-00001F070000}"/>
    <cellStyle name="Normal 2 2 2 2" xfId="2304" xr:uid="{00000000-0005-0000-0000-000020070000}"/>
    <cellStyle name="Normal 2 2 3" xfId="2303" xr:uid="{00000000-0005-0000-0000-000021070000}"/>
    <cellStyle name="Normal 2 2 3 2" xfId="2694" xr:uid="{00000000-0005-0000-0000-000022070000}"/>
    <cellStyle name="Normal 2 2 4" xfId="2845" xr:uid="{D7972133-5A11-4D2B-BB76-C350DA608ED9}"/>
    <cellStyle name="Normal 2 2 7" xfId="2883" xr:uid="{FFF418FB-0C6E-4888-8C98-86AAD8717333}"/>
    <cellStyle name="Normal 2 3" xfId="1157" xr:uid="{00000000-0005-0000-0000-000023070000}"/>
    <cellStyle name="Normal 2 3 10" xfId="2959" xr:uid="{FD8FD3FD-87DB-4F5A-8544-FCCD5142DC30}"/>
    <cellStyle name="Normal 2 3 2" xfId="2593" xr:uid="{00000000-0005-0000-0000-000024070000}"/>
    <cellStyle name="Normal 2 3 3" xfId="2638" xr:uid="{00000000-0005-0000-0000-000025070000}"/>
    <cellStyle name="Normal 2 3 4" xfId="2656" xr:uid="{00000000-0005-0000-0000-000026070000}"/>
    <cellStyle name="Normal 2 3 5" xfId="2668" xr:uid="{00000000-0005-0000-0000-000027070000}"/>
    <cellStyle name="Normal 2 3 6" xfId="2742" xr:uid="{00000000-0005-0000-0000-000028070000}"/>
    <cellStyle name="Normal 2 3 7" xfId="2764" xr:uid="{00000000-0005-0000-0000-000029070000}"/>
    <cellStyle name="Normal 2 3 8" xfId="2781" xr:uid="{00000000-0005-0000-0000-00002A070000}"/>
    <cellStyle name="Normal 2 3 9" xfId="2841" xr:uid="{F55A5ED2-83CE-4388-8BDF-82FB5FE730EC}"/>
    <cellStyle name="Normal 2 4" xfId="653" xr:uid="{00000000-0005-0000-0000-00002B070000}"/>
    <cellStyle name="Normal 2 4 2" xfId="2305" xr:uid="{00000000-0005-0000-0000-00002C070000}"/>
    <cellStyle name="Normal 2 4 2 2" xfId="2695" xr:uid="{00000000-0005-0000-0000-00002D070000}"/>
    <cellStyle name="Normal 2 5" xfId="2306" xr:uid="{00000000-0005-0000-0000-00002E070000}"/>
    <cellStyle name="Normal 2 6" xfId="2835" xr:uid="{39F78AF6-A78A-4159-8EB7-BECDBFD6E3E3}"/>
    <cellStyle name="Normal 2 7" xfId="2921" xr:uid="{F98310C9-7025-4290-910A-DDCBEFFC3C07}"/>
    <cellStyle name="Normal 2_Adjustment WP" xfId="2307" xr:uid="{00000000-0005-0000-0000-00002F070000}"/>
    <cellStyle name="Normal 20" xfId="1159" xr:uid="{00000000-0005-0000-0000-000030070000}"/>
    <cellStyle name="Normal 20 2" xfId="2308" xr:uid="{00000000-0005-0000-0000-000031070000}"/>
    <cellStyle name="Normal 206" xfId="2844" xr:uid="{24C3DDB9-514C-49D6-A9ED-1B0463B3122F}"/>
    <cellStyle name="Normal 206 2" xfId="2890" xr:uid="{12338EFC-2116-4BBD-9999-F3F37F5009B2}"/>
    <cellStyle name="Normal 206 3" xfId="2885" xr:uid="{937FF39F-496C-4B90-8653-5944AE333E8E}"/>
    <cellStyle name="Normal 21" xfId="2309" xr:uid="{00000000-0005-0000-0000-000032070000}"/>
    <cellStyle name="Normal 21 2" xfId="2696" xr:uid="{00000000-0005-0000-0000-000033070000}"/>
    <cellStyle name="Normal 22" xfId="2310" xr:uid="{00000000-0005-0000-0000-000034070000}"/>
    <cellStyle name="Normal 22 2" xfId="2697" xr:uid="{00000000-0005-0000-0000-000035070000}"/>
    <cellStyle name="Normal 23" xfId="2311" xr:uid="{00000000-0005-0000-0000-000036070000}"/>
    <cellStyle name="Normal 23 2" xfId="2698" xr:uid="{00000000-0005-0000-0000-000037070000}"/>
    <cellStyle name="Normal 24" xfId="2312" xr:uid="{00000000-0005-0000-0000-000038070000}"/>
    <cellStyle name="Normal 24 2" xfId="2699" xr:uid="{00000000-0005-0000-0000-000039070000}"/>
    <cellStyle name="Normal 25" xfId="2313" xr:uid="{00000000-0005-0000-0000-00003A070000}"/>
    <cellStyle name="Normal 25 2" xfId="2700" xr:uid="{00000000-0005-0000-0000-00003B070000}"/>
    <cellStyle name="Normal 26" xfId="2314" xr:uid="{00000000-0005-0000-0000-00003C070000}"/>
    <cellStyle name="Normal 26 2" xfId="2701" xr:uid="{00000000-0005-0000-0000-00003D070000}"/>
    <cellStyle name="Normal 27" xfId="2315" xr:uid="{00000000-0005-0000-0000-00003E070000}"/>
    <cellStyle name="Normal 27 2" xfId="2702" xr:uid="{00000000-0005-0000-0000-00003F070000}"/>
    <cellStyle name="Normal 28" xfId="2316" xr:uid="{00000000-0005-0000-0000-000040070000}"/>
    <cellStyle name="Normal 28 2" xfId="2703" xr:uid="{00000000-0005-0000-0000-000041070000}"/>
    <cellStyle name="Normal 29" xfId="2317" xr:uid="{00000000-0005-0000-0000-000042070000}"/>
    <cellStyle name="Normal 29 2" xfId="2704" xr:uid="{00000000-0005-0000-0000-000043070000}"/>
    <cellStyle name="Normal 3" xfId="529" xr:uid="{00000000-0005-0000-0000-000044070000}"/>
    <cellStyle name="Normal 3 10" xfId="2813" xr:uid="{00000000-0005-0000-0000-000045070000}"/>
    <cellStyle name="Normal 3 11" xfId="2928" xr:uid="{063270D5-6124-4E3E-9418-439517451943}"/>
    <cellStyle name="Normal 3 188" xfId="2887" xr:uid="{9E633A0A-2F6F-435A-9A57-DF2207781BC8}"/>
    <cellStyle name="Normal 3 2" xfId="1160" xr:uid="{00000000-0005-0000-0000-000046070000}"/>
    <cellStyle name="Normal 3 2 2" xfId="2318" xr:uid="{00000000-0005-0000-0000-000047070000}"/>
    <cellStyle name="Normal 3 2 3" xfId="2851" xr:uid="{E5629B69-5A39-4801-9C90-EB32A5CD6CEC}"/>
    <cellStyle name="Normal 3 2 4" xfId="2935" xr:uid="{4225DE06-E651-42DC-B54D-F90B810B20FC}"/>
    <cellStyle name="Normal 3 3" xfId="2319" xr:uid="{00000000-0005-0000-0000-000048070000}"/>
    <cellStyle name="Normal 3 3 2" xfId="2706" xr:uid="{00000000-0005-0000-0000-000049070000}"/>
    <cellStyle name="Normal 3 3 3" xfId="2705" xr:uid="{00000000-0005-0000-0000-00004A070000}"/>
    <cellStyle name="Normal 3 4" xfId="2320" xr:uid="{00000000-0005-0000-0000-00004B070000}"/>
    <cellStyle name="Normal 3 4 2" xfId="2707" xr:uid="{00000000-0005-0000-0000-00004C070000}"/>
    <cellStyle name="Normal 3 5" xfId="2321" xr:uid="{00000000-0005-0000-0000-00004D070000}"/>
    <cellStyle name="Normal 3 6" xfId="2322" xr:uid="{00000000-0005-0000-0000-00004E070000}"/>
    <cellStyle name="Normal 3 7" xfId="2323" xr:uid="{00000000-0005-0000-0000-00004F070000}"/>
    <cellStyle name="Normal 3 8" xfId="2324" xr:uid="{00000000-0005-0000-0000-000050070000}"/>
    <cellStyle name="Normal 3 9" xfId="2805" xr:uid="{00000000-0005-0000-0000-000051070000}"/>
    <cellStyle name="Normal 3_108 Summary" xfId="2325" xr:uid="{00000000-0005-0000-0000-000052070000}"/>
    <cellStyle name="Normal 30" xfId="2326" xr:uid="{00000000-0005-0000-0000-000053070000}"/>
    <cellStyle name="Normal 30 2" xfId="2732" xr:uid="{00000000-0005-0000-0000-000054070000}"/>
    <cellStyle name="Normal 31" xfId="2327" xr:uid="{00000000-0005-0000-0000-000055070000}"/>
    <cellStyle name="Normal 32" xfId="2328" xr:uid="{00000000-0005-0000-0000-000056070000}"/>
    <cellStyle name="Normal 33" xfId="2329" xr:uid="{00000000-0005-0000-0000-000057070000}"/>
    <cellStyle name="Normal 34" xfId="2330" xr:uid="{00000000-0005-0000-0000-000058070000}"/>
    <cellStyle name="Normal 35" xfId="1161" xr:uid="{00000000-0005-0000-0000-000059070000}"/>
    <cellStyle name="Normal 35 2" xfId="2332" xr:uid="{00000000-0005-0000-0000-00005A070000}"/>
    <cellStyle name="Normal 35 2 2" xfId="2333" xr:uid="{00000000-0005-0000-0000-00005B070000}"/>
    <cellStyle name="Normal 35 2 2 2" xfId="2334" xr:uid="{00000000-0005-0000-0000-00005C070000}"/>
    <cellStyle name="Normal 35 2 3" xfId="2335" xr:uid="{00000000-0005-0000-0000-00005D070000}"/>
    <cellStyle name="Normal 35 3" xfId="2336" xr:uid="{00000000-0005-0000-0000-00005E070000}"/>
    <cellStyle name="Normal 35 3 2" xfId="2337" xr:uid="{00000000-0005-0000-0000-00005F070000}"/>
    <cellStyle name="Normal 35 3 2 2" xfId="2338" xr:uid="{00000000-0005-0000-0000-000060070000}"/>
    <cellStyle name="Normal 35 3 3" xfId="2339" xr:uid="{00000000-0005-0000-0000-000061070000}"/>
    <cellStyle name="Normal 35 4" xfId="2340" xr:uid="{00000000-0005-0000-0000-000062070000}"/>
    <cellStyle name="Normal 35 4 2" xfId="2341" xr:uid="{00000000-0005-0000-0000-000063070000}"/>
    <cellStyle name="Normal 35 5" xfId="2342" xr:uid="{00000000-0005-0000-0000-000064070000}"/>
    <cellStyle name="Normal 35 6" xfId="2331" xr:uid="{00000000-0005-0000-0000-000065070000}"/>
    <cellStyle name="Normal 36" xfId="2343" xr:uid="{00000000-0005-0000-0000-000066070000}"/>
    <cellStyle name="Normal 36 2" xfId="2344" xr:uid="{00000000-0005-0000-0000-000067070000}"/>
    <cellStyle name="Normal 37" xfId="1919" xr:uid="{00000000-0005-0000-0000-000068070000}"/>
    <cellStyle name="Normal 38" xfId="2566" xr:uid="{00000000-0005-0000-0000-000069070000}"/>
    <cellStyle name="Normal 39" xfId="2617" xr:uid="{00000000-0005-0000-0000-00006A070000}"/>
    <cellStyle name="Normal 4" xfId="530" xr:uid="{00000000-0005-0000-0000-00006B070000}"/>
    <cellStyle name="Normal 4 2" xfId="624" xr:uid="{00000000-0005-0000-0000-00006C070000}"/>
    <cellStyle name="Normal 4 2 2" xfId="1162" xr:uid="{00000000-0005-0000-0000-00006D070000}"/>
    <cellStyle name="Normal 4 2 3" xfId="2345" xr:uid="{00000000-0005-0000-0000-00006E070000}"/>
    <cellStyle name="Normal 4 2 4" xfId="2895" xr:uid="{44197430-CD71-455A-9584-CFA9F5A6572E}"/>
    <cellStyle name="Normal 4 3" xfId="1163" xr:uid="{00000000-0005-0000-0000-00006F070000}"/>
    <cellStyle name="Normal 4 3 2" xfId="2346" xr:uid="{00000000-0005-0000-0000-000070070000}"/>
    <cellStyle name="Normal 4 3 2 2" xfId="2819" xr:uid="{1C9F30FC-05DF-4D6C-AFEF-3811CE6EC545}"/>
    <cellStyle name="Normal 4 4" xfId="2347" xr:uid="{00000000-0005-0000-0000-000071070000}"/>
    <cellStyle name="Normal 4 5" xfId="2348" xr:uid="{00000000-0005-0000-0000-000072070000}"/>
    <cellStyle name="Normal 4 6" xfId="2594" xr:uid="{00000000-0005-0000-0000-000073070000}"/>
    <cellStyle name="Normal 4 7" xfId="2843" xr:uid="{D220C769-831E-4CF1-B638-C161B7BB28CF}"/>
    <cellStyle name="Normal 40" xfId="2629" xr:uid="{00000000-0005-0000-0000-000074070000}"/>
    <cellStyle name="Normal 41" xfId="2631" xr:uid="{00000000-0005-0000-0000-000075070000}"/>
    <cellStyle name="Normal 42" xfId="2647" xr:uid="{00000000-0005-0000-0000-000076070000}"/>
    <cellStyle name="Normal 43" xfId="2649" xr:uid="{00000000-0005-0000-0000-000077070000}"/>
    <cellStyle name="Normal 44" xfId="2661" xr:uid="{00000000-0005-0000-0000-000078070000}"/>
    <cellStyle name="Normal 45" xfId="2735" xr:uid="{00000000-0005-0000-0000-000079070000}"/>
    <cellStyle name="Normal 46" xfId="2753" xr:uid="{00000000-0005-0000-0000-00007A070000}"/>
    <cellStyle name="Normal 47" xfId="2755" xr:uid="{00000000-0005-0000-0000-00007B070000}"/>
    <cellStyle name="Normal 48" xfId="2757" xr:uid="{00000000-0005-0000-0000-00007C070000}"/>
    <cellStyle name="Normal 49" xfId="2758" xr:uid="{00000000-0005-0000-0000-00007D070000}"/>
    <cellStyle name="Normal 5" xfId="627" xr:uid="{00000000-0005-0000-0000-00007E070000}"/>
    <cellStyle name="Normal 5 2" xfId="650" xr:uid="{00000000-0005-0000-0000-00007F070000}"/>
    <cellStyle name="Normal 5 2 2" xfId="2349" xr:uid="{00000000-0005-0000-0000-000080070000}"/>
    <cellStyle name="Normal 5 3" xfId="1164" xr:uid="{00000000-0005-0000-0000-000081070000}"/>
    <cellStyle name="Normal 5 4" xfId="2852" xr:uid="{4F99146F-A6D6-485F-8334-0C0F38CE1E4B}"/>
    <cellStyle name="Normal 5 5" xfId="2931" xr:uid="{C1B54730-AF2F-4A42-B689-1EA039437A38}"/>
    <cellStyle name="Normal 50" xfId="2771" xr:uid="{00000000-0005-0000-0000-000082070000}"/>
    <cellStyle name="Normal 51" xfId="2772" xr:uid="{00000000-0005-0000-0000-000083070000}"/>
    <cellStyle name="Normal 51 2" xfId="2832" xr:uid="{E8BBC18A-0039-45AC-B966-80ACDE8DFF4C}"/>
    <cellStyle name="Normal 52" xfId="2794" xr:uid="{00000000-0005-0000-0000-000084070000}"/>
    <cellStyle name="Normal 53" xfId="2797" xr:uid="{00000000-0005-0000-0000-000085070000}"/>
    <cellStyle name="Normal 54" xfId="2799" xr:uid="{00000000-0005-0000-0000-000086070000}"/>
    <cellStyle name="Normal 55" xfId="2795" xr:uid="{00000000-0005-0000-0000-000087070000}"/>
    <cellStyle name="Normal 56" xfId="2801" xr:uid="{00000000-0005-0000-0000-000088070000}"/>
    <cellStyle name="Normal 57" xfId="2802" xr:uid="{00000000-0005-0000-0000-000089070000}"/>
    <cellStyle name="Normal 57 2" xfId="2848" xr:uid="{4892BCAA-115D-4CFA-A119-122DCAC4C2EF}"/>
    <cellStyle name="Normal 58" xfId="2808" xr:uid="{00000000-0005-0000-0000-00008A070000}"/>
    <cellStyle name="Normal 58 5" xfId="2849" xr:uid="{B81BB4FE-FCD7-4594-BAEE-7580F6CFE0B8}"/>
    <cellStyle name="Normal 59" xfId="2810" xr:uid="{00000000-0005-0000-0000-00008B070000}"/>
    <cellStyle name="Normal 6" xfId="631" xr:uid="{00000000-0005-0000-0000-00008C070000}"/>
    <cellStyle name="Normal 6 10" xfId="2351" xr:uid="{00000000-0005-0000-0000-00008D070000}"/>
    <cellStyle name="Normal 6 10 2" xfId="2352" xr:uid="{00000000-0005-0000-0000-00008E070000}"/>
    <cellStyle name="Normal 6 10 2 2" xfId="2353" xr:uid="{00000000-0005-0000-0000-00008F070000}"/>
    <cellStyle name="Normal 6 10 3" xfId="2354" xr:uid="{00000000-0005-0000-0000-000090070000}"/>
    <cellStyle name="Normal 6 11" xfId="2350" xr:uid="{00000000-0005-0000-0000-000091070000}"/>
    <cellStyle name="Normal 6 12" xfId="2595" xr:uid="{00000000-0005-0000-0000-000092070000}"/>
    <cellStyle name="Normal 6 13" xfId="2837" xr:uid="{E4C24A76-4301-408B-8BB4-DA703314D7DA}"/>
    <cellStyle name="Normal 6 14" xfId="2936" xr:uid="{139F4D31-1AF2-4496-9664-8E42FCD856B8}"/>
    <cellStyle name="Normal 6 2" xfId="651" xr:uid="{00000000-0005-0000-0000-000093070000}"/>
    <cellStyle name="Normal 6 2 2" xfId="2356" xr:uid="{00000000-0005-0000-0000-000094070000}"/>
    <cellStyle name="Normal 6 2 2 2" xfId="2357" xr:uid="{00000000-0005-0000-0000-000095070000}"/>
    <cellStyle name="Normal 6 2 2 2 2" xfId="2358" xr:uid="{00000000-0005-0000-0000-000096070000}"/>
    <cellStyle name="Normal 6 2 2 3" xfId="2359" xr:uid="{00000000-0005-0000-0000-000097070000}"/>
    <cellStyle name="Normal 6 2 3" xfId="2360" xr:uid="{00000000-0005-0000-0000-000098070000}"/>
    <cellStyle name="Normal 6 2 3 2" xfId="2361" xr:uid="{00000000-0005-0000-0000-000099070000}"/>
    <cellStyle name="Normal 6 2 3 2 2" xfId="2362" xr:uid="{00000000-0005-0000-0000-00009A070000}"/>
    <cellStyle name="Normal 6 2 3 3" xfId="2363" xr:uid="{00000000-0005-0000-0000-00009B070000}"/>
    <cellStyle name="Normal 6 2 4" xfId="2364" xr:uid="{00000000-0005-0000-0000-00009C070000}"/>
    <cellStyle name="Normal 6 2 4 2" xfId="2365" xr:uid="{00000000-0005-0000-0000-00009D070000}"/>
    <cellStyle name="Normal 6 2 5" xfId="2366" xr:uid="{00000000-0005-0000-0000-00009E070000}"/>
    <cellStyle name="Normal 6 2 6" xfId="2355" xr:uid="{00000000-0005-0000-0000-00009F070000}"/>
    <cellStyle name="Normal 6 3" xfId="1165" xr:uid="{00000000-0005-0000-0000-0000A0070000}"/>
    <cellStyle name="Normal 6 3 2" xfId="2368" xr:uid="{00000000-0005-0000-0000-0000A1070000}"/>
    <cellStyle name="Normal 6 3 2 2" xfId="2369" xr:uid="{00000000-0005-0000-0000-0000A2070000}"/>
    <cellStyle name="Normal 6 3 2 2 2" xfId="2370" xr:uid="{00000000-0005-0000-0000-0000A3070000}"/>
    <cellStyle name="Normal 6 3 2 3" xfId="2371" xr:uid="{00000000-0005-0000-0000-0000A4070000}"/>
    <cellStyle name="Normal 6 3 3" xfId="2372" xr:uid="{00000000-0005-0000-0000-0000A5070000}"/>
    <cellStyle name="Normal 6 3 3 2" xfId="2373" xr:uid="{00000000-0005-0000-0000-0000A6070000}"/>
    <cellStyle name="Normal 6 3 3 2 2" xfId="2374" xr:uid="{00000000-0005-0000-0000-0000A7070000}"/>
    <cellStyle name="Normal 6 3 3 3" xfId="2375" xr:uid="{00000000-0005-0000-0000-0000A8070000}"/>
    <cellStyle name="Normal 6 3 4" xfId="2376" xr:uid="{00000000-0005-0000-0000-0000A9070000}"/>
    <cellStyle name="Normal 6 3 4 2" xfId="2377" xr:uid="{00000000-0005-0000-0000-0000AA070000}"/>
    <cellStyle name="Normal 6 3 5" xfId="2378" xr:uid="{00000000-0005-0000-0000-0000AB070000}"/>
    <cellStyle name="Normal 6 3 6" xfId="2367" xr:uid="{00000000-0005-0000-0000-0000AC070000}"/>
    <cellStyle name="Normal 6 4" xfId="2379" xr:uid="{00000000-0005-0000-0000-0000AD070000}"/>
    <cellStyle name="Normal 6 4 2" xfId="2380" xr:uid="{00000000-0005-0000-0000-0000AE070000}"/>
    <cellStyle name="Normal 6 4 2 2" xfId="2381" xr:uid="{00000000-0005-0000-0000-0000AF070000}"/>
    <cellStyle name="Normal 6 4 2 2 2" xfId="2382" xr:uid="{00000000-0005-0000-0000-0000B0070000}"/>
    <cellStyle name="Normal 6 4 2 3" xfId="2383" xr:uid="{00000000-0005-0000-0000-0000B1070000}"/>
    <cellStyle name="Normal 6 4 3" xfId="2384" xr:uid="{00000000-0005-0000-0000-0000B2070000}"/>
    <cellStyle name="Normal 6 4 3 2" xfId="2385" xr:uid="{00000000-0005-0000-0000-0000B3070000}"/>
    <cellStyle name="Normal 6 4 3 2 2" xfId="2386" xr:uid="{00000000-0005-0000-0000-0000B4070000}"/>
    <cellStyle name="Normal 6 4 3 3" xfId="2387" xr:uid="{00000000-0005-0000-0000-0000B5070000}"/>
    <cellStyle name="Normal 6 4 4" xfId="2388" xr:uid="{00000000-0005-0000-0000-0000B6070000}"/>
    <cellStyle name="Normal 6 4 4 2" xfId="2389" xr:uid="{00000000-0005-0000-0000-0000B7070000}"/>
    <cellStyle name="Normal 6 4 5" xfId="2390" xr:uid="{00000000-0005-0000-0000-0000B8070000}"/>
    <cellStyle name="Normal 6 5" xfId="2391" xr:uid="{00000000-0005-0000-0000-0000B9070000}"/>
    <cellStyle name="Normal 6 5 2" xfId="2392" xr:uid="{00000000-0005-0000-0000-0000BA070000}"/>
    <cellStyle name="Normal 6 5 2 2" xfId="2393" xr:uid="{00000000-0005-0000-0000-0000BB070000}"/>
    <cellStyle name="Normal 6 5 2 2 2" xfId="2394" xr:uid="{00000000-0005-0000-0000-0000BC070000}"/>
    <cellStyle name="Normal 6 5 2 3" xfId="2395" xr:uid="{00000000-0005-0000-0000-0000BD070000}"/>
    <cellStyle name="Normal 6 5 3" xfId="2396" xr:uid="{00000000-0005-0000-0000-0000BE070000}"/>
    <cellStyle name="Normal 6 5 3 2" xfId="2397" xr:uid="{00000000-0005-0000-0000-0000BF070000}"/>
    <cellStyle name="Normal 6 5 3 2 2" xfId="2398" xr:uid="{00000000-0005-0000-0000-0000C0070000}"/>
    <cellStyle name="Normal 6 5 3 3" xfId="2399" xr:uid="{00000000-0005-0000-0000-0000C1070000}"/>
    <cellStyle name="Normal 6 5 4" xfId="2400" xr:uid="{00000000-0005-0000-0000-0000C2070000}"/>
    <cellStyle name="Normal 6 5 4 2" xfId="2401" xr:uid="{00000000-0005-0000-0000-0000C3070000}"/>
    <cellStyle name="Normal 6 5 5" xfId="2402" xr:uid="{00000000-0005-0000-0000-0000C4070000}"/>
    <cellStyle name="Normal 6 6" xfId="2403" xr:uid="{00000000-0005-0000-0000-0000C5070000}"/>
    <cellStyle name="Normal 6 6 2" xfId="2404" xr:uid="{00000000-0005-0000-0000-0000C6070000}"/>
    <cellStyle name="Normal 6 6 2 2" xfId="2405" xr:uid="{00000000-0005-0000-0000-0000C7070000}"/>
    <cellStyle name="Normal 6 6 2 2 2" xfId="2406" xr:uid="{00000000-0005-0000-0000-0000C8070000}"/>
    <cellStyle name="Normal 6 6 2 3" xfId="2407" xr:uid="{00000000-0005-0000-0000-0000C9070000}"/>
    <cellStyle name="Normal 6 6 3" xfId="2408" xr:uid="{00000000-0005-0000-0000-0000CA070000}"/>
    <cellStyle name="Normal 6 6 3 2" xfId="2409" xr:uid="{00000000-0005-0000-0000-0000CB070000}"/>
    <cellStyle name="Normal 6 6 3 2 2" xfId="2410" xr:uid="{00000000-0005-0000-0000-0000CC070000}"/>
    <cellStyle name="Normal 6 6 3 3" xfId="2411" xr:uid="{00000000-0005-0000-0000-0000CD070000}"/>
    <cellStyle name="Normal 6 6 4" xfId="2412" xr:uid="{00000000-0005-0000-0000-0000CE070000}"/>
    <cellStyle name="Normal 6 6 4 2" xfId="2413" xr:uid="{00000000-0005-0000-0000-0000CF070000}"/>
    <cellStyle name="Normal 6 6 5" xfId="2414" xr:uid="{00000000-0005-0000-0000-0000D0070000}"/>
    <cellStyle name="Normal 6 7" xfId="2415" xr:uid="{00000000-0005-0000-0000-0000D1070000}"/>
    <cellStyle name="Normal 6 7 2" xfId="2416" xr:uid="{00000000-0005-0000-0000-0000D2070000}"/>
    <cellStyle name="Normal 6 7 2 2" xfId="2417" xr:uid="{00000000-0005-0000-0000-0000D3070000}"/>
    <cellStyle name="Normal 6 7 2 2 2" xfId="2418" xr:uid="{00000000-0005-0000-0000-0000D4070000}"/>
    <cellStyle name="Normal 6 7 2 3" xfId="2419" xr:uid="{00000000-0005-0000-0000-0000D5070000}"/>
    <cellStyle name="Normal 6 7 3" xfId="2420" xr:uid="{00000000-0005-0000-0000-0000D6070000}"/>
    <cellStyle name="Normal 6 7 3 2" xfId="2421" xr:uid="{00000000-0005-0000-0000-0000D7070000}"/>
    <cellStyle name="Normal 6 7 3 2 2" xfId="2422" xr:uid="{00000000-0005-0000-0000-0000D8070000}"/>
    <cellStyle name="Normal 6 7 3 3" xfId="2423" xr:uid="{00000000-0005-0000-0000-0000D9070000}"/>
    <cellStyle name="Normal 6 7 4" xfId="2424" xr:uid="{00000000-0005-0000-0000-0000DA070000}"/>
    <cellStyle name="Normal 6 7 4 2" xfId="2425" xr:uid="{00000000-0005-0000-0000-0000DB070000}"/>
    <cellStyle name="Normal 6 7 5" xfId="2426" xr:uid="{00000000-0005-0000-0000-0000DC070000}"/>
    <cellStyle name="Normal 6 8" xfId="2427" xr:uid="{00000000-0005-0000-0000-0000DD070000}"/>
    <cellStyle name="Normal 6 8 2" xfId="2428" xr:uid="{00000000-0005-0000-0000-0000DE070000}"/>
    <cellStyle name="Normal 6 8 2 2" xfId="2429" xr:uid="{00000000-0005-0000-0000-0000DF070000}"/>
    <cellStyle name="Normal 6 8 2 2 2" xfId="2430" xr:uid="{00000000-0005-0000-0000-0000E0070000}"/>
    <cellStyle name="Normal 6 8 2 3" xfId="2431" xr:uid="{00000000-0005-0000-0000-0000E1070000}"/>
    <cellStyle name="Normal 6 8 3" xfId="2432" xr:uid="{00000000-0005-0000-0000-0000E2070000}"/>
    <cellStyle name="Normal 6 8 3 2" xfId="2433" xr:uid="{00000000-0005-0000-0000-0000E3070000}"/>
    <cellStyle name="Normal 6 8 3 2 2" xfId="2434" xr:uid="{00000000-0005-0000-0000-0000E4070000}"/>
    <cellStyle name="Normal 6 8 3 3" xfId="2435" xr:uid="{00000000-0005-0000-0000-0000E5070000}"/>
    <cellStyle name="Normal 6 8 4" xfId="2436" xr:uid="{00000000-0005-0000-0000-0000E6070000}"/>
    <cellStyle name="Normal 6 8 4 2" xfId="2437" xr:uid="{00000000-0005-0000-0000-0000E7070000}"/>
    <cellStyle name="Normal 6 8 5" xfId="2438" xr:uid="{00000000-0005-0000-0000-0000E8070000}"/>
    <cellStyle name="Normal 6 9" xfId="2439" xr:uid="{00000000-0005-0000-0000-0000E9070000}"/>
    <cellStyle name="Normal 60" xfId="2815" xr:uid="{AE5A4E50-2408-457F-8B20-2FED5D2025C8}"/>
    <cellStyle name="Normal 61" xfId="2917" xr:uid="{F8ABDB42-719D-419A-BA4D-B6E24847CF45}"/>
    <cellStyle name="Normal 7" xfId="1166" xr:uid="{00000000-0005-0000-0000-0000EA070000}"/>
    <cellStyle name="Normal 7 2" xfId="2440" xr:uid="{00000000-0005-0000-0000-0000EB070000}"/>
    <cellStyle name="Normal 7 3" xfId="2596" xr:uid="{00000000-0005-0000-0000-0000EC070000}"/>
    <cellStyle name="Normal 7 4" xfId="2897" xr:uid="{E719AFA9-5E9C-4EB0-B708-001008810ACF}"/>
    <cellStyle name="Normal 7 5" xfId="2940" xr:uid="{DAC8F036-5EB1-4F6A-A6B0-94C6F9FB665F}"/>
    <cellStyle name="Normal 72 2" xfId="2880" xr:uid="{1DB88341-CA94-4B62-BECF-2BA4B2E65D47}"/>
    <cellStyle name="Normal 8" xfId="1167" xr:uid="{00000000-0005-0000-0000-0000ED070000}"/>
    <cellStyle name="Normal 8 2" xfId="1168" xr:uid="{00000000-0005-0000-0000-0000EE070000}"/>
    <cellStyle name="Normal 8 3" xfId="1169" xr:uid="{00000000-0005-0000-0000-0000EF070000}"/>
    <cellStyle name="Normal 8 4" xfId="2441" xr:uid="{00000000-0005-0000-0000-0000F0070000}"/>
    <cellStyle name="Normal 8 5" xfId="2597" xr:uid="{00000000-0005-0000-0000-0000F1070000}"/>
    <cellStyle name="Normal 8 6" xfId="2899" xr:uid="{62B746A0-DDDA-4C23-97A8-3EBACAB5EC42}"/>
    <cellStyle name="Normal 9" xfId="1170" xr:uid="{00000000-0005-0000-0000-0000F2070000}"/>
    <cellStyle name="Normal 9 2" xfId="2442" xr:uid="{00000000-0005-0000-0000-0000F3070000}"/>
    <cellStyle name="Normal 9 3" xfId="2598" xr:uid="{00000000-0005-0000-0000-0000F4070000}"/>
    <cellStyle name="Normal 9 4" xfId="2909" xr:uid="{6366CCCB-29D1-44E5-8A62-1263CD2EC355}"/>
    <cellStyle name="Normal Bold" xfId="531" xr:uid="{00000000-0005-0000-0000-0000F5070000}"/>
    <cellStyle name="Normal Pct" xfId="532" xr:uid="{00000000-0005-0000-0000-0000F6070000}"/>
    <cellStyle name="Normal_RateReturn_AFUDC" xfId="533" xr:uid="{00000000-0005-0000-0000-0000F7070000}"/>
    <cellStyle name="normal5" xfId="534" xr:uid="{00000000-0005-0000-0000-0000F8070000}"/>
    <cellStyle name="Normale_All 2" xfId="1171" xr:uid="{00000000-0005-0000-0000-0000F9070000}"/>
    <cellStyle name="NormalGB" xfId="535" xr:uid="{00000000-0005-0000-0000-0000FA070000}"/>
    <cellStyle name="NOT" xfId="1172" xr:uid="{00000000-0005-0000-0000-0000FB070000}"/>
    <cellStyle name="Note" xfId="536" builtinId="10" customBuiltin="1"/>
    <cellStyle name="Note 10" xfId="2443" xr:uid="{00000000-0005-0000-0000-0000FD070000}"/>
    <cellStyle name="Note 11" xfId="2444" xr:uid="{00000000-0005-0000-0000-0000FE070000}"/>
    <cellStyle name="Note 2" xfId="537" xr:uid="{00000000-0005-0000-0000-0000FF070000}"/>
    <cellStyle name="Note 2 2" xfId="1173" xr:uid="{00000000-0005-0000-0000-000000080000}"/>
    <cellStyle name="Note 2 2 2" xfId="2446" xr:uid="{00000000-0005-0000-0000-000001080000}"/>
    <cellStyle name="Note 2 3" xfId="1886" xr:uid="{00000000-0005-0000-0000-000002080000}"/>
    <cellStyle name="Note 2 4" xfId="2445" xr:uid="{00000000-0005-0000-0000-000003080000}"/>
    <cellStyle name="Note 2_Allocators" xfId="2447" xr:uid="{00000000-0005-0000-0000-000004080000}"/>
    <cellStyle name="Note 3" xfId="625" xr:uid="{00000000-0005-0000-0000-000005080000}"/>
    <cellStyle name="Note 3 2" xfId="1174" xr:uid="{00000000-0005-0000-0000-000006080000}"/>
    <cellStyle name="Note 3 2 2" xfId="2449" xr:uid="{00000000-0005-0000-0000-000007080000}"/>
    <cellStyle name="Note 3 3" xfId="2450" xr:uid="{00000000-0005-0000-0000-000008080000}"/>
    <cellStyle name="Note 3 4" xfId="2448" xr:uid="{00000000-0005-0000-0000-000009080000}"/>
    <cellStyle name="Note 3_Allocators" xfId="2451" xr:uid="{00000000-0005-0000-0000-00000A080000}"/>
    <cellStyle name="Note 4" xfId="2452" xr:uid="{00000000-0005-0000-0000-00000B080000}"/>
    <cellStyle name="Note 4 2" xfId="2453" xr:uid="{00000000-0005-0000-0000-00000C080000}"/>
    <cellStyle name="Note 4_Allocators" xfId="2454" xr:uid="{00000000-0005-0000-0000-00000D080000}"/>
    <cellStyle name="Note 5" xfId="2455" xr:uid="{00000000-0005-0000-0000-00000E080000}"/>
    <cellStyle name="Note 6" xfId="2456" xr:uid="{00000000-0005-0000-0000-00000F080000}"/>
    <cellStyle name="Note 6 2" xfId="2457" xr:uid="{00000000-0005-0000-0000-000010080000}"/>
    <cellStyle name="Note 6_Allocators" xfId="2458" xr:uid="{00000000-0005-0000-0000-000011080000}"/>
    <cellStyle name="Note 7" xfId="2459" xr:uid="{00000000-0005-0000-0000-000012080000}"/>
    <cellStyle name="Note 7 2" xfId="2460" xr:uid="{00000000-0005-0000-0000-000013080000}"/>
    <cellStyle name="Note 8" xfId="2461" xr:uid="{00000000-0005-0000-0000-000014080000}"/>
    <cellStyle name="Note 9" xfId="2462" xr:uid="{00000000-0005-0000-0000-000015080000}"/>
    <cellStyle name="Notes" xfId="1175" xr:uid="{00000000-0005-0000-0000-000016080000}"/>
    <cellStyle name="nPlosion" xfId="538" xr:uid="{00000000-0005-0000-0000-000017080000}"/>
    <cellStyle name="NPPESalesPct" xfId="539" xr:uid="{00000000-0005-0000-0000-000018080000}"/>
    <cellStyle name="ntec" xfId="540" xr:uid="{00000000-0005-0000-0000-000019080000}"/>
    <cellStyle name="Number" xfId="1176" xr:uid="{00000000-0005-0000-0000-00001A080000}"/>
    <cellStyle name="NumberFormat" xfId="1177" xr:uid="{00000000-0005-0000-0000-00001B080000}"/>
    <cellStyle name="nvision" xfId="541" xr:uid="{00000000-0005-0000-0000-00001C080000}"/>
    <cellStyle name="NWI%S" xfId="542" xr:uid="{00000000-0005-0000-0000-00001D080000}"/>
    <cellStyle name="Œ…‹æØ‚è [0.00]_GE 3 MINIMUM" xfId="1178" xr:uid="{00000000-0005-0000-0000-00001E080000}"/>
    <cellStyle name="Œ…‹æØ‚è_GE 3 MINIMUM" xfId="1179" xr:uid="{00000000-0005-0000-0000-00001F080000}"/>
    <cellStyle name="Offsheet" xfId="2829" xr:uid="{EE9467F3-7B27-4787-8EAE-FFE3B25310F0}"/>
    <cellStyle name="outh America" xfId="1180" xr:uid="{00000000-0005-0000-0000-000020080000}"/>
    <cellStyle name="outh America 2" xfId="1181" xr:uid="{00000000-0005-0000-0000-000021080000}"/>
    <cellStyle name="outh America 3" xfId="1182" xr:uid="{00000000-0005-0000-0000-000022080000}"/>
    <cellStyle name="outh America 4" xfId="1183" xr:uid="{00000000-0005-0000-0000-000023080000}"/>
    <cellStyle name="Outlined" xfId="543" xr:uid="{00000000-0005-0000-0000-000024080000}"/>
    <cellStyle name="Output" xfId="544" builtinId="21" customBuiltin="1"/>
    <cellStyle name="Output 2" xfId="545" xr:uid="{00000000-0005-0000-0000-000026080000}"/>
    <cellStyle name="Output 2 2" xfId="1184" xr:uid="{00000000-0005-0000-0000-000027080000}"/>
    <cellStyle name="Output 3" xfId="2463" xr:uid="{00000000-0005-0000-0000-000028080000}"/>
    <cellStyle name="Output 4" xfId="2464" xr:uid="{00000000-0005-0000-0000-000029080000}"/>
    <cellStyle name="Output 5" xfId="2465" xr:uid="{00000000-0005-0000-0000-00002A080000}"/>
    <cellStyle name="Output 6" xfId="2466" xr:uid="{00000000-0005-0000-0000-00002B080000}"/>
    <cellStyle name="p" xfId="1185" xr:uid="{00000000-0005-0000-0000-00002C080000}"/>
    <cellStyle name="p_WACC benchmarking" xfId="1186" xr:uid="{00000000-0005-0000-0000-00002D080000}"/>
    <cellStyle name="p1" xfId="1187" xr:uid="{00000000-0005-0000-0000-00002E080000}"/>
    <cellStyle name="Page Heading Large" xfId="546" xr:uid="{00000000-0005-0000-0000-00002F080000}"/>
    <cellStyle name="Page Heading Large 2" xfId="1189" xr:uid="{00000000-0005-0000-0000-000030080000}"/>
    <cellStyle name="Page Heading Large 3" xfId="1190" xr:uid="{00000000-0005-0000-0000-000031080000}"/>
    <cellStyle name="Page Heading Large 4" xfId="1191" xr:uid="{00000000-0005-0000-0000-000032080000}"/>
    <cellStyle name="Page Heading Large 5" xfId="1188" xr:uid="{00000000-0005-0000-0000-000033080000}"/>
    <cellStyle name="Page Heading Small" xfId="547" xr:uid="{00000000-0005-0000-0000-000034080000}"/>
    <cellStyle name="Page Heading Small 2" xfId="1193" xr:uid="{00000000-0005-0000-0000-000035080000}"/>
    <cellStyle name="Page Heading Small 3" xfId="1194" xr:uid="{00000000-0005-0000-0000-000036080000}"/>
    <cellStyle name="Page Heading Small 4" xfId="1195" xr:uid="{00000000-0005-0000-0000-000037080000}"/>
    <cellStyle name="Page Heading Small 5" xfId="1192" xr:uid="{00000000-0005-0000-0000-000038080000}"/>
    <cellStyle name="Page Number" xfId="548" xr:uid="{00000000-0005-0000-0000-000039080000}"/>
    <cellStyle name="Page Number 2" xfId="1197" xr:uid="{00000000-0005-0000-0000-00003A080000}"/>
    <cellStyle name="Page Number 3" xfId="1196" xr:uid="{00000000-0005-0000-0000-00003B080000}"/>
    <cellStyle name="Page Title" xfId="549" xr:uid="{00000000-0005-0000-0000-00003C080000}"/>
    <cellStyle name="Parent row" xfId="2904" xr:uid="{03862389-B4DB-4780-BE6A-E38864D1F150}"/>
    <cellStyle name="PctChg" xfId="1198" xr:uid="{00000000-0005-0000-0000-00003D080000}"/>
    <cellStyle name="PctChgCol" xfId="1199" xr:uid="{00000000-0005-0000-0000-00003E080000}"/>
    <cellStyle name="pd" xfId="1200" xr:uid="{00000000-0005-0000-0000-00003F080000}"/>
    <cellStyle name="pe" xfId="1201" xr:uid="{00000000-0005-0000-0000-000040080000}"/>
    <cellStyle name="pe 2" xfId="1202" xr:uid="{00000000-0005-0000-0000-000041080000}"/>
    <cellStyle name="per" xfId="1203" xr:uid="{00000000-0005-0000-0000-000042080000}"/>
    <cellStyle name="per m3" xfId="550" xr:uid="{00000000-0005-0000-0000-000043080000}"/>
    <cellStyle name="per Ton" xfId="551" xr:uid="{00000000-0005-0000-0000-000044080000}"/>
    <cellStyle name="Percen - Style1" xfId="552" xr:uid="{00000000-0005-0000-0000-000045080000}"/>
    <cellStyle name="Percen - Style1 2" xfId="1204" xr:uid="{00000000-0005-0000-0000-000046080000}"/>
    <cellStyle name="Percent" xfId="553" builtinId="5"/>
    <cellStyle name="Percent [.00%]" xfId="554" xr:uid="{00000000-0005-0000-0000-000048080000}"/>
    <cellStyle name="Percent [0]" xfId="555" xr:uid="{00000000-0005-0000-0000-000049080000}"/>
    <cellStyle name="Percent [0] 2" xfId="1206" xr:uid="{00000000-0005-0000-0000-00004A080000}"/>
    <cellStyle name="Percent [0] 3" xfId="1887" xr:uid="{00000000-0005-0000-0000-00004B080000}"/>
    <cellStyle name="Percent [0] 4" xfId="2846" xr:uid="{FB94DEE4-2C5E-4256-A82D-93B015F1B079}"/>
    <cellStyle name="Percent [1]" xfId="556" xr:uid="{00000000-0005-0000-0000-00004C080000}"/>
    <cellStyle name="Percent [1] 2" xfId="1207" xr:uid="{00000000-0005-0000-0000-00004D080000}"/>
    <cellStyle name="Percent [2]" xfId="557" xr:uid="{00000000-0005-0000-0000-00004E080000}"/>
    <cellStyle name="Percent [2] 2" xfId="1209" xr:uid="{00000000-0005-0000-0000-00004F080000}"/>
    <cellStyle name="Percent [2] 3" xfId="1210" xr:uid="{00000000-0005-0000-0000-000050080000}"/>
    <cellStyle name="Percent [2] 4" xfId="1211" xr:uid="{00000000-0005-0000-0000-000051080000}"/>
    <cellStyle name="Percent [2] 5" xfId="1208" xr:uid="{00000000-0005-0000-0000-000052080000}"/>
    <cellStyle name="Percent [2] 6" xfId="1888" xr:uid="{00000000-0005-0000-0000-000053080000}"/>
    <cellStyle name="Percent 00" xfId="1212" xr:uid="{00000000-0005-0000-0000-000054080000}"/>
    <cellStyle name="Percent 10" xfId="634" xr:uid="{00000000-0005-0000-0000-000055080000}"/>
    <cellStyle name="Percent 10 2" xfId="1213" xr:uid="{00000000-0005-0000-0000-000056080000}"/>
    <cellStyle name="Percent 10 3" xfId="2468" xr:uid="{00000000-0005-0000-0000-000057080000}"/>
    <cellStyle name="Percent 10 4" xfId="2807" xr:uid="{00000000-0005-0000-0000-000058080000}"/>
    <cellStyle name="Percent 11" xfId="1214" xr:uid="{00000000-0005-0000-0000-000059080000}"/>
    <cellStyle name="Percent 12" xfId="1215" xr:uid="{00000000-0005-0000-0000-00005A080000}"/>
    <cellStyle name="Percent 13" xfId="1216" xr:uid="{00000000-0005-0000-0000-00005B080000}"/>
    <cellStyle name="Percent 13 2" xfId="2470" xr:uid="{00000000-0005-0000-0000-00005C080000}"/>
    <cellStyle name="Percent 13 2 2" xfId="2471" xr:uid="{00000000-0005-0000-0000-00005D080000}"/>
    <cellStyle name="Percent 13 2 2 2" xfId="2472" xr:uid="{00000000-0005-0000-0000-00005E080000}"/>
    <cellStyle name="Percent 13 2 3" xfId="2473" xr:uid="{00000000-0005-0000-0000-00005F080000}"/>
    <cellStyle name="Percent 13 3" xfId="2474" xr:uid="{00000000-0005-0000-0000-000060080000}"/>
    <cellStyle name="Percent 13 3 2" xfId="2475" xr:uid="{00000000-0005-0000-0000-000061080000}"/>
    <cellStyle name="Percent 13 3 2 2" xfId="2476" xr:uid="{00000000-0005-0000-0000-000062080000}"/>
    <cellStyle name="Percent 13 3 3" xfId="2477" xr:uid="{00000000-0005-0000-0000-000063080000}"/>
    <cellStyle name="Percent 13 4" xfId="2478" xr:uid="{00000000-0005-0000-0000-000064080000}"/>
    <cellStyle name="Percent 13 4 2" xfId="2479" xr:uid="{00000000-0005-0000-0000-000065080000}"/>
    <cellStyle name="Percent 13 5" xfId="2480" xr:uid="{00000000-0005-0000-0000-000066080000}"/>
    <cellStyle name="Percent 13 6" xfId="2469" xr:uid="{00000000-0005-0000-0000-000067080000}"/>
    <cellStyle name="Percent 14" xfId="1205" xr:uid="{00000000-0005-0000-0000-000068080000}"/>
    <cellStyle name="Percent 14 2" xfId="1639" xr:uid="{00000000-0005-0000-0000-000069080000}"/>
    <cellStyle name="Percent 15" xfId="1918" xr:uid="{00000000-0005-0000-0000-00006A080000}"/>
    <cellStyle name="Percent 15 2" xfId="2708" xr:uid="{00000000-0005-0000-0000-00006B080000}"/>
    <cellStyle name="Percent 16" xfId="2467" xr:uid="{00000000-0005-0000-0000-00006C080000}"/>
    <cellStyle name="Percent 16 2" xfId="2709" xr:uid="{00000000-0005-0000-0000-00006D080000}"/>
    <cellStyle name="Percent 17" xfId="2599" xr:uid="{00000000-0005-0000-0000-00006E080000}"/>
    <cellStyle name="Percent 17 2" xfId="2710" xr:uid="{00000000-0005-0000-0000-00006F080000}"/>
    <cellStyle name="Percent 18" xfId="2579" xr:uid="{00000000-0005-0000-0000-000070080000}"/>
    <cellStyle name="Percent 18 2" xfId="2711" xr:uid="{00000000-0005-0000-0000-000071080000}"/>
    <cellStyle name="Percent 19" xfId="2572" xr:uid="{00000000-0005-0000-0000-000072080000}"/>
    <cellStyle name="Percent 19 2" xfId="2712" xr:uid="{00000000-0005-0000-0000-000073080000}"/>
    <cellStyle name="Percent 2" xfId="558" xr:uid="{00000000-0005-0000-0000-000074080000}"/>
    <cellStyle name="Percent 2 2" xfId="630" xr:uid="{00000000-0005-0000-0000-000075080000}"/>
    <cellStyle name="Percent 2 2 2" xfId="2481" xr:uid="{00000000-0005-0000-0000-000076080000}"/>
    <cellStyle name="Percent 2 2 3" xfId="2884" xr:uid="{5563C8B2-CBFA-4C5F-9C92-541B4C99DFF5}"/>
    <cellStyle name="Percent 2 2 4" xfId="2956" xr:uid="{6F1573A4-4489-44EC-90E2-29962FF34AC6}"/>
    <cellStyle name="Percent 2 3" xfId="1217" xr:uid="{00000000-0005-0000-0000-000077080000}"/>
    <cellStyle name="Percent 2 3 2" xfId="2714" xr:uid="{00000000-0005-0000-0000-000078080000}"/>
    <cellStyle name="Percent 2 3 3" xfId="2713" xr:uid="{00000000-0005-0000-0000-000079080000}"/>
    <cellStyle name="Percent 2 4" xfId="2715" xr:uid="{00000000-0005-0000-0000-00007A080000}"/>
    <cellStyle name="Percent 2 5" xfId="2930" xr:uid="{1B439411-96AD-4491-A159-D581A6B0527E}"/>
    <cellStyle name="Percent 20" xfId="2639" xr:uid="{00000000-0005-0000-0000-00007B080000}"/>
    <cellStyle name="Percent 20 2" xfId="2716" xr:uid="{00000000-0005-0000-0000-00007C080000}"/>
    <cellStyle name="Percent 21" xfId="2640" xr:uid="{00000000-0005-0000-0000-00007D080000}"/>
    <cellStyle name="Percent 21 2" xfId="2717" xr:uid="{00000000-0005-0000-0000-00007E080000}"/>
    <cellStyle name="Percent 22" xfId="2657" xr:uid="{00000000-0005-0000-0000-00007F080000}"/>
    <cellStyle name="Percent 22 2" xfId="2718" xr:uid="{00000000-0005-0000-0000-000080080000}"/>
    <cellStyle name="Percent 23" xfId="2669" xr:uid="{00000000-0005-0000-0000-000081080000}"/>
    <cellStyle name="Percent 23 2" xfId="2719" xr:uid="{00000000-0005-0000-0000-000082080000}"/>
    <cellStyle name="Percent 24" xfId="2720" xr:uid="{00000000-0005-0000-0000-000083080000}"/>
    <cellStyle name="Percent 25" xfId="2721" xr:uid="{00000000-0005-0000-0000-000084080000}"/>
    <cellStyle name="Percent 26" xfId="2722" xr:uid="{00000000-0005-0000-0000-000085080000}"/>
    <cellStyle name="Percent 27" xfId="2723" xr:uid="{00000000-0005-0000-0000-000086080000}"/>
    <cellStyle name="Percent 28" xfId="2724" xr:uid="{00000000-0005-0000-0000-000087080000}"/>
    <cellStyle name="Percent 29" xfId="2725" xr:uid="{00000000-0005-0000-0000-000088080000}"/>
    <cellStyle name="Percent 3" xfId="626" xr:uid="{00000000-0005-0000-0000-000089080000}"/>
    <cellStyle name="Percent 3 2" xfId="1218" xr:uid="{00000000-0005-0000-0000-00008A080000}"/>
    <cellStyle name="Percent 3 2 2" xfId="2483" xr:uid="{00000000-0005-0000-0000-00008B080000}"/>
    <cellStyle name="Percent 3 2 3" xfId="2726" xr:uid="{00000000-0005-0000-0000-00008C080000}"/>
    <cellStyle name="Percent 3 2 4" xfId="2839" xr:uid="{627CBAA0-F84E-46F8-8880-1D3C04BA2943}"/>
    <cellStyle name="Percent 3 3" xfId="2484" xr:uid="{00000000-0005-0000-0000-00008D080000}"/>
    <cellStyle name="Percent 3 3 2" xfId="2727" xr:uid="{00000000-0005-0000-0000-00008E080000}"/>
    <cellStyle name="Percent 3 3 3" xfId="2821" xr:uid="{1EC2C56C-BB90-4EC1-8F80-5B91F24BAA89}"/>
    <cellStyle name="Percent 3 4" xfId="2485" xr:uid="{00000000-0005-0000-0000-00008F080000}"/>
    <cellStyle name="Percent 3 5" xfId="2486" xr:uid="{00000000-0005-0000-0000-000090080000}"/>
    <cellStyle name="Percent 3 6" xfId="2487" xr:uid="{00000000-0005-0000-0000-000091080000}"/>
    <cellStyle name="Percent 3 7" xfId="2482" xr:uid="{00000000-0005-0000-0000-000092080000}"/>
    <cellStyle name="Percent 3 8" xfId="2933" xr:uid="{60CF94F3-DEAC-49BE-A57A-9457B3B45A2D}"/>
    <cellStyle name="Percent 30" xfId="2733" xr:uid="{00000000-0005-0000-0000-000093080000}"/>
    <cellStyle name="Percent 30 2" xfId="2831" xr:uid="{4AC58B40-E08D-4C76-96E5-786B9E261680}"/>
    <cellStyle name="Percent 31" xfId="2744" xr:uid="{00000000-0005-0000-0000-000094080000}"/>
    <cellStyle name="Percent 32" xfId="2745" xr:uid="{00000000-0005-0000-0000-000095080000}"/>
    <cellStyle name="Percent 33" xfId="2743" xr:uid="{00000000-0005-0000-0000-000096080000}"/>
    <cellStyle name="Percent 34" xfId="2748" xr:uid="{00000000-0005-0000-0000-000097080000}"/>
    <cellStyle name="Percent 35" xfId="2765" xr:uid="{00000000-0005-0000-0000-000098080000}"/>
    <cellStyle name="Percent 36" xfId="2768" xr:uid="{00000000-0005-0000-0000-000099080000}"/>
    <cellStyle name="Percent 37" xfId="2782" xr:uid="{00000000-0005-0000-0000-00009A080000}"/>
    <cellStyle name="Percent 38" xfId="2786" xr:uid="{00000000-0005-0000-0000-00009B080000}"/>
    <cellStyle name="Percent 39" xfId="2783" xr:uid="{00000000-0005-0000-0000-00009C080000}"/>
    <cellStyle name="Percent 4" xfId="619" xr:uid="{00000000-0005-0000-0000-00009D080000}"/>
    <cellStyle name="Percent 4 2" xfId="1219" xr:uid="{00000000-0005-0000-0000-00009E080000}"/>
    <cellStyle name="Percent 4 2 2" xfId="2489" xr:uid="{00000000-0005-0000-0000-00009F080000}"/>
    <cellStyle name="Percent 4 2 3" xfId="2825" xr:uid="{014F62B3-5BAB-4920-A16F-88A016E34ECA}"/>
    <cellStyle name="Percent 4 3" xfId="2490" xr:uid="{00000000-0005-0000-0000-0000A0080000}"/>
    <cellStyle name="Percent 4 4" xfId="2491" xr:uid="{00000000-0005-0000-0000-0000A1080000}"/>
    <cellStyle name="Percent 4 5" xfId="2488" xr:uid="{00000000-0005-0000-0000-0000A2080000}"/>
    <cellStyle name="Percent 4 6" xfId="2898" xr:uid="{62D39130-91FC-4462-BA25-4133E70ACEB2}"/>
    <cellStyle name="Percent 4 7" xfId="2937" xr:uid="{68B7B530-8174-4544-B47A-63086C72267E}"/>
    <cellStyle name="Percent 4 8" xfId="2960" xr:uid="{17FB40AC-EC67-4DE1-98C4-4CC76C61CF52}"/>
    <cellStyle name="Percent 40" xfId="2788" xr:uid="{00000000-0005-0000-0000-0000A3080000}"/>
    <cellStyle name="Percent 41" xfId="2787" xr:uid="{00000000-0005-0000-0000-0000A4080000}"/>
    <cellStyle name="Percent 42" xfId="2789" xr:uid="{00000000-0005-0000-0000-0000A5080000}"/>
    <cellStyle name="Percent 43" xfId="2806" xr:uid="{00000000-0005-0000-0000-0000A6080000}"/>
    <cellStyle name="Percent 44" xfId="2809" xr:uid="{00000000-0005-0000-0000-0000A7080000}"/>
    <cellStyle name="Percent 45" xfId="2814" xr:uid="{00000000-0005-0000-0000-0000A8080000}"/>
    <cellStyle name="Percent 46" xfId="2816" xr:uid="{34CEE42D-116A-4F75-8048-AD87BE06375D}"/>
    <cellStyle name="Percent 47" xfId="2918" xr:uid="{5EA424A0-1719-46B0-B329-626FA678A346}"/>
    <cellStyle name="Percent 5" xfId="649" xr:uid="{00000000-0005-0000-0000-0000A9080000}"/>
    <cellStyle name="Percent 5 10" xfId="2766" xr:uid="{00000000-0005-0000-0000-0000AA080000}"/>
    <cellStyle name="Percent 5 11" xfId="2784" xr:uid="{00000000-0005-0000-0000-0000AB080000}"/>
    <cellStyle name="Percent 5 12" xfId="2906" xr:uid="{495555F9-5D17-410E-BAAD-0EADD5CCD9EF}"/>
    <cellStyle name="Percent 5 2" xfId="1221" xr:uid="{00000000-0005-0000-0000-0000AC080000}"/>
    <cellStyle name="Percent 5 2 2" xfId="2892" xr:uid="{9B56BA73-BFAB-4207-9A08-9A38F0108756}"/>
    <cellStyle name="Percent 5 3" xfId="1222" xr:uid="{00000000-0005-0000-0000-0000AD080000}"/>
    <cellStyle name="Percent 5 4" xfId="1220" xr:uid="{00000000-0005-0000-0000-0000AE080000}"/>
    <cellStyle name="Percent 5 5" xfId="2600" xr:uid="{00000000-0005-0000-0000-0000AF080000}"/>
    <cellStyle name="Percent 5 6" xfId="2641" xr:uid="{00000000-0005-0000-0000-0000B0080000}"/>
    <cellStyle name="Percent 5 7" xfId="2658" xr:uid="{00000000-0005-0000-0000-0000B1080000}"/>
    <cellStyle name="Percent 5 8" xfId="2670" xr:uid="{00000000-0005-0000-0000-0000B2080000}"/>
    <cellStyle name="Percent 5 9" xfId="2746" xr:uid="{00000000-0005-0000-0000-0000B3080000}"/>
    <cellStyle name="Percent 6" xfId="632" xr:uid="{00000000-0005-0000-0000-0000B4080000}"/>
    <cellStyle name="Percent 6 10" xfId="2767" xr:uid="{00000000-0005-0000-0000-0000B5080000}"/>
    <cellStyle name="Percent 6 11" xfId="2785" xr:uid="{00000000-0005-0000-0000-0000B6080000}"/>
    <cellStyle name="Percent 6 12" xfId="2910" xr:uid="{07BC2B86-FD18-4D81-B79F-2E97BB183993}"/>
    <cellStyle name="Percent 6 2" xfId="1224" xr:uid="{00000000-0005-0000-0000-0000B7080000}"/>
    <cellStyle name="Percent 6 3" xfId="1225" xr:uid="{00000000-0005-0000-0000-0000B8080000}"/>
    <cellStyle name="Percent 6 4" xfId="1223" xr:uid="{00000000-0005-0000-0000-0000B9080000}"/>
    <cellStyle name="Percent 6 5" xfId="2601" xr:uid="{00000000-0005-0000-0000-0000BA080000}"/>
    <cellStyle name="Percent 6 6" xfId="2642" xr:uid="{00000000-0005-0000-0000-0000BB080000}"/>
    <cellStyle name="Percent 6 7" xfId="2659" xr:uid="{00000000-0005-0000-0000-0000BC080000}"/>
    <cellStyle name="Percent 6 8" xfId="2671" xr:uid="{00000000-0005-0000-0000-0000BD080000}"/>
    <cellStyle name="Percent 6 9" xfId="2747" xr:uid="{00000000-0005-0000-0000-0000BE080000}"/>
    <cellStyle name="Percent 7" xfId="648" xr:uid="{00000000-0005-0000-0000-0000BF080000}"/>
    <cellStyle name="Percent 7 2" xfId="1226" xr:uid="{00000000-0005-0000-0000-0000C0080000}"/>
    <cellStyle name="Percent 7 3" xfId="2492" xr:uid="{00000000-0005-0000-0000-0000C1080000}"/>
    <cellStyle name="Percent 7 4" xfId="2911" xr:uid="{5EF03CDD-F030-4F40-BD1A-5EFB2C1C2ADC}"/>
    <cellStyle name="Percent 8" xfId="633" xr:uid="{00000000-0005-0000-0000-0000C2080000}"/>
    <cellStyle name="Percent 8 2" xfId="1227" xr:uid="{00000000-0005-0000-0000-0000C3080000}"/>
    <cellStyle name="Percent 8 3" xfId="2493" xr:uid="{00000000-0005-0000-0000-0000C4080000}"/>
    <cellStyle name="Percent 9" xfId="647" xr:uid="{00000000-0005-0000-0000-0000C5080000}"/>
    <cellStyle name="Percent 9 2" xfId="1228" xr:uid="{00000000-0005-0000-0000-0000C6080000}"/>
    <cellStyle name="Percent 9 3" xfId="2494" xr:uid="{00000000-0005-0000-0000-0000C7080000}"/>
    <cellStyle name="Percent Hard" xfId="559" xr:uid="{00000000-0005-0000-0000-0000C8080000}"/>
    <cellStyle name="Percent Hard 2" xfId="1229" xr:uid="{00000000-0005-0000-0000-0000C9080000}"/>
    <cellStyle name="Percentage" xfId="1230" xr:uid="{00000000-0005-0000-0000-0000CA080000}"/>
    <cellStyle name="Percentage 2" xfId="1231" xr:uid="{00000000-0005-0000-0000-0000CB080000}"/>
    <cellStyle name="Percentage 3" xfId="1232" xr:uid="{00000000-0005-0000-0000-0000CC080000}"/>
    <cellStyle name="Percentage 4" xfId="1233" xr:uid="{00000000-0005-0000-0000-0000CD080000}"/>
    <cellStyle name="PercentSales" xfId="560" xr:uid="{00000000-0005-0000-0000-0000CE080000}"/>
    <cellStyle name="pf" xfId="1234" xr:uid="{00000000-0005-0000-0000-0000CF080000}"/>
    <cellStyle name="Pound" xfId="1235" xr:uid="{00000000-0005-0000-0000-0000D0080000}"/>
    <cellStyle name="Pound [1]" xfId="1236" xr:uid="{00000000-0005-0000-0000-0000D1080000}"/>
    <cellStyle name="Pound [2]" xfId="1237" xr:uid="{00000000-0005-0000-0000-0000D2080000}"/>
    <cellStyle name="Pourcentage 2" xfId="2944" xr:uid="{94C9A13D-7BF4-4709-B7E9-E68CF0C4665E}"/>
    <cellStyle name="Power Price" xfId="561" xr:uid="{00000000-0005-0000-0000-0000D3080000}"/>
    <cellStyle name="pp" xfId="1238" xr:uid="{00000000-0005-0000-0000-0000D4080000}"/>
    <cellStyle name="ppp" xfId="1239" xr:uid="{00000000-0005-0000-0000-0000D5080000}"/>
    <cellStyle name="Present Value" xfId="562" xr:uid="{00000000-0005-0000-0000-0000D6080000}"/>
    <cellStyle name="Price" xfId="1240" xr:uid="{00000000-0005-0000-0000-0000D7080000}"/>
    <cellStyle name="Price 2" xfId="1241" xr:uid="{00000000-0005-0000-0000-0000D8080000}"/>
    <cellStyle name="Product Title" xfId="1242" xr:uid="{00000000-0005-0000-0000-0000D9080000}"/>
    <cellStyle name="PSChar" xfId="563" xr:uid="{00000000-0005-0000-0000-0000DA080000}"/>
    <cellStyle name="PSChar 10" xfId="2922" xr:uid="{58B3EDB3-8244-45BB-BD33-646D4B686534}"/>
    <cellStyle name="PSChar 2" xfId="2495" xr:uid="{00000000-0005-0000-0000-0000DB080000}"/>
    <cellStyle name="PSChar 2 2" xfId="2496" xr:uid="{00000000-0005-0000-0000-0000DC080000}"/>
    <cellStyle name="PSChar 2 3" xfId="2497" xr:uid="{00000000-0005-0000-0000-0000DD080000}"/>
    <cellStyle name="PSChar 3" xfId="2498" xr:uid="{00000000-0005-0000-0000-0000DE080000}"/>
    <cellStyle name="PSChar 3 2" xfId="2499" xr:uid="{00000000-0005-0000-0000-0000DF080000}"/>
    <cellStyle name="PSChar 4" xfId="2500" xr:uid="{00000000-0005-0000-0000-0000E0080000}"/>
    <cellStyle name="PSChar 5" xfId="2501" xr:uid="{00000000-0005-0000-0000-0000E1080000}"/>
    <cellStyle name="PSChar 6" xfId="2502" xr:uid="{00000000-0005-0000-0000-0000E2080000}"/>
    <cellStyle name="PSChar 7" xfId="2603" xr:uid="{00000000-0005-0000-0000-0000E3080000}"/>
    <cellStyle name="PSChar 8" xfId="2604" xr:uid="{00000000-0005-0000-0000-0000E4080000}"/>
    <cellStyle name="PSChar 9" xfId="2605" xr:uid="{00000000-0005-0000-0000-0000E5080000}"/>
    <cellStyle name="PSDate" xfId="564" xr:uid="{00000000-0005-0000-0000-0000E6080000}"/>
    <cellStyle name="PSDate 10" xfId="2923" xr:uid="{472AFDC4-2809-4270-98EE-7914C92C06A9}"/>
    <cellStyle name="PSDate 2" xfId="2503" xr:uid="{00000000-0005-0000-0000-0000E7080000}"/>
    <cellStyle name="PSDate 2 2" xfId="2504" xr:uid="{00000000-0005-0000-0000-0000E8080000}"/>
    <cellStyle name="PSDate 2 3" xfId="2505" xr:uid="{00000000-0005-0000-0000-0000E9080000}"/>
    <cellStyle name="PSDate 3" xfId="2506" xr:uid="{00000000-0005-0000-0000-0000EA080000}"/>
    <cellStyle name="PSDate 3 2" xfId="2507" xr:uid="{00000000-0005-0000-0000-0000EB080000}"/>
    <cellStyle name="PSDate 4" xfId="2508" xr:uid="{00000000-0005-0000-0000-0000EC080000}"/>
    <cellStyle name="PSDate 5" xfId="2509" xr:uid="{00000000-0005-0000-0000-0000ED080000}"/>
    <cellStyle name="PSDate 6" xfId="2510" xr:uid="{00000000-0005-0000-0000-0000EE080000}"/>
    <cellStyle name="PSDate 7" xfId="2607" xr:uid="{00000000-0005-0000-0000-0000EF080000}"/>
    <cellStyle name="PSDate 8" xfId="2608" xr:uid="{00000000-0005-0000-0000-0000F0080000}"/>
    <cellStyle name="PSDate 9" xfId="2609" xr:uid="{00000000-0005-0000-0000-0000F1080000}"/>
    <cellStyle name="PSDec" xfId="565" xr:uid="{00000000-0005-0000-0000-0000F2080000}"/>
    <cellStyle name="PSDec 10" xfId="2924" xr:uid="{BA4DA736-8C7E-43B7-9851-3C52E35185EE}"/>
    <cellStyle name="PSDec 2" xfId="2511" xr:uid="{00000000-0005-0000-0000-0000F3080000}"/>
    <cellStyle name="PSDec 2 2" xfId="2512" xr:uid="{00000000-0005-0000-0000-0000F4080000}"/>
    <cellStyle name="PSDec 2 3" xfId="2513" xr:uid="{00000000-0005-0000-0000-0000F5080000}"/>
    <cellStyle name="PSDec 3" xfId="2514" xr:uid="{00000000-0005-0000-0000-0000F6080000}"/>
    <cellStyle name="PSDec 3 2" xfId="2515" xr:uid="{00000000-0005-0000-0000-0000F7080000}"/>
    <cellStyle name="PSDec 4" xfId="2516" xr:uid="{00000000-0005-0000-0000-0000F8080000}"/>
    <cellStyle name="PSDec 5" xfId="2517" xr:uid="{00000000-0005-0000-0000-0000F9080000}"/>
    <cellStyle name="PSDec 6" xfId="2518" xr:uid="{00000000-0005-0000-0000-0000FA080000}"/>
    <cellStyle name="PSDec 7" xfId="2610" xr:uid="{00000000-0005-0000-0000-0000FB080000}"/>
    <cellStyle name="PSDec 8" xfId="2611" xr:uid="{00000000-0005-0000-0000-0000FC080000}"/>
    <cellStyle name="PSDec 9" xfId="2612" xr:uid="{00000000-0005-0000-0000-0000FD080000}"/>
    <cellStyle name="PSHeading" xfId="566" xr:uid="{00000000-0005-0000-0000-0000FE080000}"/>
    <cellStyle name="PSHeading 10" xfId="2519" xr:uid="{00000000-0005-0000-0000-0000FF080000}"/>
    <cellStyle name="PSHeading 11" xfId="2520" xr:uid="{00000000-0005-0000-0000-000000090000}"/>
    <cellStyle name="PSHeading 12" xfId="2925" xr:uid="{9B016ED1-1AB7-41D9-8409-239AFF999F8B}"/>
    <cellStyle name="PSHeading 2" xfId="2521" xr:uid="{00000000-0005-0000-0000-000001090000}"/>
    <cellStyle name="PSHeading 2 2" xfId="2522" xr:uid="{00000000-0005-0000-0000-000002090000}"/>
    <cellStyle name="PSHeading 2 3" xfId="2523" xr:uid="{00000000-0005-0000-0000-000003090000}"/>
    <cellStyle name="PSHeading 2_108 Summary" xfId="2524" xr:uid="{00000000-0005-0000-0000-000004090000}"/>
    <cellStyle name="PSHeading 3" xfId="2525" xr:uid="{00000000-0005-0000-0000-000005090000}"/>
    <cellStyle name="PSHeading 3 2" xfId="2526" xr:uid="{00000000-0005-0000-0000-000006090000}"/>
    <cellStyle name="PSHeading 3_108 Summary" xfId="2527" xr:uid="{00000000-0005-0000-0000-000007090000}"/>
    <cellStyle name="PSHeading 4" xfId="2528" xr:uid="{00000000-0005-0000-0000-000008090000}"/>
    <cellStyle name="PSHeading 5" xfId="2529" xr:uid="{00000000-0005-0000-0000-000009090000}"/>
    <cellStyle name="PSHeading 6" xfId="2530" xr:uid="{00000000-0005-0000-0000-00000A090000}"/>
    <cellStyle name="PSHeading 7" xfId="2531" xr:uid="{00000000-0005-0000-0000-00000B090000}"/>
    <cellStyle name="PSHeading 8" xfId="2532" xr:uid="{00000000-0005-0000-0000-00000C090000}"/>
    <cellStyle name="PSHeading 9" xfId="2533" xr:uid="{00000000-0005-0000-0000-00000D090000}"/>
    <cellStyle name="PSHeading_101 check" xfId="2534" xr:uid="{00000000-0005-0000-0000-00000E090000}"/>
    <cellStyle name="PSInt" xfId="567" xr:uid="{00000000-0005-0000-0000-00000F090000}"/>
    <cellStyle name="PSInt 10" xfId="2926" xr:uid="{3069DE00-3896-4450-A6C4-AA711BE83C82}"/>
    <cellStyle name="PSInt 2" xfId="2535" xr:uid="{00000000-0005-0000-0000-000010090000}"/>
    <cellStyle name="PSInt 2 2" xfId="2536" xr:uid="{00000000-0005-0000-0000-000011090000}"/>
    <cellStyle name="PSInt 2 3" xfId="2537" xr:uid="{00000000-0005-0000-0000-000012090000}"/>
    <cellStyle name="PSInt 3" xfId="2538" xr:uid="{00000000-0005-0000-0000-000013090000}"/>
    <cellStyle name="PSInt 3 2" xfId="2539" xr:uid="{00000000-0005-0000-0000-000014090000}"/>
    <cellStyle name="PSInt 4" xfId="2540" xr:uid="{00000000-0005-0000-0000-000015090000}"/>
    <cellStyle name="PSInt 5" xfId="2541" xr:uid="{00000000-0005-0000-0000-000016090000}"/>
    <cellStyle name="PSInt 6" xfId="2542" xr:uid="{00000000-0005-0000-0000-000017090000}"/>
    <cellStyle name="PSInt 7" xfId="2613" xr:uid="{00000000-0005-0000-0000-000018090000}"/>
    <cellStyle name="PSInt 8" xfId="2614" xr:uid="{00000000-0005-0000-0000-000019090000}"/>
    <cellStyle name="PSInt 9" xfId="2615" xr:uid="{00000000-0005-0000-0000-00001A090000}"/>
    <cellStyle name="PSSpacer" xfId="568" xr:uid="{00000000-0005-0000-0000-00001B090000}"/>
    <cellStyle name="PSSpacer 2" xfId="2543" xr:uid="{00000000-0005-0000-0000-00001C090000}"/>
    <cellStyle name="PSSpacer 2 2" xfId="2544" xr:uid="{00000000-0005-0000-0000-00001D090000}"/>
    <cellStyle name="PSSpacer 2 3" xfId="2545" xr:uid="{00000000-0005-0000-0000-00001E090000}"/>
    <cellStyle name="PSSpacer 3" xfId="2546" xr:uid="{00000000-0005-0000-0000-00001F090000}"/>
    <cellStyle name="PSSpacer 3 2" xfId="2547" xr:uid="{00000000-0005-0000-0000-000020090000}"/>
    <cellStyle name="PSSpacer 4" xfId="2548" xr:uid="{00000000-0005-0000-0000-000021090000}"/>
    <cellStyle name="PSSpacer 5" xfId="2549" xr:uid="{00000000-0005-0000-0000-000022090000}"/>
    <cellStyle name="PSSpacer 6" xfId="2550" xr:uid="{00000000-0005-0000-0000-000023090000}"/>
    <cellStyle name="PSSpacer 7" xfId="2927" xr:uid="{A1DCBC8A-4551-4D53-B66D-5B4646B97B0C}"/>
    <cellStyle name="pt" xfId="1243" xr:uid="{00000000-0005-0000-0000-000024090000}"/>
    <cellStyle name="ptit" xfId="1244" xr:uid="{00000000-0005-0000-0000-000025090000}"/>
    <cellStyle name="r" xfId="1245" xr:uid="{00000000-0005-0000-0000-000026090000}"/>
    <cellStyle name="rat" xfId="1246" xr:uid="{00000000-0005-0000-0000-000027090000}"/>
    <cellStyle name="rat 2" xfId="1247" xr:uid="{00000000-0005-0000-0000-000028090000}"/>
    <cellStyle name="rate" xfId="1248" xr:uid="{00000000-0005-0000-0000-000029090000}"/>
    <cellStyle name="rate 2" xfId="1249" xr:uid="{00000000-0005-0000-0000-00002A090000}"/>
    <cellStyle name="rate 3" xfId="1250" xr:uid="{00000000-0005-0000-0000-00002B090000}"/>
    <cellStyle name="rate 4" xfId="1251" xr:uid="{00000000-0005-0000-0000-00002C090000}"/>
    <cellStyle name="Ratio" xfId="1252" xr:uid="{00000000-0005-0000-0000-00002D090000}"/>
    <cellStyle name="Red font" xfId="569" xr:uid="{00000000-0005-0000-0000-00002E090000}"/>
    <cellStyle name="ReportHeader" xfId="1253" xr:uid="{00000000-0005-0000-0000-00002F090000}"/>
    <cellStyle name="RISKbigPercent" xfId="1254" xr:uid="{00000000-0005-0000-0000-000030090000}"/>
    <cellStyle name="RISKblandrEdge" xfId="1255" xr:uid="{00000000-0005-0000-0000-000031090000}"/>
    <cellStyle name="RISKblCorner" xfId="1256" xr:uid="{00000000-0005-0000-0000-000032090000}"/>
    <cellStyle name="RISKbottomEdge" xfId="1257" xr:uid="{00000000-0005-0000-0000-000033090000}"/>
    <cellStyle name="RISKbrCorner" xfId="1258" xr:uid="{00000000-0005-0000-0000-000034090000}"/>
    <cellStyle name="RISKdarkBoxed" xfId="1259" xr:uid="{00000000-0005-0000-0000-000035090000}"/>
    <cellStyle name="RISKdarkShade" xfId="1260" xr:uid="{00000000-0005-0000-0000-000036090000}"/>
    <cellStyle name="RISKdbottomEdge" xfId="1261" xr:uid="{00000000-0005-0000-0000-000037090000}"/>
    <cellStyle name="RISKdrightEdge" xfId="1262" xr:uid="{00000000-0005-0000-0000-000038090000}"/>
    <cellStyle name="RISKdurationTime" xfId="1263" xr:uid="{00000000-0005-0000-0000-000039090000}"/>
    <cellStyle name="RISKinNumber" xfId="1264" xr:uid="{00000000-0005-0000-0000-00003A090000}"/>
    <cellStyle name="RISKlandrEdge" xfId="1265" xr:uid="{00000000-0005-0000-0000-00003B090000}"/>
    <cellStyle name="RISKleftEdge" xfId="1266" xr:uid="{00000000-0005-0000-0000-00003C090000}"/>
    <cellStyle name="RISKlightBoxed" xfId="1267" xr:uid="{00000000-0005-0000-0000-00003D090000}"/>
    <cellStyle name="RISKltandbEdge" xfId="1268" xr:uid="{00000000-0005-0000-0000-00003E090000}"/>
    <cellStyle name="RISKnormBoxed" xfId="1269" xr:uid="{00000000-0005-0000-0000-00003F090000}"/>
    <cellStyle name="RISKnormCenter" xfId="1270" xr:uid="{00000000-0005-0000-0000-000040090000}"/>
    <cellStyle name="RISKnormHeading" xfId="1271" xr:uid="{00000000-0005-0000-0000-000041090000}"/>
    <cellStyle name="RISKnormItal" xfId="1272" xr:uid="{00000000-0005-0000-0000-000042090000}"/>
    <cellStyle name="RISKnormLabel" xfId="1273" xr:uid="{00000000-0005-0000-0000-000043090000}"/>
    <cellStyle name="RISKnormShade" xfId="1274" xr:uid="{00000000-0005-0000-0000-000044090000}"/>
    <cellStyle name="RISKnormTitle" xfId="1275" xr:uid="{00000000-0005-0000-0000-000045090000}"/>
    <cellStyle name="RISKoutNumber" xfId="1276" xr:uid="{00000000-0005-0000-0000-000046090000}"/>
    <cellStyle name="RISKrightEdge" xfId="1277" xr:uid="{00000000-0005-0000-0000-000047090000}"/>
    <cellStyle name="RISKrtandbEdge" xfId="1278" xr:uid="{00000000-0005-0000-0000-000048090000}"/>
    <cellStyle name="RISKssTime" xfId="1279" xr:uid="{00000000-0005-0000-0000-000049090000}"/>
    <cellStyle name="RISKtandbEdge" xfId="1280" xr:uid="{00000000-0005-0000-0000-00004A090000}"/>
    <cellStyle name="RISKtlandrEdge" xfId="1281" xr:uid="{00000000-0005-0000-0000-00004B090000}"/>
    <cellStyle name="RISKtlCorner" xfId="1282" xr:uid="{00000000-0005-0000-0000-00004C090000}"/>
    <cellStyle name="RISKtopEdge" xfId="1283" xr:uid="{00000000-0005-0000-0000-00004D090000}"/>
    <cellStyle name="RISKtrCorner" xfId="1284" xr:uid="{00000000-0005-0000-0000-00004E090000}"/>
    <cellStyle name="Row Heading" xfId="1285" xr:uid="{00000000-0005-0000-0000-00004F090000}"/>
    <cellStyle name="Row Title 1" xfId="1286" xr:uid="{00000000-0005-0000-0000-000050090000}"/>
    <cellStyle name="Row Title 2" xfId="1287" xr:uid="{00000000-0005-0000-0000-000051090000}"/>
    <cellStyle name="Row Title 3" xfId="1288" xr:uid="{00000000-0005-0000-0000-000052090000}"/>
    <cellStyle name="Row Total" xfId="1289" xr:uid="{00000000-0005-0000-0000-000053090000}"/>
    <cellStyle name="s" xfId="1290" xr:uid="{00000000-0005-0000-0000-000054090000}"/>
    <cellStyle name="s_AcquisitionFinanceFrontSheet" xfId="1291" xr:uid="{00000000-0005-0000-0000-000055090000}"/>
    <cellStyle name="s_ad3" xfId="1292" xr:uid="{00000000-0005-0000-0000-000056090000}"/>
    <cellStyle name="s_ad3_1" xfId="1293" xr:uid="{00000000-0005-0000-0000-000057090000}"/>
    <cellStyle name="s_ad3_2" xfId="1294" xr:uid="{00000000-0005-0000-0000-000058090000}"/>
    <cellStyle name="s_ad5" xfId="1295" xr:uid="{00000000-0005-0000-0000-000059090000}"/>
    <cellStyle name="s_ad5_1" xfId="1296" xr:uid="{00000000-0005-0000-0000-00005A090000}"/>
    <cellStyle name="s_asko1" xfId="1297" xr:uid="{00000000-0005-0000-0000-00005B090000}"/>
    <cellStyle name="s_asko1_1" xfId="1298" xr:uid="{00000000-0005-0000-0000-00005C090000}"/>
    <cellStyle name="s_Assumptions" xfId="1299" xr:uid="{00000000-0005-0000-0000-00005D090000}"/>
    <cellStyle name="s_B_S_Ratios _B" xfId="1300" xr:uid="{00000000-0005-0000-0000-00005E090000}"/>
    <cellStyle name="s_B_S_Ratios_T" xfId="1301" xr:uid="{00000000-0005-0000-0000-00005F090000}"/>
    <cellStyle name="s_btr_2" xfId="1302" xr:uid="{00000000-0005-0000-0000-000060090000}"/>
    <cellStyle name="s_btr_2_1" xfId="1303" xr:uid="{00000000-0005-0000-0000-000061090000}"/>
    <cellStyle name="s_btr_2_2" xfId="1304" xr:uid="{00000000-0005-0000-0000-000062090000}"/>
    <cellStyle name="s_btr_3" xfId="1305" xr:uid="{00000000-0005-0000-0000-000063090000}"/>
    <cellStyle name="s_btr_3_1" xfId="1306" xr:uid="{00000000-0005-0000-0000-000064090000}"/>
    <cellStyle name="s_Bullet model 122" xfId="1307" xr:uid="{00000000-0005-0000-0000-000065090000}"/>
    <cellStyle name="s_Buy Back Model_adapted" xfId="1308" xr:uid="{00000000-0005-0000-0000-000066090000}"/>
    <cellStyle name="s_Cases (2)" xfId="1309" xr:uid="{00000000-0005-0000-0000-000067090000}"/>
    <cellStyle name="s_Cases (2)_1" xfId="1310" xr:uid="{00000000-0005-0000-0000-000068090000}"/>
    <cellStyle name="s_dccmod1" xfId="1311" xr:uid="{00000000-0005-0000-0000-000069090000}"/>
    <cellStyle name="s_dccmod1_1" xfId="1312" xr:uid="{00000000-0005-0000-0000-00006A090000}"/>
    <cellStyle name="s_dccmod1_2" xfId="1313" xr:uid="{00000000-0005-0000-0000-00006B090000}"/>
    <cellStyle name="s_dcf" xfId="1314" xr:uid="{00000000-0005-0000-0000-00006C090000}"/>
    <cellStyle name="s_dcf_1" xfId="1315" xr:uid="{00000000-0005-0000-0000-00006D090000}"/>
    <cellStyle name="s_DCFLBO Code" xfId="1316" xr:uid="{00000000-0005-0000-0000-00006E090000}"/>
    <cellStyle name="s_DCFLBO Code_1" xfId="1317" xr:uid="{00000000-0005-0000-0000-00006F090000}"/>
    <cellStyle name="s_Definc_dcf_Industries_270301_ma" xfId="1318" xr:uid="{00000000-0005-0000-0000-000070090000}"/>
    <cellStyle name="s_Dilution" xfId="1319" xr:uid="{00000000-0005-0000-0000-000071090000}"/>
    <cellStyle name="s_Earnings (2)" xfId="1320" xr:uid="{00000000-0005-0000-0000-000072090000}"/>
    <cellStyle name="s_Earnings (2)_1" xfId="1321" xr:uid="{00000000-0005-0000-0000-000073090000}"/>
    <cellStyle name="s_Earnings (2)_2" xfId="1322" xr:uid="{00000000-0005-0000-0000-000074090000}"/>
    <cellStyle name="s_Final Model2" xfId="1323" xr:uid="{00000000-0005-0000-0000-000075090000}"/>
    <cellStyle name="s_Final Model2_1" xfId="1324" xr:uid="{00000000-0005-0000-0000-000076090000}"/>
    <cellStyle name="s_FINALWOOLMODEL" xfId="1325" xr:uid="{00000000-0005-0000-0000-000077090000}"/>
    <cellStyle name="s_FINALWOOLMODEL_1" xfId="1326" xr:uid="{00000000-0005-0000-0000-000078090000}"/>
    <cellStyle name="s_Financials_B" xfId="1327" xr:uid="{00000000-0005-0000-0000-000079090000}"/>
    <cellStyle name="s_Financials_T" xfId="1328" xr:uid="{00000000-0005-0000-0000-00007A090000}"/>
    <cellStyle name="s_Grandvision_LBO2" xfId="1329" xr:uid="{00000000-0005-0000-0000-00007B090000}"/>
    <cellStyle name="s_Grouse+Pelican" xfId="1330" xr:uid="{00000000-0005-0000-0000-00007C090000}"/>
    <cellStyle name="s_Grouse+Pelican 2" xfId="1331" xr:uid="{00000000-0005-0000-0000-00007D090000}"/>
    <cellStyle name="s_LBO" xfId="1332" xr:uid="{00000000-0005-0000-0000-00007E090000}"/>
    <cellStyle name="s_LBO_1" xfId="1333" xr:uid="{00000000-0005-0000-0000-00007F090000}"/>
    <cellStyle name="s_LBO_2" xfId="1334" xr:uid="{00000000-0005-0000-0000-000080090000}"/>
    <cellStyle name="s_lbo1" xfId="1335" xr:uid="{00000000-0005-0000-0000-000081090000}"/>
    <cellStyle name="s_lbo1_1" xfId="1336" xr:uid="{00000000-0005-0000-0000-000082090000}"/>
    <cellStyle name="s_lbo1_2" xfId="1337" xr:uid="{00000000-0005-0000-0000-000083090000}"/>
    <cellStyle name="s_lbo3" xfId="1338" xr:uid="{00000000-0005-0000-0000-000084090000}"/>
    <cellStyle name="s_lbo3_1" xfId="1339" xr:uid="{00000000-0005-0000-0000-000085090000}"/>
    <cellStyle name="s_LBO5" xfId="1340" xr:uid="{00000000-0005-0000-0000-000086090000}"/>
    <cellStyle name="s_LBO5_1" xfId="1341" xr:uid="{00000000-0005-0000-0000-000087090000}"/>
    <cellStyle name="s_Matrix_B" xfId="1342" xr:uid="{00000000-0005-0000-0000-000088090000}"/>
    <cellStyle name="s_Matrix_T" xfId="1343" xr:uid="{00000000-0005-0000-0000-000089090000}"/>
    <cellStyle name="s_Merger" xfId="1344" xr:uid="{00000000-0005-0000-0000-00008A090000}"/>
    <cellStyle name="s_model1" xfId="1345" xr:uid="{00000000-0005-0000-0000-00008B090000}"/>
    <cellStyle name="s_model1_1" xfId="1346" xr:uid="{00000000-0005-0000-0000-00008C090000}"/>
    <cellStyle name="s_model1_2" xfId="1347" xr:uid="{00000000-0005-0000-0000-00008D090000}"/>
    <cellStyle name="s_model19" xfId="1348" xr:uid="{00000000-0005-0000-0000-00008E090000}"/>
    <cellStyle name="s_model19_1" xfId="1349" xr:uid="{00000000-0005-0000-0000-00008F090000}"/>
    <cellStyle name="s_model2" xfId="1350" xr:uid="{00000000-0005-0000-0000-000090090000}"/>
    <cellStyle name="s_model6" xfId="1351" xr:uid="{00000000-0005-0000-0000-000091090000}"/>
    <cellStyle name="s_model6_1" xfId="1352" xr:uid="{00000000-0005-0000-0000-000092090000}"/>
    <cellStyle name="s_model6_2" xfId="1353" xr:uid="{00000000-0005-0000-0000-000093090000}"/>
    <cellStyle name="s_P_L_Ratios" xfId="1354" xr:uid="{00000000-0005-0000-0000-000094090000}"/>
    <cellStyle name="s_P_L_Ratios_B" xfId="1355" xr:uid="{00000000-0005-0000-0000-000095090000}"/>
    <cellStyle name="s_Paint 18 - MC" xfId="1356" xr:uid="{00000000-0005-0000-0000-000096090000}"/>
    <cellStyle name="s_RECESSA" xfId="1357" xr:uid="{00000000-0005-0000-0000-000097090000}"/>
    <cellStyle name="s_RECESSA_1" xfId="1358" xr:uid="{00000000-0005-0000-0000-000098090000}"/>
    <cellStyle name="s_S_By_S" xfId="1359" xr:uid="{00000000-0005-0000-0000-000099090000}"/>
    <cellStyle name="s_saft_1" xfId="1360" xr:uid="{00000000-0005-0000-0000-00009A090000}"/>
    <cellStyle name="s_saft_1_1" xfId="1361" xr:uid="{00000000-0005-0000-0000-00009B090000}"/>
    <cellStyle name="s_saft_1_2" xfId="1362" xr:uid="{00000000-0005-0000-0000-00009C090000}"/>
    <cellStyle name="s_Sheet5" xfId="1363" xr:uid="{00000000-0005-0000-0000-00009D090000}"/>
    <cellStyle name="s_Valuation " xfId="1364" xr:uid="{00000000-0005-0000-0000-00009E090000}"/>
    <cellStyle name="s_WACC benchmarking" xfId="1365" xr:uid="{00000000-0005-0000-0000-00009F090000}"/>
    <cellStyle name="s_WACC benchmarking 2" xfId="1366" xr:uid="{00000000-0005-0000-0000-0000A0090000}"/>
    <cellStyle name="s_West Ham (2)" xfId="1367" xr:uid="{00000000-0005-0000-0000-0000A1090000}"/>
    <cellStyle name="s_West Ham (2)_1" xfId="1368" xr:uid="{00000000-0005-0000-0000-0000A2090000}"/>
    <cellStyle name="s_West Ham (2)_2" xfId="1369" xr:uid="{00000000-0005-0000-0000-0000A3090000}"/>
    <cellStyle name="s_Westham (2)" xfId="1370" xr:uid="{00000000-0005-0000-0000-0000A4090000}"/>
    <cellStyle name="s_Westham (2)_1" xfId="1371" xr:uid="{00000000-0005-0000-0000-0000A5090000}"/>
    <cellStyle name="s_Westham (2)_2" xfId="1372" xr:uid="{00000000-0005-0000-0000-0000A6090000}"/>
    <cellStyle name="s_Wool_01_07_12_1999" xfId="1373" xr:uid="{00000000-0005-0000-0000-0000A7090000}"/>
    <cellStyle name="s_Wool_01_07_12_1999_1" xfId="1374" xr:uid="{00000000-0005-0000-0000-0000A8090000}"/>
    <cellStyle name="s_Wool_01_07_12_1999_2" xfId="1375" xr:uid="{00000000-0005-0000-0000-0000A9090000}"/>
    <cellStyle name="s_Wool_14_12_1999_2" xfId="1376" xr:uid="{00000000-0005-0000-0000-0000AA090000}"/>
    <cellStyle name="s_Wool_14_12_1999_2_1" xfId="1377" xr:uid="{00000000-0005-0000-0000-0000AB090000}"/>
    <cellStyle name="s_Wool_14_12_1999_2_2" xfId="1378" xr:uid="{00000000-0005-0000-0000-0000AC090000}"/>
    <cellStyle name="s_Wool_15_02_2000" xfId="1379" xr:uid="{00000000-0005-0000-0000-0000AD090000}"/>
    <cellStyle name="s_Wool_15_02_2000_1" xfId="1380" xr:uid="{00000000-0005-0000-0000-0000AE090000}"/>
    <cellStyle name="s_Wool_15_02_2000_2" xfId="1381" xr:uid="{00000000-0005-0000-0000-0000AF090000}"/>
    <cellStyle name="s_Wool_28_01_2000_02" xfId="1382" xr:uid="{00000000-0005-0000-0000-0000B0090000}"/>
    <cellStyle name="s_Wool_28_01_2000_02_1" xfId="1383" xr:uid="{00000000-0005-0000-0000-0000B1090000}"/>
    <cellStyle name="s_Wool_28_01_2000_02_2" xfId="1384" xr:uid="{00000000-0005-0000-0000-0000B2090000}"/>
    <cellStyle name="s_WoolEuro_12_04_2000_02" xfId="1385" xr:uid="{00000000-0005-0000-0000-0000B3090000}"/>
    <cellStyle name="s_WoolEuro_12_04_2000_02_1" xfId="1386" xr:uid="{00000000-0005-0000-0000-0000B4090000}"/>
    <cellStyle name="s_WoolEuro_12_04_2000_02_2" xfId="1387" xr:uid="{00000000-0005-0000-0000-0000B5090000}"/>
    <cellStyle name="s_WoolEuro_17_03_2000" xfId="1388" xr:uid="{00000000-0005-0000-0000-0000B6090000}"/>
    <cellStyle name="s_WoolEuro_17_03_2000_1" xfId="1389" xr:uid="{00000000-0005-0000-0000-0000B7090000}"/>
    <cellStyle name="s_WoolEuro_20_03_2000_3" xfId="1390" xr:uid="{00000000-0005-0000-0000-0000B8090000}"/>
    <cellStyle name="s_WoolEuro_20_03_2000_3_1" xfId="1391" xr:uid="{00000000-0005-0000-0000-0000B9090000}"/>
    <cellStyle name="s_WoolEuroEx_14_04_2000_01" xfId="1392" xr:uid="{00000000-0005-0000-0000-0000BA090000}"/>
    <cellStyle name="s_WoolEuroEx_14_04_2000_01_1" xfId="1393" xr:uid="{00000000-0005-0000-0000-0000BB090000}"/>
    <cellStyle name="Salomon Logo" xfId="570" xr:uid="{00000000-0005-0000-0000-0000BC090000}"/>
    <cellStyle name="SAPBEXaggData" xfId="1394" xr:uid="{00000000-0005-0000-0000-0000BD090000}"/>
    <cellStyle name="SAPBEXaggData 2" xfId="1395" xr:uid="{00000000-0005-0000-0000-0000BE090000}"/>
    <cellStyle name="SAPBEXaggData 3" xfId="1396" xr:uid="{00000000-0005-0000-0000-0000BF090000}"/>
    <cellStyle name="SAPBEXaggDataEmph" xfId="1397" xr:uid="{00000000-0005-0000-0000-0000C0090000}"/>
    <cellStyle name="SAPBEXaggItem" xfId="1398" xr:uid="{00000000-0005-0000-0000-0000C1090000}"/>
    <cellStyle name="SAPBEXaggItem 2" xfId="1399" xr:uid="{00000000-0005-0000-0000-0000C2090000}"/>
    <cellStyle name="SAPBEXaggItem 3" xfId="1400" xr:uid="{00000000-0005-0000-0000-0000C3090000}"/>
    <cellStyle name="SAPBEXaggItemX" xfId="1401" xr:uid="{00000000-0005-0000-0000-0000C4090000}"/>
    <cellStyle name="SAPBEXaggItemX 2" xfId="1402" xr:uid="{00000000-0005-0000-0000-0000C5090000}"/>
    <cellStyle name="SAPBEXaggItemX 3" xfId="1403" xr:uid="{00000000-0005-0000-0000-0000C6090000}"/>
    <cellStyle name="SAPBEXchaText" xfId="1404" xr:uid="{00000000-0005-0000-0000-0000C7090000}"/>
    <cellStyle name="SAPBEXchaText 2" xfId="1405" xr:uid="{00000000-0005-0000-0000-0000C8090000}"/>
    <cellStyle name="SAPBEXchaText 3" xfId="1406" xr:uid="{00000000-0005-0000-0000-0000C9090000}"/>
    <cellStyle name="SAPBEXchaText 4" xfId="1407" xr:uid="{00000000-0005-0000-0000-0000CA090000}"/>
    <cellStyle name="SAPBEXexcBad7" xfId="1408" xr:uid="{00000000-0005-0000-0000-0000CB090000}"/>
    <cellStyle name="SAPBEXexcBad7 2" xfId="1409" xr:uid="{00000000-0005-0000-0000-0000CC090000}"/>
    <cellStyle name="SAPBEXexcBad7 3" xfId="1410" xr:uid="{00000000-0005-0000-0000-0000CD090000}"/>
    <cellStyle name="SAPBEXexcBad8" xfId="1411" xr:uid="{00000000-0005-0000-0000-0000CE090000}"/>
    <cellStyle name="SAPBEXexcBad8 2" xfId="1412" xr:uid="{00000000-0005-0000-0000-0000CF090000}"/>
    <cellStyle name="SAPBEXexcBad8 3" xfId="1413" xr:uid="{00000000-0005-0000-0000-0000D0090000}"/>
    <cellStyle name="SAPBEXexcBad9" xfId="1414" xr:uid="{00000000-0005-0000-0000-0000D1090000}"/>
    <cellStyle name="SAPBEXexcBad9 2" xfId="1415" xr:uid="{00000000-0005-0000-0000-0000D2090000}"/>
    <cellStyle name="SAPBEXexcBad9 3" xfId="1416" xr:uid="{00000000-0005-0000-0000-0000D3090000}"/>
    <cellStyle name="SAPBEXexcCritical4" xfId="1417" xr:uid="{00000000-0005-0000-0000-0000D4090000}"/>
    <cellStyle name="SAPBEXexcCritical4 2" xfId="1418" xr:uid="{00000000-0005-0000-0000-0000D5090000}"/>
    <cellStyle name="SAPBEXexcCritical4 3" xfId="1419" xr:uid="{00000000-0005-0000-0000-0000D6090000}"/>
    <cellStyle name="SAPBEXexcCritical5" xfId="1420" xr:uid="{00000000-0005-0000-0000-0000D7090000}"/>
    <cellStyle name="SAPBEXexcCritical5 2" xfId="1421" xr:uid="{00000000-0005-0000-0000-0000D8090000}"/>
    <cellStyle name="SAPBEXexcCritical5 3" xfId="1422" xr:uid="{00000000-0005-0000-0000-0000D9090000}"/>
    <cellStyle name="SAPBEXexcCritical6" xfId="1423" xr:uid="{00000000-0005-0000-0000-0000DA090000}"/>
    <cellStyle name="SAPBEXexcCritical6 2" xfId="1424" xr:uid="{00000000-0005-0000-0000-0000DB090000}"/>
    <cellStyle name="SAPBEXexcCritical6 3" xfId="1425" xr:uid="{00000000-0005-0000-0000-0000DC090000}"/>
    <cellStyle name="SAPBEXexcGood1" xfId="1426" xr:uid="{00000000-0005-0000-0000-0000DD090000}"/>
    <cellStyle name="SAPBEXexcGood1 2" xfId="1427" xr:uid="{00000000-0005-0000-0000-0000DE090000}"/>
    <cellStyle name="SAPBEXexcGood1 3" xfId="1428" xr:uid="{00000000-0005-0000-0000-0000DF090000}"/>
    <cellStyle name="SAPBEXexcGood2" xfId="1429" xr:uid="{00000000-0005-0000-0000-0000E0090000}"/>
    <cellStyle name="SAPBEXexcGood2 2" xfId="1430" xr:uid="{00000000-0005-0000-0000-0000E1090000}"/>
    <cellStyle name="SAPBEXexcGood2 3" xfId="1431" xr:uid="{00000000-0005-0000-0000-0000E2090000}"/>
    <cellStyle name="SAPBEXexcGood3" xfId="1432" xr:uid="{00000000-0005-0000-0000-0000E3090000}"/>
    <cellStyle name="SAPBEXexcGood3 2" xfId="1433" xr:uid="{00000000-0005-0000-0000-0000E4090000}"/>
    <cellStyle name="SAPBEXexcGood3 3" xfId="1434" xr:uid="{00000000-0005-0000-0000-0000E5090000}"/>
    <cellStyle name="SAPBEXfilterDrill" xfId="1435" xr:uid="{00000000-0005-0000-0000-0000E6090000}"/>
    <cellStyle name="SAPBEXfilterItem" xfId="1436" xr:uid="{00000000-0005-0000-0000-0000E7090000}"/>
    <cellStyle name="SAPBEXfilterItem 2" xfId="1437" xr:uid="{00000000-0005-0000-0000-0000E8090000}"/>
    <cellStyle name="SAPBEXfilterItem 3" xfId="1438" xr:uid="{00000000-0005-0000-0000-0000E9090000}"/>
    <cellStyle name="SAPBEXfilterText" xfId="1439" xr:uid="{00000000-0005-0000-0000-0000EA090000}"/>
    <cellStyle name="SAPBEXformats" xfId="1440" xr:uid="{00000000-0005-0000-0000-0000EB090000}"/>
    <cellStyle name="SAPBEXformats 2" xfId="1441" xr:uid="{00000000-0005-0000-0000-0000EC090000}"/>
    <cellStyle name="SAPBEXformats 3" xfId="1442" xr:uid="{00000000-0005-0000-0000-0000ED090000}"/>
    <cellStyle name="SAPBEXformats 4" xfId="1443" xr:uid="{00000000-0005-0000-0000-0000EE090000}"/>
    <cellStyle name="SAPBEXheaderItem" xfId="1444" xr:uid="{00000000-0005-0000-0000-0000EF090000}"/>
    <cellStyle name="SAPBEXheaderText" xfId="1445" xr:uid="{00000000-0005-0000-0000-0000F0090000}"/>
    <cellStyle name="SAPBEXHLevel0" xfId="1446" xr:uid="{00000000-0005-0000-0000-0000F1090000}"/>
    <cellStyle name="SAPBEXHLevel0 2" xfId="1447" xr:uid="{00000000-0005-0000-0000-0000F2090000}"/>
    <cellStyle name="SAPBEXHLevel0 3" xfId="1448" xr:uid="{00000000-0005-0000-0000-0000F3090000}"/>
    <cellStyle name="SAPBEXHLevel0 4" xfId="1449" xr:uid="{00000000-0005-0000-0000-0000F4090000}"/>
    <cellStyle name="SAPBEXHLevel0X" xfId="1450" xr:uid="{00000000-0005-0000-0000-0000F5090000}"/>
    <cellStyle name="SAPBEXHLevel0X 2" xfId="1451" xr:uid="{00000000-0005-0000-0000-0000F6090000}"/>
    <cellStyle name="SAPBEXHLevel0X 3" xfId="1452" xr:uid="{00000000-0005-0000-0000-0000F7090000}"/>
    <cellStyle name="SAPBEXHLevel0X 4" xfId="1453" xr:uid="{00000000-0005-0000-0000-0000F8090000}"/>
    <cellStyle name="SAPBEXHLevel1" xfId="1454" xr:uid="{00000000-0005-0000-0000-0000F9090000}"/>
    <cellStyle name="SAPBEXHLevel1 2" xfId="1455" xr:uid="{00000000-0005-0000-0000-0000FA090000}"/>
    <cellStyle name="SAPBEXHLevel1 3" xfId="1456" xr:uid="{00000000-0005-0000-0000-0000FB090000}"/>
    <cellStyle name="SAPBEXHLevel1 4" xfId="1457" xr:uid="{00000000-0005-0000-0000-0000FC090000}"/>
    <cellStyle name="SAPBEXHLevel1X" xfId="1458" xr:uid="{00000000-0005-0000-0000-0000FD090000}"/>
    <cellStyle name="SAPBEXHLevel1X 2" xfId="1459" xr:uid="{00000000-0005-0000-0000-0000FE090000}"/>
    <cellStyle name="SAPBEXHLevel1X 3" xfId="1460" xr:uid="{00000000-0005-0000-0000-0000FF090000}"/>
    <cellStyle name="SAPBEXHLevel1X 4" xfId="1461" xr:uid="{00000000-0005-0000-0000-0000000A0000}"/>
    <cellStyle name="SAPBEXHLevel2" xfId="1462" xr:uid="{00000000-0005-0000-0000-0000010A0000}"/>
    <cellStyle name="SAPBEXHLevel2 2" xfId="1463" xr:uid="{00000000-0005-0000-0000-0000020A0000}"/>
    <cellStyle name="SAPBEXHLevel2 3" xfId="1464" xr:uid="{00000000-0005-0000-0000-0000030A0000}"/>
    <cellStyle name="SAPBEXHLevel2 4" xfId="1465" xr:uid="{00000000-0005-0000-0000-0000040A0000}"/>
    <cellStyle name="SAPBEXHLevel2X" xfId="1466" xr:uid="{00000000-0005-0000-0000-0000050A0000}"/>
    <cellStyle name="SAPBEXHLevel2X 2" xfId="1467" xr:uid="{00000000-0005-0000-0000-0000060A0000}"/>
    <cellStyle name="SAPBEXHLevel2X 3" xfId="1468" xr:uid="{00000000-0005-0000-0000-0000070A0000}"/>
    <cellStyle name="SAPBEXHLevel2X 4" xfId="1469" xr:uid="{00000000-0005-0000-0000-0000080A0000}"/>
    <cellStyle name="SAPBEXHLevel3" xfId="1470" xr:uid="{00000000-0005-0000-0000-0000090A0000}"/>
    <cellStyle name="SAPBEXHLevel3 2" xfId="1471" xr:uid="{00000000-0005-0000-0000-00000A0A0000}"/>
    <cellStyle name="SAPBEXHLevel3 3" xfId="1472" xr:uid="{00000000-0005-0000-0000-00000B0A0000}"/>
    <cellStyle name="SAPBEXHLevel3 4" xfId="1473" xr:uid="{00000000-0005-0000-0000-00000C0A0000}"/>
    <cellStyle name="SAPBEXHLevel3X" xfId="1474" xr:uid="{00000000-0005-0000-0000-00000D0A0000}"/>
    <cellStyle name="SAPBEXHLevel3X 2" xfId="1475" xr:uid="{00000000-0005-0000-0000-00000E0A0000}"/>
    <cellStyle name="SAPBEXHLevel3X 3" xfId="1476" xr:uid="{00000000-0005-0000-0000-00000F0A0000}"/>
    <cellStyle name="SAPBEXHLevel3X 4" xfId="1477" xr:uid="{00000000-0005-0000-0000-0000100A0000}"/>
    <cellStyle name="SAPBEXresData" xfId="1478" xr:uid="{00000000-0005-0000-0000-0000110A0000}"/>
    <cellStyle name="SAPBEXresData 2" xfId="1479" xr:uid="{00000000-0005-0000-0000-0000120A0000}"/>
    <cellStyle name="SAPBEXresData 3" xfId="1480" xr:uid="{00000000-0005-0000-0000-0000130A0000}"/>
    <cellStyle name="SAPBEXresDataEmph" xfId="1481" xr:uid="{00000000-0005-0000-0000-0000140A0000}"/>
    <cellStyle name="SAPBEXresItem" xfId="1482" xr:uid="{00000000-0005-0000-0000-0000150A0000}"/>
    <cellStyle name="SAPBEXresItem 2" xfId="1483" xr:uid="{00000000-0005-0000-0000-0000160A0000}"/>
    <cellStyle name="SAPBEXresItem 3" xfId="1484" xr:uid="{00000000-0005-0000-0000-0000170A0000}"/>
    <cellStyle name="SAPBEXresItemX" xfId="1485" xr:uid="{00000000-0005-0000-0000-0000180A0000}"/>
    <cellStyle name="SAPBEXresItemX 2" xfId="1486" xr:uid="{00000000-0005-0000-0000-0000190A0000}"/>
    <cellStyle name="SAPBEXresItemX 3" xfId="1487" xr:uid="{00000000-0005-0000-0000-00001A0A0000}"/>
    <cellStyle name="SAPBEXstdData" xfId="1488" xr:uid="{00000000-0005-0000-0000-00001B0A0000}"/>
    <cellStyle name="SAPBEXstdData 2" xfId="1489" xr:uid="{00000000-0005-0000-0000-00001C0A0000}"/>
    <cellStyle name="SAPBEXstdData 3" xfId="1490" xr:uid="{00000000-0005-0000-0000-00001D0A0000}"/>
    <cellStyle name="SAPBEXstdDataEmph" xfId="1491" xr:uid="{00000000-0005-0000-0000-00001E0A0000}"/>
    <cellStyle name="SAPBEXstdItem" xfId="1492" xr:uid="{00000000-0005-0000-0000-00001F0A0000}"/>
    <cellStyle name="SAPBEXstdItem 2" xfId="1493" xr:uid="{00000000-0005-0000-0000-0000200A0000}"/>
    <cellStyle name="SAPBEXstdItem 3" xfId="1494" xr:uid="{00000000-0005-0000-0000-0000210A0000}"/>
    <cellStyle name="SAPBEXstdItem 4" xfId="1495" xr:uid="{00000000-0005-0000-0000-0000220A0000}"/>
    <cellStyle name="SAPBEXstdItemX" xfId="1496" xr:uid="{00000000-0005-0000-0000-0000230A0000}"/>
    <cellStyle name="SAPBEXstdItemX 2" xfId="1497" xr:uid="{00000000-0005-0000-0000-0000240A0000}"/>
    <cellStyle name="SAPBEXstdItemX 3" xfId="1498" xr:uid="{00000000-0005-0000-0000-0000250A0000}"/>
    <cellStyle name="SAPBEXstdItemX 4" xfId="1499" xr:uid="{00000000-0005-0000-0000-0000260A0000}"/>
    <cellStyle name="SAPBEXtitle" xfId="1500" xr:uid="{00000000-0005-0000-0000-0000270A0000}"/>
    <cellStyle name="SAPBEXundefined" xfId="1501" xr:uid="{00000000-0005-0000-0000-0000280A0000}"/>
    <cellStyle name="sd" xfId="1502" xr:uid="{00000000-0005-0000-0000-0000290A0000}"/>
    <cellStyle name="SecSubTitle" xfId="1503" xr:uid="{00000000-0005-0000-0000-00002A0A0000}"/>
    <cellStyle name="Section Heading-Large" xfId="571" xr:uid="{00000000-0005-0000-0000-00002B0A0000}"/>
    <cellStyle name="Section Heading-Small" xfId="572" xr:uid="{00000000-0005-0000-0000-00002C0A0000}"/>
    <cellStyle name="Section Number" xfId="1504" xr:uid="{00000000-0005-0000-0000-00002D0A0000}"/>
    <cellStyle name="Section Title" xfId="1505" xr:uid="{00000000-0005-0000-0000-00002E0A0000}"/>
    <cellStyle name="SecTitle" xfId="1506" xr:uid="{00000000-0005-0000-0000-00002F0A0000}"/>
    <cellStyle name="sf" xfId="1507" xr:uid="{00000000-0005-0000-0000-0000300A0000}"/>
    <cellStyle name="sff" xfId="1508" xr:uid="{00000000-0005-0000-0000-0000310A0000}"/>
    <cellStyle name="Shaded" xfId="573" xr:uid="{00000000-0005-0000-0000-0000320A0000}"/>
    <cellStyle name="Shaded 2" xfId="1509" xr:uid="{00000000-0005-0000-0000-0000330A0000}"/>
    <cellStyle name="Shading" xfId="1510" xr:uid="{00000000-0005-0000-0000-0000340A0000}"/>
    <cellStyle name="Shading 2" xfId="1511" xr:uid="{00000000-0005-0000-0000-0000350A0000}"/>
    <cellStyle name="Single Accounting" xfId="1512" xr:uid="{00000000-0005-0000-0000-0000360A0000}"/>
    <cellStyle name="Small Cost" xfId="1513" xr:uid="{00000000-0005-0000-0000-0000370A0000}"/>
    <cellStyle name="Small Cost 2" xfId="1514" xr:uid="{00000000-0005-0000-0000-0000380A0000}"/>
    <cellStyle name="Small Cost 3" xfId="1515" xr:uid="{00000000-0005-0000-0000-0000390A0000}"/>
    <cellStyle name="Small Cost 4" xfId="1516" xr:uid="{00000000-0005-0000-0000-00003A0A0000}"/>
    <cellStyle name="Small Currency" xfId="1517" xr:uid="{00000000-0005-0000-0000-00003B0A0000}"/>
    <cellStyle name="Small Currency 2" xfId="1518" xr:uid="{00000000-0005-0000-0000-00003C0A0000}"/>
    <cellStyle name="Small Currency 3" xfId="1519" xr:uid="{00000000-0005-0000-0000-00003D0A0000}"/>
    <cellStyle name="Small Currency 4" xfId="1520" xr:uid="{00000000-0005-0000-0000-00003E0A0000}"/>
    <cellStyle name="Small Number" xfId="1521" xr:uid="{00000000-0005-0000-0000-00003F0A0000}"/>
    <cellStyle name="Small Percentage" xfId="1522" xr:uid="{00000000-0005-0000-0000-0000400A0000}"/>
    <cellStyle name="Small Percentage 2" xfId="1523" xr:uid="{00000000-0005-0000-0000-0000410A0000}"/>
    <cellStyle name="Small Percentage 3" xfId="1524" xr:uid="{00000000-0005-0000-0000-0000420A0000}"/>
    <cellStyle name="Small Percentage 4" xfId="1525" xr:uid="{00000000-0005-0000-0000-0000430A0000}"/>
    <cellStyle name="ss" xfId="1526" xr:uid="{00000000-0005-0000-0000-0000440A0000}"/>
    <cellStyle name="ssp " xfId="1527" xr:uid="{00000000-0005-0000-0000-0000450A0000}"/>
    <cellStyle name="st" xfId="1528" xr:uid="{00000000-0005-0000-0000-0000460A0000}"/>
    <cellStyle name="st 2" xfId="1529" xr:uid="{00000000-0005-0000-0000-0000470A0000}"/>
    <cellStyle name="Standaard_Sheet1" xfId="1530" xr:uid="{00000000-0005-0000-0000-0000480A0000}"/>
    <cellStyle name="Standard_311299 freie Spitze" xfId="1531" xr:uid="{00000000-0005-0000-0000-0000490A0000}"/>
    <cellStyle name="Style 1" xfId="574" xr:uid="{00000000-0005-0000-0000-00004A0A0000}"/>
    <cellStyle name="Style 1 2" xfId="1533" xr:uid="{00000000-0005-0000-0000-00004B0A0000}"/>
    <cellStyle name="Style 1 3" xfId="1534" xr:uid="{00000000-0005-0000-0000-00004C0A0000}"/>
    <cellStyle name="Style 1 4" xfId="1535" xr:uid="{00000000-0005-0000-0000-00004D0A0000}"/>
    <cellStyle name="Style 1 5" xfId="1532" xr:uid="{00000000-0005-0000-0000-00004E0A0000}"/>
    <cellStyle name="Style 1 6" xfId="1889" xr:uid="{00000000-0005-0000-0000-00004F0A0000}"/>
    <cellStyle name="Style 2" xfId="575" xr:uid="{00000000-0005-0000-0000-0000500A0000}"/>
    <cellStyle name="Style 2 2" xfId="1890" xr:uid="{00000000-0005-0000-0000-0000510A0000}"/>
    <cellStyle name="Style 3" xfId="576" xr:uid="{00000000-0005-0000-0000-0000520A0000}"/>
    <cellStyle name="Style 3 2" xfId="1891" xr:uid="{00000000-0005-0000-0000-0000530A0000}"/>
    <cellStyle name="Style 4" xfId="577" xr:uid="{00000000-0005-0000-0000-0000540A0000}"/>
    <cellStyle name="Style 4 2" xfId="1892" xr:uid="{00000000-0005-0000-0000-0000550A0000}"/>
    <cellStyle name="STYLE1" xfId="1536" xr:uid="{00000000-0005-0000-0000-0000560A0000}"/>
    <cellStyle name="STYLE1 2" xfId="1537" xr:uid="{00000000-0005-0000-0000-0000570A0000}"/>
    <cellStyle name="STYLE2" xfId="1538" xr:uid="{00000000-0005-0000-0000-0000580A0000}"/>
    <cellStyle name="STYLE2 2" xfId="1539" xr:uid="{00000000-0005-0000-0000-0000590A0000}"/>
    <cellStyle name="STYLE2 2 2" xfId="1540" xr:uid="{00000000-0005-0000-0000-00005A0A0000}"/>
    <cellStyle name="STYLE2 2 3" xfId="1541" xr:uid="{00000000-0005-0000-0000-00005B0A0000}"/>
    <cellStyle name="STYLE2 3" xfId="1542" xr:uid="{00000000-0005-0000-0000-00005C0A0000}"/>
    <cellStyle name="STYLE2 4" xfId="1543" xr:uid="{00000000-0005-0000-0000-00005D0A0000}"/>
    <cellStyle name="STYLE3" xfId="1544" xr:uid="{00000000-0005-0000-0000-00005E0A0000}"/>
    <cellStyle name="STYLE4" xfId="1545" xr:uid="{00000000-0005-0000-0000-00005F0A0000}"/>
    <cellStyle name="STYLE4 2" xfId="1546" xr:uid="{00000000-0005-0000-0000-0000600A0000}"/>
    <cellStyle name="STYLE4 2 2" xfId="1547" xr:uid="{00000000-0005-0000-0000-0000610A0000}"/>
    <cellStyle name="STYLE4 2 3" xfId="1548" xr:uid="{00000000-0005-0000-0000-0000620A0000}"/>
    <cellStyle name="STYLE4 3" xfId="1549" xr:uid="{00000000-0005-0000-0000-0000630A0000}"/>
    <cellStyle name="STYLE4 4" xfId="1550" xr:uid="{00000000-0005-0000-0000-0000640A0000}"/>
    <cellStyle name="STYLE5" xfId="1551" xr:uid="{00000000-0005-0000-0000-0000650A0000}"/>
    <cellStyle name="STYLE6" xfId="1552" xr:uid="{00000000-0005-0000-0000-0000660A0000}"/>
    <cellStyle name="STYLE7" xfId="1553" xr:uid="{00000000-0005-0000-0000-0000670A0000}"/>
    <cellStyle name="STYLE8" xfId="1554" xr:uid="{00000000-0005-0000-0000-0000680A0000}"/>
    <cellStyle name="SubTot" xfId="1555" xr:uid="{00000000-0005-0000-0000-0000690A0000}"/>
    <cellStyle name="SubTot 2" xfId="1556" xr:uid="{00000000-0005-0000-0000-00006A0A0000}"/>
    <cellStyle name="SubTotal" xfId="578" xr:uid="{00000000-0005-0000-0000-00006B0A0000}"/>
    <cellStyle name="summation" xfId="579" xr:uid="{00000000-0005-0000-0000-00006C0A0000}"/>
    <cellStyle name="t" xfId="1557" xr:uid="{00000000-0005-0000-0000-00006D0A0000}"/>
    <cellStyle name="t 2" xfId="1558" xr:uid="{00000000-0005-0000-0000-00006E0A0000}"/>
    <cellStyle name="t#" xfId="1559" xr:uid="{00000000-0005-0000-0000-00006F0A0000}"/>
    <cellStyle name="t_Manager" xfId="1560" xr:uid="{00000000-0005-0000-0000-0000700A0000}"/>
    <cellStyle name="t_Manager 2" xfId="1561" xr:uid="{00000000-0005-0000-0000-0000710A0000}"/>
    <cellStyle name="t_Valuation" xfId="1562" xr:uid="{00000000-0005-0000-0000-0000720A0000}"/>
    <cellStyle name="t_Valuation 2" xfId="1563" xr:uid="{00000000-0005-0000-0000-0000730A0000}"/>
    <cellStyle name="t_WACC benchmarking" xfId="1564" xr:uid="{00000000-0005-0000-0000-0000740A0000}"/>
    <cellStyle name="t_WACC benchmarking 2" xfId="1565" xr:uid="{00000000-0005-0000-0000-0000750A0000}"/>
    <cellStyle name="t1" xfId="1566" xr:uid="{00000000-0005-0000-0000-0000760A0000}"/>
    <cellStyle name="t1 2" xfId="1567" xr:uid="{00000000-0005-0000-0000-0000770A0000}"/>
    <cellStyle name="Table body numbers" xfId="2618" xr:uid="{00000000-0005-0000-0000-0000780A0000}"/>
    <cellStyle name="Table body text" xfId="2619" xr:uid="{00000000-0005-0000-0000-0000790A0000}"/>
    <cellStyle name="Table Col Head" xfId="580" xr:uid="{00000000-0005-0000-0000-00007A0A0000}"/>
    <cellStyle name="Table footer - notes" xfId="2620" xr:uid="{00000000-0005-0000-0000-00007B0A0000}"/>
    <cellStyle name="Table footer - source-notes" xfId="2621" xr:uid="{00000000-0005-0000-0000-00007C0A0000}"/>
    <cellStyle name="Table Head" xfId="581" xr:uid="{00000000-0005-0000-0000-00007D0A0000}"/>
    <cellStyle name="Table Head 2" xfId="1569" xr:uid="{00000000-0005-0000-0000-00007E0A0000}"/>
    <cellStyle name="Table Head 3" xfId="1568" xr:uid="{00000000-0005-0000-0000-00007F0A0000}"/>
    <cellStyle name="Table Head Aligned" xfId="582" xr:uid="{00000000-0005-0000-0000-0000800A0000}"/>
    <cellStyle name="Table Head Blue" xfId="583" xr:uid="{00000000-0005-0000-0000-0000810A0000}"/>
    <cellStyle name="Table Head Green" xfId="584" xr:uid="{00000000-0005-0000-0000-0000820A0000}"/>
    <cellStyle name="Table Head_AccessGroup 012509 v3" xfId="1570" xr:uid="{00000000-0005-0000-0000-0000830A0000}"/>
    <cellStyle name="Table Heading" xfId="585" xr:uid="{00000000-0005-0000-0000-0000840A0000}"/>
    <cellStyle name="Table heading 10" xfId="2752" xr:uid="{00000000-0005-0000-0000-0000850A0000}"/>
    <cellStyle name="Table Heading 2" xfId="1572" xr:uid="{00000000-0005-0000-0000-0000860A0000}"/>
    <cellStyle name="Table heading 3" xfId="2622" xr:uid="{00000000-0005-0000-0000-0000870A0000}"/>
    <cellStyle name="Table heading 4" xfId="2628" xr:uid="{00000000-0005-0000-0000-0000880A0000}"/>
    <cellStyle name="Table heading 5" xfId="2630" xr:uid="{00000000-0005-0000-0000-0000890A0000}"/>
    <cellStyle name="Table heading 6" xfId="2646" xr:uid="{00000000-0005-0000-0000-00008A0A0000}"/>
    <cellStyle name="Table heading 7" xfId="2648" xr:uid="{00000000-0005-0000-0000-00008B0A0000}"/>
    <cellStyle name="Table heading 8" xfId="2660" xr:uid="{00000000-0005-0000-0000-00008C0A0000}"/>
    <cellStyle name="Table heading 9" xfId="2672" xr:uid="{00000000-0005-0000-0000-00008D0A0000}"/>
    <cellStyle name="Table number-column heading (right)" xfId="2623" xr:uid="{00000000-0005-0000-0000-00008E0A0000}"/>
    <cellStyle name="Table Source" xfId="1573" xr:uid="{00000000-0005-0000-0000-00008F0A0000}"/>
    <cellStyle name="Table Sub Head" xfId="586" xr:uid="{00000000-0005-0000-0000-0000900A0000}"/>
    <cellStyle name="Table Sub Head 2" xfId="1574" xr:uid="{00000000-0005-0000-0000-0000910A0000}"/>
    <cellStyle name="Table Text" xfId="587" xr:uid="{00000000-0005-0000-0000-0000920A0000}"/>
    <cellStyle name="Table Text 2" xfId="1575" xr:uid="{00000000-0005-0000-0000-0000930A0000}"/>
    <cellStyle name="Table text-column heading (left)" xfId="2624" xr:uid="{00000000-0005-0000-0000-0000940A0000}"/>
    <cellStyle name="Table Title" xfId="588" xr:uid="{00000000-0005-0000-0000-0000950A0000}"/>
    <cellStyle name="Table Title 2" xfId="1577" xr:uid="{00000000-0005-0000-0000-0000960A0000}"/>
    <cellStyle name="Table Title 3" xfId="1576" xr:uid="{00000000-0005-0000-0000-0000970A0000}"/>
    <cellStyle name="Table title 4" xfId="2905" xr:uid="{BDC170BC-DFA8-41F1-81C3-4BD3E2EAF10F}"/>
    <cellStyle name="Table Units" xfId="589" xr:uid="{00000000-0005-0000-0000-0000980A0000}"/>
    <cellStyle name="Table Units 2" xfId="1579" xr:uid="{00000000-0005-0000-0000-0000990A0000}"/>
    <cellStyle name="Table Units 3" xfId="1578" xr:uid="{00000000-0005-0000-0000-00009A0A0000}"/>
    <cellStyle name="Table_Header" xfId="590" xr:uid="{00000000-0005-0000-0000-00009B0A0000}"/>
    <cellStyle name="Text" xfId="1580" xr:uid="{00000000-0005-0000-0000-00009C0A0000}"/>
    <cellStyle name="Text 1" xfId="591" xr:uid="{00000000-0005-0000-0000-00009D0A0000}"/>
    <cellStyle name="Text 1 2" xfId="1581" xr:uid="{00000000-0005-0000-0000-00009E0A0000}"/>
    <cellStyle name="Text 2" xfId="1582" xr:uid="{00000000-0005-0000-0000-00009F0A0000}"/>
    <cellStyle name="Text Head 1" xfId="592" xr:uid="{00000000-0005-0000-0000-0000A00A0000}"/>
    <cellStyle name="Text Head 1 2" xfId="1583" xr:uid="{00000000-0005-0000-0000-0000A10A0000}"/>
    <cellStyle name="Text Head 2" xfId="1584" xr:uid="{00000000-0005-0000-0000-0000A20A0000}"/>
    <cellStyle name="Text Indent 1" xfId="1585" xr:uid="{00000000-0005-0000-0000-0000A30A0000}"/>
    <cellStyle name="Text Indent 2" xfId="1586" xr:uid="{00000000-0005-0000-0000-0000A40A0000}"/>
    <cellStyle name="TFCF" xfId="593" xr:uid="{00000000-0005-0000-0000-0000A50A0000}"/>
    <cellStyle name="Thousands" xfId="1587" xr:uid="{00000000-0005-0000-0000-0000A60A0000}"/>
    <cellStyle name="Times 10" xfId="1588" xr:uid="{00000000-0005-0000-0000-0000A70A0000}"/>
    <cellStyle name="Times 10 2" xfId="1589" xr:uid="{00000000-0005-0000-0000-0000A80A0000}"/>
    <cellStyle name="Times 12" xfId="1590" xr:uid="{00000000-0005-0000-0000-0000A90A0000}"/>
    <cellStyle name="Title" xfId="594" builtinId="15" customBuiltin="1"/>
    <cellStyle name="Title 2" xfId="595" xr:uid="{00000000-0005-0000-0000-0000AB0A0000}"/>
    <cellStyle name="Title 2 2" xfId="2551" xr:uid="{00000000-0005-0000-0000-0000AC0A0000}"/>
    <cellStyle name="Title 2 2 2" xfId="2731" xr:uid="{00000000-0005-0000-0000-0000AD0A0000}"/>
    <cellStyle name="Title 2 3" xfId="2853" xr:uid="{02AD3A64-5090-4FB9-BECA-85AFC8DAA805}"/>
    <cellStyle name="Title 3" xfId="2552" xr:uid="{00000000-0005-0000-0000-0000AE0A0000}"/>
    <cellStyle name="Title 4" xfId="2553" xr:uid="{00000000-0005-0000-0000-0000AF0A0000}"/>
    <cellStyle name="Title 5" xfId="2554" xr:uid="{00000000-0005-0000-0000-0000B00A0000}"/>
    <cellStyle name="Title 6" xfId="2946" xr:uid="{B37C1C5A-53B5-47F1-A527-EB5739C2A4E0}"/>
    <cellStyle name="Title Heading" xfId="1591" xr:uid="{00000000-0005-0000-0000-0000B10A0000}"/>
    <cellStyle name="Title:Column" xfId="2955" xr:uid="{FBF777B2-C9C5-4687-B3B7-FB784A4EE431}"/>
    <cellStyle name="To" xfId="1592" xr:uid="{00000000-0005-0000-0000-0000B20A0000}"/>
    <cellStyle name="TOC 1" xfId="1593" xr:uid="{00000000-0005-0000-0000-0000B30A0000}"/>
    <cellStyle name="TOC 2" xfId="1594" xr:uid="{00000000-0005-0000-0000-0000B40A0000}"/>
    <cellStyle name="Top_Double_Bottom" xfId="1595" xr:uid="{00000000-0005-0000-0000-0000B50A0000}"/>
    <cellStyle name="Total" xfId="596" builtinId="25" customBuiltin="1"/>
    <cellStyle name="Total 2" xfId="597" xr:uid="{00000000-0005-0000-0000-0000B70A0000}"/>
    <cellStyle name="Total 2 2" xfId="1596" xr:uid="{00000000-0005-0000-0000-0000B80A0000}"/>
    <cellStyle name="Total 2 3" xfId="2555" xr:uid="{00000000-0005-0000-0000-0000B90A0000}"/>
    <cellStyle name="Total 3" xfId="2556" xr:uid="{00000000-0005-0000-0000-0000BA0A0000}"/>
    <cellStyle name="Total 4" xfId="2557" xr:uid="{00000000-0005-0000-0000-0000BB0A0000}"/>
    <cellStyle name="Total 5" xfId="2558" xr:uid="{00000000-0005-0000-0000-0000BC0A0000}"/>
    <cellStyle name="Total 6" xfId="2559" xr:uid="{00000000-0005-0000-0000-0000BD0A0000}"/>
    <cellStyle name="Total 7" xfId="2560" xr:uid="{00000000-0005-0000-0000-0000BE0A0000}"/>
    <cellStyle name="Total 8" xfId="2561" xr:uid="{00000000-0005-0000-0000-0000BF0A0000}"/>
    <cellStyle name="tt" xfId="1597" xr:uid="{00000000-0005-0000-0000-0000C00A0000}"/>
    <cellStyle name="tt 2" xfId="1598" xr:uid="{00000000-0005-0000-0000-0000C10A0000}"/>
    <cellStyle name="u" xfId="1599" xr:uid="{00000000-0005-0000-0000-0000C20A0000}"/>
    <cellStyle name="uk" xfId="598" xr:uid="{00000000-0005-0000-0000-0000C30A0000}"/>
    <cellStyle name="uk 2" xfId="1893" xr:uid="{00000000-0005-0000-0000-0000C40A0000}"/>
    <cellStyle name="Un" xfId="599" xr:uid="{00000000-0005-0000-0000-0000C50A0000}"/>
    <cellStyle name="Underline_Single" xfId="600" xr:uid="{00000000-0005-0000-0000-0000C60A0000}"/>
    <cellStyle name="Unit" xfId="1600" xr:uid="{00000000-0005-0000-0000-0000C70A0000}"/>
    <cellStyle name="Unit 2" xfId="1601" xr:uid="{00000000-0005-0000-0000-0000C80A0000}"/>
    <cellStyle name="Unit 3" xfId="1602" xr:uid="{00000000-0005-0000-0000-0000C90A0000}"/>
    <cellStyle name="Unit 4" xfId="1603" xr:uid="{00000000-0005-0000-0000-0000CA0A0000}"/>
    <cellStyle name="Unprot" xfId="601" xr:uid="{00000000-0005-0000-0000-0000CB0A0000}"/>
    <cellStyle name="Unprot$" xfId="602" xr:uid="{00000000-0005-0000-0000-0000CC0A0000}"/>
    <cellStyle name="Unprot_021112 Trent Wind_uden" xfId="603" xr:uid="{00000000-0005-0000-0000-0000CD0A0000}"/>
    <cellStyle name="Unprotect" xfId="604" xr:uid="{00000000-0005-0000-0000-0000CE0A0000}"/>
    <cellStyle name="unprotected" xfId="2920" xr:uid="{8A47F450-6741-4A16-9A05-2BF07A492219}"/>
    <cellStyle name="Upload Only" xfId="1604" xr:uid="{00000000-0005-0000-0000-0000CF0A0000}"/>
    <cellStyle name="Upload Only 2" xfId="1605" xr:uid="{00000000-0005-0000-0000-0000D00A0000}"/>
    <cellStyle name="Upload Only 3" xfId="1606" xr:uid="{00000000-0005-0000-0000-0000D10A0000}"/>
    <cellStyle name="Upload Only 4" xfId="1607" xr:uid="{00000000-0005-0000-0000-0000D20A0000}"/>
    <cellStyle name="UsedCell" xfId="2830" xr:uid="{CFCCB653-3425-4C09-A84F-B2D726B56557}"/>
    <cellStyle name="Valuta (0)_33RATEI 05" xfId="1608" xr:uid="{00000000-0005-0000-0000-0000D30A0000}"/>
    <cellStyle name="Valuta [0]_Sheet1" xfId="1609" xr:uid="{00000000-0005-0000-0000-0000D40A0000}"/>
    <cellStyle name="Valuta_All 2" xfId="1610" xr:uid="{00000000-0005-0000-0000-0000D50A0000}"/>
    <cellStyle name="Version Number" xfId="1611" xr:uid="{00000000-0005-0000-0000-0000D60A0000}"/>
    <cellStyle name="Version Number 2" xfId="1612" xr:uid="{00000000-0005-0000-0000-0000D70A0000}"/>
    <cellStyle name="vil" xfId="1613" xr:uid="{00000000-0005-0000-0000-0000D80A0000}"/>
    <cellStyle name="w" xfId="1614" xr:uid="{00000000-0005-0000-0000-0000D90A0000}"/>
    <cellStyle name="Währung [0]_Compiling Utility Macros" xfId="605" xr:uid="{00000000-0005-0000-0000-0000DA0A0000}"/>
    <cellStyle name="Währung_Compiling Utility Macros" xfId="606" xr:uid="{00000000-0005-0000-0000-0000DB0A0000}"/>
    <cellStyle name="Warning Text" xfId="607" builtinId="11" customBuiltin="1"/>
    <cellStyle name="Warning Text 2" xfId="608" xr:uid="{00000000-0005-0000-0000-0000DD0A0000}"/>
    <cellStyle name="Warning Text 2 2" xfId="1615" xr:uid="{00000000-0005-0000-0000-0000DE0A0000}"/>
    <cellStyle name="Warning Text 3" xfId="2562" xr:uid="{00000000-0005-0000-0000-0000DF0A0000}"/>
    <cellStyle name="Warning Text 4" xfId="2563" xr:uid="{00000000-0005-0000-0000-0000E00A0000}"/>
    <cellStyle name="Warning Text 5" xfId="2564" xr:uid="{00000000-0005-0000-0000-0000E10A0000}"/>
    <cellStyle name="Warning Text 6" xfId="2565" xr:uid="{00000000-0005-0000-0000-0000E20A0000}"/>
    <cellStyle name="Whole" xfId="1616" xr:uid="{00000000-0005-0000-0000-0000E30A0000}"/>
    <cellStyle name="WideTotal" xfId="1617" xr:uid="{00000000-0005-0000-0000-0000E40A0000}"/>
    <cellStyle name="WideTotalB" xfId="1618" xr:uid="{00000000-0005-0000-0000-0000E50A0000}"/>
    <cellStyle name="WideTotalB 2" xfId="1619" xr:uid="{00000000-0005-0000-0000-0000E60A0000}"/>
    <cellStyle name="WP Header" xfId="1620" xr:uid="{00000000-0005-0000-0000-0000E70A0000}"/>
    <cellStyle name="Y2K Compliant Date Fmt" xfId="1621" xr:uid="{00000000-0005-0000-0000-0000E80A0000}"/>
    <cellStyle name="Year" xfId="609" xr:uid="{00000000-0005-0000-0000-0000E90A0000}"/>
    <cellStyle name="Year 2" xfId="1622" xr:uid="{00000000-0005-0000-0000-0000EA0A0000}"/>
    <cellStyle name="YEAR HEADER" xfId="610" xr:uid="{00000000-0005-0000-0000-0000EB0A0000}"/>
    <cellStyle name="Year_Quarterly Fin" xfId="611" xr:uid="{00000000-0005-0000-0000-0000EC0A0000}"/>
    <cellStyle name="Years" xfId="1623" xr:uid="{00000000-0005-0000-0000-0000ED0A0000}"/>
    <cellStyle name="Yen" xfId="1624" xr:uid="{00000000-0005-0000-0000-0000EE0A0000}"/>
    <cellStyle name="YesNo" xfId="612" xr:uid="{00000000-0005-0000-0000-0000EF0A0000}"/>
    <cellStyle name="YesNo 2" xfId="1894" xr:uid="{00000000-0005-0000-0000-0000F00A0000}"/>
    <cellStyle name="yh" xfId="1625" xr:uid="{00000000-0005-0000-0000-0000F10A0000}"/>
    <cellStyle name="yh 2" xfId="1626" xr:uid="{00000000-0005-0000-0000-0000F20A0000}"/>
    <cellStyle name="Yield" xfId="1627" xr:uid="{00000000-0005-0000-0000-0000F30A0000}"/>
    <cellStyle name="yt" xfId="1628" xr:uid="{00000000-0005-0000-0000-0000F40A0000}"/>
    <cellStyle name="z" xfId="1629" xr:uid="{00000000-0005-0000-0000-0000F50A0000}"/>
    <cellStyle name="z 2" xfId="1630" xr:uid="{00000000-0005-0000-0000-0000F60A0000}"/>
    <cellStyle name="Обычный_Sheet1" xfId="1631" xr:uid="{00000000-0005-0000-0000-0000F70A0000}"/>
    <cellStyle name="콤마 [0]_94하반기" xfId="613" xr:uid="{00000000-0005-0000-0000-0000F80A0000}"/>
    <cellStyle name="콤마_94하반기" xfId="614" xr:uid="{00000000-0005-0000-0000-0000F90A0000}"/>
    <cellStyle name="통화 [0]_94하반기" xfId="615" xr:uid="{00000000-0005-0000-0000-0000FA0A0000}"/>
    <cellStyle name="통화_94하반기" xfId="616" xr:uid="{00000000-0005-0000-0000-0000FB0A0000}"/>
    <cellStyle name="표준_Ⅰ.경영실적" xfId="617" xr:uid="{00000000-0005-0000-0000-0000FC0A0000}"/>
    <cellStyle name="一般_St503_2m(working)" xfId="1632" xr:uid="{00000000-0005-0000-0000-0000FD0A0000}"/>
    <cellStyle name="標準_Sheet1" xfId="1633" xr:uid="{00000000-0005-0000-0000-0000FE0A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color theme="4"/>
      </font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  <border diagonalUp="0" diagonalDown="0"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 diagonalUp="0" diagonalDown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0" tint="-0.24994659260841701"/>
        </horizontal>
      </border>
    </dxf>
    <dxf>
      <font>
        <b/>
        <i val="0"/>
        <color theme="0"/>
      </font>
      <fill>
        <patternFill>
          <bgColor theme="4"/>
        </patternFill>
      </fill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fill>
        <patternFill>
          <bgColor rgb="FFD9D9D9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border diagonalUp="0" diagonalDown="0">
        <left/>
        <right/>
        <top/>
        <bottom style="thin">
          <color theme="4"/>
        </bottom>
        <vertical/>
        <horizontal/>
      </border>
    </dxf>
    <dxf>
      <fill>
        <patternFill>
          <bgColor theme="6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border diagonalUp="0" diagonalDown="0">
        <left/>
        <right/>
        <top/>
        <bottom style="thin">
          <color theme="4"/>
        </bottom>
        <vertical/>
        <horizontal style="thin">
          <color theme="0" tint="-0.24994659260841701"/>
        </horizontal>
      </border>
    </dxf>
    <dxf>
      <border diagonalUp="0" diagonalDown="0">
        <left/>
        <right/>
        <top/>
        <bottom style="thin">
          <color theme="4"/>
        </bottom>
        <vertical/>
        <horizontal/>
      </border>
    </dxf>
    <dxf>
      <font>
        <b/>
        <i val="0"/>
        <color theme="4"/>
      </font>
      <border diagonalUp="0" diagonalDown="0">
        <left/>
        <right/>
        <top/>
        <bottom style="thin">
          <color theme="4"/>
        </bottom>
        <vertical/>
        <horizontal/>
      </border>
    </dxf>
    <dxf>
      <font>
        <b val="0"/>
        <i val="0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4"/>
        </bottom>
        <vertical/>
        <horizontal/>
      </border>
    </dxf>
  </dxfs>
  <tableStyles count="8" defaultTableStyle="TableStyleMedium2" defaultPivotStyle="PivotStyleLight16">
    <tableStyle name="LazTable 1" pivot="0" count="3" xr9:uid="{E8735875-7443-42FE-B53F-61BC1D7B30A2}">
      <tableStyleElement type="wholeTable" dxfId="21"/>
      <tableStyleElement type="headerRow" dxfId="20"/>
      <tableStyleElement type="lastTotalCell" dxfId="19"/>
    </tableStyle>
    <tableStyle name="LazTable 2" pivot="0" count="2" xr9:uid="{BE388A79-F65A-448C-B984-D6000EB2F278}">
      <tableStyleElement type="wholeTable" dxfId="18"/>
      <tableStyleElement type="headerRow" dxfId="17"/>
    </tableStyle>
    <tableStyle name="LazTable 3" pivot="0" count="3" xr9:uid="{19931438-6CB9-4EFF-A20A-2F2A9E588004}">
      <tableStyleElement type="wholeTable" dxfId="16"/>
      <tableStyleElement type="headerRow" dxfId="15"/>
      <tableStyleElement type="firstRowStripe" dxfId="14"/>
    </tableStyle>
    <tableStyle name="LazTable 4" pivot="0" count="3" xr9:uid="{346391C8-3A3A-45F2-9327-54784803AACA}">
      <tableStyleElement type="wholeTable" dxfId="13"/>
      <tableStyleElement type="headerRow" dxfId="12"/>
      <tableStyleElement type="firstRowStripe" dxfId="11"/>
    </tableStyle>
    <tableStyle name="LazTable 5" pivot="0" count="2" xr9:uid="{F0114DF4-0CAA-4AB7-AB20-D3450AE13193}">
      <tableStyleElement type="wholeTable" dxfId="10"/>
      <tableStyleElement type="headerRow" dxfId="9"/>
    </tableStyle>
    <tableStyle name="LazTable 6" pivot="0" count="2" xr9:uid="{52802CF3-762C-48C1-B34A-B361C6272579}">
      <tableStyleElement type="wholeTable" dxfId="8"/>
      <tableStyleElement type="headerRow" dxfId="7"/>
    </tableStyle>
    <tableStyle name="LazTable 7" pivot="0" count="3" xr9:uid="{1662D07F-0A44-4C2A-AAD7-377F23DA82AB}">
      <tableStyleElement type="wholeTable" dxfId="6"/>
      <tableStyleElement type="headerRow" dxfId="5"/>
      <tableStyleElement type="firstColumn" dxfId="4"/>
    </tableStyle>
    <tableStyle name="Invisible" pivot="0" table="0" count="0" xr9:uid="{C7A3A14A-3CE3-4202-A819-9CB52825026F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Relationship Id="rId22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/>
  </sheetPr>
  <dimension ref="A1:AS56"/>
  <sheetViews>
    <sheetView tabSelected="1" zoomScaleNormal="100" workbookViewId="0">
      <selection activeCell="F10" sqref="F10"/>
    </sheetView>
  </sheetViews>
  <sheetFormatPr defaultColWidth="9.1796875" defaultRowHeight="12.5"/>
  <cols>
    <col min="1" max="1" width="43.54296875" style="4" bestFit="1" customWidth="1"/>
    <col min="2" max="2" width="15.26953125" style="4" bestFit="1" customWidth="1"/>
    <col min="3" max="3" width="12.7265625" style="4" bestFit="1" customWidth="1"/>
    <col min="4" max="4" width="26" style="4" bestFit="1" customWidth="1"/>
    <col min="5" max="5" width="16.08984375" style="4" bestFit="1" customWidth="1"/>
    <col min="6" max="9" width="12.1796875" style="4" bestFit="1" customWidth="1"/>
    <col min="10" max="10" width="19.453125" style="4" customWidth="1"/>
    <col min="11" max="11" width="13.26953125" style="4" bestFit="1" customWidth="1"/>
    <col min="12" max="12" width="12.1796875" style="4" bestFit="1" customWidth="1"/>
    <col min="13" max="13" width="13.81640625" style="4" bestFit="1" customWidth="1"/>
    <col min="14" max="27" width="13.81640625" style="4" customWidth="1"/>
    <col min="28" max="35" width="12.1796875" style="4" bestFit="1" customWidth="1"/>
    <col min="36" max="44" width="5" style="4" bestFit="1" customWidth="1"/>
    <col min="45" max="45" width="12.26953125" style="4" bestFit="1" customWidth="1"/>
    <col min="46" max="46" width="53.1796875" style="4" bestFit="1" customWidth="1"/>
    <col min="47" max="16384" width="9.1796875" style="4"/>
  </cols>
  <sheetData>
    <row r="1" spans="1:45" ht="14">
      <c r="A1" s="23" t="s">
        <v>253</v>
      </c>
    </row>
    <row r="2" spans="1:45" ht="13">
      <c r="A2" s="4" t="s">
        <v>106</v>
      </c>
      <c r="B2" s="149" t="s">
        <v>208</v>
      </c>
      <c r="D2" s="143"/>
      <c r="E2" s="144" t="s">
        <v>205</v>
      </c>
    </row>
    <row r="3" spans="1:45" ht="13">
      <c r="A3" s="4" t="s">
        <v>183</v>
      </c>
      <c r="B3" s="149" t="s">
        <v>209</v>
      </c>
      <c r="D3" s="141"/>
      <c r="E3" s="145"/>
      <c r="F3" s="103"/>
      <c r="I3" s="103"/>
      <c r="J3" s="103" t="s">
        <v>257</v>
      </c>
      <c r="K3" s="203">
        <v>3</v>
      </c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</row>
    <row r="4" spans="1:45" ht="13">
      <c r="D4" s="141" t="s">
        <v>120</v>
      </c>
      <c r="E4" s="148">
        <f>B8</f>
        <v>1560</v>
      </c>
      <c r="F4" s="84"/>
      <c r="K4" s="85"/>
      <c r="L4" s="199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99"/>
    </row>
    <row r="5" spans="1:45">
      <c r="A5" s="4" t="s">
        <v>121</v>
      </c>
      <c r="B5" s="85" t="s">
        <v>259</v>
      </c>
      <c r="D5" s="141"/>
      <c r="E5" s="145"/>
      <c r="K5" s="205"/>
    </row>
    <row r="6" spans="1:45">
      <c r="A6" s="4" t="s">
        <v>122</v>
      </c>
      <c r="B6" s="85" t="s">
        <v>255</v>
      </c>
      <c r="D6" s="141" t="s">
        <v>38</v>
      </c>
      <c r="E6" s="146">
        <f>B10</f>
        <v>157286000</v>
      </c>
      <c r="AS6" s="51"/>
    </row>
    <row r="7" spans="1:45">
      <c r="A7" s="4" t="s">
        <v>128</v>
      </c>
      <c r="B7" s="85">
        <v>2029</v>
      </c>
      <c r="D7" s="141" t="s">
        <v>101</v>
      </c>
      <c r="E7" s="146">
        <f>B17</f>
        <v>0</v>
      </c>
    </row>
    <row r="8" spans="1:45">
      <c r="A8" s="4" t="s">
        <v>120</v>
      </c>
      <c r="B8" s="86">
        <v>1560</v>
      </c>
      <c r="D8" s="141" t="s">
        <v>258</v>
      </c>
      <c r="E8" s="146">
        <f>B11</f>
        <v>0</v>
      </c>
      <c r="F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98"/>
    </row>
    <row r="9" spans="1:45">
      <c r="D9" s="142" t="s">
        <v>70</v>
      </c>
      <c r="E9" s="147">
        <f>B18</f>
        <v>157286000</v>
      </c>
      <c r="F9" s="104"/>
      <c r="I9" s="104"/>
      <c r="J9" s="104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4"/>
      <c r="Z9" s="104"/>
    </row>
    <row r="10" spans="1:45" ht="13">
      <c r="A10" s="4" t="s">
        <v>130</v>
      </c>
      <c r="B10" s="207">
        <f>'Cash Flow of U2'!G6-Input!K5</f>
        <v>157286000</v>
      </c>
      <c r="C10" s="200"/>
      <c r="F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</row>
    <row r="11" spans="1:45" ht="13">
      <c r="A11" s="4" t="s">
        <v>258</v>
      </c>
      <c r="B11" s="86"/>
      <c r="D11" s="84" t="s">
        <v>207</v>
      </c>
      <c r="F11" s="104"/>
      <c r="I11" s="104"/>
      <c r="J11" s="104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4"/>
      <c r="Z11" s="104"/>
    </row>
    <row r="12" spans="1:45">
      <c r="A12" s="82" t="s">
        <v>116</v>
      </c>
      <c r="B12" s="57"/>
      <c r="D12" s="4" t="s">
        <v>164</v>
      </c>
      <c r="E12" s="140">
        <f>GRCF!D25</f>
        <v>1.3398970400000001</v>
      </c>
      <c r="F12" s="201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</row>
    <row r="13" spans="1:45">
      <c r="A13" s="102" t="s">
        <v>161</v>
      </c>
      <c r="B13" s="86"/>
      <c r="D13" s="4" t="s">
        <v>264</v>
      </c>
      <c r="E13" s="138">
        <f>Allocators!E7</f>
        <v>0.5</v>
      </c>
      <c r="F13" s="201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</row>
    <row r="14" spans="1:45">
      <c r="A14" s="102" t="s">
        <v>117</v>
      </c>
      <c r="B14" s="86"/>
      <c r="D14" s="4" t="s">
        <v>165</v>
      </c>
      <c r="E14" s="138">
        <f>'CAP Structure'!F18</f>
        <v>6.8338296000000007E-2</v>
      </c>
      <c r="F14" s="201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98"/>
    </row>
    <row r="15" spans="1:45">
      <c r="A15" s="102" t="s">
        <v>118</v>
      </c>
      <c r="B15" s="86"/>
      <c r="D15" s="4" t="s">
        <v>166</v>
      </c>
      <c r="E15" s="138">
        <f>'CAP Structure'!E16</f>
        <v>9.7500000000000003E-2</v>
      </c>
      <c r="F15" s="201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</row>
    <row r="16" spans="1:45">
      <c r="A16" s="102" t="s">
        <v>119</v>
      </c>
      <c r="B16" s="86"/>
      <c r="D16" s="4" t="s">
        <v>167</v>
      </c>
      <c r="E16" s="138">
        <f>AVERAGE(('CAP Structure'!F12+'CAP Structure'!F14))</f>
        <v>2.8124421E-2</v>
      </c>
      <c r="F16" s="201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98"/>
    </row>
    <row r="17" spans="1:27" ht="12" customHeight="1">
      <c r="A17" s="4" t="s">
        <v>101</v>
      </c>
      <c r="B17" s="57">
        <f>B13+B14+B15+B16</f>
        <v>0</v>
      </c>
      <c r="D17" s="4" t="s">
        <v>168</v>
      </c>
      <c r="E17" s="138">
        <f>'CAP Structure'!D16</f>
        <v>0.41244999999999998</v>
      </c>
      <c r="F17" s="201"/>
      <c r="J17" s="104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98"/>
    </row>
    <row r="18" spans="1:27" ht="12" customHeight="1">
      <c r="A18" s="4" t="s">
        <v>70</v>
      </c>
      <c r="B18" s="57">
        <f>B10+B17+B11</f>
        <v>157286000</v>
      </c>
      <c r="D18" s="4" t="s">
        <v>268</v>
      </c>
      <c r="E18" s="138">
        <v>5.8E-4</v>
      </c>
      <c r="F18" s="201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98"/>
    </row>
    <row r="19" spans="1:27" ht="12" customHeight="1">
      <c r="F19" s="104"/>
      <c r="J19" s="104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98"/>
    </row>
    <row r="20" spans="1:27" ht="12" customHeight="1">
      <c r="A20" s="82" t="s">
        <v>203</v>
      </c>
      <c r="I20" s="104"/>
      <c r="J20" s="104"/>
      <c r="K20" s="104"/>
      <c r="L20" s="104"/>
      <c r="M20" s="104"/>
      <c r="N20" s="104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98"/>
    </row>
    <row r="21" spans="1:27" ht="12" customHeight="1">
      <c r="A21" s="102" t="s">
        <v>182</v>
      </c>
      <c r="B21" s="119">
        <v>12</v>
      </c>
      <c r="C21" s="199"/>
      <c r="F21" s="120"/>
      <c r="I21" s="104"/>
      <c r="J21" s="104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98"/>
    </row>
    <row r="22" spans="1:27" ht="12" customHeight="1">
      <c r="A22" s="116" t="s">
        <v>199</v>
      </c>
      <c r="B22" s="120">
        <f>IF(B30&lt;&gt;0,(B30+E9)/B21/E9,1/B21)</f>
        <v>8.3333333333333329E-2</v>
      </c>
      <c r="F22" s="120"/>
      <c r="G22" s="121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98"/>
    </row>
    <row r="23" spans="1:27" ht="12" customHeight="1">
      <c r="G23" s="121"/>
      <c r="H23" s="104"/>
      <c r="I23" s="104"/>
      <c r="J23" s="104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98"/>
    </row>
    <row r="24" spans="1:27">
      <c r="A24" s="139" t="s">
        <v>204</v>
      </c>
      <c r="G24" s="104"/>
      <c r="H24" s="105"/>
      <c r="I24" s="105"/>
      <c r="J24" s="105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</row>
    <row r="25" spans="1:27">
      <c r="A25" s="116" t="s">
        <v>206</v>
      </c>
      <c r="B25" s="85">
        <v>2025</v>
      </c>
      <c r="K25" s="83"/>
    </row>
    <row r="26" spans="1:27">
      <c r="A26" s="116" t="s">
        <v>202</v>
      </c>
      <c r="B26" s="138">
        <v>2.5000000000000001E-2</v>
      </c>
      <c r="F26" s="104"/>
      <c r="K26" s="83"/>
    </row>
    <row r="27" spans="1:27">
      <c r="A27" s="116" t="s">
        <v>180</v>
      </c>
      <c r="B27" s="86"/>
      <c r="F27" s="104"/>
      <c r="K27" s="83"/>
    </row>
    <row r="28" spans="1:27">
      <c r="A28" s="102" t="s">
        <v>169</v>
      </c>
      <c r="B28" s="117"/>
      <c r="K28" s="83"/>
    </row>
    <row r="29" spans="1:27">
      <c r="A29" s="102" t="s">
        <v>200</v>
      </c>
      <c r="B29" s="118">
        <f>B27-B28</f>
        <v>0</v>
      </c>
      <c r="K29" s="83"/>
    </row>
    <row r="30" spans="1:27">
      <c r="A30" s="102" t="s">
        <v>201</v>
      </c>
      <c r="B30" s="118">
        <f>B29*(1+B26)^(B21+B7-B25)</f>
        <v>0</v>
      </c>
      <c r="K30" s="83"/>
    </row>
    <row r="31" spans="1:27">
      <c r="K31" s="83"/>
    </row>
    <row r="32" spans="1:27">
      <c r="A32" s="82" t="s">
        <v>178</v>
      </c>
      <c r="B32" s="118"/>
      <c r="K32" s="83"/>
    </row>
    <row r="33" spans="1:45">
      <c r="A33" s="116" t="s">
        <v>192</v>
      </c>
      <c r="B33" s="86" t="s">
        <v>198</v>
      </c>
      <c r="C33" s="201"/>
      <c r="E33" s="118"/>
      <c r="K33" s="83"/>
    </row>
    <row r="34" spans="1:45">
      <c r="A34" s="116" t="s">
        <v>51</v>
      </c>
      <c r="B34" s="138">
        <f>GRCF!C16</f>
        <v>5.0065000000000005E-2</v>
      </c>
      <c r="E34" s="118"/>
      <c r="K34" s="83"/>
    </row>
    <row r="35" spans="1:45">
      <c r="A35" s="116" t="s">
        <v>58</v>
      </c>
      <c r="B35" s="89">
        <v>0.21</v>
      </c>
      <c r="E35" s="118"/>
      <c r="K35" s="83"/>
    </row>
    <row r="36" spans="1:45">
      <c r="A36" s="116"/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94"/>
      <c r="N36" s="194"/>
      <c r="O36" s="194"/>
      <c r="P36" s="194"/>
      <c r="Q36" s="194"/>
      <c r="R36" s="194"/>
      <c r="S36" s="194"/>
      <c r="T36" s="194"/>
      <c r="U36" s="194"/>
      <c r="V36" s="194"/>
      <c r="W36" s="194"/>
      <c r="X36" s="194"/>
      <c r="Y36" s="194"/>
      <c r="Z36" s="194"/>
      <c r="AA36" s="104"/>
      <c r="AB36" s="104"/>
      <c r="AC36" s="104"/>
      <c r="AD36" s="104"/>
      <c r="AE36" s="104"/>
      <c r="AF36" s="104"/>
      <c r="AG36" s="104"/>
      <c r="AH36" s="104"/>
      <c r="AI36" s="104"/>
    </row>
    <row r="37" spans="1:45" ht="13">
      <c r="A37" s="88" t="str">
        <f>IF(B5="","",B5)</f>
        <v>Option 3: New Mechanical Draft Cooling Tower</v>
      </c>
      <c r="B37" s="93">
        <f>B7</f>
        <v>2029</v>
      </c>
      <c r="C37" s="93">
        <f>B37+1</f>
        <v>2030</v>
      </c>
      <c r="D37" s="93">
        <f t="shared" ref="D37:Z37" si="0">C37+1</f>
        <v>2031</v>
      </c>
      <c r="E37" s="93">
        <f t="shared" si="0"/>
        <v>2032</v>
      </c>
      <c r="F37" s="93">
        <f t="shared" si="0"/>
        <v>2033</v>
      </c>
      <c r="G37" s="93">
        <f t="shared" si="0"/>
        <v>2034</v>
      </c>
      <c r="H37" s="93">
        <f t="shared" si="0"/>
        <v>2035</v>
      </c>
      <c r="I37" s="93">
        <f t="shared" si="0"/>
        <v>2036</v>
      </c>
      <c r="J37" s="93">
        <f t="shared" si="0"/>
        <v>2037</v>
      </c>
      <c r="K37" s="93">
        <f t="shared" si="0"/>
        <v>2038</v>
      </c>
      <c r="L37" s="93">
        <f t="shared" si="0"/>
        <v>2039</v>
      </c>
      <c r="M37" s="93">
        <f t="shared" si="0"/>
        <v>2040</v>
      </c>
      <c r="N37" s="93">
        <f t="shared" si="0"/>
        <v>2041</v>
      </c>
      <c r="O37" s="93">
        <f t="shared" si="0"/>
        <v>2042</v>
      </c>
      <c r="P37" s="93">
        <f t="shared" si="0"/>
        <v>2043</v>
      </c>
      <c r="Q37" s="93">
        <f t="shared" si="0"/>
        <v>2044</v>
      </c>
      <c r="R37" s="93">
        <f t="shared" si="0"/>
        <v>2045</v>
      </c>
      <c r="S37" s="93">
        <f t="shared" si="0"/>
        <v>2046</v>
      </c>
      <c r="T37" s="93">
        <f t="shared" si="0"/>
        <v>2047</v>
      </c>
      <c r="U37" s="93">
        <f t="shared" si="0"/>
        <v>2048</v>
      </c>
      <c r="V37" s="93">
        <f t="shared" si="0"/>
        <v>2049</v>
      </c>
      <c r="W37" s="93">
        <f t="shared" si="0"/>
        <v>2050</v>
      </c>
      <c r="X37" s="93">
        <f t="shared" si="0"/>
        <v>2051</v>
      </c>
      <c r="Y37" s="93">
        <f t="shared" si="0"/>
        <v>2052</v>
      </c>
      <c r="Z37" s="93">
        <f t="shared" si="0"/>
        <v>2053</v>
      </c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96"/>
      <c r="AO37" s="196"/>
      <c r="AP37" s="196"/>
      <c r="AQ37" s="196"/>
      <c r="AR37" s="196"/>
      <c r="AS37" s="84"/>
    </row>
    <row r="38" spans="1:45" s="186" customFormat="1" ht="13">
      <c r="A38" s="143" t="s">
        <v>172</v>
      </c>
      <c r="B38" s="90">
        <v>28917000</v>
      </c>
      <c r="C38" s="90">
        <v>0</v>
      </c>
      <c r="D38" s="90">
        <v>0</v>
      </c>
      <c r="E38" s="90">
        <v>0</v>
      </c>
      <c r="F38" s="90">
        <v>0</v>
      </c>
      <c r="G38" s="90">
        <v>0</v>
      </c>
      <c r="H38" s="90">
        <v>0</v>
      </c>
      <c r="I38" s="90">
        <v>0</v>
      </c>
      <c r="J38" s="90">
        <v>0</v>
      </c>
      <c r="K38" s="90">
        <v>0</v>
      </c>
      <c r="L38" s="90">
        <v>0</v>
      </c>
      <c r="M38" s="90">
        <v>5000000</v>
      </c>
      <c r="N38" s="90"/>
      <c r="O38" s="90"/>
      <c r="P38" s="90"/>
      <c r="Q38" s="90"/>
      <c r="R38" s="90"/>
      <c r="S38" s="90"/>
      <c r="T38" s="90"/>
      <c r="U38" s="90"/>
      <c r="V38" s="90"/>
      <c r="W38" s="90"/>
      <c r="X38" s="90"/>
      <c r="Y38" s="90"/>
      <c r="Z38" s="90"/>
      <c r="AA38" s="200"/>
      <c r="AB38" s="197"/>
      <c r="AC38" s="197"/>
      <c r="AD38" s="197"/>
      <c r="AE38" s="197"/>
      <c r="AF38" s="197"/>
      <c r="AG38" s="197"/>
      <c r="AH38" s="197"/>
      <c r="AI38" s="197"/>
      <c r="AJ38" s="197"/>
      <c r="AK38" s="197"/>
      <c r="AL38" s="197"/>
      <c r="AM38" s="197"/>
      <c r="AN38" s="197"/>
      <c r="AO38" s="197"/>
      <c r="AP38" s="197"/>
      <c r="AQ38" s="197"/>
      <c r="AR38" s="197"/>
      <c r="AS38" s="84"/>
    </row>
    <row r="39" spans="1:45" ht="13">
      <c r="A39" s="141"/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84"/>
    </row>
    <row r="40" spans="1:45">
      <c r="A40" s="141" t="s">
        <v>3</v>
      </c>
      <c r="B40" s="101">
        <f>B38+B39</f>
        <v>28917000</v>
      </c>
      <c r="C40" s="101">
        <f>C38+C39</f>
        <v>0</v>
      </c>
      <c r="D40" s="101">
        <f t="shared" ref="D40:M40" si="1">D38+D39</f>
        <v>0</v>
      </c>
      <c r="E40" s="101">
        <f t="shared" si="1"/>
        <v>0</v>
      </c>
      <c r="F40" s="101">
        <f t="shared" si="1"/>
        <v>0</v>
      </c>
      <c r="G40" s="101">
        <f t="shared" si="1"/>
        <v>0</v>
      </c>
      <c r="H40" s="101">
        <f t="shared" si="1"/>
        <v>0</v>
      </c>
      <c r="I40" s="101">
        <f t="shared" si="1"/>
        <v>0</v>
      </c>
      <c r="J40" s="101">
        <f t="shared" si="1"/>
        <v>0</v>
      </c>
      <c r="K40" s="101">
        <f t="shared" si="1"/>
        <v>0</v>
      </c>
      <c r="L40" s="101">
        <f t="shared" si="1"/>
        <v>0</v>
      </c>
      <c r="M40" s="101">
        <f t="shared" si="1"/>
        <v>5000000</v>
      </c>
      <c r="N40" s="197"/>
      <c r="O40" s="197"/>
      <c r="P40" s="197"/>
      <c r="Q40" s="197"/>
      <c r="R40" s="197"/>
      <c r="S40" s="197"/>
      <c r="T40" s="197"/>
      <c r="U40" s="197"/>
      <c r="V40" s="197"/>
      <c r="W40" s="197"/>
      <c r="X40" s="197"/>
      <c r="Y40" s="197"/>
      <c r="Z40" s="197"/>
      <c r="AA40" s="197"/>
      <c r="AB40" s="197"/>
      <c r="AC40" s="197"/>
      <c r="AD40" s="197"/>
      <c r="AE40" s="197"/>
      <c r="AF40" s="197"/>
      <c r="AG40" s="197"/>
      <c r="AH40" s="197"/>
      <c r="AI40" s="197"/>
      <c r="AJ40" s="197"/>
      <c r="AK40" s="197"/>
      <c r="AL40" s="197"/>
      <c r="AM40" s="197"/>
      <c r="AN40" s="101"/>
      <c r="AO40" s="101"/>
      <c r="AP40" s="101"/>
      <c r="AQ40" s="101"/>
      <c r="AR40" s="101"/>
    </row>
    <row r="41" spans="1:45">
      <c r="A41" s="141"/>
      <c r="B41" s="109"/>
      <c r="C41" s="109"/>
      <c r="D41" s="109"/>
      <c r="E41" s="109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109"/>
      <c r="T41" s="109"/>
      <c r="U41" s="109"/>
      <c r="V41" s="109"/>
      <c r="W41" s="109"/>
      <c r="X41" s="109"/>
      <c r="Y41" s="109"/>
      <c r="Z41" s="109"/>
      <c r="AA41" s="154"/>
      <c r="AB41" s="154"/>
      <c r="AC41" s="154"/>
      <c r="AD41" s="154"/>
      <c r="AE41" s="154"/>
      <c r="AF41" s="154"/>
      <c r="AG41" s="154"/>
      <c r="AH41" s="154"/>
      <c r="AI41" s="154"/>
      <c r="AJ41" s="154"/>
      <c r="AK41" s="154"/>
      <c r="AL41" s="154"/>
      <c r="AM41" s="154"/>
      <c r="AN41" s="154"/>
      <c r="AO41" s="154"/>
      <c r="AP41" s="154"/>
      <c r="AQ41" s="154"/>
      <c r="AR41" s="154"/>
    </row>
    <row r="42" spans="1:45" s="186" customFormat="1">
      <c r="A42" s="141" t="s">
        <v>171</v>
      </c>
      <c r="B42" s="90">
        <v>0</v>
      </c>
      <c r="C42" s="90">
        <v>0</v>
      </c>
      <c r="D42" s="90">
        <v>0</v>
      </c>
      <c r="E42" s="90">
        <v>0</v>
      </c>
      <c r="F42" s="90">
        <v>0</v>
      </c>
      <c r="G42" s="90">
        <v>0</v>
      </c>
      <c r="H42" s="90">
        <v>0</v>
      </c>
      <c r="I42" s="90">
        <v>0</v>
      </c>
      <c r="J42" s="90">
        <v>0</v>
      </c>
      <c r="K42" s="90">
        <v>0</v>
      </c>
      <c r="L42" s="90">
        <v>0</v>
      </c>
      <c r="M42" s="90">
        <v>0</v>
      </c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197"/>
      <c r="AB42" s="197"/>
      <c r="AC42" s="197"/>
      <c r="AD42" s="197"/>
      <c r="AE42" s="197"/>
      <c r="AF42" s="197"/>
      <c r="AG42" s="197"/>
      <c r="AH42" s="197"/>
      <c r="AI42" s="197"/>
      <c r="AJ42" s="197"/>
      <c r="AK42" s="197"/>
      <c r="AL42" s="197"/>
      <c r="AM42" s="197"/>
      <c r="AN42" s="197"/>
      <c r="AO42" s="197"/>
      <c r="AP42" s="197"/>
      <c r="AQ42" s="197"/>
      <c r="AR42" s="197"/>
      <c r="AS42" s="4"/>
    </row>
    <row r="43" spans="1:45">
      <c r="A43" s="141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197"/>
      <c r="AB43" s="197"/>
      <c r="AC43" s="197"/>
      <c r="AD43" s="197"/>
      <c r="AE43" s="197"/>
      <c r="AF43" s="197"/>
      <c r="AG43" s="197"/>
      <c r="AH43" s="197"/>
      <c r="AI43" s="197"/>
      <c r="AJ43" s="197"/>
      <c r="AK43" s="197"/>
      <c r="AL43" s="197"/>
      <c r="AM43" s="197"/>
      <c r="AN43" s="197"/>
      <c r="AO43" s="197"/>
      <c r="AP43" s="197"/>
      <c r="AQ43" s="197"/>
      <c r="AR43" s="197"/>
    </row>
    <row r="44" spans="1:45" ht="13">
      <c r="A44" s="141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197"/>
      <c r="AB44" s="197"/>
      <c r="AC44" s="197"/>
      <c r="AD44" s="197"/>
      <c r="AE44" s="197"/>
      <c r="AF44" s="197"/>
      <c r="AG44" s="197"/>
      <c r="AH44" s="197"/>
      <c r="AI44" s="197"/>
      <c r="AJ44" s="197"/>
      <c r="AK44" s="197"/>
      <c r="AL44" s="197"/>
      <c r="AM44" s="197"/>
      <c r="AN44" s="197"/>
      <c r="AO44" s="197"/>
      <c r="AP44" s="197"/>
      <c r="AQ44" s="197"/>
      <c r="AR44" s="197"/>
      <c r="AS44" s="84"/>
    </row>
    <row r="45" spans="1:45">
      <c r="A45" s="141" t="s">
        <v>114</v>
      </c>
      <c r="B45" s="101">
        <f t="shared" ref="B45" si="2">SUM(B42:B44)</f>
        <v>0</v>
      </c>
      <c r="C45" s="101">
        <f t="shared" ref="C45:M45" si="3">SUM(C42:C44)</f>
        <v>0</v>
      </c>
      <c r="D45" s="101">
        <f t="shared" si="3"/>
        <v>0</v>
      </c>
      <c r="E45" s="101">
        <f t="shared" si="3"/>
        <v>0</v>
      </c>
      <c r="F45" s="101">
        <f t="shared" si="3"/>
        <v>0</v>
      </c>
      <c r="G45" s="101">
        <f t="shared" si="3"/>
        <v>0</v>
      </c>
      <c r="H45" s="101">
        <f t="shared" si="3"/>
        <v>0</v>
      </c>
      <c r="I45" s="101">
        <f t="shared" si="3"/>
        <v>0</v>
      </c>
      <c r="J45" s="101">
        <f t="shared" si="3"/>
        <v>0</v>
      </c>
      <c r="K45" s="101">
        <f t="shared" si="3"/>
        <v>0</v>
      </c>
      <c r="L45" s="101">
        <f t="shared" si="3"/>
        <v>0</v>
      </c>
      <c r="M45" s="101">
        <f t="shared" si="3"/>
        <v>0</v>
      </c>
      <c r="N45" s="197"/>
      <c r="O45" s="197"/>
      <c r="P45" s="197"/>
      <c r="Q45" s="197"/>
      <c r="R45" s="197"/>
      <c r="S45" s="197"/>
      <c r="T45" s="197"/>
      <c r="U45" s="197"/>
      <c r="V45" s="197"/>
      <c r="W45" s="197"/>
      <c r="X45" s="197"/>
      <c r="Y45" s="197"/>
      <c r="Z45" s="197"/>
      <c r="AA45" s="197"/>
      <c r="AB45" s="197"/>
      <c r="AC45" s="197"/>
      <c r="AD45" s="197"/>
      <c r="AE45" s="197"/>
      <c r="AF45" s="197"/>
      <c r="AG45" s="197"/>
      <c r="AH45" s="197"/>
      <c r="AI45" s="197"/>
      <c r="AJ45" s="197"/>
      <c r="AK45" s="197"/>
      <c r="AL45" s="197"/>
      <c r="AM45" s="197"/>
      <c r="AN45" s="101"/>
      <c r="AO45" s="101"/>
      <c r="AP45" s="101"/>
      <c r="AQ45" s="101"/>
      <c r="AR45" s="101"/>
    </row>
    <row r="46" spans="1:45">
      <c r="A46" s="204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97"/>
      <c r="AB46" s="197"/>
      <c r="AC46" s="197"/>
      <c r="AD46" s="197"/>
      <c r="AE46" s="197"/>
      <c r="AF46" s="197"/>
      <c r="AG46" s="197"/>
      <c r="AH46" s="197"/>
      <c r="AI46" s="197"/>
      <c r="AJ46" s="197"/>
      <c r="AK46" s="197"/>
      <c r="AL46" s="197"/>
      <c r="AM46" s="197"/>
      <c r="AN46" s="197"/>
      <c r="AO46" s="197"/>
      <c r="AP46" s="197"/>
      <c r="AQ46" s="197"/>
      <c r="AR46" s="197"/>
    </row>
    <row r="47" spans="1:45" ht="13">
      <c r="A47" s="141" t="s">
        <v>115</v>
      </c>
      <c r="B47" s="90">
        <f>'Rate Base - coal'!C16*Input!$E$18*1000</f>
        <v>100233.18166647268</v>
      </c>
      <c r="C47" s="90">
        <f>'Rate Base - coal'!D16*Input!$E$18*1000</f>
        <v>91533.693773819439</v>
      </c>
      <c r="D47" s="90">
        <f>'Rate Base - coal'!E16*Input!$E$18*1000</f>
        <v>82980.280202597802</v>
      </c>
      <c r="E47" s="90">
        <f>'Rate Base - coal'!F16*Input!$E$18*1000</f>
        <v>74561.621540445922</v>
      </c>
      <c r="F47" s="90">
        <f>'Rate Base - coal'!G16*Input!$E$18*1000</f>
        <v>66268.015433910783</v>
      </c>
      <c r="G47" s="90">
        <f>'Rate Base - coal'!H16*Input!$E$18*1000</f>
        <v>58089.759529539318</v>
      </c>
      <c r="H47" s="90">
        <f>'Rate Base - coal'!I16*Input!$E$18*1000</f>
        <v>50018.499022969241</v>
      </c>
      <c r="I47" s="90">
        <f>'Rate Base - coal'!J16*Input!$E$18*1000</f>
        <v>42045.879109838213</v>
      </c>
      <c r="J47" s="90">
        <f>'Rate Base - coal'!K16*Input!$E$18*1000</f>
        <v>34089.429785795568</v>
      </c>
      <c r="K47" s="90">
        <f>'Rate Base - coal'!L16*Input!$E$18*1000</f>
        <v>26133.249971571055</v>
      </c>
      <c r="L47" s="90">
        <f>'Rate Base - coal'!M16*Input!$E$18*1000</f>
        <v>18176.800647528406</v>
      </c>
      <c r="M47" s="90">
        <f>'Rate Base - coal'!N16*Input!$E$18*1000</f>
        <v>12912.123700241385</v>
      </c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199"/>
      <c r="AB47" s="199"/>
      <c r="AC47" s="197"/>
      <c r="AD47" s="197"/>
      <c r="AE47" s="197"/>
      <c r="AF47" s="197"/>
      <c r="AG47" s="197"/>
      <c r="AH47" s="197"/>
      <c r="AI47" s="197"/>
      <c r="AJ47" s="197"/>
      <c r="AK47" s="197"/>
      <c r="AL47" s="197"/>
      <c r="AM47" s="197"/>
      <c r="AN47" s="197"/>
      <c r="AO47" s="197"/>
      <c r="AP47" s="197"/>
      <c r="AQ47" s="197"/>
      <c r="AR47" s="197"/>
    </row>
    <row r="48" spans="1:45">
      <c r="A48" s="141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</row>
    <row r="49" spans="1:44" ht="13">
      <c r="A49" s="141" t="s">
        <v>254</v>
      </c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199"/>
      <c r="AB49" s="199"/>
      <c r="AC49" s="197"/>
      <c r="AD49" s="197"/>
      <c r="AE49" s="197"/>
      <c r="AF49" s="197"/>
      <c r="AG49" s="197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</row>
    <row r="50" spans="1:44">
      <c r="A50" s="141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197"/>
      <c r="AB50" s="197"/>
      <c r="AC50" s="197"/>
      <c r="AD50" s="197"/>
      <c r="AE50" s="197"/>
      <c r="AF50" s="197"/>
      <c r="AG50" s="197"/>
      <c r="AH50" s="197"/>
      <c r="AI50" s="197"/>
      <c r="AJ50" s="197"/>
      <c r="AK50" s="197"/>
      <c r="AL50" s="197"/>
      <c r="AM50" s="197"/>
      <c r="AN50" s="197"/>
      <c r="AO50" s="197"/>
      <c r="AP50" s="197"/>
      <c r="AQ50" s="197"/>
      <c r="AR50" s="197"/>
    </row>
    <row r="51" spans="1:44">
      <c r="A51" s="141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197"/>
      <c r="AB51" s="197"/>
      <c r="AC51" s="197"/>
      <c r="AD51" s="197"/>
      <c r="AE51" s="197"/>
      <c r="AF51" s="197"/>
      <c r="AG51" s="197"/>
      <c r="AH51" s="197"/>
      <c r="AI51" s="197"/>
      <c r="AJ51" s="197"/>
      <c r="AK51" s="197"/>
      <c r="AL51" s="197"/>
      <c r="AM51" s="197"/>
      <c r="AN51" s="197"/>
      <c r="AO51" s="197"/>
      <c r="AP51" s="197"/>
      <c r="AQ51" s="197"/>
      <c r="AR51" s="197"/>
    </row>
    <row r="52" spans="1:44">
      <c r="A52" s="142" t="s">
        <v>170</v>
      </c>
      <c r="B52" s="101">
        <f t="shared" ref="B52" si="4">SUM(B45:B51)</f>
        <v>100233.18166647268</v>
      </c>
      <c r="C52" s="101">
        <f t="shared" ref="C52:M52" si="5">SUM(C45:C51)</f>
        <v>91533.693773819439</v>
      </c>
      <c r="D52" s="101">
        <f t="shared" si="5"/>
        <v>82980.280202597802</v>
      </c>
      <c r="E52" s="101">
        <f t="shared" si="5"/>
        <v>74561.621540445922</v>
      </c>
      <c r="F52" s="101">
        <f t="shared" si="5"/>
        <v>66268.015433910783</v>
      </c>
      <c r="G52" s="101">
        <f t="shared" si="5"/>
        <v>58089.759529539318</v>
      </c>
      <c r="H52" s="101">
        <f t="shared" si="5"/>
        <v>50018.499022969241</v>
      </c>
      <c r="I52" s="101">
        <f t="shared" si="5"/>
        <v>42045.879109838213</v>
      </c>
      <c r="J52" s="101">
        <f t="shared" si="5"/>
        <v>34089.429785795568</v>
      </c>
      <c r="K52" s="101">
        <f t="shared" si="5"/>
        <v>26133.249971571055</v>
      </c>
      <c r="L52" s="101">
        <f t="shared" si="5"/>
        <v>18176.800647528406</v>
      </c>
      <c r="M52" s="101">
        <f t="shared" si="5"/>
        <v>12912.123700241385</v>
      </c>
      <c r="N52" s="197"/>
      <c r="O52" s="197"/>
      <c r="P52" s="197"/>
      <c r="Q52" s="197"/>
      <c r="R52" s="197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01"/>
      <c r="AO52" s="101"/>
      <c r="AP52" s="101"/>
      <c r="AQ52" s="101"/>
      <c r="AR52" s="101"/>
    </row>
    <row r="56" spans="1:44">
      <c r="A56"/>
    </row>
  </sheetData>
  <phoneticPr fontId="308" type="noConversion"/>
  <conditionalFormatting sqref="D2:E2 F3 I3:Z3">
    <cfRule type="cellIs" dxfId="3" priority="38" operator="equal">
      <formula>"Include"</formula>
    </cfRule>
    <cfRule type="cellIs" dxfId="2" priority="39" operator="equal">
      <formula>"Exclude"</formula>
    </cfRule>
  </conditionalFormatting>
  <pageMargins left="0.7" right="0.7" top="0.75" bottom="0.75" header="0.3" footer="0.3"/>
  <pageSetup orientation="portrait" r:id="rId1"/>
  <headerFooter>
    <oddHeader>&amp;RCase No. 2026-00001
KPSC 1-11 Attachment 2
Page &amp;P of &amp;N</oddHeader>
  </headerFooter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82E795A8-9C13-4A71-9668-28F925565AB0}">
          <x14:formula1>
            <xm:f>DropDowns!$E$2:$E$7</xm:f>
          </x14:formula1>
          <xm:sqref>B2</xm:sqref>
        </x14:dataValidation>
        <x14:dataValidation type="list" allowBlank="1" showInputMessage="1" showErrorMessage="1" xr:uid="{D8022D77-D15C-4320-BEB8-669B2C7AB789}">
          <x14:formula1>
            <xm:f>DropDowns!$G$2:$G$11</xm:f>
          </x14:formula1>
          <xm:sqref>B3</xm:sqref>
        </x14:dataValidation>
        <x14:dataValidation type="list" allowBlank="1" showInputMessage="1" showErrorMessage="1" xr:uid="{1B842802-7FEA-4093-A084-DC1AA29B271A}">
          <x14:formula1>
            <xm:f>DropDowns!$C$2:$C$4</xm:f>
          </x14:formula1>
          <xm:sqref>F6</xm:sqref>
        </x14:dataValidation>
        <x14:dataValidation type="list" allowBlank="1" showInputMessage="1" showErrorMessage="1" xr:uid="{032FF74D-5111-41AE-848C-8A234000BA3D}">
          <x14:formula1>
            <xm:f>MACRS!$B$1:$G$1</xm:f>
          </x14:formula1>
          <xm:sqref>B33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9"/>
  <dimension ref="A1:AL31"/>
  <sheetViews>
    <sheetView zoomScaleNormal="100" workbookViewId="0">
      <selection activeCell="F10" sqref="F10"/>
    </sheetView>
  </sheetViews>
  <sheetFormatPr defaultRowHeight="12.5"/>
  <cols>
    <col min="1" max="1" width="5" bestFit="1" customWidth="1"/>
    <col min="2" max="2" width="4.7265625" customWidth="1"/>
    <col min="3" max="3" width="40.54296875" bestFit="1" customWidth="1"/>
    <col min="4" max="38" width="12.81640625" bestFit="1" customWidth="1"/>
  </cols>
  <sheetData>
    <row r="1" spans="1:38">
      <c r="A1" t="s">
        <v>53</v>
      </c>
      <c r="D1" s="129" t="str">
        <f>SIT!D2</f>
        <v>Year 1</v>
      </c>
      <c r="E1" s="129" t="str">
        <f>SIT!E2</f>
        <v>Year 2</v>
      </c>
      <c r="F1" s="129" t="str">
        <f>SIT!F2</f>
        <v>Year 3</v>
      </c>
      <c r="G1" s="129" t="str">
        <f>SIT!G2</f>
        <v>Year 4</v>
      </c>
      <c r="H1" s="129" t="str">
        <f>SIT!H2</f>
        <v>Year 5</v>
      </c>
      <c r="I1" s="129" t="str">
        <f>SIT!I2</f>
        <v>Year 6</v>
      </c>
      <c r="J1" s="129" t="str">
        <f>SIT!J2</f>
        <v>Year 7</v>
      </c>
      <c r="K1" s="129" t="str">
        <f>SIT!K2</f>
        <v>Year 8</v>
      </c>
      <c r="L1" s="129" t="str">
        <f>SIT!L2</f>
        <v>Year 9</v>
      </c>
      <c r="M1" s="129" t="str">
        <f>SIT!M2</f>
        <v>Year 10</v>
      </c>
      <c r="N1" s="129" t="str">
        <f>SIT!N2</f>
        <v>Year 11</v>
      </c>
      <c r="O1" s="129" t="str">
        <f>SIT!O2</f>
        <v>Year 12</v>
      </c>
      <c r="P1" s="129" t="str">
        <f>SIT!P2</f>
        <v>Year 13</v>
      </c>
      <c r="Q1" s="129" t="str">
        <f>SIT!Q2</f>
        <v>Year 14</v>
      </c>
      <c r="R1" s="129" t="str">
        <f>SIT!R2</f>
        <v>Year 15</v>
      </c>
      <c r="S1" s="129" t="str">
        <f>SIT!S2</f>
        <v>Year 16</v>
      </c>
      <c r="T1" s="129" t="str">
        <f>SIT!T2</f>
        <v>Year 17</v>
      </c>
      <c r="U1" s="129" t="str">
        <f>SIT!U2</f>
        <v>Year 18</v>
      </c>
      <c r="V1" s="129" t="str">
        <f>SIT!V2</f>
        <v>Year 19</v>
      </c>
      <c r="W1" s="129" t="str">
        <f>SIT!W2</f>
        <v>Year 20</v>
      </c>
      <c r="X1" s="129" t="str">
        <f>SIT!X2</f>
        <v>Year 21</v>
      </c>
      <c r="Y1" s="129" t="str">
        <f>SIT!Y2</f>
        <v>Year 22</v>
      </c>
      <c r="Z1" s="129" t="str">
        <f>SIT!Z2</f>
        <v>Year 23</v>
      </c>
      <c r="AA1" s="129" t="str">
        <f>SIT!AA2</f>
        <v>Year 24</v>
      </c>
      <c r="AB1" s="129" t="str">
        <f>SIT!AB2</f>
        <v>Year 25</v>
      </c>
      <c r="AC1" s="129" t="e">
        <f>SIT!AC2</f>
        <v>#REF!</v>
      </c>
      <c r="AD1" s="129" t="e">
        <f>SIT!AD2</f>
        <v>#REF!</v>
      </c>
      <c r="AE1" s="129" t="e">
        <f>SIT!AE2</f>
        <v>#REF!</v>
      </c>
      <c r="AF1" s="129" t="e">
        <f>SIT!AF2</f>
        <v>#REF!</v>
      </c>
      <c r="AG1" s="129" t="e">
        <f>SIT!AG2</f>
        <v>#REF!</v>
      </c>
      <c r="AH1" s="129" t="e">
        <f>SIT!AH2</f>
        <v>#REF!</v>
      </c>
      <c r="AI1" s="129" t="e">
        <f>SIT!AI2</f>
        <v>#REF!</v>
      </c>
      <c r="AJ1" s="129" t="e">
        <f>SIT!AJ2</f>
        <v>#REF!</v>
      </c>
      <c r="AK1" s="129" t="e">
        <f>SIT!AK2</f>
        <v>#REF!</v>
      </c>
      <c r="AL1" s="129" t="e">
        <f>SIT!AL2</f>
        <v>#REF!</v>
      </c>
    </row>
    <row r="2" spans="1:38" ht="13">
      <c r="A2" s="25" t="s">
        <v>41</v>
      </c>
      <c r="B2" s="25"/>
      <c r="C2" s="25"/>
      <c r="D2" s="128">
        <f>SIT!D3</f>
        <v>2029</v>
      </c>
      <c r="E2" s="128">
        <f>SIT!E3</f>
        <v>2030</v>
      </c>
      <c r="F2" s="128">
        <f>SIT!F3</f>
        <v>2031</v>
      </c>
      <c r="G2" s="128">
        <f>SIT!G3</f>
        <v>2032</v>
      </c>
      <c r="H2" s="128">
        <f>SIT!H3</f>
        <v>2033</v>
      </c>
      <c r="I2" s="128">
        <f>SIT!I3</f>
        <v>2034</v>
      </c>
      <c r="J2" s="128">
        <f>SIT!J3</f>
        <v>2035</v>
      </c>
      <c r="K2" s="128">
        <f>SIT!K3</f>
        <v>2036</v>
      </c>
      <c r="L2" s="128">
        <f>SIT!L3</f>
        <v>2037</v>
      </c>
      <c r="M2" s="128">
        <f>SIT!M3</f>
        <v>2038</v>
      </c>
      <c r="N2" s="128">
        <f>SIT!N3</f>
        <v>2039</v>
      </c>
      <c r="O2" s="128">
        <f>SIT!O3</f>
        <v>2040</v>
      </c>
      <c r="P2" s="128">
        <f>SIT!P3</f>
        <v>2041</v>
      </c>
      <c r="Q2" s="128">
        <f>SIT!Q3</f>
        <v>2042</v>
      </c>
      <c r="R2" s="128">
        <f>SIT!R3</f>
        <v>2043</v>
      </c>
      <c r="S2" s="128">
        <f>SIT!S3</f>
        <v>2044</v>
      </c>
      <c r="T2" s="128">
        <f>SIT!T3</f>
        <v>2045</v>
      </c>
      <c r="U2" s="128">
        <f>SIT!U3</f>
        <v>2046</v>
      </c>
      <c r="V2" s="128">
        <f>SIT!V3</f>
        <v>2047</v>
      </c>
      <c r="W2" s="128">
        <f>SIT!W3</f>
        <v>2048</v>
      </c>
      <c r="X2" s="128">
        <f>SIT!X3</f>
        <v>2049</v>
      </c>
      <c r="Y2" s="128">
        <f>SIT!Y3</f>
        <v>2050</v>
      </c>
      <c r="Z2" s="128">
        <f>SIT!Z3</f>
        <v>2051</v>
      </c>
      <c r="AA2" s="128">
        <f>SIT!AA3</f>
        <v>2052</v>
      </c>
      <c r="AB2" s="128">
        <f>SIT!AB3</f>
        <v>2053</v>
      </c>
      <c r="AC2" s="128" t="e">
        <f>SIT!AC3</f>
        <v>#REF!</v>
      </c>
      <c r="AD2" s="128" t="e">
        <f>SIT!AD3</f>
        <v>#REF!</v>
      </c>
      <c r="AE2" s="128" t="e">
        <f>SIT!AE3</f>
        <v>#REF!</v>
      </c>
      <c r="AF2" s="128" t="e">
        <f>SIT!AF3</f>
        <v>#REF!</v>
      </c>
      <c r="AG2" s="128" t="e">
        <f>SIT!AG3</f>
        <v>#REF!</v>
      </c>
      <c r="AH2" s="128" t="e">
        <f>SIT!AH3</f>
        <v>#REF!</v>
      </c>
      <c r="AI2" s="128" t="e">
        <f>SIT!AI3</f>
        <v>#REF!</v>
      </c>
      <c r="AJ2" s="128" t="e">
        <f>SIT!AJ3</f>
        <v>#REF!</v>
      </c>
      <c r="AK2" s="128" t="e">
        <f>SIT!AK3</f>
        <v>#REF!</v>
      </c>
      <c r="AL2" s="128" t="e">
        <f>SIT!AL3</f>
        <v>#REF!</v>
      </c>
    </row>
    <row r="3" spans="1:38" ht="13">
      <c r="A3" s="56" t="s">
        <v>42</v>
      </c>
      <c r="B3" s="56"/>
      <c r="C3" s="56" t="s">
        <v>43</v>
      </c>
      <c r="D3" s="56" t="s">
        <v>52</v>
      </c>
      <c r="E3" s="56" t="s">
        <v>52</v>
      </c>
      <c r="F3" s="56" t="s">
        <v>52</v>
      </c>
      <c r="G3" s="56" t="s">
        <v>52</v>
      </c>
      <c r="H3" s="56" t="s">
        <v>52</v>
      </c>
      <c r="I3" s="56" t="s">
        <v>52</v>
      </c>
      <c r="J3" s="56" t="s">
        <v>52</v>
      </c>
      <c r="K3" s="56" t="s">
        <v>52</v>
      </c>
      <c r="L3" s="56" t="s">
        <v>52</v>
      </c>
      <c r="M3" s="56" t="s">
        <v>52</v>
      </c>
      <c r="N3" s="56" t="s">
        <v>52</v>
      </c>
      <c r="O3" s="56" t="s">
        <v>52</v>
      </c>
      <c r="P3" s="56" t="s">
        <v>52</v>
      </c>
      <c r="Q3" s="56" t="s">
        <v>52</v>
      </c>
      <c r="R3" s="56" t="s">
        <v>52</v>
      </c>
      <c r="S3" s="56" t="s">
        <v>52</v>
      </c>
      <c r="T3" s="56" t="s">
        <v>52</v>
      </c>
      <c r="U3" s="56" t="s">
        <v>52</v>
      </c>
      <c r="V3" s="56" t="s">
        <v>52</v>
      </c>
      <c r="W3" s="56" t="s">
        <v>52</v>
      </c>
      <c r="X3" s="56" t="s">
        <v>52</v>
      </c>
      <c r="Y3" s="56" t="s">
        <v>52</v>
      </c>
      <c r="Z3" s="56" t="s">
        <v>52</v>
      </c>
      <c r="AA3" s="56" t="s">
        <v>52</v>
      </c>
      <c r="AB3" s="56" t="s">
        <v>52</v>
      </c>
      <c r="AC3" s="56" t="s">
        <v>52</v>
      </c>
      <c r="AD3" s="56" t="s">
        <v>52</v>
      </c>
      <c r="AE3" s="56" t="s">
        <v>52</v>
      </c>
      <c r="AF3" s="56" t="s">
        <v>52</v>
      </c>
      <c r="AG3" s="56" t="s">
        <v>52</v>
      </c>
      <c r="AH3" s="56" t="s">
        <v>52</v>
      </c>
      <c r="AI3" s="56" t="s">
        <v>52</v>
      </c>
      <c r="AJ3" s="56" t="s">
        <v>52</v>
      </c>
      <c r="AK3" s="56" t="s">
        <v>52</v>
      </c>
      <c r="AL3" s="56" t="s">
        <v>52</v>
      </c>
    </row>
    <row r="4" spans="1:38" ht="13">
      <c r="A4" s="25">
        <v>1</v>
      </c>
      <c r="B4" s="24"/>
      <c r="C4" s="26" t="s">
        <v>105</v>
      </c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</row>
    <row r="5" spans="1:38">
      <c r="A5" s="24"/>
      <c r="B5" s="24"/>
      <c r="C5" s="24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</row>
    <row r="6" spans="1:38">
      <c r="A6" s="27">
        <v>2</v>
      </c>
      <c r="B6" s="24"/>
      <c r="C6" s="24" t="s">
        <v>44</v>
      </c>
      <c r="D6" s="28">
        <f>'Total Rev Req'!B13</f>
        <v>100233.18166647268</v>
      </c>
      <c r="E6" s="28">
        <f>'Total Rev Req'!C13</f>
        <v>91533.693773819439</v>
      </c>
      <c r="F6" s="28">
        <f>'Total Rev Req'!D13</f>
        <v>82980.280202597802</v>
      </c>
      <c r="G6" s="28">
        <f>'Total Rev Req'!E13</f>
        <v>74561.621540445922</v>
      </c>
      <c r="H6" s="28">
        <f>'Total Rev Req'!F13</f>
        <v>66268.015433910783</v>
      </c>
      <c r="I6" s="28">
        <f>'Total Rev Req'!G13</f>
        <v>58089.759529539318</v>
      </c>
      <c r="J6" s="28">
        <f>'Total Rev Req'!H13</f>
        <v>50018.499022969241</v>
      </c>
      <c r="K6" s="28">
        <f>'Total Rev Req'!I13</f>
        <v>42045.879109838213</v>
      </c>
      <c r="L6" s="28">
        <f>'Total Rev Req'!J13</f>
        <v>34089.429785795568</v>
      </c>
      <c r="M6" s="28">
        <f>'Total Rev Req'!K13</f>
        <v>26133.249971571055</v>
      </c>
      <c r="N6" s="28">
        <f>'Total Rev Req'!L13</f>
        <v>18176.800647528406</v>
      </c>
      <c r="O6" s="28">
        <f>'Total Rev Req'!M13</f>
        <v>12912.123700241385</v>
      </c>
      <c r="P6" s="28">
        <f>'Total Rev Req'!N13</f>
        <v>0</v>
      </c>
      <c r="Q6" s="28">
        <f>'Total Rev Req'!O13</f>
        <v>0</v>
      </c>
      <c r="R6" s="28">
        <f>'Total Rev Req'!P13</f>
        <v>0</v>
      </c>
      <c r="S6" s="28">
        <f>'Total Rev Req'!Q13</f>
        <v>0</v>
      </c>
      <c r="T6" s="28">
        <f>'Total Rev Req'!R13</f>
        <v>0</v>
      </c>
      <c r="U6" s="28">
        <f>'Total Rev Req'!S13</f>
        <v>0</v>
      </c>
      <c r="V6" s="28">
        <f>'Total Rev Req'!T13</f>
        <v>0</v>
      </c>
      <c r="W6" s="28">
        <f>'Total Rev Req'!U13</f>
        <v>0</v>
      </c>
      <c r="X6" s="28">
        <f>'Total Rev Req'!V13</f>
        <v>0</v>
      </c>
      <c r="Y6" s="28">
        <f>'Total Rev Req'!W13</f>
        <v>0</v>
      </c>
      <c r="Z6" s="28">
        <f>'Total Rev Req'!X13</f>
        <v>0</v>
      </c>
      <c r="AA6" s="28">
        <f>'Total Rev Req'!Y13</f>
        <v>0</v>
      </c>
      <c r="AB6" s="28">
        <f>'Total Rev Req'!Z13</f>
        <v>0</v>
      </c>
      <c r="AC6" s="28">
        <f>'Total Rev Req'!AA13</f>
        <v>0</v>
      </c>
      <c r="AD6" s="28">
        <f>'Total Rev Req'!AB13</f>
        <v>0</v>
      </c>
      <c r="AE6" s="28">
        <f>'Total Rev Req'!AC13</f>
        <v>0</v>
      </c>
      <c r="AF6" s="28">
        <f>'Total Rev Req'!AD13</f>
        <v>0</v>
      </c>
      <c r="AG6" s="28">
        <f>'Total Rev Req'!AE13</f>
        <v>0</v>
      </c>
      <c r="AH6" s="28">
        <f>'Total Rev Req'!AF13</f>
        <v>0</v>
      </c>
      <c r="AI6" s="28">
        <f>'Total Rev Req'!AG13</f>
        <v>0</v>
      </c>
      <c r="AJ6" s="28">
        <f>'Total Rev Req'!AH13</f>
        <v>0</v>
      </c>
      <c r="AK6" s="28">
        <f>'Total Rev Req'!AI13</f>
        <v>0</v>
      </c>
      <c r="AL6" s="28">
        <f>'Total Rev Req'!AJ13</f>
        <v>0</v>
      </c>
    </row>
    <row r="7" spans="1:38">
      <c r="A7" s="27">
        <v>3</v>
      </c>
      <c r="B7" s="24"/>
      <c r="C7" s="24" t="s">
        <v>54</v>
      </c>
      <c r="D7" s="28">
        <f>'Total Rev Req'!B14</f>
        <v>15516916.666666666</v>
      </c>
      <c r="E7" s="28">
        <f>'Total Rev Req'!C14</f>
        <v>15516916.666666666</v>
      </c>
      <c r="F7" s="28">
        <f>'Total Rev Req'!D14</f>
        <v>15516916.666666666</v>
      </c>
      <c r="G7" s="28">
        <f>'Total Rev Req'!E14</f>
        <v>15516916.666666666</v>
      </c>
      <c r="H7" s="28">
        <f>'Total Rev Req'!F14</f>
        <v>15516916.666666666</v>
      </c>
      <c r="I7" s="28">
        <f>'Total Rev Req'!G14</f>
        <v>15516916.666666666</v>
      </c>
      <c r="J7" s="28">
        <f>'Total Rev Req'!H14</f>
        <v>15516916.666666666</v>
      </c>
      <c r="K7" s="28">
        <f>'Total Rev Req'!I14</f>
        <v>15516916.666666666</v>
      </c>
      <c r="L7" s="28">
        <f>'Total Rev Req'!J14</f>
        <v>15516916.666666666</v>
      </c>
      <c r="M7" s="28">
        <f>'Total Rev Req'!K14</f>
        <v>15516916.666666666</v>
      </c>
      <c r="N7" s="28">
        <f>'Total Rev Req'!L14</f>
        <v>15516916.666666666</v>
      </c>
      <c r="O7" s="28">
        <f>'Total Rev Req'!M14</f>
        <v>15933583.333333332</v>
      </c>
      <c r="P7" s="28">
        <f>'Total Rev Req'!N14</f>
        <v>0</v>
      </c>
      <c r="Q7" s="28">
        <f>'Total Rev Req'!O14</f>
        <v>0</v>
      </c>
      <c r="R7" s="28">
        <f>'Total Rev Req'!P14</f>
        <v>0</v>
      </c>
      <c r="S7" s="28">
        <f>'Total Rev Req'!Q14</f>
        <v>0</v>
      </c>
      <c r="T7" s="28">
        <f>'Total Rev Req'!R14</f>
        <v>0</v>
      </c>
      <c r="U7" s="28">
        <f>'Total Rev Req'!S14</f>
        <v>0</v>
      </c>
      <c r="V7" s="28">
        <f>'Total Rev Req'!T14</f>
        <v>0</v>
      </c>
      <c r="W7" s="28">
        <f>'Total Rev Req'!U14</f>
        <v>0</v>
      </c>
      <c r="X7" s="28">
        <f>'Total Rev Req'!V14</f>
        <v>0</v>
      </c>
      <c r="Y7" s="28">
        <f>'Total Rev Req'!W14</f>
        <v>0</v>
      </c>
      <c r="Z7" s="28">
        <f>'Total Rev Req'!X14</f>
        <v>0</v>
      </c>
      <c r="AA7" s="28">
        <f>'Total Rev Req'!Y14</f>
        <v>0</v>
      </c>
      <c r="AB7" s="28">
        <f>'Total Rev Req'!Z14</f>
        <v>0</v>
      </c>
      <c r="AC7" s="28">
        <f>'Total Rev Req'!AA14</f>
        <v>0</v>
      </c>
      <c r="AD7" s="28">
        <f>'Total Rev Req'!AB14</f>
        <v>0</v>
      </c>
      <c r="AE7" s="28">
        <f>'Total Rev Req'!AC14</f>
        <v>0</v>
      </c>
      <c r="AF7" s="28">
        <f>'Total Rev Req'!AD14</f>
        <v>0</v>
      </c>
      <c r="AG7" s="28">
        <f>'Total Rev Req'!AE14</f>
        <v>0</v>
      </c>
      <c r="AH7" s="28">
        <f>'Total Rev Req'!AF14</f>
        <v>0</v>
      </c>
      <c r="AI7" s="28">
        <f>'Total Rev Req'!AG14</f>
        <v>0</v>
      </c>
      <c r="AJ7" s="28">
        <f>'Total Rev Req'!AH14</f>
        <v>0</v>
      </c>
      <c r="AK7" s="28">
        <f>'Total Rev Req'!AI14</f>
        <v>0</v>
      </c>
      <c r="AL7" s="28">
        <f>'Total Rev Req'!AJ14</f>
        <v>0</v>
      </c>
    </row>
    <row r="8" spans="1:38">
      <c r="A8" s="27">
        <v>4</v>
      </c>
      <c r="B8" s="24"/>
      <c r="C8" s="24" t="s">
        <v>55</v>
      </c>
      <c r="D8" s="30">
        <f>SIT!D20</f>
        <v>-597935.8500540565</v>
      </c>
      <c r="E8" s="30">
        <f>SIT!E20</f>
        <v>-899769.77969490294</v>
      </c>
      <c r="F8" s="30">
        <f>SIT!F20</f>
        <v>-828050.06727844803</v>
      </c>
      <c r="G8" s="30">
        <f>SIT!G20</f>
        <v>-760579.58828336652</v>
      </c>
      <c r="H8" s="30">
        <f>SIT!H20</f>
        <v>-696774.96764823585</v>
      </c>
      <c r="I8" s="30">
        <f>SIT!I20</f>
        <v>-636612.1655033346</v>
      </c>
      <c r="J8" s="30">
        <f>SIT!J20</f>
        <v>-579604.36818998482</v>
      </c>
      <c r="K8" s="30">
        <f>SIT!K20</f>
        <v>-525730.87470925972</v>
      </c>
      <c r="L8" s="30">
        <f>SIT!L20</f>
        <v>-500423.54245477112</v>
      </c>
      <c r="M8" s="30">
        <f>SIT!M20</f>
        <v>-480617.00735949154</v>
      </c>
      <c r="N8" s="30">
        <f>SIT!N20</f>
        <v>-460996.24955395295</v>
      </c>
      <c r="O8" s="30">
        <f>SIT!O20</f>
        <v>-457245.73530833889</v>
      </c>
      <c r="P8" s="30">
        <f>SIT!P20</f>
        <v>-462330.05331212777</v>
      </c>
      <c r="Q8" s="30">
        <f>SIT!Q20</f>
        <v>-457844.01266947883</v>
      </c>
      <c r="R8" s="30">
        <f>SIT!R20</f>
        <v>-453657.68382365751</v>
      </c>
      <c r="S8" s="30">
        <f>SIT!S20</f>
        <v>-449383.83322414983</v>
      </c>
      <c r="T8" s="30">
        <f>SIT!T20</f>
        <v>-445393.40995144262</v>
      </c>
      <c r="U8" s="30">
        <f>SIT!U20</f>
        <v>-441301.77155016258</v>
      </c>
      <c r="V8" s="30">
        <f>SIT!V20</f>
        <v>-437479.9549459375</v>
      </c>
      <c r="W8" s="30">
        <f>SIT!W20</f>
        <v>-434239.39620065136</v>
      </c>
      <c r="X8" s="30">
        <f>SIT!X20</f>
        <v>-224812.57002212325</v>
      </c>
      <c r="Y8" s="30">
        <f>SIT!Y20</f>
        <v>-16757.211488046538</v>
      </c>
      <c r="Z8" s="30">
        <f>SIT!Z20</f>
        <v>-16676.332803448026</v>
      </c>
      <c r="AA8" s="30">
        <f>SIT!AA20</f>
        <v>-16600.443049821362</v>
      </c>
      <c r="AB8" s="30">
        <f>SIT!AB20</f>
        <v>-16519.564365222846</v>
      </c>
      <c r="AC8" s="30">
        <f>SIT!AC20</f>
        <v>0</v>
      </c>
      <c r="AD8" s="30">
        <f>SIT!AD20</f>
        <v>0</v>
      </c>
      <c r="AE8" s="30">
        <f>SIT!AE20</f>
        <v>0</v>
      </c>
      <c r="AF8" s="30">
        <f>SIT!AF20</f>
        <v>0</v>
      </c>
      <c r="AG8" s="30">
        <f>SIT!AG20</f>
        <v>0</v>
      </c>
      <c r="AH8" s="30">
        <f>SIT!AH20</f>
        <v>0</v>
      </c>
      <c r="AI8" s="30">
        <f>SIT!AI20</f>
        <v>0</v>
      </c>
      <c r="AJ8" s="30">
        <f>SIT!AJ20</f>
        <v>0</v>
      </c>
      <c r="AK8" s="30">
        <f>SIT!AK20</f>
        <v>0</v>
      </c>
      <c r="AL8" s="30">
        <f>SIT!AL20</f>
        <v>0</v>
      </c>
    </row>
    <row r="9" spans="1:38">
      <c r="A9" s="27">
        <v>5</v>
      </c>
      <c r="B9" s="24"/>
      <c r="C9" s="24" t="s">
        <v>46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</row>
    <row r="10" spans="1:38">
      <c r="A10" s="27">
        <v>6</v>
      </c>
      <c r="B10" s="24"/>
      <c r="C10" s="24" t="s">
        <v>47</v>
      </c>
      <c r="D10" s="29">
        <f>SIT!D9</f>
        <v>4860345.1713057915</v>
      </c>
      <c r="E10" s="29">
        <f>SIT!E9</f>
        <v>4438503.6885861671</v>
      </c>
      <c r="F10" s="29">
        <f>SIT!F9</f>
        <v>4023745.4053721135</v>
      </c>
      <c r="G10" s="29">
        <f>SIT!G9</f>
        <v>3615521.4390451205</v>
      </c>
      <c r="H10" s="29">
        <f>SIT!H9</f>
        <v>3213361.3187893177</v>
      </c>
      <c r="I10" s="29">
        <f>SIT!I9</f>
        <v>2816794.5737888375</v>
      </c>
      <c r="J10" s="29">
        <f>SIT!J9</f>
        <v>2425416.0763966823</v>
      </c>
      <c r="K10" s="29">
        <f>SIT!K9</f>
        <v>2038820.6989658533</v>
      </c>
      <c r="L10" s="29">
        <f>SIT!L9</f>
        <v>1653009.439561473</v>
      </c>
      <c r="M10" s="29">
        <f>SIT!M9</f>
        <v>1267211.2487908662</v>
      </c>
      <c r="N10" s="29">
        <f>SIT!N9</f>
        <v>881399.98938648531</v>
      </c>
      <c r="O10" s="29">
        <f>SIT!O9</f>
        <v>626113.7981890802</v>
      </c>
      <c r="P10" s="29">
        <f>SIT!P9</f>
        <v>565268.23132383195</v>
      </c>
      <c r="Q10" s="29">
        <f>SIT!Q9</f>
        <v>504625.93409625062</v>
      </c>
      <c r="R10" s="29">
        <f>SIT!R9</f>
        <v>444146.03041560802</v>
      </c>
      <c r="S10" s="29">
        <f>SIT!S9</f>
        <v>383842.02427244122</v>
      </c>
      <c r="T10" s="29">
        <f>SIT!T9</f>
        <v>323675.14512219065</v>
      </c>
      <c r="U10" s="29">
        <f>SIT!U9</f>
        <v>263660.65157720027</v>
      </c>
      <c r="V10" s="29">
        <f>SIT!V9</f>
        <v>203761.52771471767</v>
      </c>
      <c r="W10" s="29">
        <f>SIT!W9</f>
        <v>143896.52794769467</v>
      </c>
      <c r="X10" s="29">
        <f>SIT!X9</f>
        <v>113174.93242131635</v>
      </c>
      <c r="Y10" s="29">
        <f>SIT!Y9</f>
        <v>111609.10792063392</v>
      </c>
      <c r="Z10" s="29">
        <f>SIT!Z9</f>
        <v>110043.63434431292</v>
      </c>
      <c r="AA10" s="29">
        <f>SIT!AA9</f>
        <v>108477.80984363047</v>
      </c>
      <c r="AB10" s="29">
        <f>SIT!AB9</f>
        <v>106912.33626730944</v>
      </c>
      <c r="AC10" s="29">
        <f>SIT!AC9</f>
        <v>0</v>
      </c>
      <c r="AD10" s="29">
        <f>SIT!AD9</f>
        <v>0</v>
      </c>
      <c r="AE10" s="29">
        <f>SIT!AE9</f>
        <v>0</v>
      </c>
      <c r="AF10" s="29">
        <f>SIT!AF9</f>
        <v>0</v>
      </c>
      <c r="AG10" s="29">
        <f>SIT!AG9</f>
        <v>0</v>
      </c>
      <c r="AH10" s="29">
        <f>SIT!AH9</f>
        <v>0</v>
      </c>
      <c r="AI10" s="29">
        <f>SIT!AI9</f>
        <v>0</v>
      </c>
      <c r="AJ10" s="29">
        <f>SIT!AJ9</f>
        <v>0</v>
      </c>
      <c r="AK10" s="29">
        <f>SIT!AK9</f>
        <v>0</v>
      </c>
      <c r="AL10" s="29">
        <f>SIT!AL9</f>
        <v>0</v>
      </c>
    </row>
    <row r="11" spans="1:38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24"/>
      <c r="AL11" s="24"/>
    </row>
    <row r="12" spans="1:38" ht="13">
      <c r="A12" s="25">
        <v>7</v>
      </c>
      <c r="B12" s="26"/>
      <c r="C12" s="26" t="s">
        <v>48</v>
      </c>
      <c r="D12" s="31">
        <f>D4-D6-D7-D8-D9-D10</f>
        <v>-19879559.169584874</v>
      </c>
      <c r="E12" s="31">
        <f t="shared" ref="E12:N12" si="0">E4-E6-E7-E8-E9-E10</f>
        <v>-19147184.26933175</v>
      </c>
      <c r="F12" s="31">
        <f t="shared" si="0"/>
        <v>-18795592.28496293</v>
      </c>
      <c r="G12" s="31">
        <f t="shared" si="0"/>
        <v>-18446420.138968866</v>
      </c>
      <c r="H12" s="31">
        <f t="shared" si="0"/>
        <v>-18099771.033241659</v>
      </c>
      <c r="I12" s="31">
        <f t="shared" si="0"/>
        <v>-17755188.834481709</v>
      </c>
      <c r="J12" s="31">
        <f t="shared" si="0"/>
        <v>-17412746.873896334</v>
      </c>
      <c r="K12" s="31">
        <f t="shared" si="0"/>
        <v>-17072052.3700331</v>
      </c>
      <c r="L12" s="31">
        <f t="shared" si="0"/>
        <v>-16703591.993559163</v>
      </c>
      <c r="M12" s="31">
        <f t="shared" si="0"/>
        <v>-16329644.158069611</v>
      </c>
      <c r="N12" s="31">
        <f t="shared" si="0"/>
        <v>-15955497.207146728</v>
      </c>
      <c r="O12" s="31">
        <f t="shared" ref="O12:X12" si="1">O4-O6-O7-O8-O9-O10</f>
        <v>-16115363.519914312</v>
      </c>
      <c r="P12" s="31">
        <f t="shared" si="1"/>
        <v>-102938.17801170418</v>
      </c>
      <c r="Q12" s="31">
        <f t="shared" si="1"/>
        <v>-46781.921426771791</v>
      </c>
      <c r="R12" s="31">
        <f t="shared" si="1"/>
        <v>9511.6534080494894</v>
      </c>
      <c r="S12" s="31">
        <f t="shared" si="1"/>
        <v>65541.808951708605</v>
      </c>
      <c r="T12" s="31">
        <f t="shared" si="1"/>
        <v>121718.26482925197</v>
      </c>
      <c r="U12" s="31">
        <f t="shared" si="1"/>
        <v>177641.1199729623</v>
      </c>
      <c r="V12" s="31">
        <f t="shared" si="1"/>
        <v>233718.42723121983</v>
      </c>
      <c r="W12" s="31">
        <f t="shared" si="1"/>
        <v>290342.86825295666</v>
      </c>
      <c r="X12" s="31">
        <f t="shared" si="1"/>
        <v>111637.63760080691</v>
      </c>
      <c r="Y12" s="31">
        <f t="shared" ref="Y12:AL12" si="2">Y4-Y6-Y7-Y8-Y9-Y10</f>
        <v>-94851.896432587382</v>
      </c>
      <c r="Z12" s="31">
        <f t="shared" si="2"/>
        <v>-93367.301540864893</v>
      </c>
      <c r="AA12" s="31">
        <f t="shared" si="2"/>
        <v>-91877.366793809109</v>
      </c>
      <c r="AB12" s="31">
        <f t="shared" si="2"/>
        <v>-90392.771902086592</v>
      </c>
      <c r="AC12" s="31">
        <f t="shared" si="2"/>
        <v>0</v>
      </c>
      <c r="AD12" s="31">
        <f t="shared" si="2"/>
        <v>0</v>
      </c>
      <c r="AE12" s="31">
        <f t="shared" si="2"/>
        <v>0</v>
      </c>
      <c r="AF12" s="31">
        <f t="shared" si="2"/>
        <v>0</v>
      </c>
      <c r="AG12" s="31">
        <f t="shared" si="2"/>
        <v>0</v>
      </c>
      <c r="AH12" s="31">
        <f t="shared" si="2"/>
        <v>0</v>
      </c>
      <c r="AI12" s="31">
        <f t="shared" si="2"/>
        <v>0</v>
      </c>
      <c r="AJ12" s="31">
        <f t="shared" si="2"/>
        <v>0</v>
      </c>
      <c r="AK12" s="31">
        <f t="shared" si="2"/>
        <v>0</v>
      </c>
      <c r="AL12" s="31">
        <f t="shared" si="2"/>
        <v>0</v>
      </c>
    </row>
    <row r="13" spans="1:38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24"/>
      <c r="AL13" s="24"/>
    </row>
    <row r="14" spans="1:38">
      <c r="A14" s="27">
        <v>8</v>
      </c>
      <c r="B14" s="24"/>
      <c r="C14" s="24" t="s">
        <v>6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</row>
    <row r="15" spans="1:38">
      <c r="A15" s="27">
        <v>9</v>
      </c>
      <c r="B15" s="24"/>
      <c r="C15" s="24" t="s">
        <v>56</v>
      </c>
      <c r="D15" s="34">
        <f>SIT!D14</f>
        <v>8534304.1666666642</v>
      </c>
      <c r="E15" s="34">
        <f>SIT!E14</f>
        <v>2074922.0966666653</v>
      </c>
      <c r="F15" s="34">
        <f>SIT!F14</f>
        <v>3084142.3566666674</v>
      </c>
      <c r="G15" s="34">
        <f>SIT!G14</f>
        <v>4015157.3566666665</v>
      </c>
      <c r="H15" s="34">
        <f>SIT!H14</f>
        <v>4879139.2766666664</v>
      </c>
      <c r="I15" s="34">
        <f>SIT!I14</f>
        <v>5676088.1166666662</v>
      </c>
      <c r="J15" s="34">
        <f>SIT!J14</f>
        <v>6415314.0266666673</v>
      </c>
      <c r="K15" s="34">
        <f>SIT!K14</f>
        <v>7096817.0066666659</v>
      </c>
      <c r="L15" s="34">
        <f>SIT!L14</f>
        <v>7208538.8066666657</v>
      </c>
      <c r="M15" s="34">
        <f>SIT!M14</f>
        <v>7210400.836666666</v>
      </c>
      <c r="N15" s="34">
        <f>SIT!N14</f>
        <v>7208538.8066666657</v>
      </c>
      <c r="O15" s="34">
        <f>SIT!O14</f>
        <v>7439567.503333332</v>
      </c>
      <c r="P15" s="34">
        <f>SIT!P14</f>
        <v>-8669327.8600000013</v>
      </c>
      <c r="Q15" s="34">
        <f>SIT!Q14</f>
        <v>-8640365.8300000001</v>
      </c>
      <c r="R15" s="34">
        <f>SIT!R14</f>
        <v>-8617227.8600000013</v>
      </c>
      <c r="S15" s="34">
        <f>SIT!S14</f>
        <v>-8592165.8300000001</v>
      </c>
      <c r="T15" s="34">
        <f>SIT!T14</f>
        <v>-8572627.8600000013</v>
      </c>
      <c r="U15" s="34">
        <f>SIT!U14</f>
        <v>-8550915.8300000001</v>
      </c>
      <c r="V15" s="34">
        <f>SIT!V14</f>
        <v>-8534477.8600000013</v>
      </c>
      <c r="W15" s="34">
        <f>SIT!W14</f>
        <v>-8529615.8300000001</v>
      </c>
      <c r="X15" s="34">
        <f>SIT!X14</f>
        <v>-4377238.9300000006</v>
      </c>
      <c r="Y15" s="34">
        <f>SIT!Y14</f>
        <v>-223100</v>
      </c>
      <c r="Z15" s="34">
        <f>SIT!Z14</f>
        <v>-223049.99999999997</v>
      </c>
      <c r="AA15" s="34">
        <f>SIT!AA14</f>
        <v>-223100</v>
      </c>
      <c r="AB15" s="34">
        <f>SIT!AB14</f>
        <v>-223049.99999999997</v>
      </c>
      <c r="AC15" s="34">
        <f>SIT!AC14</f>
        <v>0</v>
      </c>
      <c r="AD15" s="34">
        <f>SIT!AD14</f>
        <v>0</v>
      </c>
      <c r="AE15" s="34">
        <f>SIT!AE14</f>
        <v>0</v>
      </c>
      <c r="AF15" s="34">
        <f>SIT!AF14</f>
        <v>0</v>
      </c>
      <c r="AG15" s="34">
        <f>SIT!AG14</f>
        <v>0</v>
      </c>
      <c r="AH15" s="34">
        <f>SIT!AH14</f>
        <v>0</v>
      </c>
      <c r="AI15" s="34">
        <f>SIT!AI14</f>
        <v>0</v>
      </c>
      <c r="AJ15" s="34">
        <f>SIT!AJ14</f>
        <v>0</v>
      </c>
      <c r="AK15" s="34">
        <f>SIT!AK14</f>
        <v>0</v>
      </c>
      <c r="AL15" s="34">
        <f>SIT!AL14</f>
        <v>0</v>
      </c>
    </row>
    <row r="16" spans="1:38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</row>
    <row r="17" spans="1:38">
      <c r="A17" s="27">
        <v>10</v>
      </c>
      <c r="B17" s="24"/>
      <c r="C17" s="24" t="s">
        <v>57</v>
      </c>
      <c r="D17" s="35">
        <f>SUM(D12:D15)</f>
        <v>-11345255.00291821</v>
      </c>
      <c r="E17" s="35">
        <f t="shared" ref="E17:N17" si="3">SUM(E12:E15)</f>
        <v>-17072262.172665086</v>
      </c>
      <c r="F17" s="35">
        <f t="shared" si="3"/>
        <v>-15711449.928296262</v>
      </c>
      <c r="G17" s="35">
        <f t="shared" si="3"/>
        <v>-14431262.782302201</v>
      </c>
      <c r="H17" s="35">
        <f t="shared" si="3"/>
        <v>-13220631.756574992</v>
      </c>
      <c r="I17" s="35">
        <f t="shared" si="3"/>
        <v>-12079100.717815042</v>
      </c>
      <c r="J17" s="35">
        <f t="shared" si="3"/>
        <v>-10997432.847229667</v>
      </c>
      <c r="K17" s="35">
        <f t="shared" si="3"/>
        <v>-9975235.3633664344</v>
      </c>
      <c r="L17" s="35">
        <f t="shared" si="3"/>
        <v>-9495053.1868924983</v>
      </c>
      <c r="M17" s="35">
        <f t="shared" si="3"/>
        <v>-9119243.3214029446</v>
      </c>
      <c r="N17" s="35">
        <f t="shared" si="3"/>
        <v>-8746958.4004800618</v>
      </c>
      <c r="O17" s="35">
        <f t="shared" ref="O17:X17" si="4">SUM(O12:O15)</f>
        <v>-8675796.0165809803</v>
      </c>
      <c r="P17" s="35">
        <f t="shared" si="4"/>
        <v>-8772266.0380117055</v>
      </c>
      <c r="Q17" s="35">
        <f t="shared" si="4"/>
        <v>-8687147.7514267713</v>
      </c>
      <c r="R17" s="35">
        <f t="shared" si="4"/>
        <v>-8607716.2065919526</v>
      </c>
      <c r="S17" s="35">
        <f t="shared" si="4"/>
        <v>-8526624.0210482907</v>
      </c>
      <c r="T17" s="35">
        <f t="shared" si="4"/>
        <v>-8450909.5951707494</v>
      </c>
      <c r="U17" s="35">
        <f t="shared" si="4"/>
        <v>-8373274.7100270381</v>
      </c>
      <c r="V17" s="35">
        <f t="shared" si="4"/>
        <v>-8300759.4327687817</v>
      </c>
      <c r="W17" s="35">
        <f t="shared" si="4"/>
        <v>-8239272.9617470438</v>
      </c>
      <c r="X17" s="35">
        <f t="shared" si="4"/>
        <v>-4265601.2923991941</v>
      </c>
      <c r="Y17" s="35">
        <f t="shared" ref="Y17:AL17" si="5">SUM(Y12:Y15)</f>
        <v>-317951.89643258741</v>
      </c>
      <c r="Z17" s="35">
        <f t="shared" si="5"/>
        <v>-316417.30154086486</v>
      </c>
      <c r="AA17" s="35">
        <f t="shared" si="5"/>
        <v>-314977.36679380911</v>
      </c>
      <c r="AB17" s="35">
        <f t="shared" si="5"/>
        <v>-313442.77190208656</v>
      </c>
      <c r="AC17" s="35">
        <f t="shared" si="5"/>
        <v>0</v>
      </c>
      <c r="AD17" s="35">
        <f t="shared" si="5"/>
        <v>0</v>
      </c>
      <c r="AE17" s="35">
        <f t="shared" si="5"/>
        <v>0</v>
      </c>
      <c r="AF17" s="35">
        <f t="shared" si="5"/>
        <v>0</v>
      </c>
      <c r="AG17" s="35">
        <f t="shared" si="5"/>
        <v>0</v>
      </c>
      <c r="AH17" s="35">
        <f t="shared" si="5"/>
        <v>0</v>
      </c>
      <c r="AI17" s="35">
        <f t="shared" si="5"/>
        <v>0</v>
      </c>
      <c r="AJ17" s="35">
        <f t="shared" si="5"/>
        <v>0</v>
      </c>
      <c r="AK17" s="35">
        <f t="shared" si="5"/>
        <v>0</v>
      </c>
      <c r="AL17" s="35">
        <f t="shared" si="5"/>
        <v>0</v>
      </c>
    </row>
    <row r="18" spans="1:38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</row>
    <row r="19" spans="1:38">
      <c r="A19" s="27">
        <v>11</v>
      </c>
      <c r="B19" s="24"/>
      <c r="C19" s="24" t="s">
        <v>58</v>
      </c>
      <c r="D19" s="36">
        <f>Input!$B$35</f>
        <v>0.21</v>
      </c>
      <c r="E19" s="36">
        <f>Input!$B$35</f>
        <v>0.21</v>
      </c>
      <c r="F19" s="36">
        <f>Input!$B$35</f>
        <v>0.21</v>
      </c>
      <c r="G19" s="36">
        <f>Input!$B$35</f>
        <v>0.21</v>
      </c>
      <c r="H19" s="36">
        <f>Input!$B$35</f>
        <v>0.21</v>
      </c>
      <c r="I19" s="36">
        <f>Input!$B$35</f>
        <v>0.21</v>
      </c>
      <c r="J19" s="36">
        <f>Input!$B$35</f>
        <v>0.21</v>
      </c>
      <c r="K19" s="36">
        <f>Input!$B$35</f>
        <v>0.21</v>
      </c>
      <c r="L19" s="36">
        <f>Input!$B$35</f>
        <v>0.21</v>
      </c>
      <c r="M19" s="36">
        <f>Input!$B$35</f>
        <v>0.21</v>
      </c>
      <c r="N19" s="36">
        <f>Input!$B$35</f>
        <v>0.21</v>
      </c>
      <c r="O19" s="36">
        <f>Input!$B$35</f>
        <v>0.21</v>
      </c>
      <c r="P19" s="36">
        <f>Input!$B$35</f>
        <v>0.21</v>
      </c>
      <c r="Q19" s="36">
        <f>Input!$B$35</f>
        <v>0.21</v>
      </c>
      <c r="R19" s="36">
        <f>Input!$B$35</f>
        <v>0.21</v>
      </c>
      <c r="S19" s="36">
        <f>Input!$B$35</f>
        <v>0.21</v>
      </c>
      <c r="T19" s="36">
        <f>Input!$B$35</f>
        <v>0.21</v>
      </c>
      <c r="U19" s="36">
        <f>Input!$B$35</f>
        <v>0.21</v>
      </c>
      <c r="V19" s="36">
        <f>Input!$B$35</f>
        <v>0.21</v>
      </c>
      <c r="W19" s="36">
        <f>Input!$B$35</f>
        <v>0.21</v>
      </c>
      <c r="X19" s="36">
        <f>Input!$B$35</f>
        <v>0.21</v>
      </c>
      <c r="Y19" s="36">
        <f>Input!$B$35</f>
        <v>0.21</v>
      </c>
      <c r="Z19" s="36">
        <f>Input!$B$35</f>
        <v>0.21</v>
      </c>
      <c r="AA19" s="36">
        <f>Input!$B$35</f>
        <v>0.21</v>
      </c>
      <c r="AB19" s="36">
        <f>Input!$B$35</f>
        <v>0.21</v>
      </c>
      <c r="AC19" s="36">
        <f>Input!$B$35</f>
        <v>0.21</v>
      </c>
      <c r="AD19" s="36">
        <f>Input!$B$35</f>
        <v>0.21</v>
      </c>
      <c r="AE19" s="36">
        <f>Input!$B$35</f>
        <v>0.21</v>
      </c>
      <c r="AF19" s="36">
        <f>Input!$B$35</f>
        <v>0.21</v>
      </c>
      <c r="AG19" s="36">
        <f>Input!$B$35</f>
        <v>0.21</v>
      </c>
      <c r="AH19" s="36">
        <f>Input!$B$35</f>
        <v>0.21</v>
      </c>
      <c r="AI19" s="36">
        <f>Input!$B$35</f>
        <v>0.21</v>
      </c>
      <c r="AJ19" s="36">
        <f>Input!$B$35</f>
        <v>0.21</v>
      </c>
      <c r="AK19" s="36">
        <f>Input!$B$35</f>
        <v>0.21</v>
      </c>
      <c r="AL19" s="36">
        <f>Input!$B$35</f>
        <v>0.21</v>
      </c>
    </row>
    <row r="20" spans="1:38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</row>
    <row r="21" spans="1:38">
      <c r="A21" s="27">
        <v>12</v>
      </c>
      <c r="B21" s="24"/>
      <c r="C21" s="24" t="s">
        <v>59</v>
      </c>
      <c r="D21" s="35">
        <f>D19*D17</f>
        <v>-2382503.550612824</v>
      </c>
      <c r="E21" s="35">
        <f t="shared" ref="E21:N21" si="6">E19*E17</f>
        <v>-3585175.056259668</v>
      </c>
      <c r="F21" s="35">
        <f t="shared" si="6"/>
        <v>-3299404.484942215</v>
      </c>
      <c r="G21" s="35">
        <f t="shared" si="6"/>
        <v>-3030565.1842834619</v>
      </c>
      <c r="H21" s="35">
        <f t="shared" si="6"/>
        <v>-2776332.6688807481</v>
      </c>
      <c r="I21" s="35">
        <f t="shared" si="6"/>
        <v>-2536611.1507411585</v>
      </c>
      <c r="J21" s="35">
        <f t="shared" si="6"/>
        <v>-2309460.8979182299</v>
      </c>
      <c r="K21" s="35">
        <f t="shared" si="6"/>
        <v>-2094799.4263069511</v>
      </c>
      <c r="L21" s="35">
        <f t="shared" si="6"/>
        <v>-1993961.1692474245</v>
      </c>
      <c r="M21" s="35">
        <f t="shared" si="6"/>
        <v>-1915041.0974946183</v>
      </c>
      <c r="N21" s="35">
        <f t="shared" si="6"/>
        <v>-1836861.2641008128</v>
      </c>
      <c r="O21" s="35">
        <f t="shared" ref="O21:X21" si="7">O19*O17</f>
        <v>-1821917.1634820057</v>
      </c>
      <c r="P21" s="35">
        <f t="shared" si="7"/>
        <v>-1842175.8679824581</v>
      </c>
      <c r="Q21" s="35">
        <f t="shared" si="7"/>
        <v>-1824301.0277996219</v>
      </c>
      <c r="R21" s="35">
        <f t="shared" si="7"/>
        <v>-1807620.40338431</v>
      </c>
      <c r="S21" s="35">
        <f t="shared" si="7"/>
        <v>-1790591.044420141</v>
      </c>
      <c r="T21" s="35">
        <f t="shared" si="7"/>
        <v>-1774691.0149858573</v>
      </c>
      <c r="U21" s="35">
        <f t="shared" si="7"/>
        <v>-1758387.6891056779</v>
      </c>
      <c r="V21" s="35">
        <f t="shared" si="7"/>
        <v>-1743159.4808814442</v>
      </c>
      <c r="W21" s="35">
        <f t="shared" si="7"/>
        <v>-1730247.3219668791</v>
      </c>
      <c r="X21" s="35">
        <f t="shared" si="7"/>
        <v>-895776.27140383073</v>
      </c>
      <c r="Y21" s="35">
        <f t="shared" ref="Y21:AL21" si="8">Y19*Y17</f>
        <v>-66769.898250843355</v>
      </c>
      <c r="Z21" s="35">
        <f t="shared" si="8"/>
        <v>-66447.633323581613</v>
      </c>
      <c r="AA21" s="35">
        <f t="shared" si="8"/>
        <v>-66145.247026699915</v>
      </c>
      <c r="AB21" s="35">
        <f t="shared" si="8"/>
        <v>-65822.982099438173</v>
      </c>
      <c r="AC21" s="35">
        <f t="shared" si="8"/>
        <v>0</v>
      </c>
      <c r="AD21" s="35">
        <f t="shared" si="8"/>
        <v>0</v>
      </c>
      <c r="AE21" s="35">
        <f t="shared" si="8"/>
        <v>0</v>
      </c>
      <c r="AF21" s="35">
        <f t="shared" si="8"/>
        <v>0</v>
      </c>
      <c r="AG21" s="35">
        <f t="shared" si="8"/>
        <v>0</v>
      </c>
      <c r="AH21" s="35">
        <f t="shared" si="8"/>
        <v>0</v>
      </c>
      <c r="AI21" s="35">
        <f t="shared" si="8"/>
        <v>0</v>
      </c>
      <c r="AJ21" s="35">
        <f t="shared" si="8"/>
        <v>0</v>
      </c>
      <c r="AK21" s="35">
        <f t="shared" si="8"/>
        <v>0</v>
      </c>
      <c r="AL21" s="35">
        <f t="shared" si="8"/>
        <v>0</v>
      </c>
    </row>
    <row r="22" spans="1:38">
      <c r="A22" s="27"/>
      <c r="B22" s="24"/>
      <c r="C22" s="24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</row>
    <row r="23" spans="1:38">
      <c r="A23" s="27">
        <v>13</v>
      </c>
      <c r="B23" s="24"/>
      <c r="C23" s="24" t="s">
        <v>60</v>
      </c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</row>
    <row r="24" spans="1:38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</row>
    <row r="25" spans="1:38" s="84" customFormat="1" ht="13">
      <c r="A25" s="130">
        <v>14</v>
      </c>
      <c r="B25" s="131"/>
      <c r="C25" s="131" t="s">
        <v>150</v>
      </c>
      <c r="D25" s="132">
        <f>D21</f>
        <v>-2382503.550612824</v>
      </c>
      <c r="E25" s="132">
        <f t="shared" ref="E25:N25" si="9">E21</f>
        <v>-3585175.056259668</v>
      </c>
      <c r="F25" s="132">
        <f t="shared" si="9"/>
        <v>-3299404.484942215</v>
      </c>
      <c r="G25" s="132">
        <f t="shared" si="9"/>
        <v>-3030565.1842834619</v>
      </c>
      <c r="H25" s="132">
        <f t="shared" si="9"/>
        <v>-2776332.6688807481</v>
      </c>
      <c r="I25" s="132">
        <f t="shared" si="9"/>
        <v>-2536611.1507411585</v>
      </c>
      <c r="J25" s="132">
        <f t="shared" si="9"/>
        <v>-2309460.8979182299</v>
      </c>
      <c r="K25" s="132">
        <f t="shared" si="9"/>
        <v>-2094799.4263069511</v>
      </c>
      <c r="L25" s="132">
        <f t="shared" si="9"/>
        <v>-1993961.1692474245</v>
      </c>
      <c r="M25" s="132">
        <f t="shared" si="9"/>
        <v>-1915041.0974946183</v>
      </c>
      <c r="N25" s="132">
        <f t="shared" si="9"/>
        <v>-1836861.2641008128</v>
      </c>
      <c r="O25" s="132">
        <f t="shared" ref="O25:X25" si="10">O21</f>
        <v>-1821917.1634820057</v>
      </c>
      <c r="P25" s="132">
        <f t="shared" si="10"/>
        <v>-1842175.8679824581</v>
      </c>
      <c r="Q25" s="132">
        <f t="shared" si="10"/>
        <v>-1824301.0277996219</v>
      </c>
      <c r="R25" s="132">
        <f t="shared" si="10"/>
        <v>-1807620.40338431</v>
      </c>
      <c r="S25" s="132">
        <f t="shared" si="10"/>
        <v>-1790591.044420141</v>
      </c>
      <c r="T25" s="132">
        <f t="shared" si="10"/>
        <v>-1774691.0149858573</v>
      </c>
      <c r="U25" s="132">
        <f t="shared" si="10"/>
        <v>-1758387.6891056779</v>
      </c>
      <c r="V25" s="132">
        <f t="shared" si="10"/>
        <v>-1743159.4808814442</v>
      </c>
      <c r="W25" s="132">
        <f t="shared" si="10"/>
        <v>-1730247.3219668791</v>
      </c>
      <c r="X25" s="132">
        <f t="shared" si="10"/>
        <v>-895776.27140383073</v>
      </c>
      <c r="Y25" s="132">
        <f t="shared" ref="Y25:AL25" si="11">Y21</f>
        <v>-66769.898250843355</v>
      </c>
      <c r="Z25" s="132">
        <f t="shared" si="11"/>
        <v>-66447.633323581613</v>
      </c>
      <c r="AA25" s="132">
        <f t="shared" si="11"/>
        <v>-66145.247026699915</v>
      </c>
      <c r="AB25" s="132">
        <f t="shared" si="11"/>
        <v>-65822.982099438173</v>
      </c>
      <c r="AC25" s="132">
        <f t="shared" si="11"/>
        <v>0</v>
      </c>
      <c r="AD25" s="132">
        <f t="shared" si="11"/>
        <v>0</v>
      </c>
      <c r="AE25" s="132">
        <f t="shared" si="11"/>
        <v>0</v>
      </c>
      <c r="AF25" s="132">
        <f t="shared" si="11"/>
        <v>0</v>
      </c>
      <c r="AG25" s="132">
        <f t="shared" si="11"/>
        <v>0</v>
      </c>
      <c r="AH25" s="132">
        <f t="shared" si="11"/>
        <v>0</v>
      </c>
      <c r="AI25" s="132">
        <f t="shared" si="11"/>
        <v>0</v>
      </c>
      <c r="AJ25" s="132">
        <f t="shared" si="11"/>
        <v>0</v>
      </c>
      <c r="AK25" s="132">
        <f t="shared" si="11"/>
        <v>0</v>
      </c>
      <c r="AL25" s="132">
        <f t="shared" si="11"/>
        <v>0</v>
      </c>
    </row>
    <row r="27" spans="1:38">
      <c r="A27" s="27">
        <v>15</v>
      </c>
      <c r="B27" s="24"/>
      <c r="C27" s="24" t="s">
        <v>187</v>
      </c>
      <c r="D27" s="124">
        <f>'Total Rev Req'!B28</f>
        <v>29902351.865660496</v>
      </c>
      <c r="E27" s="124">
        <f>'Total Rev Req'!C28</f>
        <v>28661243.413080446</v>
      </c>
      <c r="F27" s="124">
        <f>'Total Rev Req'!D28</f>
        <v>27440974.58661066</v>
      </c>
      <c r="G27" s="124">
        <f>'Total Rev Req'!E28</f>
        <v>26239930.507475082</v>
      </c>
      <c r="H27" s="124">
        <f>'Total Rev Req'!F28</f>
        <v>25056726.993865617</v>
      </c>
      <c r="I27" s="124">
        <f>'Total Rev Req'!G28</f>
        <v>23889979.863974221</v>
      </c>
      <c r="J27" s="124">
        <f>'Total Rev Req'!H28</f>
        <v>22738497.183466181</v>
      </c>
      <c r="K27" s="124">
        <f>'Total Rev Req'!I28</f>
        <v>21601087.018006757</v>
      </c>
      <c r="L27" s="124">
        <f>'Total Rev Req'!J28</f>
        <v>20465983.822227448</v>
      </c>
      <c r="M27" s="124">
        <f>'Total Rev Req'!K28</f>
        <v>19330919.075942803</v>
      </c>
      <c r="N27" s="124">
        <f>'Total Rev Req'!L28</f>
        <v>18195815.880163491</v>
      </c>
      <c r="O27" s="124">
        <f>'Total Rev Req'!M28</f>
        <v>17863701.458676521</v>
      </c>
      <c r="P27" s="124">
        <f>'Total Rev Req'!N28</f>
        <v>1651365.5013284825</v>
      </c>
      <c r="Q27" s="124">
        <f>'Total Rev Req'!O28</f>
        <v>1474206.0714974331</v>
      </c>
      <c r="R27" s="124">
        <f>'Total Rev Req'!P28</f>
        <v>1297521.0555573341</v>
      </c>
      <c r="S27" s="124">
        <f>'Total Rev Req'!Q28</f>
        <v>1121349.9038485156</v>
      </c>
      <c r="T27" s="124">
        <f>'Total Rev Req'!R28</f>
        <v>945579.35272691236</v>
      </c>
      <c r="U27" s="124">
        <f>'Total Rev Req'!S28</f>
        <v>770253.97845672455</v>
      </c>
      <c r="V27" s="124">
        <f>'Total Rev Req'!T28</f>
        <v>595265.64331775799</v>
      </c>
      <c r="W27" s="124">
        <f>'Total Rev Req'!U28</f>
        <v>420376.99776133627</v>
      </c>
      <c r="X27" s="124">
        <f>'Total Rev Req'!V28</f>
        <v>330627.42368883704</v>
      </c>
      <c r="Y27" s="124">
        <f>'Total Rev Req'!W28</f>
        <v>326053.04922681197</v>
      </c>
      <c r="Z27" s="124">
        <f>'Total Rev Req'!X28</f>
        <v>321479.69994956092</v>
      </c>
      <c r="AA27" s="124">
        <f>'Total Rev Req'!Y28</f>
        <v>316905.32548753574</v>
      </c>
      <c r="AB27" s="124">
        <f>'Total Rev Req'!Z28</f>
        <v>312331.97621028457</v>
      </c>
      <c r="AC27" s="124">
        <f>'Total Rev Req'!AA28</f>
        <v>0</v>
      </c>
      <c r="AD27" s="124">
        <f>'Total Rev Req'!AB28</f>
        <v>0</v>
      </c>
      <c r="AE27" s="124">
        <f>'Total Rev Req'!AC28</f>
        <v>0</v>
      </c>
      <c r="AF27" s="124">
        <f>'Total Rev Req'!AD28</f>
        <v>0</v>
      </c>
      <c r="AG27" s="124">
        <f>'Total Rev Req'!AE28</f>
        <v>0</v>
      </c>
      <c r="AH27" s="124">
        <f>'Total Rev Req'!AF28</f>
        <v>0</v>
      </c>
      <c r="AI27" s="124">
        <f>'Total Rev Req'!AG28</f>
        <v>0</v>
      </c>
      <c r="AJ27" s="124">
        <f>'Total Rev Req'!AH28</f>
        <v>0</v>
      </c>
      <c r="AK27" s="124">
        <f>'Total Rev Req'!AI28</f>
        <v>0</v>
      </c>
      <c r="AL27" s="124">
        <f>'Total Rev Req'!AJ28</f>
        <v>0</v>
      </c>
    </row>
    <row r="28" spans="1:38">
      <c r="A28" s="24"/>
      <c r="B28" s="24"/>
      <c r="C28" s="24"/>
    </row>
    <row r="29" spans="1:38">
      <c r="A29" s="27">
        <v>16</v>
      </c>
      <c r="B29" s="24"/>
      <c r="C29" s="24" t="s">
        <v>191</v>
      </c>
      <c r="D29" s="127">
        <f>D27+D17</f>
        <v>18557096.862742286</v>
      </c>
      <c r="E29" s="127">
        <f t="shared" ref="E29:X29" si="12">E27+E17</f>
        <v>11588981.240415361</v>
      </c>
      <c r="F29" s="127">
        <f t="shared" si="12"/>
        <v>11729524.658314398</v>
      </c>
      <c r="G29" s="127">
        <f t="shared" si="12"/>
        <v>11808667.725172881</v>
      </c>
      <c r="H29" s="127">
        <f t="shared" si="12"/>
        <v>11836095.237290625</v>
      </c>
      <c r="I29" s="127">
        <f t="shared" si="12"/>
        <v>11810879.14615918</v>
      </c>
      <c r="J29" s="127">
        <f t="shared" si="12"/>
        <v>11741064.336236514</v>
      </c>
      <c r="K29" s="127">
        <f t="shared" si="12"/>
        <v>11625851.654640323</v>
      </c>
      <c r="L29" s="127">
        <f t="shared" si="12"/>
        <v>10970930.63533495</v>
      </c>
      <c r="M29" s="127">
        <f t="shared" si="12"/>
        <v>10211675.754539859</v>
      </c>
      <c r="N29" s="127">
        <f t="shared" si="12"/>
        <v>9448857.479683429</v>
      </c>
      <c r="O29" s="127">
        <f t="shared" si="12"/>
        <v>9187905.4420955405</v>
      </c>
      <c r="P29" s="127">
        <f t="shared" si="12"/>
        <v>-7120900.5366832232</v>
      </c>
      <c r="Q29" s="127">
        <f t="shared" si="12"/>
        <v>-7212941.6799293384</v>
      </c>
      <c r="R29" s="127">
        <f t="shared" si="12"/>
        <v>-7310195.1510346187</v>
      </c>
      <c r="S29" s="127">
        <f t="shared" si="12"/>
        <v>-7405274.1171997748</v>
      </c>
      <c r="T29" s="127">
        <f t="shared" si="12"/>
        <v>-7505330.2424438372</v>
      </c>
      <c r="U29" s="127">
        <f t="shared" si="12"/>
        <v>-7603020.7315703137</v>
      </c>
      <c r="V29" s="127">
        <f t="shared" si="12"/>
        <v>-7705493.7894510236</v>
      </c>
      <c r="W29" s="127">
        <f t="shared" si="12"/>
        <v>-7818895.9639857076</v>
      </c>
      <c r="X29" s="127">
        <f t="shared" si="12"/>
        <v>-3934973.8687103572</v>
      </c>
      <c r="Y29" s="127">
        <f t="shared" ref="Y29:AL29" si="13">Y27+Y17</f>
        <v>8101.1527942245593</v>
      </c>
      <c r="Z29" s="127">
        <f t="shared" si="13"/>
        <v>5062.3984086960554</v>
      </c>
      <c r="AA29" s="127">
        <f t="shared" si="13"/>
        <v>1927.9586937266286</v>
      </c>
      <c r="AB29" s="127">
        <f t="shared" si="13"/>
        <v>-1110.7956918019918</v>
      </c>
      <c r="AC29" s="127">
        <f t="shared" si="13"/>
        <v>0</v>
      </c>
      <c r="AD29" s="127">
        <f t="shared" si="13"/>
        <v>0</v>
      </c>
      <c r="AE29" s="127">
        <f t="shared" si="13"/>
        <v>0</v>
      </c>
      <c r="AF29" s="127">
        <f t="shared" si="13"/>
        <v>0</v>
      </c>
      <c r="AG29" s="127">
        <f t="shared" si="13"/>
        <v>0</v>
      </c>
      <c r="AH29" s="127">
        <f t="shared" si="13"/>
        <v>0</v>
      </c>
      <c r="AI29" s="127">
        <f t="shared" si="13"/>
        <v>0</v>
      </c>
      <c r="AJ29" s="127">
        <f t="shared" si="13"/>
        <v>0</v>
      </c>
      <c r="AK29" s="127">
        <f t="shared" si="13"/>
        <v>0</v>
      </c>
      <c r="AL29" s="127">
        <f t="shared" si="13"/>
        <v>0</v>
      </c>
    </row>
    <row r="30" spans="1:38">
      <c r="A30" s="24"/>
      <c r="B30" s="24"/>
      <c r="C30" s="24"/>
    </row>
    <row r="31" spans="1:38" s="84" customFormat="1" ht="13">
      <c r="A31" s="130">
        <v>17</v>
      </c>
      <c r="B31" s="131"/>
      <c r="C31" s="131" t="s">
        <v>190</v>
      </c>
      <c r="D31" s="132">
        <f>D29*D19</f>
        <v>3896990.3411758798</v>
      </c>
      <c r="E31" s="132">
        <f t="shared" ref="E31:X31" si="14">E29*E19</f>
        <v>2433686.0604872257</v>
      </c>
      <c r="F31" s="132">
        <f t="shared" si="14"/>
        <v>2463200.1782460236</v>
      </c>
      <c r="G31" s="132">
        <f t="shared" si="14"/>
        <v>2479820.2222863049</v>
      </c>
      <c r="H31" s="132">
        <f t="shared" si="14"/>
        <v>2485579.9998310311</v>
      </c>
      <c r="I31" s="132">
        <f t="shared" si="14"/>
        <v>2480284.6206934275</v>
      </c>
      <c r="J31" s="132">
        <f t="shared" si="14"/>
        <v>2465623.5106096677</v>
      </c>
      <c r="K31" s="132">
        <f t="shared" si="14"/>
        <v>2441428.8474744675</v>
      </c>
      <c r="L31" s="132">
        <f t="shared" si="14"/>
        <v>2303895.4334203396</v>
      </c>
      <c r="M31" s="132">
        <f t="shared" si="14"/>
        <v>2144451.9084533704</v>
      </c>
      <c r="N31" s="132">
        <f t="shared" si="14"/>
        <v>1984260.07073352</v>
      </c>
      <c r="O31" s="132">
        <f t="shared" si="14"/>
        <v>1929460.1428400634</v>
      </c>
      <c r="P31" s="132">
        <f t="shared" si="14"/>
        <v>-1495389.1127034768</v>
      </c>
      <c r="Q31" s="132">
        <f t="shared" si="14"/>
        <v>-1514717.7527851609</v>
      </c>
      <c r="R31" s="132">
        <f t="shared" si="14"/>
        <v>-1535140.9817172699</v>
      </c>
      <c r="S31" s="132">
        <f t="shared" si="14"/>
        <v>-1555107.5646119528</v>
      </c>
      <c r="T31" s="132">
        <f t="shared" si="14"/>
        <v>-1576119.3509132056</v>
      </c>
      <c r="U31" s="132">
        <f t="shared" si="14"/>
        <v>-1596634.3536297658</v>
      </c>
      <c r="V31" s="132">
        <f t="shared" si="14"/>
        <v>-1618153.695784715</v>
      </c>
      <c r="W31" s="132">
        <f t="shared" si="14"/>
        <v>-1641968.1524369984</v>
      </c>
      <c r="X31" s="132">
        <f t="shared" si="14"/>
        <v>-826344.51242917497</v>
      </c>
      <c r="Y31" s="132">
        <f t="shared" ref="Y31:AL31" si="15">Y29*Y19</f>
        <v>1701.2420867871574</v>
      </c>
      <c r="Z31" s="132">
        <f t="shared" si="15"/>
        <v>1063.1036658261717</v>
      </c>
      <c r="AA31" s="132">
        <f t="shared" si="15"/>
        <v>404.87132568259199</v>
      </c>
      <c r="AB31" s="132">
        <f t="shared" si="15"/>
        <v>-233.26709527841825</v>
      </c>
      <c r="AC31" s="132">
        <f t="shared" si="15"/>
        <v>0</v>
      </c>
      <c r="AD31" s="132">
        <f t="shared" si="15"/>
        <v>0</v>
      </c>
      <c r="AE31" s="132">
        <f t="shared" si="15"/>
        <v>0</v>
      </c>
      <c r="AF31" s="132">
        <f t="shared" si="15"/>
        <v>0</v>
      </c>
      <c r="AG31" s="132">
        <f t="shared" si="15"/>
        <v>0</v>
      </c>
      <c r="AH31" s="132">
        <f t="shared" si="15"/>
        <v>0</v>
      </c>
      <c r="AI31" s="132">
        <f t="shared" si="15"/>
        <v>0</v>
      </c>
      <c r="AJ31" s="132">
        <f t="shared" si="15"/>
        <v>0</v>
      </c>
      <c r="AK31" s="132">
        <f t="shared" si="15"/>
        <v>0</v>
      </c>
      <c r="AL31" s="132">
        <f t="shared" si="15"/>
        <v>0</v>
      </c>
    </row>
  </sheetData>
  <pageMargins left="0.7" right="0.7" top="0.75" bottom="0.75" header="0.3" footer="0.3"/>
  <pageSetup orientation="portrait" r:id="rId1"/>
  <headerFooter>
    <oddHeader>&amp;RCase No. 2026-00001
KPSC 1-11 Attachment 2
Page &amp;P of &amp;N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D2871-4712-4121-A832-8238E7D91233}">
  <sheetPr codeName="Sheet10"/>
  <dimension ref="A1:G23"/>
  <sheetViews>
    <sheetView workbookViewId="0">
      <selection activeCell="D5" sqref="D5"/>
    </sheetView>
  </sheetViews>
  <sheetFormatPr defaultRowHeight="12.5"/>
  <cols>
    <col min="1" max="1" width="3" bestFit="1" customWidth="1"/>
    <col min="2" max="4" width="12" bestFit="1" customWidth="1"/>
    <col min="5" max="7" width="13.1796875" bestFit="1" customWidth="1"/>
  </cols>
  <sheetData>
    <row r="1" spans="1:7" ht="14.5">
      <c r="A1" s="135"/>
      <c r="B1" s="136" t="s">
        <v>193</v>
      </c>
      <c r="C1" s="136" t="s">
        <v>194</v>
      </c>
      <c r="D1" s="136" t="s">
        <v>195</v>
      </c>
      <c r="E1" s="136" t="s">
        <v>196</v>
      </c>
      <c r="F1" s="136" t="s">
        <v>197</v>
      </c>
      <c r="G1" s="136" t="s">
        <v>198</v>
      </c>
    </row>
    <row r="2" spans="1:7" ht="14.5">
      <c r="A2" s="136">
        <v>1</v>
      </c>
      <c r="B2" s="137">
        <v>0.33329999999999999</v>
      </c>
      <c r="C2" s="137">
        <v>0.2</v>
      </c>
      <c r="D2" s="137">
        <v>0.1429</v>
      </c>
      <c r="E2" s="137">
        <v>0.1</v>
      </c>
      <c r="F2" s="137">
        <v>0.05</v>
      </c>
      <c r="G2" s="137">
        <v>3.7499999999999999E-2</v>
      </c>
    </row>
    <row r="3" spans="1:7" ht="14.5">
      <c r="A3" s="136">
        <v>2</v>
      </c>
      <c r="B3" s="137">
        <v>0.44450000000000001</v>
      </c>
      <c r="C3" s="137">
        <v>0.32</v>
      </c>
      <c r="D3" s="137">
        <v>0.24490000000000001</v>
      </c>
      <c r="E3" s="137">
        <v>0.18</v>
      </c>
      <c r="F3" s="137">
        <v>9.5000000000000001E-2</v>
      </c>
      <c r="G3" s="137">
        <v>7.2190000000000004E-2</v>
      </c>
    </row>
    <row r="4" spans="1:7" ht="14.5">
      <c r="A4" s="136">
        <v>3</v>
      </c>
      <c r="B4" s="137">
        <v>0.14810000000000001</v>
      </c>
      <c r="C4" s="137">
        <v>0.192</v>
      </c>
      <c r="D4" s="137">
        <v>0.1749</v>
      </c>
      <c r="E4" s="137">
        <v>0.14399999999999999</v>
      </c>
      <c r="F4" s="137">
        <v>8.5500000000000007E-2</v>
      </c>
      <c r="G4" s="137">
        <v>6.6769999999999996E-2</v>
      </c>
    </row>
    <row r="5" spans="1:7" ht="14.5">
      <c r="A5" s="136">
        <v>4</v>
      </c>
      <c r="B5" s="137">
        <v>7.4099999999999999E-2</v>
      </c>
      <c r="C5" s="137">
        <v>0.1152</v>
      </c>
      <c r="D5" s="137">
        <v>0.1249</v>
      </c>
      <c r="E5" s="137">
        <v>0.1152</v>
      </c>
      <c r="F5" s="137">
        <v>7.6999999999999999E-2</v>
      </c>
      <c r="G5" s="137">
        <v>6.1769999999999999E-2</v>
      </c>
    </row>
    <row r="6" spans="1:7" ht="14.5">
      <c r="A6" s="136">
        <v>5</v>
      </c>
      <c r="B6" s="137"/>
      <c r="C6" s="137">
        <v>0.1152</v>
      </c>
      <c r="D6" s="137">
        <v>8.9300000000000004E-2</v>
      </c>
      <c r="E6" s="137">
        <v>9.2200000000000004E-2</v>
      </c>
      <c r="F6" s="137">
        <v>6.93E-2</v>
      </c>
      <c r="G6" s="137">
        <v>5.713E-2</v>
      </c>
    </row>
    <row r="7" spans="1:7" ht="14.5">
      <c r="A7" s="136">
        <v>6</v>
      </c>
      <c r="B7" s="137"/>
      <c r="C7" s="137">
        <v>5.7599999999999998E-2</v>
      </c>
      <c r="D7" s="137">
        <v>8.9200000000000002E-2</v>
      </c>
      <c r="E7" s="137">
        <v>7.3700000000000002E-2</v>
      </c>
      <c r="F7" s="137">
        <v>6.2300000000000001E-2</v>
      </c>
      <c r="G7" s="137">
        <v>5.2850000000000001E-2</v>
      </c>
    </row>
    <row r="8" spans="1:7" ht="14.5">
      <c r="A8" s="136">
        <v>7</v>
      </c>
      <c r="B8" s="137"/>
      <c r="C8" s="137"/>
      <c r="D8" s="137">
        <v>8.9300000000000004E-2</v>
      </c>
      <c r="E8" s="137">
        <v>6.5500000000000003E-2</v>
      </c>
      <c r="F8" s="137">
        <v>5.8999999999999997E-2</v>
      </c>
      <c r="G8" s="137">
        <v>4.888E-2</v>
      </c>
    </row>
    <row r="9" spans="1:7" ht="14.5">
      <c r="A9" s="136">
        <v>8</v>
      </c>
      <c r="B9" s="137"/>
      <c r="C9" s="137"/>
      <c r="D9" s="137">
        <v>4.4600000000000001E-2</v>
      </c>
      <c r="E9" s="137">
        <v>6.5500000000000003E-2</v>
      </c>
      <c r="F9" s="137">
        <v>5.8999999999999997E-2</v>
      </c>
      <c r="G9" s="137">
        <v>4.5220000000000003E-2</v>
      </c>
    </row>
    <row r="10" spans="1:7" ht="14.5">
      <c r="A10" s="136">
        <v>9</v>
      </c>
      <c r="B10" s="137"/>
      <c r="C10" s="137"/>
      <c r="D10" s="137"/>
      <c r="E10" s="137">
        <v>6.5600000000000006E-2</v>
      </c>
      <c r="F10" s="137">
        <v>5.91E-2</v>
      </c>
      <c r="G10" s="137">
        <v>4.462E-2</v>
      </c>
    </row>
    <row r="11" spans="1:7" ht="14.5">
      <c r="A11" s="136">
        <v>10</v>
      </c>
      <c r="B11" s="137"/>
      <c r="C11" s="137"/>
      <c r="D11" s="137"/>
      <c r="E11" s="137">
        <v>6.5500000000000003E-2</v>
      </c>
      <c r="F11" s="137">
        <v>5.8999999999999997E-2</v>
      </c>
      <c r="G11" s="137">
        <v>4.4609999999999997E-2</v>
      </c>
    </row>
    <row r="12" spans="1:7" ht="14.5">
      <c r="A12" s="136">
        <v>11</v>
      </c>
      <c r="B12" s="137"/>
      <c r="C12" s="137"/>
      <c r="D12" s="137"/>
      <c r="E12" s="137">
        <v>3.2800000000000003E-2</v>
      </c>
      <c r="F12" s="137">
        <v>5.91E-2</v>
      </c>
      <c r="G12" s="137">
        <v>4.462E-2</v>
      </c>
    </row>
    <row r="13" spans="1:7" ht="14.5">
      <c r="A13" s="136">
        <v>12</v>
      </c>
      <c r="B13" s="137"/>
      <c r="C13" s="137"/>
      <c r="D13" s="137"/>
      <c r="E13" s="137"/>
      <c r="F13" s="137">
        <v>5.8999999999999997E-2</v>
      </c>
      <c r="G13" s="137">
        <v>4.4609999999999997E-2</v>
      </c>
    </row>
    <row r="14" spans="1:7" ht="14.5">
      <c r="A14" s="136">
        <v>13</v>
      </c>
      <c r="B14" s="137"/>
      <c r="C14" s="137"/>
      <c r="D14" s="137"/>
      <c r="E14" s="137"/>
      <c r="F14" s="137">
        <v>5.91E-2</v>
      </c>
      <c r="G14" s="137">
        <v>4.462E-2</v>
      </c>
    </row>
    <row r="15" spans="1:7" ht="14.5">
      <c r="A15" s="136">
        <v>14</v>
      </c>
      <c r="B15" s="137"/>
      <c r="C15" s="137"/>
      <c r="D15" s="137"/>
      <c r="E15" s="137"/>
      <c r="F15" s="137">
        <v>5.8999999999999997E-2</v>
      </c>
      <c r="G15" s="137">
        <v>4.4609999999999997E-2</v>
      </c>
    </row>
    <row r="16" spans="1:7" ht="14.5">
      <c r="A16" s="136">
        <v>15</v>
      </c>
      <c r="B16" s="137"/>
      <c r="C16" s="137"/>
      <c r="D16" s="137"/>
      <c r="E16" s="137"/>
      <c r="F16" s="137">
        <v>5.91E-2</v>
      </c>
      <c r="G16" s="137">
        <v>4.462E-2</v>
      </c>
    </row>
    <row r="17" spans="1:7" ht="14.5">
      <c r="A17" s="136">
        <v>16</v>
      </c>
      <c r="B17" s="137"/>
      <c r="C17" s="137"/>
      <c r="D17" s="137"/>
      <c r="E17" s="137"/>
      <c r="F17" s="137">
        <v>2.9499999999999998E-2</v>
      </c>
      <c r="G17" s="137">
        <v>4.4609999999999997E-2</v>
      </c>
    </row>
    <row r="18" spans="1:7" ht="14.5">
      <c r="A18" s="136">
        <v>17</v>
      </c>
      <c r="B18" s="137"/>
      <c r="C18" s="137"/>
      <c r="D18" s="137"/>
      <c r="E18" s="137"/>
      <c r="F18" s="137"/>
      <c r="G18" s="137">
        <v>4.462E-2</v>
      </c>
    </row>
    <row r="19" spans="1:7" ht="14.5">
      <c r="A19" s="136">
        <v>18</v>
      </c>
      <c r="B19" s="137"/>
      <c r="C19" s="137"/>
      <c r="D19" s="137"/>
      <c r="E19" s="137"/>
      <c r="F19" s="137"/>
      <c r="G19" s="137">
        <v>4.4609999999999997E-2</v>
      </c>
    </row>
    <row r="20" spans="1:7" ht="14.5">
      <c r="A20" s="136">
        <v>19</v>
      </c>
      <c r="B20" s="137"/>
      <c r="C20" s="137"/>
      <c r="D20" s="137"/>
      <c r="E20" s="137"/>
      <c r="F20" s="137"/>
      <c r="G20" s="137">
        <v>4.462E-2</v>
      </c>
    </row>
    <row r="21" spans="1:7" ht="14.5">
      <c r="A21" s="136">
        <v>20</v>
      </c>
      <c r="B21" s="137"/>
      <c r="C21" s="137"/>
      <c r="D21" s="137"/>
      <c r="E21" s="137"/>
      <c r="F21" s="137"/>
      <c r="G21" s="137">
        <v>4.4609999999999997E-2</v>
      </c>
    </row>
    <row r="22" spans="1:7" ht="14.5">
      <c r="A22" s="136">
        <v>21</v>
      </c>
      <c r="B22" s="137"/>
      <c r="C22" s="137"/>
      <c r="D22" s="137"/>
      <c r="E22" s="137"/>
      <c r="F22" s="137"/>
      <c r="G22" s="137">
        <v>2.231E-2</v>
      </c>
    </row>
    <row r="23" spans="1:7" ht="14.5">
      <c r="A23" s="135"/>
      <c r="B23" s="137">
        <f t="shared" ref="B23:G23" si="0">SUM(B2:B22)</f>
        <v>1</v>
      </c>
      <c r="C23" s="137">
        <f t="shared" si="0"/>
        <v>0.99999999999999989</v>
      </c>
      <c r="D23" s="137">
        <f t="shared" si="0"/>
        <v>1.0000000000000002</v>
      </c>
      <c r="E23" s="137">
        <f t="shared" si="0"/>
        <v>1</v>
      </c>
      <c r="F23" s="137">
        <f t="shared" si="0"/>
        <v>1.0000000000000002</v>
      </c>
      <c r="G23" s="137">
        <f t="shared" si="0"/>
        <v>1.0000000000000002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5C94C-EA1B-4D61-A351-0644A7A496DD}">
  <sheetPr codeName="Sheet11"/>
  <dimension ref="A1:K11"/>
  <sheetViews>
    <sheetView topLeftCell="A2" workbookViewId="0">
      <selection activeCell="G2" sqref="G2"/>
    </sheetView>
  </sheetViews>
  <sheetFormatPr defaultRowHeight="12.5"/>
  <cols>
    <col min="1" max="1" width="15.1796875" bestFit="1" customWidth="1"/>
    <col min="3" max="3" width="10.1796875" bestFit="1" customWidth="1"/>
    <col min="4" max="4" width="10.1796875" customWidth="1"/>
  </cols>
  <sheetData>
    <row r="1" spans="1:11" ht="13">
      <c r="A1" s="84" t="s">
        <v>122</v>
      </c>
      <c r="B1" s="84" t="s">
        <v>125</v>
      </c>
      <c r="C1" s="84" t="s">
        <v>129</v>
      </c>
      <c r="D1" s="84"/>
      <c r="E1" s="84" t="s">
        <v>135</v>
      </c>
      <c r="F1" s="84"/>
      <c r="G1" s="84" t="s">
        <v>140</v>
      </c>
    </row>
    <row r="2" spans="1:11">
      <c r="A2" s="4" t="s">
        <v>123</v>
      </c>
      <c r="B2" s="4" t="s">
        <v>126</v>
      </c>
      <c r="C2">
        <v>2025</v>
      </c>
      <c r="E2" t="s">
        <v>136</v>
      </c>
      <c r="G2" s="4" t="s">
        <v>144</v>
      </c>
    </row>
    <row r="3" spans="1:11">
      <c r="A3" s="4" t="s">
        <v>124</v>
      </c>
      <c r="B3" s="4" t="s">
        <v>127</v>
      </c>
      <c r="C3">
        <v>2026</v>
      </c>
      <c r="E3" t="s">
        <v>137</v>
      </c>
      <c r="G3" s="4" t="s">
        <v>146</v>
      </c>
    </row>
    <row r="4" spans="1:11">
      <c r="A4" s="4" t="s">
        <v>160</v>
      </c>
      <c r="C4">
        <v>2027</v>
      </c>
      <c r="E4" t="s">
        <v>148</v>
      </c>
      <c r="G4" s="4" t="s">
        <v>209</v>
      </c>
    </row>
    <row r="5" spans="1:11">
      <c r="A5" s="4"/>
      <c r="E5" s="4" t="s">
        <v>208</v>
      </c>
      <c r="G5" s="4" t="s">
        <v>145</v>
      </c>
      <c r="K5" s="4"/>
    </row>
    <row r="6" spans="1:11">
      <c r="E6" t="s">
        <v>138</v>
      </c>
      <c r="G6" s="4" t="s">
        <v>147</v>
      </c>
      <c r="K6" s="4"/>
    </row>
    <row r="7" spans="1:11">
      <c r="E7" t="s">
        <v>139</v>
      </c>
      <c r="F7" s="4"/>
      <c r="G7" s="4" t="s">
        <v>142</v>
      </c>
      <c r="K7" s="4"/>
    </row>
    <row r="8" spans="1:11">
      <c r="G8" s="4" t="s">
        <v>149</v>
      </c>
    </row>
    <row r="9" spans="1:11">
      <c r="G9" s="4" t="s">
        <v>163</v>
      </c>
    </row>
    <row r="10" spans="1:11">
      <c r="G10" s="4" t="s">
        <v>141</v>
      </c>
    </row>
    <row r="11" spans="1:11">
      <c r="G11" s="4" t="s">
        <v>143</v>
      </c>
    </row>
  </sheetData>
  <sortState xmlns:xlrd2="http://schemas.microsoft.com/office/spreadsheetml/2017/richdata2" ref="G2:G11">
    <sortCondition ref="G2:G11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3E8E04-6FF3-4A69-B6A2-4643B887F634}">
  <dimension ref="B3:G11"/>
  <sheetViews>
    <sheetView zoomScaleNormal="100" workbookViewId="0">
      <selection activeCell="F10" sqref="F10"/>
    </sheetView>
  </sheetViews>
  <sheetFormatPr defaultRowHeight="12.5"/>
  <cols>
    <col min="2" max="2" width="23.54296875" bestFit="1" customWidth="1"/>
    <col min="3" max="5" width="14.81640625" bestFit="1" customWidth="1"/>
    <col min="6" max="6" width="14.81640625" customWidth="1"/>
    <col min="7" max="7" width="13.26953125" bestFit="1" customWidth="1"/>
  </cols>
  <sheetData>
    <row r="3" spans="2:7">
      <c r="C3">
        <v>2026</v>
      </c>
      <c r="D3">
        <v>2027</v>
      </c>
      <c r="E3">
        <v>2028</v>
      </c>
      <c r="F3">
        <v>2029</v>
      </c>
    </row>
    <row r="4" spans="2:7">
      <c r="B4" t="s">
        <v>4</v>
      </c>
      <c r="C4" s="152">
        <v>26844000</v>
      </c>
      <c r="D4" s="152">
        <v>107991000</v>
      </c>
      <c r="E4" s="152">
        <v>30005000</v>
      </c>
      <c r="F4" s="152">
        <v>0</v>
      </c>
      <c r="G4" s="152">
        <v>164840000</v>
      </c>
    </row>
    <row r="5" spans="2:7">
      <c r="B5" t="s">
        <v>270</v>
      </c>
      <c r="C5" s="125">
        <v>576000</v>
      </c>
      <c r="D5" s="125">
        <v>3626000</v>
      </c>
      <c r="E5" s="125">
        <v>3352000</v>
      </c>
      <c r="G5" s="152">
        <f>SUM(C5:E5)</f>
        <v>7554000</v>
      </c>
    </row>
    <row r="6" spans="2:7">
      <c r="B6" t="s">
        <v>271</v>
      </c>
      <c r="C6" s="127">
        <f>C4-C5</f>
        <v>26268000</v>
      </c>
      <c r="D6" s="127">
        <f t="shared" ref="D6" si="0">D4-D5</f>
        <v>104365000</v>
      </c>
      <c r="E6" s="127">
        <f>E4-E5</f>
        <v>26653000</v>
      </c>
      <c r="G6" s="152">
        <f>G4-G5</f>
        <v>157286000</v>
      </c>
    </row>
    <row r="7" spans="2:7">
      <c r="B7" t="s">
        <v>266</v>
      </c>
      <c r="C7" s="202">
        <f>'CAP Structure'!$H$18</f>
        <v>8.2162213903564513E-2</v>
      </c>
      <c r="D7" s="202">
        <f>'CAP Structure'!$H$18</f>
        <v>8.2162213903564513E-2</v>
      </c>
      <c r="E7" s="202">
        <f>'CAP Structure'!$H$18</f>
        <v>8.2162213903564513E-2</v>
      </c>
    </row>
    <row r="8" spans="2:7">
      <c r="B8" t="s">
        <v>272</v>
      </c>
      <c r="C8" s="127">
        <f>C6*C7</f>
        <v>2158237.0348188328</v>
      </c>
      <c r="D8" s="127">
        <f>(D6+C6)*D7</f>
        <v>10733096.488864344</v>
      </c>
      <c r="E8" s="127">
        <f>(C6+D6+E6)*E7</f>
        <v>12922965.976036048</v>
      </c>
    </row>
    <row r="9" spans="2:7">
      <c r="B9" t="s">
        <v>267</v>
      </c>
      <c r="C9" s="127">
        <f>C4*0.0040614</f>
        <v>109024.22159999999</v>
      </c>
      <c r="D9" s="127">
        <f t="shared" ref="D9:E9" si="1">D4*0.0040614</f>
        <v>438594.64739999996</v>
      </c>
      <c r="E9" s="127">
        <f t="shared" si="1"/>
        <v>121862.30699999999</v>
      </c>
    </row>
    <row r="11" spans="2:7">
      <c r="B11" t="s">
        <v>273</v>
      </c>
      <c r="C11" s="127">
        <f>C8*0.5</f>
        <v>1079118.5174094164</v>
      </c>
      <c r="D11" s="127">
        <f t="shared" ref="D11:E11" si="2">D8*0.5</f>
        <v>5366548.2444321718</v>
      </c>
      <c r="E11" s="127">
        <f t="shared" si="2"/>
        <v>6461482.9880180238</v>
      </c>
    </row>
  </sheetData>
  <pageMargins left="0.7" right="0.7" top="0.75" bottom="0.75" header="0.3" footer="0.3"/>
  <pageSetup orientation="portrait" r:id="rId1"/>
  <headerFooter>
    <oddHeader>&amp;RCase No. 2026-00001
KPSC 1-11 Attachment 2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D25"/>
  <sheetViews>
    <sheetView zoomScaleNormal="100" workbookViewId="0">
      <selection activeCell="F10" sqref="F10"/>
    </sheetView>
  </sheetViews>
  <sheetFormatPr defaultColWidth="29.453125" defaultRowHeight="12.5"/>
  <cols>
    <col min="1" max="1" width="29.453125" style="4"/>
    <col min="2" max="2" width="40.1796875" style="4" bestFit="1" customWidth="1"/>
    <col min="3" max="3" width="8.26953125" style="4" bestFit="1" customWidth="1"/>
    <col min="4" max="16384" width="29.453125" style="4"/>
  </cols>
  <sheetData>
    <row r="1" spans="1:4">
      <c r="A1" s="51"/>
      <c r="B1" s="208" t="s">
        <v>210</v>
      </c>
      <c r="C1" s="209"/>
      <c r="D1" s="154"/>
    </row>
    <row r="2" spans="1:4">
      <c r="A2" s="51"/>
      <c r="B2" s="208" t="s">
        <v>234</v>
      </c>
      <c r="C2" s="209"/>
      <c r="D2" s="154"/>
    </row>
    <row r="3" spans="1:4">
      <c r="A3" s="51"/>
      <c r="B3" s="208" t="s">
        <v>235</v>
      </c>
      <c r="C3" s="209"/>
      <c r="D3" s="154"/>
    </row>
    <row r="4" spans="1:4">
      <c r="A4" s="51"/>
      <c r="B4" s="208" t="s">
        <v>212</v>
      </c>
      <c r="C4" s="209"/>
    </row>
    <row r="5" spans="1:4">
      <c r="A5" s="51"/>
    </row>
    <row r="6" spans="1:4" ht="25">
      <c r="A6" s="156" t="s">
        <v>236</v>
      </c>
      <c r="B6" s="51" t="s">
        <v>43</v>
      </c>
      <c r="C6" s="156"/>
      <c r="D6" s="156" t="s">
        <v>237</v>
      </c>
    </row>
    <row r="7" spans="1:4">
      <c r="A7" s="157">
        <v>-1</v>
      </c>
      <c r="B7" s="158">
        <v>-2</v>
      </c>
      <c r="C7" s="158"/>
      <c r="D7" s="158">
        <f>+B7-1</f>
        <v>-3</v>
      </c>
    </row>
    <row r="8" spans="1:4">
      <c r="A8" s="158"/>
    </row>
    <row r="9" spans="1:4">
      <c r="A9" s="158">
        <v>1</v>
      </c>
      <c r="B9" s="4" t="s">
        <v>238</v>
      </c>
      <c r="C9" s="159"/>
      <c r="D9" s="160">
        <v>1</v>
      </c>
    </row>
    <row r="10" spans="1:4">
      <c r="A10" s="158"/>
      <c r="C10" s="159"/>
      <c r="D10" s="160"/>
    </row>
    <row r="11" spans="1:4">
      <c r="A11" s="158">
        <f>+A9+1</f>
        <v>2</v>
      </c>
      <c r="B11" s="4" t="s">
        <v>239</v>
      </c>
      <c r="C11" s="159"/>
      <c r="D11" s="178">
        <v>4.0000000000000001E-3</v>
      </c>
    </row>
    <row r="12" spans="1:4">
      <c r="A12" s="158">
        <f>+A11+1</f>
        <v>3</v>
      </c>
      <c r="B12" s="4" t="s">
        <v>240</v>
      </c>
      <c r="C12" s="159"/>
      <c r="D12" s="178">
        <v>1.493E-3</v>
      </c>
    </row>
    <row r="13" spans="1:4">
      <c r="A13" s="158"/>
      <c r="C13" s="159"/>
      <c r="D13" s="179" t="s">
        <v>241</v>
      </c>
    </row>
    <row r="14" spans="1:4">
      <c r="A14" s="158">
        <f>+A12+1</f>
        <v>4</v>
      </c>
      <c r="B14" s="4" t="s">
        <v>242</v>
      </c>
      <c r="C14" s="159"/>
      <c r="D14" s="178">
        <f>+D9-D11-D12</f>
        <v>0.99450700000000003</v>
      </c>
    </row>
    <row r="15" spans="1:4">
      <c r="A15" s="158"/>
      <c r="C15" s="180"/>
      <c r="D15" s="179"/>
    </row>
    <row r="16" spans="1:4">
      <c r="A16" s="158">
        <f>+A14+1</f>
        <v>5</v>
      </c>
      <c r="B16" s="4" t="s">
        <v>243</v>
      </c>
      <c r="C16" s="178">
        <v>5.0065000000000005E-2</v>
      </c>
      <c r="D16" s="178">
        <f>ROUND(D14*C16,6)</f>
        <v>4.9790000000000001E-2</v>
      </c>
    </row>
    <row r="17" spans="1:4">
      <c r="A17" s="158"/>
      <c r="C17" s="180"/>
      <c r="D17" s="179" t="s">
        <v>241</v>
      </c>
    </row>
    <row r="18" spans="1:4">
      <c r="A18" s="158"/>
      <c r="C18" s="180"/>
      <c r="D18" s="179"/>
    </row>
    <row r="19" spans="1:4">
      <c r="A19" s="158">
        <f>+A16+1</f>
        <v>6</v>
      </c>
      <c r="B19" s="4" t="s">
        <v>244</v>
      </c>
      <c r="C19" s="159"/>
      <c r="D19" s="178">
        <f>+D14-D16</f>
        <v>0.94471700000000003</v>
      </c>
    </row>
    <row r="20" spans="1:4">
      <c r="A20" s="158"/>
      <c r="C20" s="180"/>
      <c r="D20" s="179"/>
    </row>
    <row r="21" spans="1:4">
      <c r="A21" s="158">
        <f>+A19+1</f>
        <v>7</v>
      </c>
      <c r="B21" s="4" t="s">
        <v>245</v>
      </c>
      <c r="C21" s="160">
        <v>0.21</v>
      </c>
      <c r="D21" s="178">
        <f>ROUND(D19*C21,6)</f>
        <v>0.19839100000000001</v>
      </c>
    </row>
    <row r="22" spans="1:4">
      <c r="A22" s="158"/>
      <c r="C22" s="159"/>
      <c r="D22" s="160"/>
    </row>
    <row r="23" spans="1:4">
      <c r="A23" s="158">
        <f>+A21+1</f>
        <v>8</v>
      </c>
      <c r="B23" s="4" t="s">
        <v>246</v>
      </c>
      <c r="C23" s="159"/>
      <c r="D23" s="178">
        <f>+D19-D21</f>
        <v>0.74632600000000004</v>
      </c>
    </row>
    <row r="24" spans="1:4">
      <c r="A24" s="158"/>
      <c r="C24" s="159"/>
      <c r="D24" s="179" t="s">
        <v>241</v>
      </c>
    </row>
    <row r="25" spans="1:4" ht="13">
      <c r="A25" s="158">
        <f>+A23+1</f>
        <v>9</v>
      </c>
      <c r="B25" s="4" t="s">
        <v>247</v>
      </c>
      <c r="C25" s="159"/>
      <c r="D25" s="181">
        <f>ROUND(1/D23,8)</f>
        <v>1.3398970400000001</v>
      </c>
    </row>
  </sheetData>
  <mergeCells count="4">
    <mergeCell ref="B1:C1"/>
    <mergeCell ref="B2:C2"/>
    <mergeCell ref="B3:C3"/>
    <mergeCell ref="B4:C4"/>
  </mergeCells>
  <pageMargins left="0.7" right="0.7" top="0.75" bottom="0.75" header="0.3" footer="0.3"/>
  <pageSetup orientation="portrait" r:id="rId1"/>
  <headerFooter>
    <oddHeader>&amp;RCase No. 2026-00001
KPSC 1-11 Attachment 2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3"/>
  <dimension ref="A1:Q62"/>
  <sheetViews>
    <sheetView zoomScaleNormal="100" workbookViewId="0">
      <selection activeCell="F10" sqref="F10"/>
    </sheetView>
  </sheetViews>
  <sheetFormatPr defaultRowHeight="12.5"/>
  <cols>
    <col min="1" max="1" width="5.1796875" bestFit="1" customWidth="1"/>
    <col min="2" max="2" width="2.1796875" customWidth="1"/>
    <col min="3" max="3" width="25.1796875" customWidth="1"/>
    <col min="4" max="4" width="2.1796875" customWidth="1"/>
    <col min="5" max="5" width="10.453125" bestFit="1" customWidth="1"/>
    <col min="6" max="6" width="2.1796875" customWidth="1"/>
    <col min="7" max="7" width="10" customWidth="1"/>
    <col min="8" max="8" width="2.1796875" customWidth="1"/>
    <col min="9" max="9" width="19.81640625" bestFit="1" customWidth="1"/>
    <col min="10" max="10" width="2.1796875" customWidth="1"/>
    <col min="11" max="11" width="14" bestFit="1" customWidth="1"/>
    <col min="13" max="13" width="15" bestFit="1" customWidth="1"/>
    <col min="16" max="16" width="12.54296875" customWidth="1"/>
  </cols>
  <sheetData>
    <row r="1" spans="1:17" s="4" customFormat="1">
      <c r="D1" s="51"/>
      <c r="I1" s="154"/>
      <c r="Q1" s="57"/>
    </row>
    <row r="2" spans="1:17" s="4" customFormat="1">
      <c r="D2" s="51"/>
      <c r="I2" s="154"/>
      <c r="Q2" s="57"/>
    </row>
    <row r="3" spans="1:17" s="4" customFormat="1">
      <c r="D3" s="155"/>
      <c r="Q3" s="57"/>
    </row>
    <row r="5" spans="1:17" ht="13">
      <c r="A5" s="210"/>
      <c r="B5" s="211"/>
      <c r="C5" s="211"/>
      <c r="D5" s="211"/>
      <c r="E5" s="211"/>
      <c r="F5" s="211"/>
      <c r="G5" s="211"/>
      <c r="H5" s="211"/>
      <c r="I5" s="211"/>
      <c r="J5" s="161"/>
      <c r="K5" s="161"/>
      <c r="L5" s="161"/>
      <c r="M5" s="161"/>
    </row>
    <row r="6" spans="1:17">
      <c r="C6" t="s">
        <v>262</v>
      </c>
      <c r="E6">
        <v>0.5</v>
      </c>
    </row>
    <row r="7" spans="1:17" ht="13">
      <c r="A7" s="162"/>
      <c r="B7" s="161"/>
      <c r="C7" t="s">
        <v>263</v>
      </c>
      <c r="E7">
        <v>0.5</v>
      </c>
      <c r="F7" s="161"/>
      <c r="G7" s="163"/>
      <c r="H7" s="161"/>
      <c r="I7" s="163"/>
      <c r="J7" s="161"/>
      <c r="K7" s="161"/>
      <c r="L7" s="161"/>
      <c r="M7" s="161"/>
    </row>
    <row r="8" spans="1:17" ht="13">
      <c r="A8" s="164"/>
      <c r="B8" s="164"/>
      <c r="C8" s="165"/>
      <c r="D8" s="164"/>
      <c r="E8" s="165"/>
      <c r="F8" s="164"/>
      <c r="G8" s="165"/>
      <c r="H8" s="164"/>
      <c r="I8" s="165"/>
      <c r="J8" s="164"/>
      <c r="K8" s="164"/>
      <c r="L8" s="164"/>
      <c r="M8" s="164"/>
    </row>
    <row r="9" spans="1:17">
      <c r="A9" s="161"/>
      <c r="B9" s="161"/>
      <c r="C9" s="166"/>
      <c r="D9" s="161"/>
      <c r="E9" s="161"/>
      <c r="F9" s="161"/>
      <c r="G9" s="161"/>
      <c r="H9" s="161"/>
      <c r="I9" s="161"/>
      <c r="J9" s="161"/>
      <c r="K9" s="161"/>
      <c r="L9" s="161"/>
      <c r="M9" s="161"/>
    </row>
    <row r="10" spans="1:17">
      <c r="A10" s="167"/>
      <c r="B10" s="161"/>
      <c r="C10" s="166"/>
      <c r="D10" s="161"/>
      <c r="E10" s="161"/>
      <c r="F10" s="161"/>
      <c r="G10" s="168"/>
      <c r="H10" s="161"/>
      <c r="I10" s="169"/>
      <c r="J10" s="161"/>
      <c r="K10" s="161"/>
      <c r="L10" s="170"/>
      <c r="M10" s="171"/>
    </row>
    <row r="11" spans="1:17">
      <c r="A11" s="167"/>
      <c r="B11" s="161"/>
      <c r="C11" s="166"/>
      <c r="D11" s="161"/>
      <c r="E11" s="161"/>
      <c r="F11" s="161"/>
      <c r="G11" s="168"/>
      <c r="H11" s="161"/>
      <c r="I11" s="169"/>
      <c r="J11" s="161"/>
      <c r="K11" s="161"/>
      <c r="L11" s="170"/>
      <c r="M11" s="171"/>
    </row>
    <row r="12" spans="1:17">
      <c r="A12" s="167"/>
      <c r="B12" s="161"/>
      <c r="C12" s="166"/>
      <c r="D12" s="161"/>
      <c r="E12" s="161"/>
      <c r="F12" s="161"/>
      <c r="G12" s="168"/>
      <c r="H12" s="161"/>
      <c r="I12" s="169"/>
      <c r="J12" s="161"/>
      <c r="K12" s="161"/>
      <c r="L12" s="170"/>
      <c r="M12" s="171"/>
    </row>
    <row r="13" spans="1:17">
      <c r="A13" s="167"/>
      <c r="B13" s="161"/>
      <c r="C13" s="166"/>
      <c r="D13" s="161"/>
      <c r="E13" s="161"/>
      <c r="F13" s="161"/>
      <c r="G13" s="168"/>
      <c r="H13" s="161"/>
      <c r="I13" s="169"/>
      <c r="J13" s="161"/>
      <c r="K13" s="161"/>
      <c r="L13" s="170"/>
      <c r="M13" s="171"/>
    </row>
    <row r="14" spans="1:17">
      <c r="A14" s="167"/>
      <c r="B14" s="161"/>
      <c r="C14" s="166"/>
      <c r="D14" s="161"/>
      <c r="E14" s="161"/>
      <c r="F14" s="161"/>
      <c r="G14" s="168"/>
      <c r="H14" s="161"/>
      <c r="I14" s="169"/>
      <c r="J14" s="161"/>
      <c r="K14" s="161"/>
      <c r="L14" s="170"/>
      <c r="M14" s="171"/>
    </row>
    <row r="15" spans="1:17">
      <c r="A15" s="167"/>
      <c r="B15" s="161"/>
      <c r="C15" s="166"/>
      <c r="D15" s="161"/>
      <c r="E15" s="161"/>
      <c r="F15" s="161"/>
      <c r="G15" s="168"/>
      <c r="H15" s="161"/>
      <c r="I15" s="169"/>
      <c r="J15" s="161"/>
      <c r="K15" s="161"/>
      <c r="L15" s="170"/>
      <c r="M15" s="171"/>
    </row>
    <row r="16" spans="1:17">
      <c r="A16" s="167"/>
      <c r="B16" s="161"/>
      <c r="C16" s="166"/>
      <c r="D16" s="161"/>
      <c r="E16" s="161"/>
      <c r="F16" s="161"/>
      <c r="G16" s="168"/>
      <c r="H16" s="161"/>
      <c r="I16" s="169"/>
      <c r="J16" s="161"/>
      <c r="K16" s="161"/>
      <c r="L16" s="170"/>
      <c r="M16" s="171"/>
    </row>
    <row r="17" spans="1:16">
      <c r="A17" s="167"/>
      <c r="B17" s="161"/>
      <c r="C17" s="166"/>
      <c r="D17" s="161"/>
      <c r="E17" s="161"/>
      <c r="F17" s="161"/>
      <c r="G17" s="168"/>
      <c r="H17" s="161"/>
      <c r="I17" s="161"/>
      <c r="L17" s="172"/>
      <c r="M17" s="171"/>
    </row>
    <row r="18" spans="1:16">
      <c r="A18" s="167"/>
      <c r="B18" s="161"/>
      <c r="C18" s="166"/>
      <c r="D18" s="161"/>
      <c r="E18" s="161"/>
      <c r="F18" s="161"/>
      <c r="G18" s="168"/>
      <c r="H18" s="161"/>
      <c r="I18" s="169"/>
      <c r="L18" s="172"/>
      <c r="M18" s="171"/>
    </row>
    <row r="19" spans="1:16">
      <c r="A19" s="167"/>
      <c r="B19" s="161"/>
      <c r="C19" s="166"/>
      <c r="D19" s="161"/>
      <c r="E19" s="161"/>
      <c r="F19" s="161"/>
      <c r="G19" s="168"/>
      <c r="H19" s="161"/>
      <c r="I19" s="161"/>
      <c r="L19" s="172"/>
      <c r="M19" s="171"/>
    </row>
    <row r="20" spans="1:16">
      <c r="A20" s="167"/>
      <c r="B20" s="161"/>
      <c r="C20" s="166"/>
      <c r="D20" s="161"/>
      <c r="E20" s="161"/>
      <c r="F20" s="161"/>
      <c r="G20" s="168"/>
      <c r="H20" s="161"/>
      <c r="I20" s="169"/>
      <c r="L20" s="172"/>
      <c r="M20" s="171"/>
    </row>
    <row r="21" spans="1:16">
      <c r="A21" s="167"/>
      <c r="B21" s="161"/>
      <c r="C21" s="166"/>
      <c r="D21" s="161"/>
      <c r="E21" s="161"/>
      <c r="F21" s="161"/>
      <c r="G21" s="168"/>
      <c r="H21" s="161"/>
      <c r="I21" s="161"/>
      <c r="L21" s="172"/>
      <c r="M21" s="171"/>
    </row>
    <row r="22" spans="1:16">
      <c r="A22" s="167"/>
      <c r="B22" s="161"/>
      <c r="C22" s="166"/>
      <c r="D22" s="161"/>
      <c r="E22" s="161"/>
      <c r="F22" s="161"/>
      <c r="G22" s="168"/>
      <c r="H22" s="161"/>
      <c r="I22" s="169"/>
      <c r="K22" s="124"/>
      <c r="L22" s="172"/>
      <c r="M22" s="171"/>
    </row>
    <row r="23" spans="1:16">
      <c r="A23" s="167"/>
      <c r="B23" s="161"/>
      <c r="C23" s="166"/>
      <c r="D23" s="161"/>
      <c r="E23" s="161"/>
      <c r="F23" s="161"/>
      <c r="G23" s="168"/>
      <c r="H23" s="161"/>
      <c r="I23" s="161"/>
      <c r="L23" s="172"/>
      <c r="M23" s="171"/>
    </row>
    <row r="24" spans="1:16">
      <c r="A24" s="167"/>
      <c r="B24" s="161"/>
      <c r="C24" s="166"/>
      <c r="D24" s="161"/>
      <c r="E24" s="161"/>
      <c r="F24" s="161"/>
      <c r="G24" s="168"/>
      <c r="H24" s="161"/>
      <c r="I24" s="169"/>
      <c r="K24" s="173"/>
      <c r="L24" s="172"/>
      <c r="M24" s="171"/>
    </row>
    <row r="25" spans="1:16">
      <c r="A25" s="167"/>
      <c r="B25" s="161"/>
      <c r="C25" s="166"/>
      <c r="D25" s="161"/>
      <c r="E25" s="161"/>
      <c r="F25" s="161"/>
      <c r="G25" s="168"/>
      <c r="H25" s="161"/>
      <c r="I25" s="161"/>
      <c r="L25" s="172"/>
      <c r="M25" s="171"/>
    </row>
    <row r="26" spans="1:16">
      <c r="A26" s="167"/>
      <c r="B26" s="161"/>
      <c r="C26" s="166"/>
      <c r="D26" s="161"/>
      <c r="E26" s="161"/>
      <c r="F26" s="161"/>
      <c r="G26" s="168"/>
      <c r="H26" s="161"/>
      <c r="I26" s="169"/>
      <c r="K26" s="124"/>
      <c r="L26" s="172"/>
      <c r="M26" s="171"/>
      <c r="P26" s="124"/>
    </row>
    <row r="27" spans="1:16">
      <c r="A27" s="167"/>
      <c r="B27" s="161"/>
      <c r="C27" s="166"/>
      <c r="D27" s="161"/>
      <c r="E27" s="161"/>
      <c r="F27" s="161"/>
      <c r="G27" s="168"/>
      <c r="H27" s="161"/>
      <c r="I27" s="161"/>
      <c r="K27" s="124"/>
      <c r="L27" s="172"/>
      <c r="M27" s="171"/>
      <c r="P27" s="153"/>
    </row>
    <row r="28" spans="1:16">
      <c r="A28" s="167"/>
      <c r="B28" s="161"/>
      <c r="C28" s="166"/>
      <c r="D28" s="161"/>
      <c r="E28" s="161"/>
      <c r="F28" s="161"/>
      <c r="G28" s="168"/>
      <c r="H28" s="161"/>
      <c r="I28" s="169"/>
      <c r="K28" s="124"/>
      <c r="L28" s="172"/>
      <c r="M28" s="171"/>
    </row>
    <row r="29" spans="1:16">
      <c r="A29" s="167"/>
      <c r="B29" s="161"/>
      <c r="C29" s="166"/>
      <c r="D29" s="161"/>
      <c r="E29" s="161"/>
      <c r="F29" s="161"/>
      <c r="G29" s="168"/>
      <c r="H29" s="161"/>
      <c r="I29" s="161"/>
      <c r="K29" s="174"/>
      <c r="L29" s="175"/>
      <c r="M29" s="171"/>
    </row>
    <row r="30" spans="1:16">
      <c r="A30" s="167"/>
      <c r="B30" s="161"/>
      <c r="C30" s="166"/>
      <c r="D30" s="161"/>
      <c r="E30" s="161"/>
      <c r="F30" s="161"/>
      <c r="G30" s="168"/>
      <c r="H30" s="161"/>
      <c r="I30" s="169"/>
      <c r="K30" s="174"/>
      <c r="L30" s="175"/>
      <c r="M30" s="171"/>
    </row>
    <row r="31" spans="1:16">
      <c r="A31" s="167"/>
      <c r="B31" s="161"/>
      <c r="C31" s="166"/>
      <c r="D31" s="161"/>
      <c r="E31" s="161"/>
      <c r="F31" s="161"/>
      <c r="G31" s="168"/>
      <c r="H31" s="161"/>
      <c r="I31" s="161"/>
      <c r="K31" s="176"/>
      <c r="L31" s="175"/>
      <c r="M31" s="171"/>
    </row>
    <row r="32" spans="1:16">
      <c r="A32" s="167"/>
      <c r="B32" s="161"/>
      <c r="C32" s="166"/>
      <c r="D32" s="161"/>
      <c r="E32" s="161"/>
      <c r="F32" s="161"/>
      <c r="G32" s="168"/>
      <c r="H32" s="161"/>
      <c r="I32" s="169"/>
      <c r="K32" s="174"/>
      <c r="L32" s="175"/>
      <c r="M32" s="171"/>
    </row>
    <row r="33" spans="1:16">
      <c r="A33" s="167"/>
      <c r="B33" s="161"/>
      <c r="C33" s="166"/>
      <c r="D33" s="161"/>
      <c r="E33" s="161"/>
      <c r="F33" s="161"/>
      <c r="G33" s="177"/>
      <c r="H33" s="161"/>
      <c r="I33" s="161"/>
      <c r="K33" s="174"/>
      <c r="L33" s="175"/>
      <c r="M33" s="171"/>
    </row>
    <row r="34" spans="1:16" ht="12.75" customHeight="1">
      <c r="A34" s="167"/>
      <c r="B34" s="161"/>
      <c r="C34" s="166"/>
      <c r="D34" s="161"/>
      <c r="E34" s="166"/>
      <c r="F34" s="161"/>
      <c r="G34" s="177"/>
      <c r="H34" s="161"/>
      <c r="I34" s="169"/>
      <c r="K34" s="174"/>
      <c r="L34" s="175"/>
      <c r="M34" s="171"/>
    </row>
    <row r="35" spans="1:16">
      <c r="A35" s="167"/>
      <c r="B35" s="161"/>
      <c r="C35" s="166"/>
      <c r="D35" s="161"/>
      <c r="E35" s="161"/>
      <c r="F35" s="161"/>
      <c r="G35" s="168"/>
      <c r="H35" s="161"/>
      <c r="I35" s="169"/>
      <c r="K35" s="174"/>
      <c r="L35" s="175"/>
      <c r="M35" s="171"/>
      <c r="P35" s="153"/>
    </row>
    <row r="36" spans="1:16">
      <c r="A36" s="167"/>
      <c r="B36" s="161"/>
      <c r="C36" s="166"/>
      <c r="D36" s="161"/>
      <c r="E36" s="161"/>
      <c r="F36" s="161"/>
      <c r="G36" s="168"/>
      <c r="H36" s="161"/>
      <c r="I36" s="169"/>
      <c r="K36" s="174"/>
      <c r="L36" s="175"/>
      <c r="M36" s="171"/>
    </row>
    <row r="37" spans="1:16">
      <c r="A37" s="167"/>
      <c r="B37" s="161"/>
      <c r="C37" s="166"/>
      <c r="D37" s="161"/>
      <c r="E37" s="161"/>
      <c r="F37" s="161"/>
      <c r="G37" s="168"/>
      <c r="H37" s="161"/>
      <c r="I37" s="169"/>
      <c r="K37" s="174"/>
      <c r="L37" s="175"/>
      <c r="M37" s="171"/>
    </row>
    <row r="38" spans="1:16">
      <c r="A38" s="167"/>
      <c r="B38" s="161"/>
      <c r="C38" s="166"/>
      <c r="D38" s="161"/>
      <c r="E38" s="161"/>
      <c r="F38" s="161"/>
      <c r="G38" s="168"/>
      <c r="H38" s="161"/>
      <c r="I38" s="169"/>
      <c r="K38" s="174"/>
      <c r="L38" s="175"/>
      <c r="M38" s="171"/>
    </row>
    <row r="39" spans="1:16">
      <c r="A39" s="167"/>
      <c r="B39" s="161"/>
      <c r="C39" s="166"/>
      <c r="D39" s="161"/>
      <c r="E39" s="161"/>
      <c r="F39" s="161"/>
      <c r="G39" s="168"/>
      <c r="H39" s="161"/>
      <c r="I39" s="169"/>
      <c r="L39" s="174"/>
    </row>
    <row r="40" spans="1:16">
      <c r="A40" s="167"/>
      <c r="B40" s="161"/>
      <c r="C40" s="166"/>
      <c r="D40" s="161"/>
      <c r="E40" s="169"/>
      <c r="F40" s="161"/>
      <c r="G40" s="168"/>
      <c r="H40" s="161"/>
      <c r="I40" s="169"/>
      <c r="L40" s="174"/>
    </row>
    <row r="41" spans="1:16">
      <c r="A41" s="167"/>
      <c r="B41" s="161"/>
      <c r="C41" s="166"/>
      <c r="D41" s="161"/>
      <c r="E41" s="161"/>
      <c r="F41" s="161"/>
      <c r="G41" s="168"/>
      <c r="H41" s="161"/>
      <c r="I41" s="169"/>
      <c r="L41" s="174"/>
    </row>
    <row r="42" spans="1:16">
      <c r="A42" s="167"/>
      <c r="B42" s="161"/>
      <c r="C42" s="166"/>
      <c r="D42" s="161"/>
      <c r="E42" s="161"/>
      <c r="F42" s="161"/>
      <c r="G42" s="168"/>
      <c r="H42" s="161"/>
      <c r="I42" s="169"/>
      <c r="K42" s="153"/>
      <c r="M42" s="153"/>
    </row>
    <row r="43" spans="1:16">
      <c r="A43" s="167"/>
      <c r="B43" s="161"/>
      <c r="C43" s="166"/>
      <c r="D43" s="161"/>
      <c r="E43" s="161"/>
      <c r="F43" s="161"/>
      <c r="G43" s="168"/>
      <c r="H43" s="161"/>
      <c r="I43" s="169"/>
    </row>
    <row r="44" spans="1:16">
      <c r="A44" s="167"/>
      <c r="B44" s="161"/>
      <c r="C44" s="166"/>
      <c r="D44" s="161"/>
      <c r="E44" s="161"/>
      <c r="F44" s="161"/>
      <c r="G44" s="168"/>
      <c r="H44" s="161"/>
      <c r="I44" s="169"/>
      <c r="K44" s="153"/>
      <c r="M44" s="153"/>
    </row>
    <row r="45" spans="1:16">
      <c r="A45" s="167"/>
      <c r="B45" s="161"/>
      <c r="C45" s="166"/>
      <c r="D45" s="161"/>
      <c r="E45" s="161"/>
      <c r="F45" s="161"/>
      <c r="G45" s="168"/>
      <c r="H45" s="161"/>
      <c r="I45" s="169"/>
      <c r="M45" s="153"/>
    </row>
    <row r="46" spans="1:16">
      <c r="A46" s="167"/>
      <c r="B46" s="161"/>
      <c r="C46" s="166"/>
      <c r="D46" s="161"/>
      <c r="E46" s="161"/>
      <c r="F46" s="161"/>
      <c r="G46" s="168"/>
      <c r="H46" s="161"/>
      <c r="I46" s="169"/>
      <c r="M46" s="153"/>
    </row>
    <row r="47" spans="1:16">
      <c r="A47" s="167"/>
      <c r="B47" s="161"/>
      <c r="C47" s="166"/>
      <c r="D47" s="161"/>
      <c r="E47" s="161"/>
      <c r="F47" s="161"/>
      <c r="G47" s="168"/>
      <c r="H47" s="161"/>
      <c r="I47" s="169"/>
      <c r="K47" s="124"/>
      <c r="M47" s="153"/>
    </row>
    <row r="48" spans="1:16">
      <c r="A48" s="167"/>
      <c r="B48" s="161"/>
      <c r="C48" s="166"/>
      <c r="D48" s="161"/>
      <c r="E48" s="161"/>
      <c r="F48" s="161"/>
      <c r="G48" s="168"/>
      <c r="H48" s="161"/>
      <c r="I48" s="169"/>
      <c r="K48" s="124"/>
      <c r="M48" s="153"/>
    </row>
    <row r="49" spans="1:13">
      <c r="A49" s="167"/>
      <c r="B49" s="161"/>
      <c r="C49" s="166"/>
      <c r="D49" s="161"/>
      <c r="E49" s="161"/>
      <c r="F49" s="161"/>
      <c r="G49" s="168"/>
      <c r="H49" s="161"/>
      <c r="I49" s="169"/>
      <c r="K49" s="124"/>
      <c r="M49" s="153"/>
    </row>
    <row r="50" spans="1:13">
      <c r="A50" s="167"/>
      <c r="B50" s="161"/>
      <c r="C50" s="166"/>
      <c r="D50" s="161"/>
      <c r="E50" s="161"/>
      <c r="F50" s="161"/>
      <c r="G50" s="168"/>
      <c r="H50" s="161"/>
      <c r="I50" s="169"/>
      <c r="K50" s="124"/>
      <c r="M50" s="153"/>
    </row>
    <row r="51" spans="1:13">
      <c r="G51" s="168"/>
      <c r="H51" s="161"/>
      <c r="I51" s="169"/>
      <c r="K51" s="124"/>
      <c r="M51" s="153"/>
    </row>
    <row r="52" spans="1:13">
      <c r="G52" s="168"/>
      <c r="H52" s="161"/>
      <c r="I52" s="169"/>
      <c r="K52" s="174"/>
      <c r="M52" s="174"/>
    </row>
    <row r="53" spans="1:13">
      <c r="G53" s="168"/>
      <c r="H53" s="161"/>
      <c r="I53" s="169"/>
      <c r="K53" s="174"/>
      <c r="M53" s="174"/>
    </row>
    <row r="54" spans="1:13">
      <c r="G54" s="168"/>
      <c r="H54" s="161"/>
      <c r="I54" s="169"/>
      <c r="K54" s="174"/>
      <c r="M54" s="174"/>
    </row>
    <row r="55" spans="1:13">
      <c r="K55" s="153"/>
      <c r="M55" s="153"/>
    </row>
    <row r="57" spans="1:13">
      <c r="G57" s="168"/>
      <c r="K57" s="124"/>
      <c r="M57" s="124"/>
    </row>
    <row r="59" spans="1:13">
      <c r="M59" s="124"/>
    </row>
    <row r="60" spans="1:13">
      <c r="M60" s="124"/>
    </row>
    <row r="62" spans="1:13">
      <c r="K62" s="153"/>
      <c r="M62" s="153"/>
    </row>
  </sheetData>
  <mergeCells count="1">
    <mergeCell ref="A5:I5"/>
  </mergeCells>
  <pageMargins left="0.7" right="0.7" top="0.75" bottom="0.75" header="0.3" footer="0.3"/>
  <pageSetup orientation="portrait" r:id="rId1"/>
  <headerFooter>
    <oddHeader>&amp;RCase No. 2026-00001
KPSC 1-11 Attachment 2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A2:L20"/>
  <sheetViews>
    <sheetView topLeftCell="A2" zoomScaleNormal="100" workbookViewId="0">
      <selection activeCell="F10" sqref="F10"/>
    </sheetView>
  </sheetViews>
  <sheetFormatPr defaultRowHeight="12.5"/>
  <cols>
    <col min="1" max="1" width="4.453125" bestFit="1" customWidth="1"/>
    <col min="2" max="2" width="14.7265625" bestFit="1" customWidth="1"/>
    <col min="3" max="3" width="15" bestFit="1" customWidth="1"/>
    <col min="4" max="4" width="11.81640625" bestFit="1" customWidth="1"/>
    <col min="5" max="5" width="10.453125" bestFit="1" customWidth="1"/>
    <col min="6" max="6" width="11.81640625" bestFit="1" customWidth="1"/>
    <col min="7" max="7" width="12" bestFit="1" customWidth="1"/>
    <col min="8" max="8" width="16" bestFit="1" customWidth="1"/>
  </cols>
  <sheetData>
    <row r="2" spans="1:12">
      <c r="A2" s="212" t="s">
        <v>210</v>
      </c>
      <c r="B2" s="212"/>
      <c r="C2" s="212"/>
      <c r="D2" s="212"/>
    </row>
    <row r="3" spans="1:12">
      <c r="A3" s="212" t="s">
        <v>211</v>
      </c>
      <c r="B3" s="212"/>
      <c r="C3" s="212"/>
      <c r="D3" s="212"/>
      <c r="E3" s="213"/>
      <c r="F3" s="213"/>
      <c r="G3" s="213"/>
      <c r="H3" s="213"/>
      <c r="I3" s="213"/>
      <c r="J3" s="213"/>
      <c r="K3" s="213"/>
      <c r="L3" s="213"/>
    </row>
    <row r="4" spans="1:12">
      <c r="A4" s="212" t="s">
        <v>212</v>
      </c>
      <c r="B4" s="212"/>
      <c r="C4" s="212"/>
      <c r="D4" s="212"/>
      <c r="E4" s="212"/>
      <c r="F4" s="212"/>
      <c r="G4" s="212"/>
      <c r="H4" s="212"/>
      <c r="I4" s="212"/>
      <c r="J4" s="212"/>
      <c r="K4" s="212"/>
      <c r="L4" s="212"/>
    </row>
    <row r="6" spans="1:12">
      <c r="C6" t="s">
        <v>213</v>
      </c>
      <c r="E6" t="s">
        <v>214</v>
      </c>
      <c r="F6" t="s">
        <v>175</v>
      </c>
      <c r="H6" t="s">
        <v>215</v>
      </c>
    </row>
    <row r="7" spans="1:12">
      <c r="C7" t="s">
        <v>216</v>
      </c>
      <c r="D7" t="s">
        <v>217</v>
      </c>
      <c r="E7" t="s">
        <v>218</v>
      </c>
      <c r="F7" t="s">
        <v>177</v>
      </c>
      <c r="H7" t="s">
        <v>177</v>
      </c>
    </row>
    <row r="8" spans="1:12">
      <c r="A8" t="s">
        <v>41</v>
      </c>
      <c r="C8" t="s">
        <v>219</v>
      </c>
      <c r="D8" t="s">
        <v>220</v>
      </c>
      <c r="E8" t="s">
        <v>217</v>
      </c>
      <c r="F8" t="s">
        <v>218</v>
      </c>
      <c r="H8" t="s">
        <v>218</v>
      </c>
    </row>
    <row r="9" spans="1:12">
      <c r="A9" t="s">
        <v>221</v>
      </c>
      <c r="B9" t="s">
        <v>43</v>
      </c>
      <c r="C9" t="s">
        <v>176</v>
      </c>
      <c r="D9" t="s">
        <v>4</v>
      </c>
      <c r="E9" t="s">
        <v>179</v>
      </c>
      <c r="F9" t="s">
        <v>222</v>
      </c>
      <c r="G9" t="s">
        <v>223</v>
      </c>
      <c r="H9" t="s">
        <v>222</v>
      </c>
    </row>
    <row r="10" spans="1:12">
      <c r="A10" s="150" t="s">
        <v>173</v>
      </c>
      <c r="B10" s="150" t="s">
        <v>232</v>
      </c>
      <c r="C10" s="150" t="s">
        <v>233</v>
      </c>
      <c r="D10" t="s">
        <v>224</v>
      </c>
      <c r="E10" t="s">
        <v>225</v>
      </c>
      <c r="F10" t="s">
        <v>226</v>
      </c>
      <c r="G10" t="s">
        <v>174</v>
      </c>
      <c r="H10" t="s">
        <v>227</v>
      </c>
    </row>
    <row r="12" spans="1:12">
      <c r="A12">
        <v>1</v>
      </c>
      <c r="B12" t="s">
        <v>228</v>
      </c>
      <c r="C12" s="152">
        <v>953708559.56887507</v>
      </c>
      <c r="D12" s="151">
        <f>ROUND(C12/$C$18,5)</f>
        <v>0.52617000000000003</v>
      </c>
      <c r="E12" s="151">
        <v>4.9099999999999998E-2</v>
      </c>
      <c r="F12" s="151">
        <f>D12*E12</f>
        <v>2.5834947E-2</v>
      </c>
      <c r="G12">
        <v>1.0055233397050001</v>
      </c>
      <c r="H12" s="151">
        <f>F12*G12</f>
        <v>2.5977642188541674E-2</v>
      </c>
    </row>
    <row r="13" spans="1:12">
      <c r="C13" s="152"/>
      <c r="D13" s="151"/>
      <c r="E13" s="151"/>
      <c r="F13" s="151"/>
      <c r="H13" s="151"/>
    </row>
    <row r="14" spans="1:12">
      <c r="A14">
        <v>2</v>
      </c>
      <c r="B14" t="s">
        <v>229</v>
      </c>
      <c r="C14" s="152">
        <v>111251045.99650832</v>
      </c>
      <c r="D14" s="151">
        <f>ROUND(C14/$C$18,5)</f>
        <v>6.1379999999999997E-2</v>
      </c>
      <c r="E14" s="151">
        <v>3.73E-2</v>
      </c>
      <c r="F14" s="151">
        <f>D14*E14</f>
        <v>2.2894739999999997E-3</v>
      </c>
      <c r="G14">
        <v>1.0055233397049996</v>
      </c>
      <c r="H14" s="151">
        <f>F14*G14</f>
        <v>2.302119542647764E-3</v>
      </c>
    </row>
    <row r="15" spans="1:12">
      <c r="C15" s="152"/>
      <c r="D15" s="151"/>
      <c r="E15" s="151"/>
      <c r="F15" s="151"/>
      <c r="H15" s="151"/>
    </row>
    <row r="16" spans="1:12">
      <c r="A16">
        <v>4</v>
      </c>
      <c r="B16" t="s">
        <v>230</v>
      </c>
      <c r="C16" s="152">
        <v>747579968.70261669</v>
      </c>
      <c r="D16" s="151">
        <f>ROUND(C16/$C$18,5)</f>
        <v>0.41244999999999998</v>
      </c>
      <c r="E16" s="206">
        <v>9.7500000000000003E-2</v>
      </c>
      <c r="F16" s="151">
        <f>D16*E16</f>
        <v>4.0213875000000003E-2</v>
      </c>
      <c r="G16">
        <v>1.3398970423112688</v>
      </c>
      <c r="H16" s="151">
        <f>F16*G16</f>
        <v>5.3882452172375077E-2</v>
      </c>
    </row>
    <row r="17" spans="1:8">
      <c r="C17" s="152" t="s">
        <v>231</v>
      </c>
      <c r="D17" s="151" t="s">
        <v>231</v>
      </c>
      <c r="E17" s="151"/>
      <c r="F17" s="151" t="s">
        <v>231</v>
      </c>
      <c r="H17" s="151"/>
    </row>
    <row r="18" spans="1:8">
      <c r="A18">
        <v>5</v>
      </c>
      <c r="B18" t="s">
        <v>4</v>
      </c>
      <c r="C18" s="152">
        <v>1812539574.2680001</v>
      </c>
      <c r="D18" s="151">
        <f>SUM(D12:D17)</f>
        <v>1</v>
      </c>
      <c r="F18" s="151">
        <f>SUM(F12:F17)</f>
        <v>6.8338296000000007E-2</v>
      </c>
      <c r="H18" s="151">
        <f>SUM(H12:H17)</f>
        <v>8.2162213903564513E-2</v>
      </c>
    </row>
    <row r="19" spans="1:8">
      <c r="C19" s="152"/>
      <c r="F19" s="151"/>
    </row>
    <row r="20" spans="1:8">
      <c r="C20" s="152"/>
    </row>
  </sheetData>
  <mergeCells count="7">
    <mergeCell ref="A2:D2"/>
    <mergeCell ref="A3:D3"/>
    <mergeCell ref="E3:H3"/>
    <mergeCell ref="I3:L3"/>
    <mergeCell ref="A4:D4"/>
    <mergeCell ref="E4:H4"/>
    <mergeCell ref="I4:L4"/>
  </mergeCells>
  <pageMargins left="0.7" right="0.7" top="0.75" bottom="0.75" header="0.3" footer="0.3"/>
  <pageSetup orientation="portrait" r:id="rId1"/>
  <headerFooter>
    <oddHeader>&amp;RCase No. 2026-00001
KPSC 1-11 Attachment 2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56F09-B838-4D10-B778-9AB7168B8F4F}">
  <sheetPr codeName="Sheet6"/>
  <dimension ref="A1:AK70"/>
  <sheetViews>
    <sheetView showGridLines="0" zoomScale="85" zoomScaleNormal="85" zoomScaleSheetLayoutView="85" workbookViewId="0">
      <selection activeCell="F10" sqref="F10"/>
    </sheetView>
  </sheetViews>
  <sheetFormatPr defaultColWidth="9.1796875" defaultRowHeight="12.5"/>
  <cols>
    <col min="1" max="1" width="63" style="58" customWidth="1"/>
    <col min="2" max="2" width="14.54296875" style="58" customWidth="1"/>
    <col min="3" max="3" width="17.1796875" style="58" bestFit="1" customWidth="1"/>
    <col min="4" max="21" width="19" style="58" bestFit="1" customWidth="1"/>
    <col min="22" max="22" width="19" style="58" customWidth="1"/>
    <col min="23" max="24" width="19" style="58" bestFit="1" customWidth="1"/>
    <col min="25" max="37" width="13.1796875" style="58" bestFit="1" customWidth="1"/>
    <col min="38" max="16384" width="9.1796875" style="58"/>
  </cols>
  <sheetData>
    <row r="1" spans="1:37" ht="25">
      <c r="A1" s="214" t="s">
        <v>256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13">
      <c r="B2" s="11"/>
      <c r="C2" s="11" t="s">
        <v>16</v>
      </c>
      <c r="D2" s="11" t="s">
        <v>17</v>
      </c>
      <c r="E2" s="11" t="s">
        <v>18</v>
      </c>
      <c r="F2" s="11" t="s">
        <v>19</v>
      </c>
      <c r="G2" s="11" t="s">
        <v>20</v>
      </c>
      <c r="H2" s="11" t="s">
        <v>21</v>
      </c>
      <c r="I2" s="11" t="s">
        <v>22</v>
      </c>
      <c r="J2" s="11" t="s">
        <v>23</v>
      </c>
      <c r="K2" s="11" t="s">
        <v>24</v>
      </c>
      <c r="L2" s="11" t="s">
        <v>25</v>
      </c>
      <c r="M2" s="11" t="s">
        <v>26</v>
      </c>
      <c r="N2" s="11" t="s">
        <v>27</v>
      </c>
      <c r="O2" s="11" t="s">
        <v>28</v>
      </c>
      <c r="P2" s="11" t="s">
        <v>29</v>
      </c>
      <c r="Q2" s="11" t="s">
        <v>30</v>
      </c>
      <c r="R2" s="11" t="s">
        <v>31</v>
      </c>
      <c r="S2" s="11" t="s">
        <v>32</v>
      </c>
      <c r="T2" s="11" t="s">
        <v>33</v>
      </c>
      <c r="U2" s="11" t="s">
        <v>34</v>
      </c>
      <c r="V2" s="11" t="s">
        <v>35</v>
      </c>
      <c r="W2" s="11" t="s">
        <v>36</v>
      </c>
      <c r="X2" s="11" t="s">
        <v>248</v>
      </c>
      <c r="Y2" s="11" t="s">
        <v>249</v>
      </c>
      <c r="Z2" s="11" t="s">
        <v>250</v>
      </c>
      <c r="AA2" s="11" t="s">
        <v>251</v>
      </c>
      <c r="AB2" s="11"/>
      <c r="AC2" s="11"/>
      <c r="AD2" s="11"/>
      <c r="AE2" s="11"/>
      <c r="AF2" s="11"/>
      <c r="AG2" s="11"/>
      <c r="AH2" s="11"/>
      <c r="AI2" s="11"/>
      <c r="AJ2" s="11"/>
      <c r="AK2" s="11"/>
    </row>
    <row r="3" spans="1:37" s="59" customFormat="1" ht="31">
      <c r="A3" s="12" t="s">
        <v>134</v>
      </c>
      <c r="B3" s="12" t="s">
        <v>37</v>
      </c>
      <c r="C3" s="13">
        <f>Input!B37</f>
        <v>2029</v>
      </c>
      <c r="D3" s="13">
        <f t="shared" ref="D3:N3" si="0">+C3+1</f>
        <v>2030</v>
      </c>
      <c r="E3" s="13">
        <f t="shared" si="0"/>
        <v>2031</v>
      </c>
      <c r="F3" s="13">
        <f t="shared" si="0"/>
        <v>2032</v>
      </c>
      <c r="G3" s="13">
        <f t="shared" si="0"/>
        <v>2033</v>
      </c>
      <c r="H3" s="13">
        <f t="shared" si="0"/>
        <v>2034</v>
      </c>
      <c r="I3" s="13">
        <f t="shared" si="0"/>
        <v>2035</v>
      </c>
      <c r="J3" s="13">
        <f t="shared" si="0"/>
        <v>2036</v>
      </c>
      <c r="K3" s="13">
        <f t="shared" si="0"/>
        <v>2037</v>
      </c>
      <c r="L3" s="13">
        <f t="shared" si="0"/>
        <v>2038</v>
      </c>
      <c r="M3" s="13">
        <f t="shared" si="0"/>
        <v>2039</v>
      </c>
      <c r="N3" s="13">
        <f t="shared" si="0"/>
        <v>2040</v>
      </c>
      <c r="O3" s="13">
        <f t="shared" ref="O3" si="1">+N3+1</f>
        <v>2041</v>
      </c>
      <c r="P3" s="13">
        <f t="shared" ref="P3" si="2">+O3+1</f>
        <v>2042</v>
      </c>
      <c r="Q3" s="13">
        <f t="shared" ref="Q3" si="3">+P3+1</f>
        <v>2043</v>
      </c>
      <c r="R3" s="13">
        <f t="shared" ref="R3" si="4">+Q3+1</f>
        <v>2044</v>
      </c>
      <c r="S3" s="13">
        <f t="shared" ref="S3" si="5">+R3+1</f>
        <v>2045</v>
      </c>
      <c r="T3" s="13">
        <f t="shared" ref="T3" si="6">+S3+1</f>
        <v>2046</v>
      </c>
      <c r="U3" s="13">
        <f t="shared" ref="U3" si="7">+T3+1</f>
        <v>2047</v>
      </c>
      <c r="V3" s="13">
        <f t="shared" ref="V3" si="8">+U3+1</f>
        <v>2048</v>
      </c>
      <c r="W3" s="13">
        <f t="shared" ref="W3" si="9">+V3+1</f>
        <v>2049</v>
      </c>
      <c r="X3" s="13">
        <f t="shared" ref="X3" si="10">+W3+1</f>
        <v>2050</v>
      </c>
      <c r="Y3" s="13">
        <f t="shared" ref="Y3" si="11">+X3+1</f>
        <v>2051</v>
      </c>
      <c r="Z3" s="13">
        <f t="shared" ref="Z3" si="12">+Y3+1</f>
        <v>2052</v>
      </c>
      <c r="AA3" s="13">
        <f t="shared" ref="AA3" si="13">+Z3+1</f>
        <v>2053</v>
      </c>
      <c r="AB3" s="13"/>
      <c r="AC3" s="13"/>
      <c r="AD3" s="13"/>
      <c r="AE3" s="13"/>
      <c r="AF3" s="13"/>
      <c r="AG3" s="13"/>
      <c r="AH3" s="13"/>
      <c r="AI3" s="13"/>
      <c r="AJ3" s="13"/>
      <c r="AK3" s="13"/>
    </row>
    <row r="4" spans="1:37" ht="13">
      <c r="A4" s="60" t="s">
        <v>3</v>
      </c>
      <c r="B4" s="60"/>
      <c r="C4" s="92">
        <f>Input!B40/1000</f>
        <v>28917</v>
      </c>
      <c r="D4" s="92">
        <f>Input!C40/1000</f>
        <v>0</v>
      </c>
      <c r="E4" s="92">
        <f>Input!D40/1000</f>
        <v>0</v>
      </c>
      <c r="F4" s="92">
        <f>Input!E40/1000</f>
        <v>0</v>
      </c>
      <c r="G4" s="92">
        <f>Input!F40/1000</f>
        <v>0</v>
      </c>
      <c r="H4" s="92">
        <f>Input!G40/1000</f>
        <v>0</v>
      </c>
      <c r="I4" s="92">
        <f>Input!H40/1000</f>
        <v>0</v>
      </c>
      <c r="J4" s="92">
        <f>Input!I40/1000</f>
        <v>0</v>
      </c>
      <c r="K4" s="92">
        <f>Input!J40/1000</f>
        <v>0</v>
      </c>
      <c r="L4" s="92">
        <f>Input!K40/1000</f>
        <v>0</v>
      </c>
      <c r="M4" s="92">
        <f>Input!L40/1000</f>
        <v>0</v>
      </c>
      <c r="N4" s="92">
        <f>Input!M40/1000</f>
        <v>5000</v>
      </c>
      <c r="O4" s="92"/>
      <c r="P4" s="92"/>
      <c r="Q4" s="92"/>
      <c r="R4" s="92"/>
      <c r="S4" s="92"/>
      <c r="T4" s="92"/>
      <c r="U4" s="92"/>
      <c r="V4" s="92"/>
      <c r="W4" s="92"/>
      <c r="X4" s="92"/>
      <c r="Y4" s="92"/>
      <c r="Z4" s="92"/>
      <c r="AA4" s="92"/>
      <c r="AB4" s="92"/>
      <c r="AC4" s="92"/>
      <c r="AD4" s="92"/>
      <c r="AE4" s="92"/>
      <c r="AF4" s="92"/>
      <c r="AG4" s="92"/>
      <c r="AH4" s="92"/>
      <c r="AI4" s="92"/>
      <c r="AJ4" s="92"/>
      <c r="AK4" s="92"/>
    </row>
    <row r="5" spans="1:37" ht="13">
      <c r="A5" s="62" t="s">
        <v>133</v>
      </c>
      <c r="B5" s="41">
        <f>Input!E9/1000</f>
        <v>157286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41"/>
      <c r="X5" s="41"/>
      <c r="Y5" s="41"/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</row>
    <row r="6" spans="1:37" ht="13">
      <c r="A6" s="15" t="s">
        <v>14</v>
      </c>
      <c r="B6" s="91">
        <f>B5</f>
        <v>157286</v>
      </c>
      <c r="C6" s="91">
        <f t="shared" ref="C6:N6" si="14">B6+C4</f>
        <v>186203</v>
      </c>
      <c r="D6" s="91">
        <f t="shared" si="14"/>
        <v>186203</v>
      </c>
      <c r="E6" s="91">
        <f t="shared" si="14"/>
        <v>186203</v>
      </c>
      <c r="F6" s="91">
        <f t="shared" si="14"/>
        <v>186203</v>
      </c>
      <c r="G6" s="91">
        <f t="shared" si="14"/>
        <v>186203</v>
      </c>
      <c r="H6" s="91">
        <f t="shared" si="14"/>
        <v>186203</v>
      </c>
      <c r="I6" s="91">
        <f t="shared" si="14"/>
        <v>186203</v>
      </c>
      <c r="J6" s="91">
        <f t="shared" si="14"/>
        <v>186203</v>
      </c>
      <c r="K6" s="91">
        <f t="shared" si="14"/>
        <v>186203</v>
      </c>
      <c r="L6" s="91">
        <f t="shared" si="14"/>
        <v>186203</v>
      </c>
      <c r="M6" s="91">
        <f t="shared" si="14"/>
        <v>186203</v>
      </c>
      <c r="N6" s="91">
        <f t="shared" si="14"/>
        <v>191203</v>
      </c>
      <c r="O6" s="91">
        <f t="shared" ref="O6" si="15">N6+O4</f>
        <v>191203</v>
      </c>
      <c r="P6" s="91">
        <f t="shared" ref="P6" si="16">O6+P4</f>
        <v>191203</v>
      </c>
      <c r="Q6" s="91">
        <f t="shared" ref="Q6" si="17">P6+Q4</f>
        <v>191203</v>
      </c>
      <c r="R6" s="91">
        <f t="shared" ref="R6" si="18">Q6+R4</f>
        <v>191203</v>
      </c>
      <c r="S6" s="91">
        <f t="shared" ref="S6" si="19">R6+S4</f>
        <v>191203</v>
      </c>
      <c r="T6" s="91">
        <f t="shared" ref="T6" si="20">S6+T4</f>
        <v>191203</v>
      </c>
      <c r="U6" s="91">
        <f t="shared" ref="U6" si="21">T6+U4</f>
        <v>191203</v>
      </c>
      <c r="V6" s="91">
        <f t="shared" ref="V6" si="22">U6+V4</f>
        <v>191203</v>
      </c>
      <c r="W6" s="91">
        <f t="shared" ref="W6" si="23">V6+W4</f>
        <v>191203</v>
      </c>
      <c r="X6" s="91">
        <f t="shared" ref="X6" si="24">W6+X4</f>
        <v>191203</v>
      </c>
      <c r="Y6" s="91">
        <f t="shared" ref="Y6" si="25">X6+Y4</f>
        <v>191203</v>
      </c>
      <c r="Z6" s="91">
        <f t="shared" ref="Z6" si="26">Y6+Z4</f>
        <v>191203</v>
      </c>
      <c r="AA6" s="91">
        <f t="shared" ref="AA6" si="27">Z6+AA4</f>
        <v>191203</v>
      </c>
      <c r="AB6" s="91"/>
      <c r="AC6" s="91"/>
      <c r="AD6" s="91"/>
      <c r="AE6" s="91"/>
      <c r="AF6" s="91"/>
      <c r="AG6" s="91"/>
      <c r="AH6" s="91"/>
      <c r="AI6" s="91"/>
      <c r="AJ6" s="91"/>
      <c r="AK6" s="91"/>
    </row>
    <row r="7" spans="1:37" ht="13">
      <c r="A7" s="14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  <c r="AG7" s="63"/>
      <c r="AH7" s="63"/>
      <c r="AI7" s="63"/>
      <c r="AJ7" s="63"/>
      <c r="AK7" s="63"/>
    </row>
    <row r="8" spans="1:37" ht="13">
      <c r="A8" s="15"/>
      <c r="B8" s="61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</row>
    <row r="9" spans="1:37" s="50" customFormat="1" ht="13">
      <c r="A9" s="16" t="s">
        <v>162</v>
      </c>
      <c r="B9" s="16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</row>
    <row r="10" spans="1:37" s="67" customFormat="1">
      <c r="A10" s="64" t="s">
        <v>14</v>
      </c>
      <c r="B10" s="65"/>
      <c r="C10" s="66">
        <f>C6</f>
        <v>186203</v>
      </c>
      <c r="D10" s="66">
        <f t="shared" ref="D10:I10" si="28">D6</f>
        <v>186203</v>
      </c>
      <c r="E10" s="66">
        <f t="shared" si="28"/>
        <v>186203</v>
      </c>
      <c r="F10" s="66">
        <f t="shared" si="28"/>
        <v>186203</v>
      </c>
      <c r="G10" s="66">
        <f t="shared" si="28"/>
        <v>186203</v>
      </c>
      <c r="H10" s="66">
        <f t="shared" si="28"/>
        <v>186203</v>
      </c>
      <c r="I10" s="66">
        <f t="shared" si="28"/>
        <v>186203</v>
      </c>
      <c r="J10" s="66">
        <f t="shared" ref="J10:N10" si="29">J6</f>
        <v>186203</v>
      </c>
      <c r="K10" s="66">
        <f t="shared" si="29"/>
        <v>186203</v>
      </c>
      <c r="L10" s="66">
        <f t="shared" si="29"/>
        <v>186203</v>
      </c>
      <c r="M10" s="66">
        <f t="shared" si="29"/>
        <v>186203</v>
      </c>
      <c r="N10" s="66">
        <f t="shared" si="29"/>
        <v>191203</v>
      </c>
      <c r="O10" s="66">
        <f t="shared" ref="O10:AA10" si="30">O6</f>
        <v>191203</v>
      </c>
      <c r="P10" s="66">
        <f t="shared" si="30"/>
        <v>191203</v>
      </c>
      <c r="Q10" s="66">
        <f t="shared" si="30"/>
        <v>191203</v>
      </c>
      <c r="R10" s="66">
        <f t="shared" si="30"/>
        <v>191203</v>
      </c>
      <c r="S10" s="66">
        <f t="shared" si="30"/>
        <v>191203</v>
      </c>
      <c r="T10" s="66">
        <f t="shared" si="30"/>
        <v>191203</v>
      </c>
      <c r="U10" s="66">
        <f t="shared" si="30"/>
        <v>191203</v>
      </c>
      <c r="V10" s="66">
        <f t="shared" si="30"/>
        <v>191203</v>
      </c>
      <c r="W10" s="66">
        <f t="shared" si="30"/>
        <v>191203</v>
      </c>
      <c r="X10" s="66">
        <f t="shared" si="30"/>
        <v>191203</v>
      </c>
      <c r="Y10" s="66">
        <f t="shared" si="30"/>
        <v>191203</v>
      </c>
      <c r="Z10" s="66">
        <f t="shared" si="30"/>
        <v>191203</v>
      </c>
      <c r="AA10" s="66">
        <f t="shared" si="30"/>
        <v>191203</v>
      </c>
      <c r="AB10" s="66"/>
      <c r="AC10" s="66"/>
      <c r="AD10" s="66"/>
      <c r="AE10" s="66"/>
      <c r="AF10" s="66"/>
      <c r="AG10" s="66"/>
      <c r="AH10" s="66"/>
      <c r="AI10" s="66"/>
      <c r="AJ10" s="66"/>
      <c r="AK10" s="66"/>
    </row>
    <row r="11" spans="1:37" s="67" customFormat="1" ht="12" customHeight="1">
      <c r="A11" s="64" t="s">
        <v>186</v>
      </c>
      <c r="B11" s="65"/>
      <c r="C11" s="66">
        <f>C20</f>
        <v>15516.916666666666</v>
      </c>
      <c r="D11" s="66">
        <f t="shared" ref="D11:I11" si="31">D20</f>
        <v>31033.833333333332</v>
      </c>
      <c r="E11" s="66">
        <f t="shared" si="31"/>
        <v>46550.75</v>
      </c>
      <c r="F11" s="66">
        <f t="shared" si="31"/>
        <v>62067.666666666664</v>
      </c>
      <c r="G11" s="66">
        <f t="shared" si="31"/>
        <v>77584.583333333328</v>
      </c>
      <c r="H11" s="66">
        <f t="shared" si="31"/>
        <v>93101.5</v>
      </c>
      <c r="I11" s="66">
        <f t="shared" si="31"/>
        <v>108618.41666666667</v>
      </c>
      <c r="J11" s="66">
        <f t="shared" ref="J11:N11" si="32">J20</f>
        <v>124135.33333333334</v>
      </c>
      <c r="K11" s="66">
        <f t="shared" si="32"/>
        <v>139652.25</v>
      </c>
      <c r="L11" s="66">
        <f t="shared" si="32"/>
        <v>155169.16666666666</v>
      </c>
      <c r="M11" s="66">
        <f t="shared" si="32"/>
        <v>170686.08333333331</v>
      </c>
      <c r="N11" s="66">
        <f t="shared" si="32"/>
        <v>186619.66666666666</v>
      </c>
      <c r="O11" s="66">
        <f t="shared" ref="O11:AA11" si="33">O20</f>
        <v>186619.66666666666</v>
      </c>
      <c r="P11" s="66">
        <f t="shared" si="33"/>
        <v>186619.66666666666</v>
      </c>
      <c r="Q11" s="66">
        <f t="shared" si="33"/>
        <v>186619.66666666666</v>
      </c>
      <c r="R11" s="66">
        <f t="shared" si="33"/>
        <v>186619.66666666666</v>
      </c>
      <c r="S11" s="66">
        <f t="shared" si="33"/>
        <v>186619.66666666666</v>
      </c>
      <c r="T11" s="66">
        <f t="shared" si="33"/>
        <v>186619.66666666666</v>
      </c>
      <c r="U11" s="66">
        <f t="shared" si="33"/>
        <v>186619.66666666666</v>
      </c>
      <c r="V11" s="66">
        <f t="shared" si="33"/>
        <v>186619.66666666666</v>
      </c>
      <c r="W11" s="66">
        <f t="shared" si="33"/>
        <v>186619.66666666666</v>
      </c>
      <c r="X11" s="66">
        <f t="shared" si="33"/>
        <v>186619.66666666666</v>
      </c>
      <c r="Y11" s="66">
        <f t="shared" si="33"/>
        <v>186619.66666666666</v>
      </c>
      <c r="Z11" s="66">
        <f t="shared" si="33"/>
        <v>186619.66666666666</v>
      </c>
      <c r="AA11" s="66">
        <f t="shared" si="33"/>
        <v>186619.66666666666</v>
      </c>
      <c r="AB11" s="66"/>
      <c r="AC11" s="66"/>
      <c r="AD11" s="66"/>
      <c r="AE11" s="66"/>
      <c r="AF11" s="66"/>
      <c r="AG11" s="66"/>
      <c r="AH11" s="66"/>
      <c r="AI11" s="66"/>
      <c r="AJ11" s="66"/>
      <c r="AK11" s="66"/>
    </row>
    <row r="12" spans="1:37" s="67" customFormat="1">
      <c r="A12" s="64" t="s">
        <v>15</v>
      </c>
      <c r="B12" s="68"/>
      <c r="C12" s="66">
        <f t="shared" ref="C12:I12" si="34">C64+C68</f>
        <v>-1702.4771879981245</v>
      </c>
      <c r="D12" s="66">
        <f t="shared" si="34"/>
        <v>-2116.3958235965047</v>
      </c>
      <c r="E12" s="66">
        <f t="shared" si="34"/>
        <v>-2731.6401252083365</v>
      </c>
      <c r="F12" s="66">
        <f t="shared" si="34"/>
        <v>-3532.6092109654178</v>
      </c>
      <c r="G12" s="66">
        <f t="shared" si="34"/>
        <v>-4505.9308964092907</v>
      </c>
      <c r="H12" s="66">
        <f t="shared" si="34"/>
        <v>-5638.2329970814981</v>
      </c>
      <c r="I12" s="66">
        <f t="shared" si="34"/>
        <v>-6918.0005763650342</v>
      </c>
      <c r="J12" s="66">
        <f t="shared" ref="J12:N12" si="35">J64+J68</f>
        <v>-8333.7186976428929</v>
      </c>
      <c r="K12" s="66">
        <f t="shared" si="35"/>
        <v>-9771.7237930181836</v>
      </c>
      <c r="L12" s="66">
        <f t="shared" si="35"/>
        <v>-11210.100337961763</v>
      </c>
      <c r="M12" s="66">
        <f t="shared" si="35"/>
        <v>-12648.105433337052</v>
      </c>
      <c r="N12" s="66">
        <f t="shared" si="35"/>
        <v>-14132.197600155632</v>
      </c>
      <c r="O12" s="66">
        <f t="shared" ref="O12:AA12" si="36">O64+O68</f>
        <v>-12402.785028410921</v>
      </c>
      <c r="P12" s="66">
        <f t="shared" si="36"/>
        <v>-10679.1499863195</v>
      </c>
      <c r="Q12" s="66">
        <f t="shared" si="36"/>
        <v>-8960.1306534097894</v>
      </c>
      <c r="R12" s="66">
        <f t="shared" si="36"/>
        <v>-7246.110853388368</v>
      </c>
      <c r="S12" s="66">
        <f t="shared" si="36"/>
        <v>-5535.9886116886573</v>
      </c>
      <c r="T12" s="66">
        <f t="shared" si="36"/>
        <v>-3830.1976236047371</v>
      </c>
      <c r="U12" s="66">
        <f t="shared" si="36"/>
        <v>-2127.6857861575259</v>
      </c>
      <c r="V12" s="66">
        <f t="shared" si="36"/>
        <v>-426.14385732860535</v>
      </c>
      <c r="W12" s="66">
        <f t="shared" si="36"/>
        <v>447.05555989500016</v>
      </c>
      <c r="X12" s="66">
        <f t="shared" si="36"/>
        <v>491.56096458000019</v>
      </c>
      <c r="Y12" s="66">
        <f t="shared" si="36"/>
        <v>536.05639494750017</v>
      </c>
      <c r="Z12" s="66">
        <f t="shared" si="36"/>
        <v>580.5617996325002</v>
      </c>
      <c r="AA12" s="66">
        <f t="shared" si="36"/>
        <v>625.05723000000023</v>
      </c>
      <c r="AB12" s="66"/>
      <c r="AC12" s="66"/>
      <c r="AD12" s="66"/>
      <c r="AE12" s="66"/>
      <c r="AF12" s="66"/>
      <c r="AG12" s="66"/>
      <c r="AH12" s="66"/>
      <c r="AI12" s="66"/>
      <c r="AJ12" s="66"/>
      <c r="AK12" s="66"/>
    </row>
    <row r="13" spans="1:37" s="67" customFormat="1" ht="12" customHeight="1">
      <c r="A13" s="64" t="s">
        <v>156</v>
      </c>
      <c r="B13" s="68"/>
      <c r="C13" s="66">
        <f>C66</f>
        <v>-427.26993810416661</v>
      </c>
      <c r="D13" s="66">
        <f t="shared" ref="D13:I13" si="37">D66</f>
        <v>-531.15091287378323</v>
      </c>
      <c r="E13" s="66">
        <f t="shared" si="37"/>
        <v>-685.55849996029997</v>
      </c>
      <c r="F13" s="66">
        <f t="shared" si="37"/>
        <v>-886.57735302181663</v>
      </c>
      <c r="G13" s="66">
        <f t="shared" si="37"/>
        <v>-1130.8514609081333</v>
      </c>
      <c r="H13" s="66">
        <f t="shared" si="37"/>
        <v>-1415.0248124690499</v>
      </c>
      <c r="I13" s="66">
        <f t="shared" si="37"/>
        <v>-1736.2075092141167</v>
      </c>
      <c r="J13" s="66">
        <f t="shared" ref="J13:N13" si="38">J66</f>
        <v>-2091.5096526528832</v>
      </c>
      <c r="K13" s="66">
        <f t="shared" si="38"/>
        <v>-2452.40514800865</v>
      </c>
      <c r="L13" s="66">
        <f t="shared" si="38"/>
        <v>-2813.3938658963666</v>
      </c>
      <c r="M13" s="66">
        <f t="shared" si="38"/>
        <v>-3174.2893612521334</v>
      </c>
      <c r="N13" s="66">
        <f t="shared" si="38"/>
        <v>-3546.7513083065169</v>
      </c>
      <c r="O13" s="66">
        <f t="shared" ref="O13:AA13" si="39">O66</f>
        <v>-3112.7214089956169</v>
      </c>
      <c r="P13" s="66">
        <f t="shared" si="39"/>
        <v>-2680.1414937166669</v>
      </c>
      <c r="Q13" s="66">
        <f t="shared" si="39"/>
        <v>-2248.719980905767</v>
      </c>
      <c r="R13" s="66">
        <f t="shared" si="39"/>
        <v>-1818.553198626817</v>
      </c>
      <c r="S13" s="66">
        <f t="shared" si="39"/>
        <v>-1389.3645848159169</v>
      </c>
      <c r="T13" s="66">
        <f t="shared" si="39"/>
        <v>-961.26298378696697</v>
      </c>
      <c r="U13" s="66">
        <f t="shared" si="39"/>
        <v>-533.98434972606685</v>
      </c>
      <c r="V13" s="66">
        <f t="shared" si="39"/>
        <v>-106.94913319711679</v>
      </c>
      <c r="W13" s="66">
        <f t="shared" si="39"/>
        <v>112.19733383333326</v>
      </c>
      <c r="X13" s="66">
        <f t="shared" si="39"/>
        <v>123.36683533333326</v>
      </c>
      <c r="Y13" s="66">
        <f t="shared" si="39"/>
        <v>134.53383358333326</v>
      </c>
      <c r="Z13" s="66">
        <f t="shared" si="39"/>
        <v>145.70333508333326</v>
      </c>
      <c r="AA13" s="66">
        <f t="shared" si="39"/>
        <v>156.87033333333326</v>
      </c>
      <c r="AB13" s="66"/>
      <c r="AC13" s="66"/>
      <c r="AD13" s="66"/>
      <c r="AE13" s="66"/>
      <c r="AF13" s="66"/>
      <c r="AG13" s="66"/>
      <c r="AH13" s="66"/>
      <c r="AI13" s="66"/>
      <c r="AJ13" s="66"/>
      <c r="AK13" s="66"/>
    </row>
    <row r="14" spans="1:37" s="50" customFormat="1">
      <c r="A14" s="59" t="s">
        <v>10</v>
      </c>
      <c r="B14" s="49"/>
      <c r="C14" s="4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</row>
    <row r="15" spans="1:37" s="50" customFormat="1">
      <c r="A15" s="59"/>
      <c r="B15" s="49"/>
      <c r="C15" s="4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69"/>
      <c r="V15" s="69"/>
      <c r="W15" s="69"/>
      <c r="X15" s="69"/>
      <c r="Y15" s="69"/>
      <c r="Z15" s="69"/>
      <c r="AA15" s="69"/>
      <c r="AB15" s="69"/>
      <c r="AC15" s="69"/>
      <c r="AD15" s="69"/>
      <c r="AE15" s="69"/>
      <c r="AF15" s="69"/>
      <c r="AG15" s="69"/>
      <c r="AH15" s="69"/>
      <c r="AI15" s="69"/>
      <c r="AJ15" s="69"/>
      <c r="AK15" s="69"/>
    </row>
    <row r="16" spans="1:37" s="21" customFormat="1" ht="18">
      <c r="A16" s="133" t="s">
        <v>39</v>
      </c>
      <c r="B16" s="134"/>
      <c r="C16" s="134">
        <f>C10-C11-C12-C13+C14</f>
        <v>172815.83045943565</v>
      </c>
      <c r="D16" s="134">
        <f t="shared" ref="D16:I16" si="40">D10-D11-D12-D13+D14</f>
        <v>157816.71340313696</v>
      </c>
      <c r="E16" s="134">
        <f t="shared" si="40"/>
        <v>143069.44862516862</v>
      </c>
      <c r="F16" s="134">
        <f t="shared" si="40"/>
        <v>128554.51989732057</v>
      </c>
      <c r="G16" s="134">
        <f t="shared" si="40"/>
        <v>114255.1990239841</v>
      </c>
      <c r="H16" s="134">
        <f>H10-H11-H12-H13+H14</f>
        <v>100154.75780955056</v>
      </c>
      <c r="I16" s="134">
        <f t="shared" si="40"/>
        <v>86238.791418912486</v>
      </c>
      <c r="J16" s="134">
        <f t="shared" ref="J16:N16" si="41">J10-J11-J12-J13+J14</f>
        <v>72492.89501696243</v>
      </c>
      <c r="K16" s="134">
        <f t="shared" si="41"/>
        <v>58774.878941026836</v>
      </c>
      <c r="L16" s="134">
        <f t="shared" si="41"/>
        <v>45057.327537191471</v>
      </c>
      <c r="M16" s="134">
        <f>M10-M11-M12-M13+M14</f>
        <v>31339.311461255871</v>
      </c>
      <c r="N16" s="134">
        <f t="shared" si="41"/>
        <v>22262.282241795492</v>
      </c>
      <c r="O16" s="134">
        <f t="shared" ref="O16:AA16" si="42">O10-O11-O12-O13+O14</f>
        <v>20098.839770739884</v>
      </c>
      <c r="P16" s="134">
        <f t="shared" si="42"/>
        <v>17942.624813369512</v>
      </c>
      <c r="Q16" s="134">
        <f t="shared" si="42"/>
        <v>15792.1839676489</v>
      </c>
      <c r="R16" s="134">
        <f t="shared" si="42"/>
        <v>13647.997385348528</v>
      </c>
      <c r="S16" s="134">
        <f t="shared" si="42"/>
        <v>11508.686529837918</v>
      </c>
      <c r="T16" s="134">
        <f t="shared" si="42"/>
        <v>9374.7939407250469</v>
      </c>
      <c r="U16" s="134">
        <f t="shared" si="42"/>
        <v>7245.0034692169365</v>
      </c>
      <c r="V16" s="134">
        <f t="shared" si="42"/>
        <v>5116.4263238590647</v>
      </c>
      <c r="W16" s="134">
        <f t="shared" si="42"/>
        <v>4024.0804396050094</v>
      </c>
      <c r="X16" s="134">
        <f t="shared" si="42"/>
        <v>3968.4055334200098</v>
      </c>
      <c r="Y16" s="134">
        <f t="shared" si="42"/>
        <v>3912.7431048025101</v>
      </c>
      <c r="Z16" s="134">
        <f t="shared" si="42"/>
        <v>3857.06819861751</v>
      </c>
      <c r="AA16" s="134">
        <f t="shared" si="42"/>
        <v>3801.4057700000094</v>
      </c>
      <c r="AB16" s="134"/>
      <c r="AC16" s="134"/>
      <c r="AD16" s="134"/>
      <c r="AE16" s="134"/>
      <c r="AF16" s="134"/>
      <c r="AG16" s="134"/>
      <c r="AH16" s="134"/>
      <c r="AI16" s="134"/>
      <c r="AJ16" s="134"/>
      <c r="AK16" s="134"/>
    </row>
    <row r="17" spans="1:37" s="50" customFormat="1" ht="19.5" customHeight="1">
      <c r="A17" s="59"/>
      <c r="B17" s="49"/>
      <c r="C17" s="49"/>
      <c r="D17" s="69"/>
      <c r="E17" s="69"/>
      <c r="F17" s="69"/>
      <c r="G17" s="69"/>
      <c r="H17" s="69"/>
      <c r="I17" s="69"/>
      <c r="J17" s="69"/>
      <c r="K17" s="69"/>
      <c r="L17" s="69"/>
      <c r="M17" s="69"/>
      <c r="N17" s="69"/>
      <c r="O17" s="69"/>
      <c r="P17" s="69"/>
      <c r="Q17" s="69"/>
      <c r="R17" s="69"/>
      <c r="S17" s="69"/>
      <c r="T17" s="69"/>
      <c r="U17" s="69"/>
      <c r="V17" s="69"/>
      <c r="W17" s="69"/>
      <c r="X17" s="69"/>
      <c r="Y17" s="69"/>
      <c r="Z17" s="69"/>
      <c r="AA17" s="69"/>
      <c r="AB17" s="69"/>
      <c r="AC17" s="69"/>
      <c r="AD17" s="69"/>
      <c r="AE17" s="69"/>
      <c r="AF17" s="69"/>
      <c r="AG17" s="69"/>
      <c r="AH17" s="69"/>
      <c r="AI17" s="69"/>
      <c r="AJ17" s="69"/>
      <c r="AK17" s="69"/>
    </row>
    <row r="18" spans="1:37" s="50" customFormat="1" ht="13">
      <c r="A18" s="17" t="s">
        <v>109</v>
      </c>
      <c r="C18" s="71"/>
      <c r="D18" s="71"/>
      <c r="E18" s="184"/>
      <c r="F18" s="184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</row>
    <row r="19" spans="1:37" s="50" customFormat="1" ht="16.5" customHeight="1">
      <c r="A19" s="67" t="s">
        <v>184</v>
      </c>
      <c r="B19" s="123">
        <f>Input!B22</f>
        <v>8.3333333333333329E-2</v>
      </c>
      <c r="C19" s="72">
        <f>IF(C3-$C$3&lt;Input!$B$21,C6*$B$19,0)</f>
        <v>15516.916666666666</v>
      </c>
      <c r="D19" s="72">
        <f>IF(D3-$C$3&lt;Input!$B$21,D6*$B$19,0)</f>
        <v>15516.916666666666</v>
      </c>
      <c r="E19" s="72">
        <f>IF(E3-$C$3&lt;Input!$B$21,E6*$B$19,0)</f>
        <v>15516.916666666666</v>
      </c>
      <c r="F19" s="72">
        <f>IF(F3-$C$3&lt;Input!$B$21,F6*$B$19,0)</f>
        <v>15516.916666666666</v>
      </c>
      <c r="G19" s="72">
        <f>IF(G3-$C$3&lt;Input!$B$21,G6*$B$19,0)</f>
        <v>15516.916666666666</v>
      </c>
      <c r="H19" s="72">
        <f>IF(H3-$C$3&lt;Input!$B$21,H6*$B$19,0)</f>
        <v>15516.916666666666</v>
      </c>
      <c r="I19" s="72">
        <f>IF(I3-$C$3&lt;Input!$B$21,I6*$B$19,0)</f>
        <v>15516.916666666666</v>
      </c>
      <c r="J19" s="72">
        <f>IF(J3-$C$3&lt;Input!$B$21,J6*$B$19,0)</f>
        <v>15516.916666666666</v>
      </c>
      <c r="K19" s="72">
        <f>IF(K3-$C$3&lt;Input!$B$21,K6*$B$19,0)</f>
        <v>15516.916666666666</v>
      </c>
      <c r="L19" s="72">
        <f>IF(L3-$C$3&lt;Input!$B$21,L6*$B$19,0)</f>
        <v>15516.916666666666</v>
      </c>
      <c r="M19" s="72">
        <f>IF(M3-$C$3&lt;Input!$B$21,M6*$B$19,0)</f>
        <v>15516.916666666666</v>
      </c>
      <c r="N19" s="72">
        <f>IF(N3-$C$3&lt;Input!$B$21,N6*$B$19,0)</f>
        <v>15933.583333333332</v>
      </c>
      <c r="O19" s="72">
        <f>IF(O3-$C$3&lt;Input!$B$21,O6*$B$19,0)</f>
        <v>0</v>
      </c>
      <c r="P19" s="72">
        <f>IF(P3-$C$3&lt;Input!$B$21,P6*$B$19,0)</f>
        <v>0</v>
      </c>
      <c r="Q19" s="72">
        <f>IF(Q3-$C$3&lt;Input!$B$21,Q6*$B$19,0)</f>
        <v>0</v>
      </c>
      <c r="R19" s="72">
        <f>IF(R3-$C$3&lt;Input!$B$21,R6*$B$19,0)</f>
        <v>0</v>
      </c>
      <c r="S19" s="72">
        <f>IF(S3-$C$3&lt;Input!$B$21,S6*$B$19,0)</f>
        <v>0</v>
      </c>
      <c r="T19" s="72">
        <f>IF(T3-$C$3&lt;Input!$B$21,T6*$B$19,0)</f>
        <v>0</v>
      </c>
      <c r="U19" s="72">
        <f>IF(U3-$C$3&lt;Input!$B$21,U6*$B$19,0)</f>
        <v>0</v>
      </c>
      <c r="V19" s="72">
        <f>IF(V3-$C$3&lt;Input!$B$21,V6*$B$19,0)</f>
        <v>0</v>
      </c>
      <c r="W19" s="72">
        <f>IF(W3-$C$3&lt;Input!$B$21,W6*$B$19,0)</f>
        <v>0</v>
      </c>
      <c r="X19" s="72">
        <f>IF(X3-$C$3&lt;Input!$B$21,X6*$B$19,0)</f>
        <v>0</v>
      </c>
      <c r="Y19" s="72">
        <f>IF(Y3-$C$3&lt;Input!$B$21,Y6*$B$19,0)</f>
        <v>0</v>
      </c>
      <c r="Z19" s="72">
        <f>IF(Z3-$C$3&lt;Input!$B$21,Z6*$B$19,0)</f>
        <v>0</v>
      </c>
      <c r="AA19" s="72">
        <f>IF(AA3-$C$3&lt;Input!$B$21,AA6*$B$19,0)</f>
        <v>0</v>
      </c>
      <c r="AB19" s="72"/>
      <c r="AC19" s="72"/>
      <c r="AD19" s="72"/>
      <c r="AE19" s="72"/>
      <c r="AF19" s="72"/>
      <c r="AG19" s="72"/>
      <c r="AH19" s="72"/>
      <c r="AI19" s="72"/>
      <c r="AJ19" s="72"/>
      <c r="AK19" s="72"/>
    </row>
    <row r="20" spans="1:37" s="50" customFormat="1">
      <c r="A20" s="67" t="s">
        <v>185</v>
      </c>
      <c r="B20" s="123"/>
      <c r="C20" s="72">
        <f>C19</f>
        <v>15516.916666666666</v>
      </c>
      <c r="D20" s="69">
        <f t="shared" ref="D20:N20" si="43">C20+D19</f>
        <v>31033.833333333332</v>
      </c>
      <c r="E20" s="69">
        <f t="shared" si="43"/>
        <v>46550.75</v>
      </c>
      <c r="F20" s="69">
        <f t="shared" si="43"/>
        <v>62067.666666666664</v>
      </c>
      <c r="G20" s="69">
        <f t="shared" si="43"/>
        <v>77584.583333333328</v>
      </c>
      <c r="H20" s="69">
        <f t="shared" si="43"/>
        <v>93101.5</v>
      </c>
      <c r="I20" s="69">
        <f t="shared" si="43"/>
        <v>108618.41666666667</v>
      </c>
      <c r="J20" s="69">
        <f t="shared" si="43"/>
        <v>124135.33333333334</v>
      </c>
      <c r="K20" s="69">
        <f t="shared" si="43"/>
        <v>139652.25</v>
      </c>
      <c r="L20" s="69">
        <f t="shared" si="43"/>
        <v>155169.16666666666</v>
      </c>
      <c r="M20" s="69">
        <f t="shared" si="43"/>
        <v>170686.08333333331</v>
      </c>
      <c r="N20" s="69">
        <f t="shared" si="43"/>
        <v>186619.66666666666</v>
      </c>
      <c r="O20" s="69">
        <f t="shared" ref="O20" si="44">N20+O19</f>
        <v>186619.66666666666</v>
      </c>
      <c r="P20" s="69">
        <f t="shared" ref="P20" si="45">O20+P19</f>
        <v>186619.66666666666</v>
      </c>
      <c r="Q20" s="69">
        <f t="shared" ref="Q20" si="46">P20+Q19</f>
        <v>186619.66666666666</v>
      </c>
      <c r="R20" s="69">
        <f t="shared" ref="R20" si="47">Q20+R19</f>
        <v>186619.66666666666</v>
      </c>
      <c r="S20" s="69">
        <f t="shared" ref="S20" si="48">R20+S19</f>
        <v>186619.66666666666</v>
      </c>
      <c r="T20" s="69">
        <f t="shared" ref="T20" si="49">S20+T19</f>
        <v>186619.66666666666</v>
      </c>
      <c r="U20" s="69">
        <f t="shared" ref="U20" si="50">T20+U19</f>
        <v>186619.66666666666</v>
      </c>
      <c r="V20" s="69">
        <f t="shared" ref="V20" si="51">U20+V19</f>
        <v>186619.66666666666</v>
      </c>
      <c r="W20" s="69">
        <f t="shared" ref="W20" si="52">V20+W19</f>
        <v>186619.66666666666</v>
      </c>
      <c r="X20" s="69">
        <f t="shared" ref="X20" si="53">W20+X19</f>
        <v>186619.66666666666</v>
      </c>
      <c r="Y20" s="69">
        <f t="shared" ref="Y20" si="54">X20+Y19</f>
        <v>186619.66666666666</v>
      </c>
      <c r="Z20" s="69">
        <f t="shared" ref="Z20" si="55">Y20+Z19</f>
        <v>186619.66666666666</v>
      </c>
      <c r="AA20" s="69">
        <f t="shared" ref="AA20" si="56">Z20+AA19</f>
        <v>186619.66666666666</v>
      </c>
      <c r="AB20" s="69"/>
      <c r="AC20" s="69"/>
      <c r="AD20" s="69"/>
      <c r="AE20" s="69"/>
      <c r="AF20" s="69"/>
      <c r="AG20" s="69"/>
      <c r="AH20" s="69"/>
      <c r="AI20" s="69"/>
      <c r="AJ20" s="69"/>
      <c r="AK20" s="69"/>
    </row>
    <row r="22" spans="1:37" s="50" customFormat="1" ht="13">
      <c r="A22" s="67"/>
      <c r="B22" s="19"/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</row>
    <row r="23" spans="1:37" s="50" customFormat="1" ht="13">
      <c r="A23" s="18" t="s">
        <v>2</v>
      </c>
      <c r="B23" s="20"/>
      <c r="C23" s="73"/>
      <c r="D23" s="70"/>
    </row>
    <row r="24" spans="1:37" s="50" customFormat="1">
      <c r="A24" s="67" t="s">
        <v>131</v>
      </c>
      <c r="B24" s="49"/>
      <c r="C24" s="49">
        <f t="shared" ref="C24:I24" si="57">C4</f>
        <v>28917</v>
      </c>
      <c r="D24" s="49">
        <f>D4</f>
        <v>0</v>
      </c>
      <c r="E24" s="49">
        <f t="shared" si="57"/>
        <v>0</v>
      </c>
      <c r="F24" s="49">
        <f t="shared" si="57"/>
        <v>0</v>
      </c>
      <c r="G24" s="49">
        <f t="shared" si="57"/>
        <v>0</v>
      </c>
      <c r="H24" s="49">
        <f t="shared" si="57"/>
        <v>0</v>
      </c>
      <c r="I24" s="49">
        <f t="shared" si="57"/>
        <v>0</v>
      </c>
      <c r="J24" s="49">
        <f t="shared" ref="J24:N24" si="58">J4</f>
        <v>0</v>
      </c>
      <c r="K24" s="49">
        <f t="shared" si="58"/>
        <v>0</v>
      </c>
      <c r="L24" s="49">
        <f t="shared" si="58"/>
        <v>0</v>
      </c>
      <c r="M24" s="49">
        <f t="shared" si="58"/>
        <v>0</v>
      </c>
      <c r="N24" s="49">
        <f t="shared" si="58"/>
        <v>5000</v>
      </c>
      <c r="O24" s="49">
        <f t="shared" ref="O24:AA24" si="59">O4</f>
        <v>0</v>
      </c>
      <c r="P24" s="49">
        <f t="shared" si="59"/>
        <v>0</v>
      </c>
      <c r="Q24" s="49">
        <f t="shared" si="59"/>
        <v>0</v>
      </c>
      <c r="R24" s="49">
        <f t="shared" si="59"/>
        <v>0</v>
      </c>
      <c r="S24" s="49">
        <f t="shared" si="59"/>
        <v>0</v>
      </c>
      <c r="T24" s="49">
        <f t="shared" si="59"/>
        <v>0</v>
      </c>
      <c r="U24" s="49">
        <f t="shared" si="59"/>
        <v>0</v>
      </c>
      <c r="V24" s="49">
        <f t="shared" si="59"/>
        <v>0</v>
      </c>
      <c r="W24" s="49">
        <f t="shared" si="59"/>
        <v>0</v>
      </c>
      <c r="X24" s="49">
        <f t="shared" si="59"/>
        <v>0</v>
      </c>
      <c r="Y24" s="49">
        <f t="shared" si="59"/>
        <v>0</v>
      </c>
      <c r="Z24" s="49">
        <f t="shared" si="59"/>
        <v>0</v>
      </c>
      <c r="AA24" s="49">
        <f t="shared" si="59"/>
        <v>0</v>
      </c>
      <c r="AB24" s="49"/>
      <c r="AC24" s="49"/>
      <c r="AD24" s="49"/>
      <c r="AE24" s="49"/>
      <c r="AF24" s="49"/>
      <c r="AG24" s="49"/>
      <c r="AH24" s="49"/>
      <c r="AI24" s="49"/>
      <c r="AJ24" s="49"/>
      <c r="AK24" s="49"/>
    </row>
    <row r="25" spans="1:37" s="50" customFormat="1">
      <c r="A25" s="67" t="s">
        <v>132</v>
      </c>
      <c r="B25" s="49"/>
      <c r="C25" s="49">
        <f>B6</f>
        <v>157286</v>
      </c>
      <c r="D25" s="49">
        <f>IF(D26=1,$B$5,0)</f>
        <v>0</v>
      </c>
      <c r="E25" s="49">
        <f>IF(E26=1,$B$5,0)</f>
        <v>0</v>
      </c>
      <c r="F25" s="49">
        <f>IF(F26=1,$B$5,0)</f>
        <v>0</v>
      </c>
      <c r="G25" s="49">
        <f>IF(G26=1,$B$5,0)</f>
        <v>0</v>
      </c>
      <c r="H25" s="49">
        <f t="shared" ref="H25:AA25" si="60">IF(H26=1,$B$5,0)</f>
        <v>0</v>
      </c>
      <c r="I25" s="49">
        <f t="shared" si="60"/>
        <v>0</v>
      </c>
      <c r="J25" s="49">
        <f t="shared" si="60"/>
        <v>0</v>
      </c>
      <c r="K25" s="49">
        <f t="shared" si="60"/>
        <v>0</v>
      </c>
      <c r="L25" s="49">
        <f t="shared" si="60"/>
        <v>0</v>
      </c>
      <c r="M25" s="49">
        <f t="shared" si="60"/>
        <v>0</v>
      </c>
      <c r="N25" s="49">
        <f t="shared" si="60"/>
        <v>0</v>
      </c>
      <c r="O25" s="49">
        <f t="shared" si="60"/>
        <v>0</v>
      </c>
      <c r="P25" s="49">
        <f t="shared" si="60"/>
        <v>0</v>
      </c>
      <c r="Q25" s="49">
        <f t="shared" si="60"/>
        <v>0</v>
      </c>
      <c r="R25" s="49">
        <f t="shared" si="60"/>
        <v>0</v>
      </c>
      <c r="S25" s="49">
        <f t="shared" si="60"/>
        <v>0</v>
      </c>
      <c r="T25" s="49">
        <f t="shared" si="60"/>
        <v>0</v>
      </c>
      <c r="U25" s="49">
        <f t="shared" si="60"/>
        <v>0</v>
      </c>
      <c r="V25" s="49">
        <f t="shared" si="60"/>
        <v>0</v>
      </c>
      <c r="W25" s="49">
        <f t="shared" si="60"/>
        <v>0</v>
      </c>
      <c r="X25" s="49">
        <f t="shared" si="60"/>
        <v>0</v>
      </c>
      <c r="Y25" s="49">
        <f t="shared" si="60"/>
        <v>0</v>
      </c>
      <c r="Z25" s="49">
        <f t="shared" si="60"/>
        <v>0</v>
      </c>
      <c r="AA25" s="49">
        <f t="shared" si="60"/>
        <v>0</v>
      </c>
      <c r="AB25" s="49"/>
      <c r="AC25" s="49"/>
      <c r="AD25" s="49"/>
      <c r="AE25" s="49"/>
      <c r="AF25" s="49"/>
      <c r="AG25" s="49"/>
      <c r="AH25" s="49"/>
      <c r="AI25" s="49"/>
      <c r="AJ25" s="49"/>
      <c r="AK25" s="49"/>
    </row>
    <row r="26" spans="1:37" s="50" customFormat="1">
      <c r="A26" s="74" t="s">
        <v>11</v>
      </c>
      <c r="B26" s="74"/>
      <c r="C26" s="74">
        <v>1</v>
      </c>
      <c r="D26" s="74">
        <v>2</v>
      </c>
      <c r="E26" s="74">
        <v>3</v>
      </c>
      <c r="F26" s="74">
        <v>4</v>
      </c>
      <c r="G26" s="74">
        <v>5</v>
      </c>
      <c r="H26" s="74">
        <v>6</v>
      </c>
      <c r="I26" s="74">
        <v>7</v>
      </c>
      <c r="J26" s="74">
        <v>8</v>
      </c>
      <c r="K26" s="74">
        <v>9</v>
      </c>
      <c r="L26" s="74">
        <v>10</v>
      </c>
      <c r="M26" s="74">
        <v>11</v>
      </c>
      <c r="N26" s="74">
        <v>12</v>
      </c>
      <c r="O26" s="74">
        <v>13</v>
      </c>
      <c r="P26" s="74">
        <v>14</v>
      </c>
      <c r="Q26" s="74">
        <v>15</v>
      </c>
      <c r="R26" s="74">
        <v>16</v>
      </c>
      <c r="S26" s="74">
        <v>17</v>
      </c>
      <c r="T26" s="74">
        <v>18</v>
      </c>
      <c r="U26" s="74">
        <v>19</v>
      </c>
      <c r="V26" s="74">
        <v>20</v>
      </c>
      <c r="W26" s="74">
        <v>21</v>
      </c>
      <c r="X26" s="74">
        <v>22</v>
      </c>
      <c r="Y26" s="74">
        <v>23</v>
      </c>
      <c r="Z26" s="74">
        <v>24</v>
      </c>
      <c r="AA26" s="74">
        <v>25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</row>
    <row r="27" spans="1:37" s="50" customFormat="1">
      <c r="A27" s="74" t="s">
        <v>1</v>
      </c>
      <c r="B27" s="113" t="str">
        <f>Input!B33</f>
        <v>20  YR MACRS</v>
      </c>
      <c r="C27" s="114" cm="1">
        <f t="array" ref="C27">_xlfn.XLOOKUP($B$27,MACRS!$B$1:$G$1,_xlfn.XLOOKUP('Rate Base - coal'!C26,MACRS!$A$2:$A$22,MACRS!$B$2:$G$22))</f>
        <v>3.7499999999999999E-2</v>
      </c>
      <c r="D27" s="114" cm="1">
        <f t="array" ref="D27">_xlfn.XLOOKUP($B$27,MACRS!$B$1:$G$1,_xlfn.XLOOKUP('Rate Base - coal'!D26,MACRS!$A$2:$A$22,MACRS!$B$2:$G$22))</f>
        <v>7.2190000000000004E-2</v>
      </c>
      <c r="E27" s="114" cm="1">
        <f t="array" ref="E27">_xlfn.XLOOKUP($B$27,MACRS!$B$1:$G$1,_xlfn.XLOOKUP('Rate Base - coal'!E26,MACRS!$A$2:$A$22,MACRS!$B$2:$G$22))</f>
        <v>6.6769999999999996E-2</v>
      </c>
      <c r="F27" s="114" cm="1">
        <f t="array" ref="F27">_xlfn.XLOOKUP($B$27,MACRS!$B$1:$G$1,_xlfn.XLOOKUP('Rate Base - coal'!F26,MACRS!$A$2:$A$22,MACRS!$B$2:$G$22))</f>
        <v>6.1769999999999999E-2</v>
      </c>
      <c r="G27" s="114" cm="1">
        <f t="array" ref="G27">_xlfn.XLOOKUP($B$27,MACRS!$B$1:$G$1,_xlfn.XLOOKUP('Rate Base - coal'!G26,MACRS!$A$2:$A$22,MACRS!$B$2:$G$22))</f>
        <v>5.713E-2</v>
      </c>
      <c r="H27" s="114" cm="1">
        <f t="array" ref="H27">_xlfn.XLOOKUP($B$27,MACRS!$B$1:$G$1,_xlfn.XLOOKUP('Rate Base - coal'!H26,MACRS!$A$2:$A$22,MACRS!$B$2:$G$22))</f>
        <v>5.2850000000000001E-2</v>
      </c>
      <c r="I27" s="114" cm="1">
        <f t="array" ref="I27">_xlfn.XLOOKUP($B$27,MACRS!$B$1:$G$1,_xlfn.XLOOKUP('Rate Base - coal'!I26,MACRS!$A$2:$A$22,MACRS!$B$2:$G$22))</f>
        <v>4.888E-2</v>
      </c>
      <c r="J27" s="114" cm="1">
        <f t="array" ref="J27">_xlfn.XLOOKUP($B$27,MACRS!$B$1:$G$1,_xlfn.XLOOKUP('Rate Base - coal'!J26,MACRS!$A$2:$A$22,MACRS!$B$2:$G$22))</f>
        <v>4.5220000000000003E-2</v>
      </c>
      <c r="K27" s="114" cm="1">
        <f t="array" ref="K27">_xlfn.XLOOKUP($B$27,MACRS!$B$1:$G$1,_xlfn.XLOOKUP('Rate Base - coal'!K26,MACRS!$A$2:$A$22,MACRS!$B$2:$G$22))</f>
        <v>4.462E-2</v>
      </c>
      <c r="L27" s="114" cm="1">
        <f t="array" ref="L27">_xlfn.XLOOKUP($B$27,MACRS!$B$1:$G$1,_xlfn.XLOOKUP('Rate Base - coal'!L26,MACRS!$A$2:$A$22,MACRS!$B$2:$G$22))</f>
        <v>4.4609999999999997E-2</v>
      </c>
      <c r="M27" s="114" cm="1">
        <f t="array" ref="M27">_xlfn.XLOOKUP($B$27,MACRS!$B$1:$G$1,_xlfn.XLOOKUP('Rate Base - coal'!M26,MACRS!$A$2:$A$22,MACRS!$B$2:$G$22))</f>
        <v>4.462E-2</v>
      </c>
      <c r="N27" s="195" cm="1">
        <f t="array" ref="N27">_xlfn.XLOOKUP($B$27,MACRS!$B$1:$G$1,_xlfn.XLOOKUP('Rate Base - coal'!N26,MACRS!$A$2:$A$22,MACRS!$B$2:$G$22))</f>
        <v>4.4609999999999997E-2</v>
      </c>
      <c r="O27" s="195" cm="1">
        <f t="array" ref="O27">_xlfn.XLOOKUP($B$27,MACRS!$B$1:$G$1,_xlfn.XLOOKUP('Rate Base - coal'!O26,MACRS!$A$2:$A$22,MACRS!$B$2:$G$22))</f>
        <v>4.462E-2</v>
      </c>
      <c r="P27" s="195" cm="1">
        <f t="array" ref="P27">_xlfn.XLOOKUP($B$27,MACRS!$B$1:$G$1,_xlfn.XLOOKUP('Rate Base - coal'!P26,MACRS!$A$2:$A$22,MACRS!$B$2:$G$22))</f>
        <v>4.4609999999999997E-2</v>
      </c>
      <c r="Q27" s="195" cm="1">
        <f t="array" ref="Q27">_xlfn.XLOOKUP($B$27,MACRS!$B$1:$G$1,_xlfn.XLOOKUP('Rate Base - coal'!Q26,MACRS!$A$2:$A$22,MACRS!$B$2:$G$22))</f>
        <v>4.462E-2</v>
      </c>
      <c r="R27" s="195" cm="1">
        <f t="array" ref="R27">_xlfn.XLOOKUP($B$27,MACRS!$B$1:$G$1,_xlfn.XLOOKUP('Rate Base - coal'!R26,MACRS!$A$2:$A$22,MACRS!$B$2:$G$22))</f>
        <v>4.4609999999999997E-2</v>
      </c>
      <c r="S27" s="195" cm="1">
        <f t="array" ref="S27">_xlfn.XLOOKUP($B$27,MACRS!$B$1:$G$1,_xlfn.XLOOKUP('Rate Base - coal'!S26,MACRS!$A$2:$A$22,MACRS!$B$2:$G$22))</f>
        <v>4.462E-2</v>
      </c>
      <c r="T27" s="195" cm="1">
        <f t="array" ref="T27">_xlfn.XLOOKUP($B$27,MACRS!$B$1:$G$1,_xlfn.XLOOKUP('Rate Base - coal'!T26,MACRS!$A$2:$A$22,MACRS!$B$2:$G$22))</f>
        <v>4.4609999999999997E-2</v>
      </c>
      <c r="U27" s="195" cm="1">
        <f t="array" ref="U27">_xlfn.XLOOKUP($B$27,MACRS!$B$1:$G$1,_xlfn.XLOOKUP('Rate Base - coal'!U26,MACRS!$A$2:$A$22,MACRS!$B$2:$G$22))</f>
        <v>4.462E-2</v>
      </c>
      <c r="V27" s="195" cm="1">
        <f t="array" ref="V27">_xlfn.XLOOKUP($B$27,MACRS!$B$1:$G$1,_xlfn.XLOOKUP('Rate Base - coal'!V26,MACRS!$A$2:$A$22,MACRS!$B$2:$G$22))</f>
        <v>4.4609999999999997E-2</v>
      </c>
      <c r="W27" s="195" cm="1">
        <f t="array" ref="W27">_xlfn.XLOOKUP($B$27,MACRS!$B$1:$G$1,_xlfn.XLOOKUP('Rate Base - coal'!W26,MACRS!$A$2:$A$22,MACRS!$B$2:$G$22))</f>
        <v>2.231E-2</v>
      </c>
      <c r="X27" s="195">
        <v>0</v>
      </c>
      <c r="Y27" s="195">
        <v>0</v>
      </c>
      <c r="Z27" s="195">
        <v>0</v>
      </c>
      <c r="AA27" s="195">
        <v>0</v>
      </c>
      <c r="AB27" s="114"/>
      <c r="AC27" s="114"/>
      <c r="AD27" s="114"/>
      <c r="AE27" s="114"/>
      <c r="AF27" s="114"/>
      <c r="AG27" s="114"/>
      <c r="AH27" s="114"/>
      <c r="AI27" s="114"/>
      <c r="AJ27" s="114"/>
      <c r="AK27" s="114"/>
    </row>
    <row r="28" spans="1:37" s="50" customFormat="1">
      <c r="A28" s="74" t="s">
        <v>71</v>
      </c>
      <c r="B28" s="74"/>
      <c r="C28" s="69">
        <f>($C$25+$C$24)*C$27</f>
        <v>6982.6125000000002</v>
      </c>
      <c r="D28" s="69">
        <f t="shared" ref="D28:AA28" si="61">($C$25+$C$24)*D$27</f>
        <v>13441.994570000001</v>
      </c>
      <c r="E28" s="69">
        <f t="shared" si="61"/>
        <v>12432.774309999999</v>
      </c>
      <c r="F28" s="69">
        <f t="shared" si="61"/>
        <v>11501.759309999999</v>
      </c>
      <c r="G28" s="69">
        <f t="shared" si="61"/>
        <v>10637.777389999999</v>
      </c>
      <c r="H28" s="69">
        <f t="shared" si="61"/>
        <v>9840.8285500000002</v>
      </c>
      <c r="I28" s="69">
        <f t="shared" si="61"/>
        <v>9101.6026399999992</v>
      </c>
      <c r="J28" s="69">
        <f t="shared" si="61"/>
        <v>8420.0996599999999</v>
      </c>
      <c r="K28" s="69">
        <f t="shared" si="61"/>
        <v>8308.3778600000005</v>
      </c>
      <c r="L28" s="69">
        <f t="shared" si="61"/>
        <v>8306.5158300000003</v>
      </c>
      <c r="M28" s="69">
        <f t="shared" si="61"/>
        <v>8308.3778600000005</v>
      </c>
      <c r="N28" s="69">
        <f t="shared" si="61"/>
        <v>8306.5158300000003</v>
      </c>
      <c r="O28" s="69">
        <f t="shared" si="61"/>
        <v>8308.3778600000005</v>
      </c>
      <c r="P28" s="69">
        <f t="shared" si="61"/>
        <v>8306.5158300000003</v>
      </c>
      <c r="Q28" s="69">
        <f t="shared" si="61"/>
        <v>8308.3778600000005</v>
      </c>
      <c r="R28" s="69">
        <f t="shared" si="61"/>
        <v>8306.5158300000003</v>
      </c>
      <c r="S28" s="69">
        <f t="shared" si="61"/>
        <v>8308.3778600000005</v>
      </c>
      <c r="T28" s="69">
        <f t="shared" si="61"/>
        <v>8306.5158300000003</v>
      </c>
      <c r="U28" s="69">
        <f t="shared" si="61"/>
        <v>8308.3778600000005</v>
      </c>
      <c r="V28" s="69">
        <f t="shared" si="61"/>
        <v>8306.5158300000003</v>
      </c>
      <c r="W28" s="69">
        <f t="shared" si="61"/>
        <v>4154.1889300000003</v>
      </c>
      <c r="X28" s="69">
        <f t="shared" si="61"/>
        <v>0</v>
      </c>
      <c r="Y28" s="69">
        <f t="shared" si="61"/>
        <v>0</v>
      </c>
      <c r="Z28" s="69">
        <f t="shared" si="61"/>
        <v>0</v>
      </c>
      <c r="AA28" s="69">
        <f t="shared" si="61"/>
        <v>0</v>
      </c>
      <c r="AB28" s="69"/>
      <c r="AC28" s="69"/>
      <c r="AD28" s="69"/>
      <c r="AE28" s="69"/>
      <c r="AF28" s="69"/>
      <c r="AG28" s="69"/>
      <c r="AH28" s="69"/>
      <c r="AI28" s="69"/>
      <c r="AJ28" s="69"/>
      <c r="AK28" s="69"/>
    </row>
    <row r="29" spans="1:37" s="50" customFormat="1">
      <c r="A29" s="74" t="s">
        <v>72</v>
      </c>
      <c r="B29" s="74"/>
      <c r="C29" s="67"/>
      <c r="D29" s="69">
        <f>($D$24*C$27)</f>
        <v>0</v>
      </c>
      <c r="E29" s="69">
        <f t="shared" ref="E29:N29" si="62">($D$24*D$27)</f>
        <v>0</v>
      </c>
      <c r="F29" s="69">
        <f t="shared" si="62"/>
        <v>0</v>
      </c>
      <c r="G29" s="69">
        <f t="shared" si="62"/>
        <v>0</v>
      </c>
      <c r="H29" s="69">
        <f t="shared" si="62"/>
        <v>0</v>
      </c>
      <c r="I29" s="69">
        <f t="shared" si="62"/>
        <v>0</v>
      </c>
      <c r="J29" s="69">
        <f t="shared" si="62"/>
        <v>0</v>
      </c>
      <c r="K29" s="69">
        <f t="shared" si="62"/>
        <v>0</v>
      </c>
      <c r="L29" s="69">
        <f t="shared" si="62"/>
        <v>0</v>
      </c>
      <c r="M29" s="69">
        <f t="shared" si="62"/>
        <v>0</v>
      </c>
      <c r="N29" s="69">
        <f t="shared" si="62"/>
        <v>0</v>
      </c>
      <c r="O29" s="69">
        <f t="shared" ref="O29" si="63">($D$24*N$27)</f>
        <v>0</v>
      </c>
      <c r="P29" s="69">
        <f t="shared" ref="P29" si="64">($D$24*O$27)</f>
        <v>0</v>
      </c>
      <c r="Q29" s="69">
        <f t="shared" ref="Q29" si="65">($D$24*P$27)</f>
        <v>0</v>
      </c>
      <c r="R29" s="69">
        <f t="shared" ref="R29" si="66">($D$24*Q$27)</f>
        <v>0</v>
      </c>
      <c r="S29" s="69">
        <f t="shared" ref="S29" si="67">($D$24*R$27)</f>
        <v>0</v>
      </c>
      <c r="T29" s="69">
        <f t="shared" ref="T29" si="68">($D$24*S$27)</f>
        <v>0</v>
      </c>
      <c r="U29" s="69">
        <f t="shared" ref="U29" si="69">($D$24*T$27)</f>
        <v>0</v>
      </c>
      <c r="V29" s="69">
        <f t="shared" ref="V29" si="70">($D$24*U$27)</f>
        <v>0</v>
      </c>
      <c r="W29" s="69">
        <f t="shared" ref="W29" si="71">($D$24*V$27)</f>
        <v>0</v>
      </c>
      <c r="X29" s="69">
        <f t="shared" ref="X29" si="72">($D$24*W$27)</f>
        <v>0</v>
      </c>
      <c r="Y29" s="69">
        <f t="shared" ref="Y29" si="73">($D$24*X$27)</f>
        <v>0</v>
      </c>
      <c r="Z29" s="69">
        <f t="shared" ref="Z29" si="74">($D$24*Y$27)</f>
        <v>0</v>
      </c>
      <c r="AA29" s="69">
        <f t="shared" ref="AA29" si="75">($D$24*Z$27)</f>
        <v>0</v>
      </c>
      <c r="AB29" s="69"/>
      <c r="AC29" s="69"/>
      <c r="AD29" s="69"/>
      <c r="AE29" s="69"/>
      <c r="AF29" s="69"/>
      <c r="AG29" s="69"/>
      <c r="AH29" s="69"/>
      <c r="AI29" s="69"/>
      <c r="AJ29" s="69"/>
      <c r="AK29" s="69"/>
    </row>
    <row r="30" spans="1:37" s="50" customFormat="1">
      <c r="A30" s="74" t="s">
        <v>73</v>
      </c>
      <c r="B30" s="74"/>
      <c r="C30" s="67"/>
      <c r="D30" s="75"/>
      <c r="E30" s="69">
        <f t="shared" ref="E30:N30" si="76">$E$24*C27</f>
        <v>0</v>
      </c>
      <c r="F30" s="69">
        <f t="shared" si="76"/>
        <v>0</v>
      </c>
      <c r="G30" s="69">
        <f t="shared" si="76"/>
        <v>0</v>
      </c>
      <c r="H30" s="69">
        <f t="shared" si="76"/>
        <v>0</v>
      </c>
      <c r="I30" s="69">
        <f t="shared" si="76"/>
        <v>0</v>
      </c>
      <c r="J30" s="69">
        <f t="shared" si="76"/>
        <v>0</v>
      </c>
      <c r="K30" s="69">
        <f t="shared" si="76"/>
        <v>0</v>
      </c>
      <c r="L30" s="69">
        <f t="shared" si="76"/>
        <v>0</v>
      </c>
      <c r="M30" s="69">
        <f t="shared" si="76"/>
        <v>0</v>
      </c>
      <c r="N30" s="69">
        <f t="shared" si="76"/>
        <v>0</v>
      </c>
      <c r="O30" s="69">
        <f t="shared" ref="O30" si="77">$E$24*M27</f>
        <v>0</v>
      </c>
      <c r="P30" s="69">
        <f t="shared" ref="P30" si="78">$E$24*N27</f>
        <v>0</v>
      </c>
      <c r="Q30" s="69">
        <f t="shared" ref="Q30" si="79">$E$24*O27</f>
        <v>0</v>
      </c>
      <c r="R30" s="69">
        <f t="shared" ref="R30" si="80">$E$24*P27</f>
        <v>0</v>
      </c>
      <c r="S30" s="69">
        <f t="shared" ref="S30" si="81">$E$24*Q27</f>
        <v>0</v>
      </c>
      <c r="T30" s="69">
        <f t="shared" ref="T30" si="82">$E$24*R27</f>
        <v>0</v>
      </c>
      <c r="U30" s="69">
        <f t="shared" ref="U30" si="83">$E$24*S27</f>
        <v>0</v>
      </c>
      <c r="V30" s="69">
        <f t="shared" ref="V30" si="84">$E$24*T27</f>
        <v>0</v>
      </c>
      <c r="W30" s="69">
        <f t="shared" ref="W30" si="85">$E$24*U27</f>
        <v>0</v>
      </c>
      <c r="X30" s="69">
        <f t="shared" ref="X30" si="86">$E$24*V27</f>
        <v>0</v>
      </c>
      <c r="Y30" s="69">
        <f t="shared" ref="Y30" si="87">$E$24*W27</f>
        <v>0</v>
      </c>
      <c r="Z30" s="69">
        <f t="shared" ref="Z30" si="88">$E$24*X27</f>
        <v>0</v>
      </c>
      <c r="AA30" s="69">
        <f t="shared" ref="AA30" si="89">$E$24*Y27</f>
        <v>0</v>
      </c>
      <c r="AB30" s="69"/>
      <c r="AC30" s="69"/>
      <c r="AD30" s="69"/>
      <c r="AE30" s="69"/>
      <c r="AF30" s="69"/>
      <c r="AG30" s="69"/>
      <c r="AH30" s="69"/>
      <c r="AI30" s="69"/>
      <c r="AJ30" s="69"/>
      <c r="AK30" s="69"/>
    </row>
    <row r="31" spans="1:37" s="50" customFormat="1">
      <c r="A31" s="74" t="s">
        <v>74</v>
      </c>
      <c r="B31" s="74"/>
      <c r="C31" s="76"/>
      <c r="D31" s="77"/>
      <c r="E31" s="75"/>
      <c r="F31" s="69">
        <f t="shared" ref="F31:N31" si="90">$F$24*C27</f>
        <v>0</v>
      </c>
      <c r="G31" s="69">
        <f t="shared" si="90"/>
        <v>0</v>
      </c>
      <c r="H31" s="69">
        <f t="shared" si="90"/>
        <v>0</v>
      </c>
      <c r="I31" s="69">
        <f t="shared" si="90"/>
        <v>0</v>
      </c>
      <c r="J31" s="69">
        <f t="shared" si="90"/>
        <v>0</v>
      </c>
      <c r="K31" s="69">
        <f t="shared" si="90"/>
        <v>0</v>
      </c>
      <c r="L31" s="69">
        <f t="shared" si="90"/>
        <v>0</v>
      </c>
      <c r="M31" s="69">
        <f t="shared" si="90"/>
        <v>0</v>
      </c>
      <c r="N31" s="69">
        <f t="shared" si="90"/>
        <v>0</v>
      </c>
      <c r="O31" s="69">
        <f t="shared" ref="O31" si="91">$F$24*L27</f>
        <v>0</v>
      </c>
      <c r="P31" s="69">
        <f t="shared" ref="P31" si="92">$F$24*M27</f>
        <v>0</v>
      </c>
      <c r="Q31" s="69">
        <f t="shared" ref="Q31" si="93">$F$24*N27</f>
        <v>0</v>
      </c>
      <c r="R31" s="69">
        <f t="shared" ref="R31" si="94">$F$24*O27</f>
        <v>0</v>
      </c>
      <c r="S31" s="69">
        <f t="shared" ref="S31" si="95">$F$24*P27</f>
        <v>0</v>
      </c>
      <c r="T31" s="69">
        <f t="shared" ref="T31" si="96">$F$24*Q27</f>
        <v>0</v>
      </c>
      <c r="U31" s="69">
        <f t="shared" ref="U31" si="97">$F$24*R27</f>
        <v>0</v>
      </c>
      <c r="V31" s="69">
        <f t="shared" ref="V31" si="98">$F$24*S27</f>
        <v>0</v>
      </c>
      <c r="W31" s="69">
        <f t="shared" ref="W31" si="99">$F$24*T27</f>
        <v>0</v>
      </c>
      <c r="X31" s="69">
        <f t="shared" ref="X31" si="100">$F$24*U27</f>
        <v>0</v>
      </c>
      <c r="Y31" s="69">
        <f t="shared" ref="Y31" si="101">$F$24*V27</f>
        <v>0</v>
      </c>
      <c r="Z31" s="69">
        <f t="shared" ref="Z31" si="102">$F$24*W27</f>
        <v>0</v>
      </c>
      <c r="AA31" s="69">
        <f t="shared" ref="AA31" si="103">$F$24*X27</f>
        <v>0</v>
      </c>
      <c r="AB31" s="69"/>
      <c r="AC31" s="69"/>
      <c r="AD31" s="69"/>
      <c r="AE31" s="69"/>
      <c r="AF31" s="69"/>
      <c r="AG31" s="69"/>
      <c r="AH31" s="69"/>
      <c r="AI31" s="69"/>
      <c r="AJ31" s="69"/>
      <c r="AK31" s="69"/>
    </row>
    <row r="32" spans="1:37" s="50" customFormat="1">
      <c r="A32" s="74" t="s">
        <v>75</v>
      </c>
      <c r="B32" s="74"/>
      <c r="C32" s="76"/>
      <c r="D32" s="75"/>
      <c r="E32" s="75"/>
      <c r="F32" s="75"/>
      <c r="G32" s="69">
        <f t="shared" ref="G32:N32" si="104">$G$24*C27</f>
        <v>0</v>
      </c>
      <c r="H32" s="69">
        <f t="shared" si="104"/>
        <v>0</v>
      </c>
      <c r="I32" s="69">
        <f t="shared" si="104"/>
        <v>0</v>
      </c>
      <c r="J32" s="69">
        <f t="shared" si="104"/>
        <v>0</v>
      </c>
      <c r="K32" s="69">
        <f t="shared" si="104"/>
        <v>0</v>
      </c>
      <c r="L32" s="69">
        <f t="shared" si="104"/>
        <v>0</v>
      </c>
      <c r="M32" s="69">
        <f t="shared" si="104"/>
        <v>0</v>
      </c>
      <c r="N32" s="69">
        <f t="shared" si="104"/>
        <v>0</v>
      </c>
      <c r="O32" s="69">
        <f t="shared" ref="O32" si="105">$G$24*K27</f>
        <v>0</v>
      </c>
      <c r="P32" s="69">
        <f t="shared" ref="P32" si="106">$G$24*L27</f>
        <v>0</v>
      </c>
      <c r="Q32" s="69">
        <f t="shared" ref="Q32" si="107">$G$24*M27</f>
        <v>0</v>
      </c>
      <c r="R32" s="69">
        <f t="shared" ref="R32" si="108">$G$24*N27</f>
        <v>0</v>
      </c>
      <c r="S32" s="69">
        <f t="shared" ref="S32" si="109">$G$24*O27</f>
        <v>0</v>
      </c>
      <c r="T32" s="69">
        <f t="shared" ref="T32" si="110">$G$24*P27</f>
        <v>0</v>
      </c>
      <c r="U32" s="69">
        <f t="shared" ref="U32" si="111">$G$24*Q27</f>
        <v>0</v>
      </c>
      <c r="V32" s="69">
        <f t="shared" ref="V32" si="112">$G$24*R27</f>
        <v>0</v>
      </c>
      <c r="W32" s="69">
        <f t="shared" ref="W32" si="113">$G$24*S27</f>
        <v>0</v>
      </c>
      <c r="X32" s="69">
        <f t="shared" ref="X32" si="114">$G$24*T27</f>
        <v>0</v>
      </c>
      <c r="Y32" s="69">
        <f t="shared" ref="Y32" si="115">$G$24*U27</f>
        <v>0</v>
      </c>
      <c r="Z32" s="69">
        <f t="shared" ref="Z32" si="116">$G$24*V27</f>
        <v>0</v>
      </c>
      <c r="AA32" s="69">
        <f t="shared" ref="AA32" si="117">$G$24*W27</f>
        <v>0</v>
      </c>
      <c r="AB32" s="69"/>
      <c r="AC32" s="69"/>
      <c r="AD32" s="69"/>
      <c r="AE32" s="69"/>
      <c r="AF32" s="69"/>
      <c r="AG32" s="69"/>
      <c r="AH32" s="69"/>
      <c r="AI32" s="69"/>
      <c r="AJ32" s="69"/>
      <c r="AK32" s="69"/>
    </row>
    <row r="33" spans="1:37" s="50" customFormat="1">
      <c r="A33" s="74" t="s">
        <v>76</v>
      </c>
      <c r="B33" s="74"/>
      <c r="C33" s="76"/>
      <c r="D33" s="75"/>
      <c r="E33" s="75"/>
      <c r="F33" s="75"/>
      <c r="G33" s="75"/>
      <c r="H33" s="69">
        <f t="shared" ref="H33:N33" si="118">$H$24*C$27</f>
        <v>0</v>
      </c>
      <c r="I33" s="69">
        <f t="shared" si="118"/>
        <v>0</v>
      </c>
      <c r="J33" s="69">
        <f t="shared" si="118"/>
        <v>0</v>
      </c>
      <c r="K33" s="69">
        <f t="shared" si="118"/>
        <v>0</v>
      </c>
      <c r="L33" s="69">
        <f t="shared" si="118"/>
        <v>0</v>
      </c>
      <c r="M33" s="69">
        <f t="shared" si="118"/>
        <v>0</v>
      </c>
      <c r="N33" s="69">
        <f t="shared" si="118"/>
        <v>0</v>
      </c>
      <c r="O33" s="69">
        <f t="shared" ref="O33" si="119">$H$24*J$27</f>
        <v>0</v>
      </c>
      <c r="P33" s="69">
        <f t="shared" ref="P33" si="120">$H$24*K$27</f>
        <v>0</v>
      </c>
      <c r="Q33" s="69">
        <f t="shared" ref="Q33" si="121">$H$24*L$27</f>
        <v>0</v>
      </c>
      <c r="R33" s="69">
        <f t="shared" ref="R33" si="122">$H$24*M$27</f>
        <v>0</v>
      </c>
      <c r="S33" s="69">
        <f t="shared" ref="S33" si="123">$H$24*N$27</f>
        <v>0</v>
      </c>
      <c r="T33" s="69">
        <f t="shared" ref="T33" si="124">$H$24*O$27</f>
        <v>0</v>
      </c>
      <c r="U33" s="69">
        <f t="shared" ref="U33" si="125">$H$24*P$27</f>
        <v>0</v>
      </c>
      <c r="V33" s="69">
        <f t="shared" ref="V33" si="126">$H$24*Q$27</f>
        <v>0</v>
      </c>
      <c r="W33" s="69">
        <f t="shared" ref="W33" si="127">$H$24*R$27</f>
        <v>0</v>
      </c>
      <c r="X33" s="69">
        <f t="shared" ref="X33" si="128">$H$24*S$27</f>
        <v>0</v>
      </c>
      <c r="Y33" s="69">
        <f t="shared" ref="Y33" si="129">$H$24*T$27</f>
        <v>0</v>
      </c>
      <c r="Z33" s="69">
        <f t="shared" ref="Z33" si="130">$H$24*U$27</f>
        <v>0</v>
      </c>
      <c r="AA33" s="69">
        <f t="shared" ref="AA33" si="131">$H$24*V$27</f>
        <v>0</v>
      </c>
      <c r="AB33" s="69"/>
      <c r="AC33" s="69"/>
      <c r="AD33" s="69"/>
      <c r="AE33" s="69"/>
      <c r="AF33" s="69"/>
      <c r="AG33" s="69"/>
      <c r="AH33" s="69"/>
      <c r="AI33" s="69"/>
      <c r="AJ33" s="69"/>
      <c r="AK33" s="69"/>
    </row>
    <row r="34" spans="1:37" s="50" customFormat="1">
      <c r="A34" s="74" t="s">
        <v>77</v>
      </c>
      <c r="B34" s="74"/>
      <c r="C34" s="76"/>
      <c r="D34" s="75"/>
      <c r="E34" s="75"/>
      <c r="F34" s="75"/>
      <c r="G34" s="75"/>
      <c r="H34" s="75"/>
      <c r="I34" s="69">
        <f>$I$24*C$27</f>
        <v>0</v>
      </c>
      <c r="J34" s="69">
        <f>$I$24*D$27</f>
        <v>0</v>
      </c>
      <c r="K34" s="69">
        <f t="shared" ref="K34:N34" si="132">$I$24*E$27</f>
        <v>0</v>
      </c>
      <c r="L34" s="69">
        <f t="shared" si="132"/>
        <v>0</v>
      </c>
      <c r="M34" s="69">
        <f t="shared" si="132"/>
        <v>0</v>
      </c>
      <c r="N34" s="69">
        <f t="shared" si="132"/>
        <v>0</v>
      </c>
      <c r="O34" s="69">
        <f t="shared" ref="O34" si="133">$I$24*I$27</f>
        <v>0</v>
      </c>
      <c r="P34" s="69">
        <f t="shared" ref="P34" si="134">$I$24*J$27</f>
        <v>0</v>
      </c>
      <c r="Q34" s="69">
        <f t="shared" ref="Q34" si="135">$I$24*K$27</f>
        <v>0</v>
      </c>
      <c r="R34" s="69">
        <f t="shared" ref="R34" si="136">$I$24*L$27</f>
        <v>0</v>
      </c>
      <c r="S34" s="69">
        <f t="shared" ref="S34" si="137">$I$24*M$27</f>
        <v>0</v>
      </c>
      <c r="T34" s="69">
        <f t="shared" ref="T34" si="138">$I$24*N$27</f>
        <v>0</v>
      </c>
      <c r="U34" s="69">
        <f t="shared" ref="U34" si="139">$I$24*O$27</f>
        <v>0</v>
      </c>
      <c r="V34" s="69">
        <f t="shared" ref="V34" si="140">$I$24*P$27</f>
        <v>0</v>
      </c>
      <c r="W34" s="69">
        <f t="shared" ref="W34" si="141">$I$24*Q$27</f>
        <v>0</v>
      </c>
      <c r="X34" s="69">
        <f t="shared" ref="X34" si="142">$I$24*R$27</f>
        <v>0</v>
      </c>
      <c r="Y34" s="69">
        <f t="shared" ref="Y34" si="143">$I$24*S$27</f>
        <v>0</v>
      </c>
      <c r="Z34" s="69">
        <f t="shared" ref="Z34" si="144">$I$24*T$27</f>
        <v>0</v>
      </c>
      <c r="AA34" s="69">
        <f t="shared" ref="AA34" si="145">$I$24*U$27</f>
        <v>0</v>
      </c>
      <c r="AB34" s="69"/>
      <c r="AC34" s="69"/>
      <c r="AD34" s="69"/>
      <c r="AE34" s="69"/>
      <c r="AF34" s="69"/>
      <c r="AG34" s="69"/>
      <c r="AH34" s="69"/>
      <c r="AI34" s="69"/>
      <c r="AJ34" s="69"/>
      <c r="AK34" s="69"/>
    </row>
    <row r="35" spans="1:37" s="50" customFormat="1">
      <c r="A35" s="74" t="s">
        <v>78</v>
      </c>
      <c r="B35" s="74"/>
      <c r="C35" s="76"/>
      <c r="D35" s="75"/>
      <c r="E35" s="75"/>
      <c r="F35" s="75"/>
      <c r="G35" s="75"/>
      <c r="H35" s="75"/>
      <c r="I35" s="75"/>
      <c r="J35" s="69">
        <f>$J$24*C$27</f>
        <v>0</v>
      </c>
      <c r="K35" s="69">
        <f t="shared" ref="K35:N35" si="146">$J$24*D$27</f>
        <v>0</v>
      </c>
      <c r="L35" s="69">
        <f t="shared" si="146"/>
        <v>0</v>
      </c>
      <c r="M35" s="69">
        <f t="shared" si="146"/>
        <v>0</v>
      </c>
      <c r="N35" s="69">
        <f t="shared" si="146"/>
        <v>0</v>
      </c>
      <c r="O35" s="69">
        <f t="shared" ref="O35" si="147">$J$24*H$27</f>
        <v>0</v>
      </c>
      <c r="P35" s="69">
        <f t="shared" ref="P35" si="148">$J$24*I$27</f>
        <v>0</v>
      </c>
      <c r="Q35" s="69">
        <f t="shared" ref="Q35" si="149">$J$24*J$27</f>
        <v>0</v>
      </c>
      <c r="R35" s="69">
        <f t="shared" ref="R35" si="150">$J$24*K$27</f>
        <v>0</v>
      </c>
      <c r="S35" s="69">
        <f t="shared" ref="S35" si="151">$J$24*L$27</f>
        <v>0</v>
      </c>
      <c r="T35" s="69">
        <f t="shared" ref="T35" si="152">$J$24*M$27</f>
        <v>0</v>
      </c>
      <c r="U35" s="69">
        <f t="shared" ref="U35" si="153">$J$24*N$27</f>
        <v>0</v>
      </c>
      <c r="V35" s="69">
        <f t="shared" ref="V35" si="154">$J$24*O$27</f>
        <v>0</v>
      </c>
      <c r="W35" s="69">
        <f t="shared" ref="W35" si="155">$J$24*P$27</f>
        <v>0</v>
      </c>
      <c r="X35" s="69">
        <f t="shared" ref="X35" si="156">$J$24*Q$27</f>
        <v>0</v>
      </c>
      <c r="Y35" s="69">
        <f t="shared" ref="Y35" si="157">$J$24*R$27</f>
        <v>0</v>
      </c>
      <c r="Z35" s="69">
        <f t="shared" ref="Z35" si="158">$J$24*S$27</f>
        <v>0</v>
      </c>
      <c r="AA35" s="69">
        <f t="shared" ref="AA35" si="159">$J$24*T$27</f>
        <v>0</v>
      </c>
      <c r="AB35" s="75"/>
      <c r="AC35" s="75"/>
      <c r="AD35" s="75"/>
      <c r="AE35" s="75"/>
      <c r="AF35" s="75"/>
      <c r="AG35" s="75"/>
      <c r="AH35" s="75"/>
      <c r="AI35" s="75"/>
      <c r="AJ35" s="75"/>
      <c r="AK35" s="69"/>
    </row>
    <row r="36" spans="1:37" s="50" customFormat="1">
      <c r="A36" s="74" t="s">
        <v>79</v>
      </c>
      <c r="B36" s="74"/>
      <c r="C36" s="67"/>
      <c r="D36" s="75"/>
      <c r="E36" s="75"/>
      <c r="F36" s="75"/>
      <c r="G36" s="75"/>
      <c r="H36" s="75"/>
      <c r="I36" s="75"/>
      <c r="J36" s="75"/>
      <c r="K36" s="69">
        <f>$K$24*C$27</f>
        <v>0</v>
      </c>
      <c r="L36" s="69">
        <f t="shared" ref="L36:N36" si="160">$K$24*D$27</f>
        <v>0</v>
      </c>
      <c r="M36" s="69">
        <f t="shared" si="160"/>
        <v>0</v>
      </c>
      <c r="N36" s="69">
        <f t="shared" si="160"/>
        <v>0</v>
      </c>
      <c r="O36" s="69">
        <f t="shared" ref="O36" si="161">$K$24*G$27</f>
        <v>0</v>
      </c>
      <c r="P36" s="69">
        <f t="shared" ref="P36" si="162">$K$24*H$27</f>
        <v>0</v>
      </c>
      <c r="Q36" s="69">
        <f t="shared" ref="Q36" si="163">$K$24*I$27</f>
        <v>0</v>
      </c>
      <c r="R36" s="69">
        <f t="shared" ref="R36" si="164">$K$24*J$27</f>
        <v>0</v>
      </c>
      <c r="S36" s="69">
        <f t="shared" ref="S36" si="165">$K$24*K$27</f>
        <v>0</v>
      </c>
      <c r="T36" s="69">
        <f t="shared" ref="T36" si="166">$K$24*L$27</f>
        <v>0</v>
      </c>
      <c r="U36" s="69">
        <f t="shared" ref="U36" si="167">$K$24*M$27</f>
        <v>0</v>
      </c>
      <c r="V36" s="69">
        <f t="shared" ref="V36" si="168">$K$24*N$27</f>
        <v>0</v>
      </c>
      <c r="W36" s="69">
        <f t="shared" ref="W36" si="169">$K$24*O$27</f>
        <v>0</v>
      </c>
      <c r="X36" s="69">
        <f t="shared" ref="X36" si="170">$K$24*P$27</f>
        <v>0</v>
      </c>
      <c r="Y36" s="69">
        <f t="shared" ref="Y36" si="171">$K$24*Q$27</f>
        <v>0</v>
      </c>
      <c r="Z36" s="69">
        <f t="shared" ref="Z36" si="172">$K$24*R$27</f>
        <v>0</v>
      </c>
      <c r="AA36" s="69">
        <f t="shared" ref="AA36" si="173">$K$24*S$27</f>
        <v>0</v>
      </c>
      <c r="AB36" s="75"/>
      <c r="AC36" s="75"/>
      <c r="AD36" s="75"/>
      <c r="AE36" s="75"/>
      <c r="AF36" s="75"/>
      <c r="AG36" s="75"/>
      <c r="AH36" s="75"/>
      <c r="AI36" s="75"/>
      <c r="AJ36" s="75"/>
      <c r="AK36" s="69"/>
    </row>
    <row r="37" spans="1:37" s="50" customFormat="1">
      <c r="A37" s="74" t="s">
        <v>80</v>
      </c>
      <c r="B37" s="74"/>
      <c r="C37" s="67"/>
      <c r="D37" s="75"/>
      <c r="E37" s="75"/>
      <c r="F37" s="75"/>
      <c r="G37" s="75"/>
      <c r="H37" s="75"/>
      <c r="I37" s="75"/>
      <c r="J37" s="75"/>
      <c r="K37" s="75"/>
      <c r="L37" s="69">
        <f>$L$24*C$27</f>
        <v>0</v>
      </c>
      <c r="M37" s="69">
        <f t="shared" ref="M37:N37" si="174">$L$24*D$27</f>
        <v>0</v>
      </c>
      <c r="N37" s="69">
        <f t="shared" si="174"/>
        <v>0</v>
      </c>
      <c r="O37" s="69">
        <f t="shared" ref="O37" si="175">$L$24*F$27</f>
        <v>0</v>
      </c>
      <c r="P37" s="69">
        <f t="shared" ref="P37" si="176">$L$24*G$27</f>
        <v>0</v>
      </c>
      <c r="Q37" s="69">
        <f t="shared" ref="Q37" si="177">$L$24*H$27</f>
        <v>0</v>
      </c>
      <c r="R37" s="69">
        <f t="shared" ref="R37" si="178">$L$24*I$27</f>
        <v>0</v>
      </c>
      <c r="S37" s="69">
        <f t="shared" ref="S37" si="179">$L$24*J$27</f>
        <v>0</v>
      </c>
      <c r="T37" s="69">
        <f t="shared" ref="T37" si="180">$L$24*K$27</f>
        <v>0</v>
      </c>
      <c r="U37" s="69">
        <f t="shared" ref="U37" si="181">$L$24*L$27</f>
        <v>0</v>
      </c>
      <c r="V37" s="69">
        <f t="shared" ref="V37" si="182">$L$24*M$27</f>
        <v>0</v>
      </c>
      <c r="W37" s="69">
        <f t="shared" ref="W37" si="183">$L$24*N$27</f>
        <v>0</v>
      </c>
      <c r="X37" s="69">
        <f t="shared" ref="X37" si="184">$L$24*O$27</f>
        <v>0</v>
      </c>
      <c r="Y37" s="69">
        <f t="shared" ref="Y37" si="185">$L$24*P$27</f>
        <v>0</v>
      </c>
      <c r="Z37" s="69">
        <f t="shared" ref="Z37" si="186">$L$24*Q$27</f>
        <v>0</v>
      </c>
      <c r="AA37" s="69">
        <f t="shared" ref="AA37" si="187">$L$24*R$27</f>
        <v>0</v>
      </c>
      <c r="AB37" s="75"/>
      <c r="AC37" s="75"/>
      <c r="AD37" s="75"/>
      <c r="AE37" s="75"/>
      <c r="AF37" s="75"/>
      <c r="AG37" s="75"/>
      <c r="AH37" s="75"/>
      <c r="AI37" s="75"/>
      <c r="AJ37" s="75"/>
      <c r="AK37" s="69"/>
    </row>
    <row r="38" spans="1:37" s="50" customFormat="1">
      <c r="A38" s="74" t="s">
        <v>81</v>
      </c>
      <c r="B38" s="74"/>
      <c r="C38" s="67"/>
      <c r="D38" s="75"/>
      <c r="E38" s="75"/>
      <c r="F38" s="75"/>
      <c r="G38" s="75"/>
      <c r="H38" s="75"/>
      <c r="I38" s="75"/>
      <c r="J38" s="75"/>
      <c r="K38" s="75"/>
      <c r="L38" s="75"/>
      <c r="M38" s="69">
        <f>$M$24*C$27</f>
        <v>0</v>
      </c>
      <c r="N38" s="69">
        <f>$M$24*D$27</f>
        <v>0</v>
      </c>
      <c r="O38" s="69">
        <f t="shared" ref="O38:AA38" si="188">$M$24*E$27</f>
        <v>0</v>
      </c>
      <c r="P38" s="69">
        <f t="shared" si="188"/>
        <v>0</v>
      </c>
      <c r="Q38" s="69">
        <f t="shared" si="188"/>
        <v>0</v>
      </c>
      <c r="R38" s="69">
        <f t="shared" si="188"/>
        <v>0</v>
      </c>
      <c r="S38" s="69">
        <f t="shared" si="188"/>
        <v>0</v>
      </c>
      <c r="T38" s="69">
        <f t="shared" si="188"/>
        <v>0</v>
      </c>
      <c r="U38" s="69">
        <f t="shared" si="188"/>
        <v>0</v>
      </c>
      <c r="V38" s="69">
        <f t="shared" si="188"/>
        <v>0</v>
      </c>
      <c r="W38" s="69">
        <f t="shared" si="188"/>
        <v>0</v>
      </c>
      <c r="X38" s="69">
        <f t="shared" si="188"/>
        <v>0</v>
      </c>
      <c r="Y38" s="69">
        <f t="shared" si="188"/>
        <v>0</v>
      </c>
      <c r="Z38" s="69">
        <f t="shared" si="188"/>
        <v>0</v>
      </c>
      <c r="AA38" s="69">
        <f t="shared" si="188"/>
        <v>0</v>
      </c>
      <c r="AB38" s="75"/>
      <c r="AC38" s="75"/>
      <c r="AD38" s="75"/>
      <c r="AE38" s="75"/>
      <c r="AF38" s="75"/>
      <c r="AG38" s="75"/>
      <c r="AH38" s="75"/>
      <c r="AI38" s="75"/>
      <c r="AJ38" s="75"/>
      <c r="AK38" s="69"/>
    </row>
    <row r="39" spans="1:37" s="50" customFormat="1">
      <c r="A39" s="74" t="s">
        <v>82</v>
      </c>
      <c r="B39" s="74"/>
      <c r="C39" s="74"/>
      <c r="D39" s="74"/>
      <c r="E39" s="74"/>
      <c r="F39" s="74"/>
      <c r="G39" s="74"/>
      <c r="H39" s="74"/>
      <c r="I39" s="74"/>
      <c r="J39" s="74"/>
      <c r="K39" s="74"/>
      <c r="L39" s="74"/>
      <c r="M39" s="74"/>
      <c r="N39" s="69">
        <f>$N$24*C$27</f>
        <v>187.5</v>
      </c>
      <c r="O39" s="69">
        <f t="shared" ref="O39:Z39" si="189">$N$24*D$27</f>
        <v>360.95000000000005</v>
      </c>
      <c r="P39" s="69">
        <f t="shared" si="189"/>
        <v>333.84999999999997</v>
      </c>
      <c r="Q39" s="69">
        <f t="shared" si="189"/>
        <v>308.84999999999997</v>
      </c>
      <c r="R39" s="69">
        <f t="shared" si="189"/>
        <v>285.64999999999998</v>
      </c>
      <c r="S39" s="69">
        <f t="shared" si="189"/>
        <v>264.25</v>
      </c>
      <c r="T39" s="69">
        <f t="shared" si="189"/>
        <v>244.4</v>
      </c>
      <c r="U39" s="69">
        <f t="shared" si="189"/>
        <v>226.10000000000002</v>
      </c>
      <c r="V39" s="69">
        <f t="shared" si="189"/>
        <v>223.1</v>
      </c>
      <c r="W39" s="69">
        <f t="shared" si="189"/>
        <v>223.04999999999998</v>
      </c>
      <c r="X39" s="69">
        <f t="shared" si="189"/>
        <v>223.1</v>
      </c>
      <c r="Y39" s="69">
        <f t="shared" si="189"/>
        <v>223.04999999999998</v>
      </c>
      <c r="Z39" s="69">
        <f t="shared" si="189"/>
        <v>223.1</v>
      </c>
      <c r="AA39" s="69">
        <f>$N$24*P$27</f>
        <v>223.04999999999998</v>
      </c>
      <c r="AB39" s="74"/>
      <c r="AC39" s="74"/>
      <c r="AD39" s="74"/>
      <c r="AE39" s="74"/>
      <c r="AF39" s="74"/>
      <c r="AG39" s="74"/>
      <c r="AH39" s="74"/>
      <c r="AI39" s="74"/>
      <c r="AJ39" s="74"/>
      <c r="AK39" s="69"/>
    </row>
    <row r="40" spans="1:37" s="50" customFormat="1">
      <c r="A40" s="74" t="s">
        <v>83</v>
      </c>
      <c r="B40" s="74"/>
      <c r="C40" s="67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69">
        <f>$O$24*C$27</f>
        <v>0</v>
      </c>
      <c r="P40" s="69">
        <f t="shared" ref="P40:AA40" si="190">$O$24*D$27</f>
        <v>0</v>
      </c>
      <c r="Q40" s="69">
        <f t="shared" si="190"/>
        <v>0</v>
      </c>
      <c r="R40" s="69">
        <f t="shared" si="190"/>
        <v>0</v>
      </c>
      <c r="S40" s="69">
        <f t="shared" si="190"/>
        <v>0</v>
      </c>
      <c r="T40" s="69">
        <f t="shared" si="190"/>
        <v>0</v>
      </c>
      <c r="U40" s="69">
        <f t="shared" si="190"/>
        <v>0</v>
      </c>
      <c r="V40" s="69">
        <f t="shared" si="190"/>
        <v>0</v>
      </c>
      <c r="W40" s="69">
        <f t="shared" si="190"/>
        <v>0</v>
      </c>
      <c r="X40" s="69">
        <f t="shared" si="190"/>
        <v>0</v>
      </c>
      <c r="Y40" s="69">
        <f t="shared" si="190"/>
        <v>0</v>
      </c>
      <c r="Z40" s="69">
        <f t="shared" si="190"/>
        <v>0</v>
      </c>
      <c r="AA40" s="69">
        <f t="shared" si="190"/>
        <v>0</v>
      </c>
      <c r="AB40" s="75"/>
      <c r="AC40" s="75"/>
      <c r="AD40" s="75"/>
      <c r="AE40" s="75"/>
      <c r="AF40" s="75"/>
      <c r="AG40" s="75"/>
      <c r="AH40" s="75"/>
      <c r="AI40" s="75"/>
      <c r="AJ40" s="75"/>
      <c r="AK40" s="69"/>
    </row>
    <row r="41" spans="1:37" s="50" customFormat="1">
      <c r="A41" s="74" t="s">
        <v>84</v>
      </c>
      <c r="B41" s="74"/>
      <c r="C41" s="67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69">
        <f>$P$24*C$27</f>
        <v>0</v>
      </c>
      <c r="Q41" s="69">
        <f t="shared" ref="Q41:AA41" si="191">$P$24*D$27</f>
        <v>0</v>
      </c>
      <c r="R41" s="69">
        <f t="shared" si="191"/>
        <v>0</v>
      </c>
      <c r="S41" s="69">
        <f t="shared" si="191"/>
        <v>0</v>
      </c>
      <c r="T41" s="69">
        <f t="shared" si="191"/>
        <v>0</v>
      </c>
      <c r="U41" s="69">
        <f t="shared" si="191"/>
        <v>0</v>
      </c>
      <c r="V41" s="69">
        <f t="shared" si="191"/>
        <v>0</v>
      </c>
      <c r="W41" s="69">
        <f t="shared" si="191"/>
        <v>0</v>
      </c>
      <c r="X41" s="69">
        <f t="shared" si="191"/>
        <v>0</v>
      </c>
      <c r="Y41" s="69">
        <f t="shared" si="191"/>
        <v>0</v>
      </c>
      <c r="Z41" s="69">
        <f t="shared" si="191"/>
        <v>0</v>
      </c>
      <c r="AA41" s="69">
        <f t="shared" si="191"/>
        <v>0</v>
      </c>
      <c r="AB41" s="75"/>
      <c r="AC41" s="75"/>
      <c r="AD41" s="75"/>
      <c r="AE41" s="75"/>
      <c r="AF41" s="75"/>
      <c r="AG41" s="75"/>
      <c r="AH41" s="75"/>
      <c r="AI41" s="75"/>
      <c r="AJ41" s="75"/>
      <c r="AK41" s="69"/>
    </row>
    <row r="42" spans="1:37" s="50" customFormat="1">
      <c r="A42" s="74" t="s">
        <v>85</v>
      </c>
      <c r="B42" s="74"/>
      <c r="C42" s="67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69">
        <f>$Q$24*C$27</f>
        <v>0</v>
      </c>
      <c r="R42" s="69">
        <f t="shared" ref="R42:AA42" si="192">$Q$24*D$27</f>
        <v>0</v>
      </c>
      <c r="S42" s="69">
        <f t="shared" si="192"/>
        <v>0</v>
      </c>
      <c r="T42" s="69">
        <f t="shared" si="192"/>
        <v>0</v>
      </c>
      <c r="U42" s="69">
        <f t="shared" si="192"/>
        <v>0</v>
      </c>
      <c r="V42" s="69">
        <f t="shared" si="192"/>
        <v>0</v>
      </c>
      <c r="W42" s="69">
        <f t="shared" si="192"/>
        <v>0</v>
      </c>
      <c r="X42" s="69">
        <f t="shared" si="192"/>
        <v>0</v>
      </c>
      <c r="Y42" s="69">
        <f t="shared" si="192"/>
        <v>0</v>
      </c>
      <c r="Z42" s="69">
        <f t="shared" si="192"/>
        <v>0</v>
      </c>
      <c r="AA42" s="69">
        <f t="shared" si="192"/>
        <v>0</v>
      </c>
      <c r="AB42" s="75"/>
      <c r="AC42" s="75"/>
      <c r="AD42" s="75"/>
      <c r="AE42" s="75"/>
      <c r="AF42" s="75"/>
      <c r="AG42" s="75"/>
      <c r="AH42" s="75"/>
      <c r="AI42" s="75"/>
      <c r="AJ42" s="75"/>
      <c r="AK42" s="69"/>
    </row>
    <row r="43" spans="1:37" s="50" customFormat="1">
      <c r="A43" s="74" t="s">
        <v>86</v>
      </c>
      <c r="B43" s="74"/>
      <c r="C43" s="67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69">
        <f>$R$24*C$27</f>
        <v>0</v>
      </c>
      <c r="S43" s="69">
        <f t="shared" ref="S43:AA43" si="193">$R$24*D$27</f>
        <v>0</v>
      </c>
      <c r="T43" s="69">
        <f t="shared" si="193"/>
        <v>0</v>
      </c>
      <c r="U43" s="69">
        <f t="shared" si="193"/>
        <v>0</v>
      </c>
      <c r="V43" s="69">
        <f t="shared" si="193"/>
        <v>0</v>
      </c>
      <c r="W43" s="69">
        <f t="shared" si="193"/>
        <v>0</v>
      </c>
      <c r="X43" s="69">
        <f t="shared" si="193"/>
        <v>0</v>
      </c>
      <c r="Y43" s="69">
        <f t="shared" si="193"/>
        <v>0</v>
      </c>
      <c r="Z43" s="69">
        <f t="shared" si="193"/>
        <v>0</v>
      </c>
      <c r="AA43" s="69">
        <f t="shared" si="193"/>
        <v>0</v>
      </c>
      <c r="AB43" s="75"/>
      <c r="AC43" s="75"/>
      <c r="AD43" s="75"/>
      <c r="AE43" s="75"/>
      <c r="AF43" s="75"/>
      <c r="AG43" s="75"/>
      <c r="AH43" s="75"/>
      <c r="AI43" s="75"/>
      <c r="AJ43" s="75"/>
      <c r="AK43" s="69"/>
    </row>
    <row r="44" spans="1:37" s="50" customFormat="1">
      <c r="A44" s="74" t="s">
        <v>87</v>
      </c>
      <c r="B44" s="74"/>
      <c r="C44" s="67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69">
        <f>$S$24*C$27</f>
        <v>0</v>
      </c>
      <c r="T44" s="69">
        <f t="shared" ref="T44:AA44" si="194">$S$24*D$27</f>
        <v>0</v>
      </c>
      <c r="U44" s="69">
        <f t="shared" si="194"/>
        <v>0</v>
      </c>
      <c r="V44" s="69">
        <f t="shared" si="194"/>
        <v>0</v>
      </c>
      <c r="W44" s="69">
        <f t="shared" si="194"/>
        <v>0</v>
      </c>
      <c r="X44" s="69">
        <f t="shared" si="194"/>
        <v>0</v>
      </c>
      <c r="Y44" s="69">
        <f t="shared" si="194"/>
        <v>0</v>
      </c>
      <c r="Z44" s="69">
        <f t="shared" si="194"/>
        <v>0</v>
      </c>
      <c r="AA44" s="69">
        <f t="shared" si="194"/>
        <v>0</v>
      </c>
      <c r="AB44" s="75"/>
      <c r="AC44" s="75"/>
      <c r="AD44" s="75"/>
      <c r="AE44" s="75"/>
      <c r="AF44" s="75"/>
      <c r="AG44" s="75"/>
      <c r="AH44" s="75"/>
      <c r="AI44" s="75"/>
      <c r="AJ44" s="75"/>
      <c r="AK44" s="69"/>
    </row>
    <row r="45" spans="1:37" s="50" customFormat="1">
      <c r="A45" s="74" t="s">
        <v>88</v>
      </c>
      <c r="B45" s="74"/>
      <c r="C45" s="67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69">
        <f>$T$24*C$27</f>
        <v>0</v>
      </c>
      <c r="U45" s="69">
        <f t="shared" ref="U45:AA45" si="195">$T$24*D$27</f>
        <v>0</v>
      </c>
      <c r="V45" s="69">
        <f t="shared" si="195"/>
        <v>0</v>
      </c>
      <c r="W45" s="69">
        <f t="shared" si="195"/>
        <v>0</v>
      </c>
      <c r="X45" s="69">
        <f t="shared" si="195"/>
        <v>0</v>
      </c>
      <c r="Y45" s="69">
        <f t="shared" si="195"/>
        <v>0</v>
      </c>
      <c r="Z45" s="69">
        <f t="shared" si="195"/>
        <v>0</v>
      </c>
      <c r="AA45" s="69">
        <f t="shared" si="195"/>
        <v>0</v>
      </c>
      <c r="AB45" s="75"/>
      <c r="AC45" s="75"/>
      <c r="AD45" s="75"/>
      <c r="AE45" s="75"/>
      <c r="AF45" s="75"/>
      <c r="AG45" s="75"/>
      <c r="AH45" s="75"/>
      <c r="AI45" s="75"/>
      <c r="AJ45" s="75"/>
      <c r="AK45" s="69"/>
    </row>
    <row r="46" spans="1:37" s="50" customFormat="1">
      <c r="A46" s="74" t="s">
        <v>89</v>
      </c>
      <c r="B46" s="74"/>
      <c r="C46" s="67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69">
        <f>$U$24*C$27</f>
        <v>0</v>
      </c>
      <c r="V46" s="69">
        <f t="shared" ref="V46:AA46" si="196">$U$24*D$27</f>
        <v>0</v>
      </c>
      <c r="W46" s="69">
        <f t="shared" si="196"/>
        <v>0</v>
      </c>
      <c r="X46" s="69">
        <f t="shared" si="196"/>
        <v>0</v>
      </c>
      <c r="Y46" s="69">
        <f t="shared" si="196"/>
        <v>0</v>
      </c>
      <c r="Z46" s="69">
        <f t="shared" si="196"/>
        <v>0</v>
      </c>
      <c r="AA46" s="69">
        <f t="shared" si="196"/>
        <v>0</v>
      </c>
      <c r="AB46" s="75"/>
      <c r="AC46" s="75"/>
      <c r="AD46" s="75"/>
      <c r="AE46" s="75"/>
      <c r="AF46" s="75"/>
      <c r="AG46" s="75"/>
      <c r="AH46" s="75"/>
      <c r="AI46" s="75"/>
      <c r="AJ46" s="75"/>
      <c r="AK46" s="69"/>
    </row>
    <row r="47" spans="1:37" s="50" customFormat="1">
      <c r="A47" s="74" t="s">
        <v>90</v>
      </c>
      <c r="B47" s="74"/>
      <c r="C47" s="67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69">
        <f>$V$24*C$27</f>
        <v>0</v>
      </c>
      <c r="W47" s="69">
        <f t="shared" ref="W47:AA47" si="197">$V$24*D$27</f>
        <v>0</v>
      </c>
      <c r="X47" s="69">
        <f t="shared" si="197"/>
        <v>0</v>
      </c>
      <c r="Y47" s="69">
        <f t="shared" si="197"/>
        <v>0</v>
      </c>
      <c r="Z47" s="69">
        <f t="shared" si="197"/>
        <v>0</v>
      </c>
      <c r="AA47" s="69">
        <f t="shared" si="197"/>
        <v>0</v>
      </c>
      <c r="AB47" s="75"/>
      <c r="AC47" s="75"/>
      <c r="AD47" s="75"/>
      <c r="AE47" s="75"/>
      <c r="AF47" s="75"/>
      <c r="AG47" s="75"/>
      <c r="AH47" s="75"/>
      <c r="AI47" s="75"/>
      <c r="AJ47" s="75"/>
      <c r="AK47" s="69"/>
    </row>
    <row r="48" spans="1:37" s="50" customFormat="1">
      <c r="A48" s="74" t="s">
        <v>91</v>
      </c>
      <c r="B48" s="74"/>
      <c r="C48" s="67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69">
        <f>$W$24*C$27</f>
        <v>0</v>
      </c>
      <c r="X48" s="69">
        <f t="shared" ref="X48:AA48" si="198">$W$24*D$27</f>
        <v>0</v>
      </c>
      <c r="Y48" s="69">
        <f t="shared" si="198"/>
        <v>0</v>
      </c>
      <c r="Z48" s="69">
        <f t="shared" si="198"/>
        <v>0</v>
      </c>
      <c r="AA48" s="69">
        <f t="shared" si="198"/>
        <v>0</v>
      </c>
      <c r="AB48" s="75"/>
      <c r="AC48" s="75"/>
      <c r="AD48" s="75"/>
      <c r="AE48" s="75"/>
      <c r="AF48" s="75"/>
      <c r="AG48" s="75"/>
      <c r="AH48" s="75"/>
      <c r="AI48" s="75"/>
      <c r="AJ48" s="75"/>
      <c r="AK48" s="69"/>
    </row>
    <row r="49" spans="1:37" s="50" customFormat="1">
      <c r="A49" s="74" t="s">
        <v>92</v>
      </c>
      <c r="B49" s="74"/>
      <c r="C49" s="67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69">
        <f>$X$24*C$27</f>
        <v>0</v>
      </c>
      <c r="Y49" s="69">
        <f t="shared" ref="Y49:AA49" si="199">$X$24*D$27</f>
        <v>0</v>
      </c>
      <c r="Z49" s="69">
        <f t="shared" si="199"/>
        <v>0</v>
      </c>
      <c r="AA49" s="69">
        <f t="shared" si="199"/>
        <v>0</v>
      </c>
      <c r="AB49" s="75"/>
      <c r="AC49" s="75"/>
      <c r="AD49" s="75"/>
      <c r="AE49" s="75"/>
      <c r="AF49" s="75"/>
      <c r="AG49" s="75"/>
      <c r="AH49" s="75"/>
      <c r="AI49" s="75"/>
      <c r="AJ49" s="75"/>
      <c r="AK49" s="69"/>
    </row>
    <row r="50" spans="1:37" s="50" customFormat="1">
      <c r="A50" s="74" t="s">
        <v>93</v>
      </c>
      <c r="B50" s="74"/>
      <c r="C50" s="67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69">
        <f>$Y$24*C$27</f>
        <v>0</v>
      </c>
      <c r="Z50" s="69">
        <f>$Y$24*D$27</f>
        <v>0</v>
      </c>
      <c r="AA50" s="69">
        <f t="shared" ref="AA50" si="200">$Y$24*E$27</f>
        <v>0</v>
      </c>
      <c r="AB50" s="75"/>
      <c r="AC50" s="75"/>
      <c r="AD50" s="75"/>
      <c r="AE50" s="75"/>
      <c r="AF50" s="75"/>
      <c r="AG50" s="75"/>
      <c r="AH50" s="75"/>
      <c r="AI50" s="75"/>
      <c r="AJ50" s="75"/>
      <c r="AK50" s="69"/>
    </row>
    <row r="51" spans="1:37" s="50" customFormat="1">
      <c r="A51" s="74" t="s">
        <v>94</v>
      </c>
      <c r="B51" s="74"/>
      <c r="C51" s="67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69">
        <f>$Z$24*C$27</f>
        <v>0</v>
      </c>
      <c r="AA51" s="69">
        <f>$Z$24*D$27</f>
        <v>0</v>
      </c>
      <c r="AB51" s="75"/>
      <c r="AC51" s="75"/>
      <c r="AD51" s="75"/>
      <c r="AE51" s="75"/>
      <c r="AF51" s="75"/>
      <c r="AG51" s="75"/>
      <c r="AH51" s="75"/>
      <c r="AI51" s="75"/>
      <c r="AJ51" s="75"/>
      <c r="AK51" s="69"/>
    </row>
    <row r="52" spans="1:37" s="50" customFormat="1">
      <c r="A52" s="74" t="s">
        <v>95</v>
      </c>
      <c r="B52" s="74"/>
      <c r="C52" s="67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69">
        <f>$AA$24*C$27</f>
        <v>0</v>
      </c>
      <c r="AB52" s="75"/>
      <c r="AC52" s="75"/>
      <c r="AD52" s="75"/>
      <c r="AE52" s="75"/>
      <c r="AF52" s="75"/>
      <c r="AG52" s="75"/>
      <c r="AH52" s="75"/>
      <c r="AI52" s="75"/>
      <c r="AJ52" s="75"/>
      <c r="AK52" s="69"/>
    </row>
    <row r="53" spans="1:37" s="50" customFormat="1">
      <c r="A53" s="74" t="s">
        <v>96</v>
      </c>
      <c r="B53" s="74"/>
      <c r="C53" s="67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69"/>
    </row>
    <row r="54" spans="1:37" s="50" customFormat="1">
      <c r="A54" s="74" t="s">
        <v>97</v>
      </c>
      <c r="B54" s="74"/>
      <c r="C54" s="67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69"/>
    </row>
    <row r="55" spans="1:37" s="50" customFormat="1">
      <c r="A55" s="74" t="s">
        <v>98</v>
      </c>
      <c r="B55" s="74"/>
      <c r="C55" s="67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69"/>
    </row>
    <row r="56" spans="1:37" s="50" customFormat="1">
      <c r="A56" s="74" t="s">
        <v>99</v>
      </c>
      <c r="B56" s="74"/>
      <c r="C56" s="67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69"/>
    </row>
    <row r="57" spans="1:37" s="50" customFormat="1">
      <c r="A57" s="74" t="s">
        <v>100</v>
      </c>
      <c r="B57" s="67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69"/>
    </row>
    <row r="58" spans="1:37" s="50" customFormat="1">
      <c r="A58" s="74"/>
      <c r="B58" s="67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69"/>
    </row>
    <row r="59" spans="1:37" s="50" customFormat="1">
      <c r="A59" s="67" t="s">
        <v>9</v>
      </c>
      <c r="B59" s="69"/>
      <c r="C59" s="69">
        <f t="shared" ref="C59:I59" si="201">SUM(C28:C57)</f>
        <v>6982.6125000000002</v>
      </c>
      <c r="D59" s="69">
        <f t="shared" si="201"/>
        <v>13441.994570000001</v>
      </c>
      <c r="E59" s="69">
        <f t="shared" si="201"/>
        <v>12432.774309999999</v>
      </c>
      <c r="F59" s="69">
        <f t="shared" si="201"/>
        <v>11501.759309999999</v>
      </c>
      <c r="G59" s="69">
        <f t="shared" si="201"/>
        <v>10637.777389999999</v>
      </c>
      <c r="H59" s="69">
        <f t="shared" si="201"/>
        <v>9840.8285500000002</v>
      </c>
      <c r="I59" s="69">
        <f t="shared" si="201"/>
        <v>9101.6026399999992</v>
      </c>
      <c r="J59" s="69">
        <f t="shared" ref="J59:N59" si="202">SUM(J28:J57)</f>
        <v>8420.0996599999999</v>
      </c>
      <c r="K59" s="69">
        <f t="shared" si="202"/>
        <v>8308.3778600000005</v>
      </c>
      <c r="L59" s="69">
        <f t="shared" si="202"/>
        <v>8306.5158300000003</v>
      </c>
      <c r="M59" s="69">
        <f t="shared" si="202"/>
        <v>8308.3778600000005</v>
      </c>
      <c r="N59" s="69">
        <f t="shared" si="202"/>
        <v>8494.0158300000003</v>
      </c>
      <c r="O59" s="69">
        <f t="shared" ref="O59:AA59" si="203">SUM(O28:O57)</f>
        <v>8669.3278600000012</v>
      </c>
      <c r="P59" s="69">
        <f t="shared" si="203"/>
        <v>8640.3658300000006</v>
      </c>
      <c r="Q59" s="69">
        <f t="shared" si="203"/>
        <v>8617.2278600000009</v>
      </c>
      <c r="R59" s="69">
        <f t="shared" si="203"/>
        <v>8592.1658299999999</v>
      </c>
      <c r="S59" s="69">
        <f t="shared" si="203"/>
        <v>8572.6278600000005</v>
      </c>
      <c r="T59" s="69">
        <f t="shared" si="203"/>
        <v>8550.9158299999999</v>
      </c>
      <c r="U59" s="69">
        <f t="shared" si="203"/>
        <v>8534.4778600000009</v>
      </c>
      <c r="V59" s="69">
        <f t="shared" si="203"/>
        <v>8529.6158300000006</v>
      </c>
      <c r="W59" s="69">
        <f t="shared" si="203"/>
        <v>4377.2389300000004</v>
      </c>
      <c r="X59" s="69">
        <f t="shared" si="203"/>
        <v>223.1</v>
      </c>
      <c r="Y59" s="69">
        <f t="shared" si="203"/>
        <v>223.04999999999998</v>
      </c>
      <c r="Z59" s="69">
        <f t="shared" si="203"/>
        <v>223.1</v>
      </c>
      <c r="AA59" s="69">
        <f t="shared" si="203"/>
        <v>223.04999999999998</v>
      </c>
      <c r="AB59" s="69"/>
      <c r="AC59" s="69"/>
      <c r="AD59" s="69"/>
      <c r="AE59" s="69"/>
      <c r="AF59" s="69"/>
      <c r="AG59" s="69"/>
      <c r="AH59" s="69"/>
      <c r="AI59" s="69"/>
      <c r="AJ59" s="69"/>
      <c r="AK59" s="69"/>
    </row>
    <row r="60" spans="1:37" s="50" customFormat="1">
      <c r="A60" s="67" t="s">
        <v>12</v>
      </c>
      <c r="B60" s="78"/>
      <c r="C60" s="78">
        <f>C59</f>
        <v>6982.6125000000002</v>
      </c>
      <c r="D60" s="69">
        <f t="shared" ref="D60:N60" si="204">D59+C60</f>
        <v>20424.607070000002</v>
      </c>
      <c r="E60" s="69">
        <f t="shared" si="204"/>
        <v>32857.381379999999</v>
      </c>
      <c r="F60" s="69">
        <f t="shared" si="204"/>
        <v>44359.14069</v>
      </c>
      <c r="G60" s="69">
        <f t="shared" si="204"/>
        <v>54996.918080000003</v>
      </c>
      <c r="H60" s="69">
        <f t="shared" si="204"/>
        <v>64837.746630000001</v>
      </c>
      <c r="I60" s="69">
        <f t="shared" si="204"/>
        <v>73939.349270000006</v>
      </c>
      <c r="J60" s="69">
        <f t="shared" si="204"/>
        <v>82359.448930000013</v>
      </c>
      <c r="K60" s="69">
        <f t="shared" si="204"/>
        <v>90667.826790000021</v>
      </c>
      <c r="L60" s="69">
        <f t="shared" si="204"/>
        <v>98974.342620000025</v>
      </c>
      <c r="M60" s="69">
        <f t="shared" si="204"/>
        <v>107282.72048000002</v>
      </c>
      <c r="N60" s="69">
        <f t="shared" si="204"/>
        <v>115776.73631000002</v>
      </c>
      <c r="O60" s="69">
        <f t="shared" ref="O60" si="205">O59+N60</f>
        <v>124446.06417000003</v>
      </c>
      <c r="P60" s="69">
        <f t="shared" ref="P60" si="206">P59+O60</f>
        <v>133086.43000000002</v>
      </c>
      <c r="Q60" s="69">
        <f t="shared" ref="Q60" si="207">Q59+P60</f>
        <v>141703.65786000004</v>
      </c>
      <c r="R60" s="69">
        <f t="shared" ref="R60" si="208">R59+Q60</f>
        <v>150295.82369000005</v>
      </c>
      <c r="S60" s="69">
        <f t="shared" ref="S60" si="209">S59+R60</f>
        <v>158868.45155000006</v>
      </c>
      <c r="T60" s="69">
        <f t="shared" ref="T60" si="210">T59+S60</f>
        <v>167419.36738000007</v>
      </c>
      <c r="U60" s="69">
        <f t="shared" ref="U60" si="211">U59+T60</f>
        <v>175953.84524000008</v>
      </c>
      <c r="V60" s="69">
        <f t="shared" ref="V60" si="212">V59+U60</f>
        <v>184483.46107000008</v>
      </c>
      <c r="W60" s="69">
        <f t="shared" ref="W60" si="213">W59+V60</f>
        <v>188860.70000000007</v>
      </c>
      <c r="X60" s="69">
        <f t="shared" ref="X60" si="214">X59+W60</f>
        <v>189083.80000000008</v>
      </c>
      <c r="Y60" s="69">
        <f t="shared" ref="Y60" si="215">Y59+X60</f>
        <v>189306.85000000006</v>
      </c>
      <c r="Z60" s="69">
        <f t="shared" ref="Z60" si="216">Z59+Y60</f>
        <v>189529.95000000007</v>
      </c>
      <c r="AA60" s="69">
        <f t="shared" ref="AA60" si="217">AA59+Z60</f>
        <v>189753.00000000006</v>
      </c>
      <c r="AB60" s="69"/>
      <c r="AC60" s="69"/>
      <c r="AD60" s="69"/>
      <c r="AE60" s="69"/>
      <c r="AF60" s="69"/>
      <c r="AG60" s="69"/>
      <c r="AH60" s="69"/>
      <c r="AI60" s="69"/>
      <c r="AJ60" s="69"/>
      <c r="AK60" s="69"/>
    </row>
    <row r="61" spans="1:37" s="50" customFormat="1">
      <c r="A61" s="67"/>
      <c r="B61" s="67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</row>
    <row r="62" spans="1:37" s="50" customFormat="1" ht="13">
      <c r="A62" s="18" t="s">
        <v>8</v>
      </c>
      <c r="B62" s="67"/>
      <c r="C62" s="69"/>
      <c r="D62" s="69"/>
      <c r="E62" s="69"/>
      <c r="F62" s="69"/>
      <c r="G62" s="69"/>
      <c r="H62" s="69"/>
      <c r="I62" s="69"/>
      <c r="J62" s="69"/>
      <c r="K62" s="69"/>
      <c r="L62" s="69"/>
      <c r="M62" s="69"/>
      <c r="N62" s="69"/>
      <c r="O62" s="69"/>
      <c r="P62" s="69"/>
      <c r="Q62" s="69"/>
      <c r="R62" s="69"/>
      <c r="S62" s="69"/>
      <c r="T62" s="69"/>
      <c r="U62" s="69"/>
      <c r="V62" s="69"/>
      <c r="W62" s="69"/>
      <c r="X62" s="69"/>
      <c r="Y62" s="69"/>
      <c r="Z62" s="69"/>
      <c r="AA62" s="69"/>
      <c r="AB62" s="69"/>
      <c r="AC62" s="69"/>
      <c r="AD62" s="69"/>
      <c r="AE62" s="69"/>
      <c r="AF62" s="69"/>
      <c r="AG62" s="69"/>
      <c r="AH62" s="69"/>
      <c r="AI62" s="69"/>
      <c r="AJ62" s="69"/>
      <c r="AK62" s="69"/>
    </row>
    <row r="63" spans="1:37" s="50" customFormat="1" ht="12" customHeight="1">
      <c r="A63" s="67" t="s">
        <v>151</v>
      </c>
      <c r="B63" s="79"/>
      <c r="C63" s="79">
        <f>+(C59-C19)*Input!$B$35</f>
        <v>-1792.2038749999995</v>
      </c>
      <c r="D63" s="79">
        <f>+(D59-D19)*Input!$B$35</f>
        <v>-435.73364029999971</v>
      </c>
      <c r="E63" s="79">
        <f>+(E59-E19)*Input!$B$35</f>
        <v>-647.66989490000003</v>
      </c>
      <c r="F63" s="79">
        <f>+(F59-F19)*Input!$B$35</f>
        <v>-843.18304489999991</v>
      </c>
      <c r="G63" s="79">
        <f>+(G59-G19)*Input!$B$35</f>
        <v>-1024.6192481</v>
      </c>
      <c r="H63" s="79">
        <f>+(H59-H19)*Input!$B$35</f>
        <v>-1191.9785044999999</v>
      </c>
      <c r="I63" s="79">
        <f>+(I59-I19)*Input!$B$35</f>
        <v>-1347.2159455999999</v>
      </c>
      <c r="J63" s="79">
        <f>+(J59-J19)*Input!$B$35</f>
        <v>-1490.3315713999998</v>
      </c>
      <c r="K63" s="79">
        <f>+(K59-K19)*Input!$B$35</f>
        <v>-1513.7931493999997</v>
      </c>
      <c r="L63" s="79">
        <f>+(L59-L19)*Input!$B$35</f>
        <v>-1514.1841756999997</v>
      </c>
      <c r="M63" s="79">
        <f>+(M59-M19)*Input!$B$35</f>
        <v>-1513.7931493999997</v>
      </c>
      <c r="N63" s="79">
        <f>+(N59-N19)*Input!$B$35</f>
        <v>-1562.3091756999997</v>
      </c>
      <c r="O63" s="79">
        <f>+(O59-O19)*Input!$B$35</f>
        <v>1820.5588506000001</v>
      </c>
      <c r="P63" s="79">
        <f>+(P59-P19)*Input!$B$35</f>
        <v>1814.4768243000001</v>
      </c>
      <c r="Q63" s="79">
        <f>+(Q59-Q19)*Input!$B$35</f>
        <v>1809.6178506000001</v>
      </c>
      <c r="R63" s="79">
        <f>+(R59-R19)*Input!$B$35</f>
        <v>1804.3548243</v>
      </c>
      <c r="S63" s="79">
        <f>+(S59-S19)*Input!$B$35</f>
        <v>1800.2518506000001</v>
      </c>
      <c r="T63" s="79">
        <f>+(T59-T19)*Input!$B$35</f>
        <v>1795.6923242999999</v>
      </c>
      <c r="U63" s="79">
        <f>+(U59-U19)*Input!$B$35</f>
        <v>1792.2403506000001</v>
      </c>
      <c r="V63" s="79">
        <f>+(V59-V19)*Input!$B$35</f>
        <v>1791.2193243000002</v>
      </c>
      <c r="W63" s="79">
        <f>+(W59-W19)*Input!$B$35</f>
        <v>919.22017530000005</v>
      </c>
      <c r="X63" s="79">
        <f>+(X59-X19)*Input!$B$35</f>
        <v>46.850999999999999</v>
      </c>
      <c r="Y63" s="79">
        <f>+(Y59-Y19)*Input!$B$35</f>
        <v>46.840499999999992</v>
      </c>
      <c r="Z63" s="79">
        <f>+(Z59-Z19)*Input!$B$35</f>
        <v>46.850999999999999</v>
      </c>
      <c r="AA63" s="79">
        <f>+(AA59-AA19)*Input!$B$35</f>
        <v>46.840499999999992</v>
      </c>
      <c r="AB63" s="79"/>
      <c r="AC63" s="79"/>
      <c r="AD63" s="79"/>
      <c r="AE63" s="79"/>
      <c r="AF63" s="79"/>
      <c r="AG63" s="79"/>
      <c r="AH63" s="79"/>
      <c r="AI63" s="79"/>
      <c r="AJ63" s="79"/>
      <c r="AK63" s="79"/>
    </row>
    <row r="64" spans="1:37" s="50" customFormat="1">
      <c r="A64" s="67" t="s">
        <v>5</v>
      </c>
      <c r="B64" s="69"/>
      <c r="C64" s="69">
        <f>C63</f>
        <v>-1792.2038749999995</v>
      </c>
      <c r="D64" s="94">
        <f t="shared" ref="D64:N64" si="218">C64+D63</f>
        <v>-2227.9375152999992</v>
      </c>
      <c r="E64" s="94">
        <f t="shared" si="218"/>
        <v>-2875.6074101999993</v>
      </c>
      <c r="F64" s="94">
        <f t="shared" si="218"/>
        <v>-3718.7904550999992</v>
      </c>
      <c r="G64" s="94">
        <f t="shared" si="218"/>
        <v>-4743.4097031999991</v>
      </c>
      <c r="H64" s="94">
        <f>G64+H63</f>
        <v>-5935.3882076999989</v>
      </c>
      <c r="I64" s="94">
        <f t="shared" si="218"/>
        <v>-7282.6041532999989</v>
      </c>
      <c r="J64" s="94">
        <f t="shared" si="218"/>
        <v>-8772.9357246999989</v>
      </c>
      <c r="K64" s="94">
        <f t="shared" si="218"/>
        <v>-10286.728874099999</v>
      </c>
      <c r="L64" s="94">
        <f t="shared" si="218"/>
        <v>-11800.913049799999</v>
      </c>
      <c r="M64" s="94">
        <f t="shared" si="218"/>
        <v>-13314.7061992</v>
      </c>
      <c r="N64" s="69">
        <f t="shared" si="218"/>
        <v>-14877.0153749</v>
      </c>
      <c r="O64" s="69">
        <f t="shared" ref="O64" si="219">N64+O63</f>
        <v>-13056.4565243</v>
      </c>
      <c r="P64" s="69">
        <f t="shared" ref="P64" si="220">O64+P63</f>
        <v>-11241.9797</v>
      </c>
      <c r="Q64" s="69">
        <f t="shared" ref="Q64" si="221">P64+Q63</f>
        <v>-9432.3618494000002</v>
      </c>
      <c r="R64" s="69">
        <f t="shared" ref="R64" si="222">Q64+R63</f>
        <v>-7628.0070250999997</v>
      </c>
      <c r="S64" s="69">
        <f t="shared" ref="S64" si="223">R64+S63</f>
        <v>-5827.7551745000001</v>
      </c>
      <c r="T64" s="69">
        <f t="shared" ref="T64" si="224">S64+T63</f>
        <v>-4032.0628502</v>
      </c>
      <c r="U64" s="69">
        <f t="shared" ref="U64" si="225">T64+U63</f>
        <v>-2239.8224995999999</v>
      </c>
      <c r="V64" s="69">
        <f t="shared" ref="V64" si="226">U64+V63</f>
        <v>-448.60317529999975</v>
      </c>
      <c r="W64" s="69">
        <f t="shared" ref="W64" si="227">V64+W63</f>
        <v>470.6170000000003</v>
      </c>
      <c r="X64" s="69">
        <f t="shared" ref="X64" si="228">W64+X63</f>
        <v>517.4680000000003</v>
      </c>
      <c r="Y64" s="69">
        <f t="shared" ref="Y64" si="229">X64+Y63</f>
        <v>564.30850000000032</v>
      </c>
      <c r="Z64" s="69">
        <f t="shared" ref="Z64" si="230">Y64+Z63</f>
        <v>611.15950000000032</v>
      </c>
      <c r="AA64" s="69">
        <f t="shared" ref="AA64" si="231">Z64+AA63</f>
        <v>658.00000000000034</v>
      </c>
      <c r="AB64" s="94"/>
      <c r="AC64" s="94"/>
      <c r="AD64" s="94"/>
      <c r="AE64" s="94"/>
      <c r="AF64" s="94"/>
      <c r="AG64" s="94"/>
      <c r="AH64" s="94"/>
      <c r="AI64" s="94"/>
      <c r="AJ64" s="94"/>
      <c r="AK64" s="94"/>
    </row>
    <row r="65" spans="1:37" s="50" customFormat="1">
      <c r="A65" s="67" t="s">
        <v>152</v>
      </c>
      <c r="B65" s="69"/>
      <c r="C65" s="69">
        <f>+(C59-C19)*Input!$B$34</f>
        <v>-427.26993810416661</v>
      </c>
      <c r="D65" s="69">
        <f>+(D59-D19)*Input!$B$34</f>
        <v>-103.88097476961661</v>
      </c>
      <c r="E65" s="69">
        <f>+(E59-E19)*Input!$B$34</f>
        <v>-154.40758708651671</v>
      </c>
      <c r="F65" s="69">
        <f>+(F59-F19)*Input!$B$34</f>
        <v>-201.01885306151669</v>
      </c>
      <c r="G65" s="69">
        <f>+(G59-G19)*Input!$B$34</f>
        <v>-244.2741078863167</v>
      </c>
      <c r="H65" s="69">
        <f>+(H59-H19)*Input!$B$34</f>
        <v>-284.17335156091667</v>
      </c>
      <c r="I65" s="69">
        <f>+(I59-I19)*Input!$B$34</f>
        <v>-321.18269674506672</v>
      </c>
      <c r="J65" s="69">
        <f>+(J59-J19)*Input!$B$34</f>
        <v>-355.30214343876668</v>
      </c>
      <c r="K65" s="69">
        <f>+(K59-K19)*Input!$B$34</f>
        <v>-360.89549535576663</v>
      </c>
      <c r="L65" s="69">
        <f>+(L59-L19)*Input!$B$34</f>
        <v>-360.98871788771669</v>
      </c>
      <c r="M65" s="69">
        <f>+(M59-M19)*Input!$B$34</f>
        <v>-360.89549535576663</v>
      </c>
      <c r="N65" s="69">
        <f>+(N59-N19)*Input!$B$34</f>
        <v>-372.4619470543833</v>
      </c>
      <c r="O65" s="69">
        <f>+(O59-O19)*Input!$B$34</f>
        <v>434.02989931090013</v>
      </c>
      <c r="P65" s="69">
        <f>+(P59-P19)*Input!$B$34</f>
        <v>432.57991527895007</v>
      </c>
      <c r="Q65" s="69">
        <f>+(Q59-Q19)*Input!$B$34</f>
        <v>431.42151281090008</v>
      </c>
      <c r="R65" s="69">
        <f>+(R59-R19)*Input!$B$34</f>
        <v>430.16678227895005</v>
      </c>
      <c r="S65" s="69">
        <f>+(S59-S19)*Input!$B$34</f>
        <v>429.18861381090005</v>
      </c>
      <c r="T65" s="69">
        <f>+(T59-T19)*Input!$B$34</f>
        <v>428.10160102895003</v>
      </c>
      <c r="U65" s="69">
        <f>+(U59-U19)*Input!$B$34</f>
        <v>427.27863406090012</v>
      </c>
      <c r="V65" s="69">
        <f>+(V59-V19)*Input!$B$34</f>
        <v>427.03521652895006</v>
      </c>
      <c r="W65" s="69">
        <f>+(W59-W19)*Input!$B$34</f>
        <v>219.14646703045005</v>
      </c>
      <c r="X65" s="69">
        <f>+(X59-X19)*Input!$B$34</f>
        <v>11.169501500000001</v>
      </c>
      <c r="Y65" s="69">
        <f>+(Y59-Y19)*Input!$B$34</f>
        <v>11.166998250000001</v>
      </c>
      <c r="Z65" s="69">
        <f>+(Z59-Z19)*Input!$B$34</f>
        <v>11.169501500000001</v>
      </c>
      <c r="AA65" s="69">
        <f>+(AA59-AA19)*Input!$B$34</f>
        <v>11.166998250000001</v>
      </c>
      <c r="AB65" s="69"/>
      <c r="AC65" s="69"/>
      <c r="AD65" s="69"/>
      <c r="AE65" s="69"/>
      <c r="AF65" s="69"/>
      <c r="AG65" s="69"/>
      <c r="AH65" s="69"/>
      <c r="AI65" s="69"/>
      <c r="AJ65" s="69"/>
      <c r="AK65" s="69"/>
    </row>
    <row r="66" spans="1:37" s="50" customFormat="1">
      <c r="A66" s="67" t="s">
        <v>153</v>
      </c>
      <c r="B66" s="69"/>
      <c r="C66" s="69">
        <f>C65</f>
        <v>-427.26993810416661</v>
      </c>
      <c r="D66" s="69">
        <f>+C66+D65</f>
        <v>-531.15091287378323</v>
      </c>
      <c r="E66" s="69">
        <f t="shared" ref="E66:N66" si="232">D66+E65</f>
        <v>-685.55849996029997</v>
      </c>
      <c r="F66" s="69">
        <f t="shared" si="232"/>
        <v>-886.57735302181663</v>
      </c>
      <c r="G66" s="69">
        <f t="shared" si="232"/>
        <v>-1130.8514609081333</v>
      </c>
      <c r="H66" s="69">
        <f t="shared" si="232"/>
        <v>-1415.0248124690499</v>
      </c>
      <c r="I66" s="69">
        <f t="shared" si="232"/>
        <v>-1736.2075092141167</v>
      </c>
      <c r="J66" s="69">
        <f t="shared" si="232"/>
        <v>-2091.5096526528832</v>
      </c>
      <c r="K66" s="69">
        <f t="shared" si="232"/>
        <v>-2452.40514800865</v>
      </c>
      <c r="L66" s="69">
        <f t="shared" si="232"/>
        <v>-2813.3938658963666</v>
      </c>
      <c r="M66" s="69">
        <f t="shared" si="232"/>
        <v>-3174.2893612521334</v>
      </c>
      <c r="N66" s="69">
        <f t="shared" si="232"/>
        <v>-3546.7513083065169</v>
      </c>
      <c r="O66" s="69">
        <f t="shared" ref="O66" si="233">N66+O65</f>
        <v>-3112.7214089956169</v>
      </c>
      <c r="P66" s="69">
        <f t="shared" ref="P66" si="234">O66+P65</f>
        <v>-2680.1414937166669</v>
      </c>
      <c r="Q66" s="69">
        <f t="shared" ref="Q66" si="235">P66+Q65</f>
        <v>-2248.719980905767</v>
      </c>
      <c r="R66" s="69">
        <f t="shared" ref="R66" si="236">Q66+R65</f>
        <v>-1818.553198626817</v>
      </c>
      <c r="S66" s="69">
        <f t="shared" ref="S66" si="237">R66+S65</f>
        <v>-1389.3645848159169</v>
      </c>
      <c r="T66" s="69">
        <f t="shared" ref="T66" si="238">S66+T65</f>
        <v>-961.26298378696697</v>
      </c>
      <c r="U66" s="69">
        <f t="shared" ref="U66" si="239">T66+U65</f>
        <v>-533.98434972606685</v>
      </c>
      <c r="V66" s="69">
        <f t="shared" ref="V66" si="240">U66+V65</f>
        <v>-106.94913319711679</v>
      </c>
      <c r="W66" s="69">
        <f t="shared" ref="W66" si="241">V66+W65</f>
        <v>112.19733383333326</v>
      </c>
      <c r="X66" s="69">
        <f t="shared" ref="X66" si="242">W66+X65</f>
        <v>123.36683533333326</v>
      </c>
      <c r="Y66" s="69">
        <f t="shared" ref="Y66" si="243">X66+Y65</f>
        <v>134.53383358333326</v>
      </c>
      <c r="Z66" s="69">
        <f t="shared" ref="Z66" si="244">Y66+Z65</f>
        <v>145.70333508333326</v>
      </c>
      <c r="AA66" s="69">
        <f t="shared" ref="AA66" si="245">Z66+AA65</f>
        <v>156.87033333333326</v>
      </c>
      <c r="AB66" s="69"/>
      <c r="AC66" s="69"/>
      <c r="AD66" s="69"/>
      <c r="AE66" s="69"/>
      <c r="AF66" s="69"/>
      <c r="AG66" s="69"/>
      <c r="AH66" s="69"/>
      <c r="AI66" s="69"/>
      <c r="AJ66" s="69"/>
      <c r="AK66" s="69"/>
    </row>
    <row r="67" spans="1:37" s="50" customFormat="1">
      <c r="A67" s="67" t="s">
        <v>154</v>
      </c>
      <c r="B67" s="69"/>
      <c r="C67" s="69">
        <f>-C65*Input!$B$35</f>
        <v>89.726687001874978</v>
      </c>
      <c r="D67" s="94">
        <f>-D65*Input!$B$35</f>
        <v>21.81500470161949</v>
      </c>
      <c r="E67" s="69">
        <f>-E65*Input!$B$35</f>
        <v>32.425593288168507</v>
      </c>
      <c r="F67" s="69">
        <f>-F65*Input!$B$35</f>
        <v>42.213959142918505</v>
      </c>
      <c r="G67" s="69">
        <f>-G65*Input!$B$35</f>
        <v>51.297562656126502</v>
      </c>
      <c r="H67" s="69">
        <f>-H65*Input!$B$35</f>
        <v>59.676403827792498</v>
      </c>
      <c r="I67" s="69">
        <f>-I65*Input!$B$35</f>
        <v>67.448366316464003</v>
      </c>
      <c r="J67" s="69">
        <f>-J65*Input!$B$35</f>
        <v>74.613450122141003</v>
      </c>
      <c r="K67" s="69">
        <f>-K65*Input!$B$35</f>
        <v>75.788054024710988</v>
      </c>
      <c r="L67" s="69">
        <f>-L65*Input!$B$35</f>
        <v>75.807630756420508</v>
      </c>
      <c r="M67" s="69">
        <f>-M65*Input!$B$35</f>
        <v>75.788054024710988</v>
      </c>
      <c r="N67" s="69">
        <f>-N65*Input!$B$35</f>
        <v>78.217008881420497</v>
      </c>
      <c r="O67" s="69">
        <f>-O65*Input!$B$35</f>
        <v>-91.146278855289026</v>
      </c>
      <c r="P67" s="69">
        <f>-P65*Input!$B$35</f>
        <v>-90.841782208579517</v>
      </c>
      <c r="Q67" s="69">
        <f>-Q65*Input!$B$35</f>
        <v>-90.598517690289015</v>
      </c>
      <c r="R67" s="69">
        <f>-R65*Input!$B$35</f>
        <v>-90.33502427857951</v>
      </c>
      <c r="S67" s="69">
        <f>-S65*Input!$B$35</f>
        <v>-90.129608900289014</v>
      </c>
      <c r="T67" s="69">
        <f>-T65*Input!$B$35</f>
        <v>-89.9013362160795</v>
      </c>
      <c r="U67" s="69">
        <f>-U65*Input!$B$35</f>
        <v>-89.72851315278902</v>
      </c>
      <c r="V67" s="69">
        <f>-V65*Input!$B$35</f>
        <v>-89.677395471079507</v>
      </c>
      <c r="W67" s="69">
        <f>-W65*Input!$B$35</f>
        <v>-46.020758076394507</v>
      </c>
      <c r="X67" s="69">
        <f>-X65*Input!$B$35</f>
        <v>-2.3455953150000002</v>
      </c>
      <c r="Y67" s="69">
        <f>-Y65*Input!$B$35</f>
        <v>-2.3450696325</v>
      </c>
      <c r="Z67" s="69">
        <f>-Z65*Input!$B$35</f>
        <v>-2.3455953150000002</v>
      </c>
      <c r="AA67" s="69">
        <f>-AA65*Input!$B$35</f>
        <v>-2.3450696325</v>
      </c>
      <c r="AB67" s="69"/>
      <c r="AC67" s="69"/>
      <c r="AD67" s="69"/>
      <c r="AE67" s="69"/>
      <c r="AF67" s="69"/>
      <c r="AG67" s="69"/>
      <c r="AH67" s="69"/>
      <c r="AI67" s="69"/>
      <c r="AJ67" s="69"/>
      <c r="AK67" s="69"/>
    </row>
    <row r="68" spans="1:37" s="50" customFormat="1">
      <c r="A68" s="67" t="s">
        <v>155</v>
      </c>
      <c r="B68" s="69"/>
      <c r="C68" s="69">
        <f>C67</f>
        <v>89.726687001874978</v>
      </c>
      <c r="D68" s="69">
        <f>+C68+D67</f>
        <v>111.54169170349446</v>
      </c>
      <c r="E68" s="69">
        <f t="shared" ref="E68:N68" si="246">D68+E67</f>
        <v>143.96728499166298</v>
      </c>
      <c r="F68" s="69">
        <f t="shared" si="246"/>
        <v>186.18124413458148</v>
      </c>
      <c r="G68" s="69">
        <f t="shared" si="246"/>
        <v>237.47880679070798</v>
      </c>
      <c r="H68" s="69">
        <f t="shared" si="246"/>
        <v>297.15521061850046</v>
      </c>
      <c r="I68" s="69">
        <f t="shared" si="246"/>
        <v>364.60357693496445</v>
      </c>
      <c r="J68" s="69">
        <f t="shared" si="246"/>
        <v>439.21702705710544</v>
      </c>
      <c r="K68" s="69">
        <f t="shared" si="246"/>
        <v>515.00508108181646</v>
      </c>
      <c r="L68" s="69">
        <f t="shared" si="246"/>
        <v>590.81271183823696</v>
      </c>
      <c r="M68" s="69">
        <f t="shared" si="246"/>
        <v>666.60076586294792</v>
      </c>
      <c r="N68" s="69">
        <f t="shared" si="246"/>
        <v>744.81777474436842</v>
      </c>
      <c r="O68" s="69">
        <f t="shared" ref="O68" si="247">N68+O67</f>
        <v>653.67149588907944</v>
      </c>
      <c r="P68" s="69">
        <f t="shared" ref="P68" si="248">O68+P67</f>
        <v>562.82971368049994</v>
      </c>
      <c r="Q68" s="69">
        <f t="shared" ref="Q68" si="249">P68+Q67</f>
        <v>472.23119599021095</v>
      </c>
      <c r="R68" s="69">
        <f t="shared" ref="R68" si="250">Q68+R67</f>
        <v>381.89617171163144</v>
      </c>
      <c r="S68" s="69">
        <f t="shared" ref="S68" si="251">R68+S67</f>
        <v>291.7665628113424</v>
      </c>
      <c r="T68" s="69">
        <f t="shared" ref="T68" si="252">S68+T67</f>
        <v>201.8652265952629</v>
      </c>
      <c r="U68" s="69">
        <f t="shared" ref="U68" si="253">T68+U67</f>
        <v>112.13671344247388</v>
      </c>
      <c r="V68" s="69">
        <f t="shared" ref="V68" si="254">U68+V67</f>
        <v>22.45931797139437</v>
      </c>
      <c r="W68" s="69">
        <f t="shared" ref="W68" si="255">V68+W67</f>
        <v>-23.561440105000138</v>
      </c>
      <c r="X68" s="69">
        <f t="shared" ref="X68" si="256">W68+X67</f>
        <v>-25.907035420000138</v>
      </c>
      <c r="Y68" s="69">
        <f t="shared" ref="Y68" si="257">X68+Y67</f>
        <v>-28.252105052500138</v>
      </c>
      <c r="Z68" s="69">
        <f t="shared" ref="Z68" si="258">Y68+Z67</f>
        <v>-30.597700367500138</v>
      </c>
      <c r="AA68" s="69">
        <f t="shared" ref="AA68" si="259">Z68+AA67</f>
        <v>-32.942770000000138</v>
      </c>
      <c r="AB68" s="69"/>
      <c r="AC68" s="69"/>
      <c r="AD68" s="69"/>
      <c r="AE68" s="69"/>
      <c r="AF68" s="69"/>
      <c r="AG68" s="69"/>
      <c r="AH68" s="69"/>
      <c r="AI68" s="69"/>
      <c r="AJ68" s="69"/>
      <c r="AK68" s="69"/>
    </row>
    <row r="69" spans="1:37">
      <c r="A69" s="60"/>
      <c r="B69" s="60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</row>
    <row r="70" spans="1:37">
      <c r="C70" s="80"/>
    </row>
  </sheetData>
  <mergeCells count="1">
    <mergeCell ref="A1:M1"/>
  </mergeCells>
  <phoneticPr fontId="19" type="noConversion"/>
  <conditionalFormatting sqref="C3">
    <cfRule type="containsText" dxfId="1" priority="2" operator="containsText" text="Not">
      <formula>NOT(ISERROR(SEARCH("Not",C3)))</formula>
    </cfRule>
    <cfRule type="containsText" dxfId="0" priority="3" operator="containsText" text="ERROR">
      <formula>NOT(ISERROR(SEARCH("ERROR",C3)))</formula>
    </cfRule>
  </conditionalFormatting>
  <pageMargins left="0.7" right="0.7" top="0.75" bottom="0.75" header="0.3" footer="0.3"/>
  <pageSetup fitToHeight="2" orientation="landscape" r:id="rId1"/>
  <headerFooter>
    <oddHeader>&amp;RCase No. 2026-00001
KPSC 1-11 Attachment 2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1"/>
  <dimension ref="A1:AK64"/>
  <sheetViews>
    <sheetView zoomScaleNormal="100" zoomScaleSheetLayoutView="50" workbookViewId="0">
      <selection activeCell="F10" sqref="F10"/>
    </sheetView>
  </sheetViews>
  <sheetFormatPr defaultColWidth="9.1796875" defaultRowHeight="12.5"/>
  <cols>
    <col min="1" max="1" width="42.54296875" style="1" bestFit="1" customWidth="1"/>
    <col min="2" max="2" width="18.453125" style="1" bestFit="1" customWidth="1"/>
    <col min="3" max="3" width="15.81640625" style="1" bestFit="1" customWidth="1"/>
    <col min="4" max="4" width="16.81640625" style="1" bestFit="1" customWidth="1"/>
    <col min="5" max="15" width="14.54296875" style="1" customWidth="1"/>
    <col min="16" max="37" width="13.26953125" style="1" customWidth="1"/>
    <col min="38" max="16384" width="9.1796875" style="1"/>
  </cols>
  <sheetData>
    <row r="1" spans="1:37" ht="14">
      <c r="A1" s="215" t="s">
        <v>265</v>
      </c>
      <c r="B1" s="215"/>
      <c r="C1" s="215"/>
      <c r="D1" s="215"/>
      <c r="E1" s="215"/>
      <c r="F1" s="215"/>
      <c r="G1" s="215"/>
      <c r="H1" s="215"/>
      <c r="I1" s="215"/>
      <c r="J1" s="215"/>
    </row>
    <row r="2" spans="1:37" ht="14">
      <c r="A2" s="215" t="s">
        <v>13</v>
      </c>
      <c r="B2" s="215"/>
      <c r="C2" s="215"/>
      <c r="D2" s="215"/>
      <c r="E2" s="215"/>
      <c r="F2" s="215"/>
      <c r="G2" s="215"/>
      <c r="H2" s="215"/>
      <c r="I2" s="215"/>
      <c r="J2" s="215"/>
    </row>
    <row r="3" spans="1:37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ht="13">
      <c r="B4" s="96" t="s">
        <v>16</v>
      </c>
      <c r="C4" s="96" t="s">
        <v>17</v>
      </c>
      <c r="D4" s="96" t="s">
        <v>18</v>
      </c>
      <c r="E4" s="96" t="s">
        <v>19</v>
      </c>
      <c r="F4" s="96" t="s">
        <v>20</v>
      </c>
      <c r="G4" s="96" t="s">
        <v>21</v>
      </c>
      <c r="H4" s="96" t="s">
        <v>22</v>
      </c>
      <c r="I4" s="96" t="s">
        <v>23</v>
      </c>
      <c r="J4" s="96" t="s">
        <v>24</v>
      </c>
      <c r="K4" s="96" t="s">
        <v>25</v>
      </c>
      <c r="L4" s="96" t="s">
        <v>26</v>
      </c>
      <c r="M4" s="96" t="s">
        <v>27</v>
      </c>
      <c r="N4" s="96" t="s">
        <v>28</v>
      </c>
      <c r="O4" s="96" t="s">
        <v>29</v>
      </c>
      <c r="P4" s="96" t="s">
        <v>30</v>
      </c>
      <c r="Q4" s="96" t="s">
        <v>31</v>
      </c>
      <c r="R4" s="96" t="s">
        <v>32</v>
      </c>
      <c r="S4" s="96" t="s">
        <v>33</v>
      </c>
      <c r="T4" s="96" t="s">
        <v>34</v>
      </c>
      <c r="U4" s="96" t="s">
        <v>35</v>
      </c>
      <c r="V4" s="96" t="s">
        <v>36</v>
      </c>
      <c r="W4" s="96" t="s">
        <v>248</v>
      </c>
      <c r="X4" s="96" t="s">
        <v>249</v>
      </c>
      <c r="Y4" s="96" t="s">
        <v>250</v>
      </c>
      <c r="Z4" s="96" t="s">
        <v>251</v>
      </c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</row>
    <row r="5" spans="1:37" ht="13">
      <c r="A5" s="7"/>
      <c r="B5" s="95">
        <f>Input!B7</f>
        <v>2029</v>
      </c>
      <c r="C5" s="95">
        <f>B5+1</f>
        <v>2030</v>
      </c>
      <c r="D5" s="95">
        <f t="shared" ref="D5:L5" si="0">C5+1</f>
        <v>2031</v>
      </c>
      <c r="E5" s="95">
        <f t="shared" si="0"/>
        <v>2032</v>
      </c>
      <c r="F5" s="95">
        <f t="shared" si="0"/>
        <v>2033</v>
      </c>
      <c r="G5" s="95">
        <f t="shared" si="0"/>
        <v>2034</v>
      </c>
      <c r="H5" s="95">
        <f t="shared" si="0"/>
        <v>2035</v>
      </c>
      <c r="I5" s="95">
        <f t="shared" si="0"/>
        <v>2036</v>
      </c>
      <c r="J5" s="95">
        <f t="shared" si="0"/>
        <v>2037</v>
      </c>
      <c r="K5" s="95">
        <f t="shared" si="0"/>
        <v>2038</v>
      </c>
      <c r="L5" s="95">
        <f t="shared" si="0"/>
        <v>2039</v>
      </c>
      <c r="M5" s="95">
        <f t="shared" ref="M5" si="1">L5+1</f>
        <v>2040</v>
      </c>
      <c r="N5" s="95">
        <f t="shared" ref="N5" si="2">M5+1</f>
        <v>2041</v>
      </c>
      <c r="O5" s="95">
        <f t="shared" ref="O5" si="3">N5+1</f>
        <v>2042</v>
      </c>
      <c r="P5" s="95">
        <f t="shared" ref="P5" si="4">O5+1</f>
        <v>2043</v>
      </c>
      <c r="Q5" s="95">
        <f t="shared" ref="Q5" si="5">P5+1</f>
        <v>2044</v>
      </c>
      <c r="R5" s="95">
        <f t="shared" ref="R5" si="6">Q5+1</f>
        <v>2045</v>
      </c>
      <c r="S5" s="95">
        <f t="shared" ref="S5" si="7">R5+1</f>
        <v>2046</v>
      </c>
      <c r="T5" s="95">
        <f t="shared" ref="T5" si="8">S5+1</f>
        <v>2047</v>
      </c>
      <c r="U5" s="95">
        <f t="shared" ref="U5" si="9">T5+1</f>
        <v>2048</v>
      </c>
      <c r="V5" s="95">
        <f t="shared" ref="V5" si="10">U5+1</f>
        <v>2049</v>
      </c>
      <c r="W5" s="95">
        <f t="shared" ref="W5" si="11">V5+1</f>
        <v>2050</v>
      </c>
      <c r="X5" s="95">
        <f t="shared" ref="X5" si="12">W5+1</f>
        <v>2051</v>
      </c>
      <c r="Y5" s="95">
        <f t="shared" ref="Y5" si="13">X5+1</f>
        <v>2052</v>
      </c>
      <c r="Z5" s="95">
        <f t="shared" ref="Z5" si="14">Y5+1</f>
        <v>2053</v>
      </c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</row>
    <row r="6" spans="1:37">
      <c r="A6" s="7" t="s">
        <v>114</v>
      </c>
      <c r="B6" s="3">
        <f>Input!B45</f>
        <v>0</v>
      </c>
      <c r="C6" s="3">
        <f>Input!C45</f>
        <v>0</v>
      </c>
      <c r="D6" s="3">
        <f>Input!D45</f>
        <v>0</v>
      </c>
      <c r="E6" s="3">
        <f>Input!E45</f>
        <v>0</v>
      </c>
      <c r="F6" s="3">
        <f>Input!F45</f>
        <v>0</v>
      </c>
      <c r="G6" s="3">
        <f>Input!G45</f>
        <v>0</v>
      </c>
      <c r="H6" s="3">
        <f>Input!H45</f>
        <v>0</v>
      </c>
      <c r="I6" s="3">
        <f>Input!I45</f>
        <v>0</v>
      </c>
      <c r="J6" s="3">
        <f>Input!J45</f>
        <v>0</v>
      </c>
      <c r="K6" s="3">
        <f>Input!K45</f>
        <v>0</v>
      </c>
      <c r="L6" s="3">
        <f>Input!L45</f>
        <v>0</v>
      </c>
      <c r="M6" s="3">
        <f>Input!M45</f>
        <v>0</v>
      </c>
      <c r="N6" s="3">
        <f>Input!N45</f>
        <v>0</v>
      </c>
      <c r="O6" s="3">
        <f>Input!O45</f>
        <v>0</v>
      </c>
      <c r="P6" s="3">
        <f>Input!P45</f>
        <v>0</v>
      </c>
      <c r="Q6" s="3">
        <f>Input!Q45</f>
        <v>0</v>
      </c>
      <c r="R6" s="3">
        <f>Input!R45</f>
        <v>0</v>
      </c>
      <c r="S6" s="3">
        <f>Input!S45</f>
        <v>0</v>
      </c>
      <c r="T6" s="3">
        <f>Input!T45</f>
        <v>0</v>
      </c>
      <c r="U6" s="3">
        <f>Input!U45</f>
        <v>0</v>
      </c>
      <c r="V6" s="3">
        <f>Input!V45</f>
        <v>0</v>
      </c>
      <c r="W6" s="3">
        <f>Input!W45</f>
        <v>0</v>
      </c>
      <c r="X6" s="3">
        <f>Input!X45</f>
        <v>0</v>
      </c>
      <c r="Y6" s="3">
        <f>Input!Y45</f>
        <v>0</v>
      </c>
      <c r="Z6" s="3">
        <f>Input!Z45</f>
        <v>0</v>
      </c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>
      <c r="A7" s="87" t="s">
        <v>115</v>
      </c>
      <c r="B7" s="3">
        <f>Input!B47</f>
        <v>100233.18166647268</v>
      </c>
      <c r="C7" s="3">
        <f>Input!C47</f>
        <v>91533.693773819439</v>
      </c>
      <c r="D7" s="3">
        <f>Input!D47</f>
        <v>82980.280202597802</v>
      </c>
      <c r="E7" s="3">
        <f>Input!E47</f>
        <v>74561.621540445922</v>
      </c>
      <c r="F7" s="3">
        <f>Input!F47</f>
        <v>66268.015433910783</v>
      </c>
      <c r="G7" s="3">
        <f>Input!G47</f>
        <v>58089.759529539318</v>
      </c>
      <c r="H7" s="3">
        <f>Input!H47</f>
        <v>50018.499022969241</v>
      </c>
      <c r="I7" s="3">
        <f>Input!I47</f>
        <v>42045.879109838213</v>
      </c>
      <c r="J7" s="3">
        <f>Input!J47</f>
        <v>34089.429785795568</v>
      </c>
      <c r="K7" s="3">
        <f>Input!K47</f>
        <v>26133.249971571055</v>
      </c>
      <c r="L7" s="3">
        <f>Input!L47</f>
        <v>18176.800647528406</v>
      </c>
      <c r="M7" s="3">
        <f>Input!M47</f>
        <v>12912.123700241385</v>
      </c>
      <c r="N7" s="3">
        <f>Input!N47</f>
        <v>0</v>
      </c>
      <c r="O7" s="3">
        <f>Input!O47</f>
        <v>0</v>
      </c>
      <c r="P7" s="3">
        <f>Input!P47</f>
        <v>0</v>
      </c>
      <c r="Q7" s="3">
        <f>Input!Q47</f>
        <v>0</v>
      </c>
      <c r="R7" s="3">
        <f>Input!R47</f>
        <v>0</v>
      </c>
      <c r="S7" s="3">
        <f>Input!S47</f>
        <v>0</v>
      </c>
      <c r="T7" s="3">
        <f>Input!T47</f>
        <v>0</v>
      </c>
      <c r="U7" s="3">
        <f>Input!U47</f>
        <v>0</v>
      </c>
      <c r="V7" s="3">
        <f>Input!V47</f>
        <v>0</v>
      </c>
      <c r="W7" s="3">
        <f>Input!W47</f>
        <v>0</v>
      </c>
      <c r="X7" s="3">
        <f>Input!X47</f>
        <v>0</v>
      </c>
      <c r="Y7" s="3">
        <f>Input!Y47</f>
        <v>0</v>
      </c>
      <c r="Z7" s="3">
        <f>Input!Z47</f>
        <v>0</v>
      </c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</row>
    <row r="8" spans="1:37">
      <c r="A8" s="7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</row>
    <row r="9" spans="1:37">
      <c r="A9" s="7"/>
      <c r="B9" s="3">
        <f>Input!B48</f>
        <v>0</v>
      </c>
      <c r="C9" s="3">
        <f>Input!C48</f>
        <v>0</v>
      </c>
      <c r="D9" s="3">
        <f>Input!D48</f>
        <v>0</v>
      </c>
      <c r="E9" s="3">
        <f>Input!E48</f>
        <v>0</v>
      </c>
      <c r="F9" s="3">
        <f>Input!F48</f>
        <v>0</v>
      </c>
      <c r="G9" s="3">
        <f>Input!G48</f>
        <v>0</v>
      </c>
      <c r="H9" s="3">
        <f>Input!H48</f>
        <v>0</v>
      </c>
      <c r="I9" s="3">
        <f>Input!I48</f>
        <v>0</v>
      </c>
      <c r="J9" s="3">
        <f>Input!J48</f>
        <v>0</v>
      </c>
      <c r="K9" s="3">
        <f>Input!K48</f>
        <v>0</v>
      </c>
      <c r="L9" s="3">
        <f>Input!L48</f>
        <v>0</v>
      </c>
      <c r="M9" s="3">
        <f>Input!M48</f>
        <v>0</v>
      </c>
      <c r="N9" s="3">
        <f>Input!N48</f>
        <v>0</v>
      </c>
      <c r="O9" s="3">
        <f>Input!O48</f>
        <v>0</v>
      </c>
      <c r="P9" s="3">
        <f>Input!P48</f>
        <v>0</v>
      </c>
      <c r="Q9" s="3">
        <f>Input!Q48</f>
        <v>0</v>
      </c>
      <c r="R9" s="3">
        <f>Input!R48</f>
        <v>0</v>
      </c>
      <c r="S9" s="3">
        <f>Input!S48</f>
        <v>0</v>
      </c>
      <c r="T9" s="3">
        <f>Input!T48</f>
        <v>0</v>
      </c>
      <c r="U9" s="3">
        <f>Input!U48</f>
        <v>0</v>
      </c>
      <c r="V9" s="3">
        <f>Input!V48</f>
        <v>0</v>
      </c>
      <c r="W9" s="3">
        <f>Input!W48</f>
        <v>0</v>
      </c>
      <c r="X9" s="3">
        <f>Input!X48</f>
        <v>0</v>
      </c>
      <c r="Y9" s="3">
        <f>Input!Y48</f>
        <v>0</v>
      </c>
      <c r="Z9" s="3">
        <f>Input!Z48</f>
        <v>0</v>
      </c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</row>
    <row r="10" spans="1:37">
      <c r="A10" s="97" t="str">
        <f>Input!A49</f>
        <v>WV B&amp;O Tax</v>
      </c>
      <c r="B10" s="3">
        <f>Input!B49</f>
        <v>0</v>
      </c>
      <c r="C10" s="3">
        <f>Input!C49</f>
        <v>0</v>
      </c>
      <c r="D10" s="3">
        <f>Input!D49</f>
        <v>0</v>
      </c>
      <c r="E10" s="3">
        <f>Input!E49</f>
        <v>0</v>
      </c>
      <c r="F10" s="3">
        <f>Input!F49</f>
        <v>0</v>
      </c>
      <c r="G10" s="3">
        <f>Input!G49</f>
        <v>0</v>
      </c>
      <c r="H10" s="3">
        <f>Input!H49</f>
        <v>0</v>
      </c>
      <c r="I10" s="3">
        <f>Input!I49</f>
        <v>0</v>
      </c>
      <c r="J10" s="3">
        <f>Input!J49</f>
        <v>0</v>
      </c>
      <c r="K10" s="3">
        <f>Input!K49</f>
        <v>0</v>
      </c>
      <c r="L10" s="3">
        <f>Input!L49</f>
        <v>0</v>
      </c>
      <c r="M10" s="3">
        <f>Input!M49</f>
        <v>0</v>
      </c>
      <c r="N10" s="3">
        <f>Input!N49</f>
        <v>0</v>
      </c>
      <c r="O10" s="3">
        <f>Input!O49</f>
        <v>0</v>
      </c>
      <c r="P10" s="3">
        <f>Input!P49</f>
        <v>0</v>
      </c>
      <c r="Q10" s="3">
        <f>Input!Q49</f>
        <v>0</v>
      </c>
      <c r="R10" s="3">
        <f>Input!R49</f>
        <v>0</v>
      </c>
      <c r="S10" s="3">
        <f>Input!S49</f>
        <v>0</v>
      </c>
      <c r="T10" s="3">
        <f>Input!T49</f>
        <v>0</v>
      </c>
      <c r="U10" s="3">
        <f>Input!U49</f>
        <v>0</v>
      </c>
      <c r="V10" s="3">
        <f>Input!V49</f>
        <v>0</v>
      </c>
      <c r="W10" s="3">
        <f>Input!W49</f>
        <v>0</v>
      </c>
      <c r="X10" s="3">
        <f>Input!X49</f>
        <v>0</v>
      </c>
      <c r="Y10" s="3">
        <f>Input!Y49</f>
        <v>0</v>
      </c>
      <c r="Z10" s="3">
        <f>Input!Z49</f>
        <v>0</v>
      </c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</row>
    <row r="11" spans="1:37">
      <c r="A11" s="97"/>
      <c r="B11" s="3">
        <f>Input!B50</f>
        <v>0</v>
      </c>
      <c r="C11" s="3">
        <f>Input!C50</f>
        <v>0</v>
      </c>
      <c r="D11" s="3">
        <f>Input!D50</f>
        <v>0</v>
      </c>
      <c r="E11" s="3">
        <f>Input!E50</f>
        <v>0</v>
      </c>
      <c r="F11" s="3">
        <f>Input!F50</f>
        <v>0</v>
      </c>
      <c r="G11" s="3">
        <f>Input!G50</f>
        <v>0</v>
      </c>
      <c r="H11" s="3">
        <f>Input!H50</f>
        <v>0</v>
      </c>
      <c r="I11" s="3">
        <f>Input!I50</f>
        <v>0</v>
      </c>
      <c r="J11" s="3">
        <f>Input!J50</f>
        <v>0</v>
      </c>
      <c r="K11" s="3">
        <f>Input!K50</f>
        <v>0</v>
      </c>
      <c r="L11" s="3">
        <f>Input!L50</f>
        <v>0</v>
      </c>
      <c r="M11" s="3">
        <f>Input!M50</f>
        <v>0</v>
      </c>
      <c r="N11" s="3">
        <f>Input!N50</f>
        <v>0</v>
      </c>
      <c r="O11" s="3">
        <f>Input!O50</f>
        <v>0</v>
      </c>
      <c r="P11" s="3">
        <f>Input!P50</f>
        <v>0</v>
      </c>
      <c r="Q11" s="3">
        <f>Input!Q50</f>
        <v>0</v>
      </c>
      <c r="R11" s="3">
        <f>Input!R50</f>
        <v>0</v>
      </c>
      <c r="S11" s="3">
        <f>Input!S50</f>
        <v>0</v>
      </c>
      <c r="T11" s="3">
        <f>Input!T50</f>
        <v>0</v>
      </c>
      <c r="U11" s="3">
        <f>Input!U50</f>
        <v>0</v>
      </c>
      <c r="V11" s="3">
        <f>Input!V50</f>
        <v>0</v>
      </c>
      <c r="W11" s="3">
        <f>Input!W50</f>
        <v>0</v>
      </c>
      <c r="X11" s="3">
        <f>Input!X50</f>
        <v>0</v>
      </c>
      <c r="Y11" s="3">
        <f>Input!Y50</f>
        <v>0</v>
      </c>
      <c r="Z11" s="3">
        <f>Input!Z50</f>
        <v>0</v>
      </c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</row>
    <row r="12" spans="1:37">
      <c r="A12" s="97"/>
      <c r="B12" s="3">
        <f>Input!B51</f>
        <v>0</v>
      </c>
      <c r="C12" s="3">
        <f>Input!C51</f>
        <v>0</v>
      </c>
      <c r="D12" s="3">
        <f>Input!D51</f>
        <v>0</v>
      </c>
      <c r="E12" s="3">
        <f>Input!E51</f>
        <v>0</v>
      </c>
      <c r="F12" s="3">
        <f>Input!F51</f>
        <v>0</v>
      </c>
      <c r="G12" s="3">
        <f>Input!G51</f>
        <v>0</v>
      </c>
      <c r="H12" s="3">
        <f>Input!H51</f>
        <v>0</v>
      </c>
      <c r="I12" s="3">
        <f>Input!I51</f>
        <v>0</v>
      </c>
      <c r="J12" s="3">
        <f>Input!J51</f>
        <v>0</v>
      </c>
      <c r="K12" s="3">
        <f>Input!K51</f>
        <v>0</v>
      </c>
      <c r="L12" s="3">
        <f>Input!L51</f>
        <v>0</v>
      </c>
      <c r="M12" s="3">
        <f>Input!M51</f>
        <v>0</v>
      </c>
      <c r="N12" s="3">
        <f>Input!N51</f>
        <v>0</v>
      </c>
      <c r="O12" s="3">
        <f>Input!O51</f>
        <v>0</v>
      </c>
      <c r="P12" s="3">
        <f>Input!P51</f>
        <v>0</v>
      </c>
      <c r="Q12" s="3">
        <f>Input!Q51</f>
        <v>0</v>
      </c>
      <c r="R12" s="3">
        <f>Input!R51</f>
        <v>0</v>
      </c>
      <c r="S12" s="3">
        <f>Input!S51</f>
        <v>0</v>
      </c>
      <c r="T12" s="3">
        <f>Input!T51</f>
        <v>0</v>
      </c>
      <c r="U12" s="3">
        <f>Input!U51</f>
        <v>0</v>
      </c>
      <c r="V12" s="3">
        <f>Input!V51</f>
        <v>0</v>
      </c>
      <c r="W12" s="3">
        <f>Input!W51</f>
        <v>0</v>
      </c>
      <c r="X12" s="3">
        <f>Input!X51</f>
        <v>0</v>
      </c>
      <c r="Y12" s="3">
        <f>Input!Y51</f>
        <v>0</v>
      </c>
      <c r="Z12" s="3">
        <f>Input!Z51</f>
        <v>0</v>
      </c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</row>
    <row r="13" spans="1:37" ht="14">
      <c r="A13" s="23" t="s">
        <v>113</v>
      </c>
      <c r="B13" s="54">
        <f>SUM(B6:B12)</f>
        <v>100233.18166647268</v>
      </c>
      <c r="C13" s="54">
        <f>SUM(C6:C12)</f>
        <v>91533.693773819439</v>
      </c>
      <c r="D13" s="54">
        <f>SUM(D6:D12)</f>
        <v>82980.280202597802</v>
      </c>
      <c r="E13" s="54">
        <f>SUM(E6:E12)</f>
        <v>74561.621540445922</v>
      </c>
      <c r="F13" s="54">
        <f>SUM(F6:F12)</f>
        <v>66268.015433910783</v>
      </c>
      <c r="G13" s="54">
        <f t="shared" ref="G13:L13" si="15">SUM(G6:G12)</f>
        <v>58089.759529539318</v>
      </c>
      <c r="H13" s="54">
        <f t="shared" si="15"/>
        <v>50018.499022969241</v>
      </c>
      <c r="I13" s="54">
        <f t="shared" si="15"/>
        <v>42045.879109838213</v>
      </c>
      <c r="J13" s="54">
        <f t="shared" si="15"/>
        <v>34089.429785795568</v>
      </c>
      <c r="K13" s="54">
        <f t="shared" si="15"/>
        <v>26133.249971571055</v>
      </c>
      <c r="L13" s="54">
        <f t="shared" si="15"/>
        <v>18176.800647528406</v>
      </c>
      <c r="M13" s="54">
        <f t="shared" ref="M13" si="16">SUM(M6:M12)</f>
        <v>12912.123700241385</v>
      </c>
      <c r="N13" s="54">
        <f t="shared" ref="N13:Z13" si="17">SUM(N6:N12)</f>
        <v>0</v>
      </c>
      <c r="O13" s="54">
        <f t="shared" si="17"/>
        <v>0</v>
      </c>
      <c r="P13" s="54">
        <f t="shared" si="17"/>
        <v>0</v>
      </c>
      <c r="Q13" s="54">
        <f t="shared" si="17"/>
        <v>0</v>
      </c>
      <c r="R13" s="54">
        <f t="shared" si="17"/>
        <v>0</v>
      </c>
      <c r="S13" s="54">
        <f t="shared" si="17"/>
        <v>0</v>
      </c>
      <c r="T13" s="54">
        <f t="shared" si="17"/>
        <v>0</v>
      </c>
      <c r="U13" s="54">
        <f t="shared" si="17"/>
        <v>0</v>
      </c>
      <c r="V13" s="54">
        <f t="shared" si="17"/>
        <v>0</v>
      </c>
      <c r="W13" s="54">
        <f t="shared" si="17"/>
        <v>0</v>
      </c>
      <c r="X13" s="54">
        <f t="shared" si="17"/>
        <v>0</v>
      </c>
      <c r="Y13" s="54">
        <f t="shared" si="17"/>
        <v>0</v>
      </c>
      <c r="Z13" s="54">
        <f t="shared" si="17"/>
        <v>0</v>
      </c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</row>
    <row r="14" spans="1:37">
      <c r="A14" s="97" t="s">
        <v>181</v>
      </c>
      <c r="B14" s="3">
        <f>'Rate Base - coal'!C19*1000</f>
        <v>15516916.666666666</v>
      </c>
      <c r="C14" s="3">
        <f>'Rate Base - coal'!D19*1000</f>
        <v>15516916.666666666</v>
      </c>
      <c r="D14" s="3">
        <f>'Rate Base - coal'!E19*1000</f>
        <v>15516916.666666666</v>
      </c>
      <c r="E14" s="3">
        <f>'Rate Base - coal'!F19*1000</f>
        <v>15516916.666666666</v>
      </c>
      <c r="F14" s="3">
        <f>'Rate Base - coal'!G19*1000</f>
        <v>15516916.666666666</v>
      </c>
      <c r="G14" s="3">
        <f>'Rate Base - coal'!H19*1000</f>
        <v>15516916.666666666</v>
      </c>
      <c r="H14" s="3">
        <f>'Rate Base - coal'!I19*1000</f>
        <v>15516916.666666666</v>
      </c>
      <c r="I14" s="3">
        <f>'Rate Base - coal'!J19*1000</f>
        <v>15516916.666666666</v>
      </c>
      <c r="J14" s="3">
        <f>'Rate Base - coal'!K19*1000</f>
        <v>15516916.666666666</v>
      </c>
      <c r="K14" s="3">
        <f>'Rate Base - coal'!L19*1000</f>
        <v>15516916.666666666</v>
      </c>
      <c r="L14" s="3">
        <f>'Rate Base - coal'!M19*1000</f>
        <v>15516916.666666666</v>
      </c>
      <c r="M14" s="3">
        <f>'Rate Base - coal'!N19*1000</f>
        <v>15933583.333333332</v>
      </c>
      <c r="N14" s="3">
        <f>'Rate Base - coal'!O19*1000</f>
        <v>0</v>
      </c>
      <c r="O14" s="3">
        <f>'Rate Base - coal'!P19*1000</f>
        <v>0</v>
      </c>
      <c r="P14" s="3">
        <f>'Rate Base - coal'!Q19*1000</f>
        <v>0</v>
      </c>
      <c r="Q14" s="3">
        <f>'Rate Base - coal'!R19*1000</f>
        <v>0</v>
      </c>
      <c r="R14" s="3">
        <f>'Rate Base - coal'!S19*1000</f>
        <v>0</v>
      </c>
      <c r="S14" s="3">
        <f>'Rate Base - coal'!T19*1000</f>
        <v>0</v>
      </c>
      <c r="T14" s="3">
        <f>'Rate Base - coal'!U19*1000</f>
        <v>0</v>
      </c>
      <c r="U14" s="3">
        <f>'Rate Base - coal'!V19*1000</f>
        <v>0</v>
      </c>
      <c r="V14" s="3">
        <f>'Rate Base - coal'!W19*1000</f>
        <v>0</v>
      </c>
      <c r="W14" s="3">
        <f>'Rate Base - coal'!X19*1000</f>
        <v>0</v>
      </c>
      <c r="X14" s="3">
        <f>'Rate Base - coal'!Y19*1000</f>
        <v>0</v>
      </c>
      <c r="Y14" s="3">
        <f>'Rate Base - coal'!Z19*1000</f>
        <v>0</v>
      </c>
      <c r="Z14" s="3">
        <f>'Rate Base - coal'!AA19*1000</f>
        <v>0</v>
      </c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</row>
    <row r="15" spans="1:37">
      <c r="A15" s="97" t="s">
        <v>158</v>
      </c>
      <c r="B15" s="3">
        <f>SIT!D20</f>
        <v>-597935.8500540565</v>
      </c>
      <c r="C15" s="3">
        <f>SIT!E20</f>
        <v>-899769.77969490294</v>
      </c>
      <c r="D15" s="3">
        <f>SIT!F20</f>
        <v>-828050.06727844803</v>
      </c>
      <c r="E15" s="3">
        <f>SIT!G20</f>
        <v>-760579.58828336652</v>
      </c>
      <c r="F15" s="3">
        <f>SIT!H20</f>
        <v>-696774.96764823585</v>
      </c>
      <c r="G15" s="3">
        <f>SIT!I20</f>
        <v>-636612.1655033346</v>
      </c>
      <c r="H15" s="3">
        <f>SIT!J20</f>
        <v>-579604.36818998482</v>
      </c>
      <c r="I15" s="3">
        <f>SIT!K20</f>
        <v>-525730.87470925972</v>
      </c>
      <c r="J15" s="3">
        <f>SIT!L20</f>
        <v>-500423.54245477112</v>
      </c>
      <c r="K15" s="3">
        <f>SIT!M20</f>
        <v>-480617.00735949154</v>
      </c>
      <c r="L15" s="3">
        <f>SIT!N20</f>
        <v>-460996.24955395295</v>
      </c>
      <c r="M15" s="3">
        <f>SIT!O20</f>
        <v>-457245.73530833889</v>
      </c>
      <c r="N15" s="3">
        <f>SIT!P20</f>
        <v>-462330.05331212777</v>
      </c>
      <c r="O15" s="3">
        <f>SIT!Q20</f>
        <v>-457844.01266947883</v>
      </c>
      <c r="P15" s="3">
        <f>SIT!R20</f>
        <v>-453657.68382365751</v>
      </c>
      <c r="Q15" s="3">
        <f>SIT!S20</f>
        <v>-449383.83322414983</v>
      </c>
      <c r="R15" s="3">
        <f>SIT!T20</f>
        <v>-445393.40995144262</v>
      </c>
      <c r="S15" s="3">
        <f>SIT!U20</f>
        <v>-441301.77155016258</v>
      </c>
      <c r="T15" s="3">
        <f>SIT!V20</f>
        <v>-437479.9549459375</v>
      </c>
      <c r="U15" s="3">
        <f>SIT!W20</f>
        <v>-434239.39620065136</v>
      </c>
      <c r="V15" s="3">
        <f>SIT!X20</f>
        <v>-224812.57002212325</v>
      </c>
      <c r="W15" s="3">
        <f>SIT!Y20</f>
        <v>-16757.211488046538</v>
      </c>
      <c r="X15" s="3">
        <f>SIT!Z20</f>
        <v>-16676.332803448026</v>
      </c>
      <c r="Y15" s="3">
        <f>SIT!AA20</f>
        <v>-16600.443049821362</v>
      </c>
      <c r="Z15" s="3">
        <f>SIT!AB20</f>
        <v>-16519.564365222846</v>
      </c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</row>
    <row r="16" spans="1:37">
      <c r="A16" s="97" t="s">
        <v>157</v>
      </c>
      <c r="B16" s="3">
        <f>('Rate Base - coal'!C65)*1000</f>
        <v>-427269.93810416659</v>
      </c>
      <c r="C16" s="3">
        <f>('Rate Base - coal'!D65)*1000</f>
        <v>-103880.97476961662</v>
      </c>
      <c r="D16" s="3">
        <f>('Rate Base - coal'!E65)*1000</f>
        <v>-154407.58708651672</v>
      </c>
      <c r="E16" s="3">
        <f>('Rate Base - coal'!F65)*1000</f>
        <v>-201018.85306151668</v>
      </c>
      <c r="F16" s="3">
        <f>('Rate Base - coal'!G65)*1000</f>
        <v>-244274.10788631669</v>
      </c>
      <c r="G16" s="3">
        <f>('Rate Base - coal'!H65)*1000</f>
        <v>-284173.35156091669</v>
      </c>
      <c r="H16" s="3">
        <f>('Rate Base - coal'!I65)*1000</f>
        <v>-321182.69674506673</v>
      </c>
      <c r="I16" s="3">
        <f>('Rate Base - coal'!J65)*1000</f>
        <v>-355302.14343876665</v>
      </c>
      <c r="J16" s="3">
        <f>('Rate Base - coal'!K65)*1000</f>
        <v>-360895.49535576662</v>
      </c>
      <c r="K16" s="3">
        <f>('Rate Base - coal'!L65)*1000</f>
        <v>-360988.71788771672</v>
      </c>
      <c r="L16" s="3">
        <f>('Rate Base - coal'!M65)*1000</f>
        <v>-360895.49535576662</v>
      </c>
      <c r="M16" s="3">
        <f>('Rate Base - coal'!N65)*1000</f>
        <v>-372461.94705438329</v>
      </c>
      <c r="N16" s="3">
        <f>('Rate Base - coal'!O65)*1000</f>
        <v>434029.89931090013</v>
      </c>
      <c r="O16" s="3">
        <f>('Rate Base - coal'!P65)*1000</f>
        <v>432579.91527895007</v>
      </c>
      <c r="P16" s="3">
        <f>('Rate Base - coal'!Q65)*1000</f>
        <v>431421.51281090011</v>
      </c>
      <c r="Q16" s="3">
        <f>('Rate Base - coal'!R65)*1000</f>
        <v>430166.78227895004</v>
      </c>
      <c r="R16" s="3">
        <f>('Rate Base - coal'!S65)*1000</f>
        <v>429188.61381090007</v>
      </c>
      <c r="S16" s="3">
        <f>('Rate Base - coal'!T65)*1000</f>
        <v>428101.60102895001</v>
      </c>
      <c r="T16" s="3">
        <f>('Rate Base - coal'!U65)*1000</f>
        <v>427278.63406090013</v>
      </c>
      <c r="U16" s="3">
        <f>('Rate Base - coal'!V65)*1000</f>
        <v>427035.21652895008</v>
      </c>
      <c r="V16" s="3">
        <f>('Rate Base - coal'!W65)*1000</f>
        <v>219146.46703045006</v>
      </c>
      <c r="W16" s="3">
        <f>('Rate Base - coal'!X65)*1000</f>
        <v>11169.5015</v>
      </c>
      <c r="X16" s="3">
        <f>('Rate Base - coal'!Y65)*1000</f>
        <v>11166.998250000001</v>
      </c>
      <c r="Y16" s="3">
        <f>('Rate Base - coal'!Z65)*1000</f>
        <v>11169.5015</v>
      </c>
      <c r="Z16" s="3">
        <f>('Rate Base - coal'!AA65)*1000</f>
        <v>11166.998250000001</v>
      </c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</row>
    <row r="17" spans="1:37">
      <c r="A17" s="7" t="s">
        <v>64</v>
      </c>
      <c r="B17" s="3">
        <f>FIT!D25</f>
        <v>-2382503.550612824</v>
      </c>
      <c r="C17" s="3">
        <f>FIT!E25</f>
        <v>-3585175.056259668</v>
      </c>
      <c r="D17" s="3">
        <f>FIT!F25</f>
        <v>-3299404.484942215</v>
      </c>
      <c r="E17" s="3">
        <f>FIT!G25</f>
        <v>-3030565.1842834619</v>
      </c>
      <c r="F17" s="3">
        <f>FIT!H25</f>
        <v>-2776332.6688807481</v>
      </c>
      <c r="G17" s="3">
        <f>FIT!I25</f>
        <v>-2536611.1507411585</v>
      </c>
      <c r="H17" s="3">
        <f>FIT!J25</f>
        <v>-2309460.8979182299</v>
      </c>
      <c r="I17" s="3">
        <f>FIT!K25</f>
        <v>-2094799.4263069511</v>
      </c>
      <c r="J17" s="3">
        <f>FIT!L25</f>
        <v>-1993961.1692474245</v>
      </c>
      <c r="K17" s="3">
        <f>FIT!M25</f>
        <v>-1915041.0974946183</v>
      </c>
      <c r="L17" s="3">
        <f>FIT!N25</f>
        <v>-1836861.2641008128</v>
      </c>
      <c r="M17" s="3">
        <f>FIT!O25</f>
        <v>-1821917.1634820057</v>
      </c>
      <c r="N17" s="3">
        <f>FIT!P25</f>
        <v>-1842175.8679824581</v>
      </c>
      <c r="O17" s="3">
        <f>FIT!Q25</f>
        <v>-1824301.0277996219</v>
      </c>
      <c r="P17" s="3">
        <f>FIT!R25</f>
        <v>-1807620.40338431</v>
      </c>
      <c r="Q17" s="3">
        <f>FIT!S25</f>
        <v>-1790591.044420141</v>
      </c>
      <c r="R17" s="3">
        <f>FIT!T25</f>
        <v>-1774691.0149858573</v>
      </c>
      <c r="S17" s="3">
        <f>FIT!U25</f>
        <v>-1758387.6891056779</v>
      </c>
      <c r="T17" s="3">
        <f>FIT!V25</f>
        <v>-1743159.4808814442</v>
      </c>
      <c r="U17" s="3">
        <f>FIT!W25</f>
        <v>-1730247.3219668791</v>
      </c>
      <c r="V17" s="3">
        <f>FIT!X25</f>
        <v>-895776.27140383073</v>
      </c>
      <c r="W17" s="3">
        <f>FIT!Y25</f>
        <v>-66769.898250843355</v>
      </c>
      <c r="X17" s="3">
        <f>FIT!Z25</f>
        <v>-66447.633323581613</v>
      </c>
      <c r="Y17" s="3">
        <f>FIT!AA25</f>
        <v>-66145.247026699915</v>
      </c>
      <c r="Z17" s="3">
        <f>FIT!AB25</f>
        <v>-65822.982099438173</v>
      </c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</row>
    <row r="18" spans="1:37">
      <c r="A18" s="7" t="s">
        <v>65</v>
      </c>
      <c r="B18" s="3">
        <f>('Rate Base - coal'!C63+'Rate Base - coal'!C67)*1000</f>
        <v>-1702477.1879981244</v>
      </c>
      <c r="C18" s="3">
        <f>('Rate Base - coal'!D63+'Rate Base - coal'!D67)*1000</f>
        <v>-413918.63559838024</v>
      </c>
      <c r="D18" s="3">
        <f>('Rate Base - coal'!E63+'Rate Base - coal'!E67)*1000</f>
        <v>-615244.30161183153</v>
      </c>
      <c r="E18" s="3">
        <f>('Rate Base - coal'!F63+'Rate Base - coal'!F67)*1000</f>
        <v>-800969.0857570814</v>
      </c>
      <c r="F18" s="3">
        <f>('Rate Base - coal'!G63+'Rate Base - coal'!G67)*1000</f>
        <v>-973321.68544387352</v>
      </c>
      <c r="G18" s="3">
        <f>('Rate Base - coal'!H63+'Rate Base - coal'!H67)*1000</f>
        <v>-1132302.1006722073</v>
      </c>
      <c r="H18" s="3">
        <f>('Rate Base - coal'!I63+'Rate Base - coal'!I67)*1000</f>
        <v>-1279767.5792835359</v>
      </c>
      <c r="I18" s="3">
        <f>('Rate Base - coal'!J63+'Rate Base - coal'!J67)*1000</f>
        <v>-1415718.1212778587</v>
      </c>
      <c r="J18" s="3">
        <f>('Rate Base - coal'!K63+'Rate Base - coal'!K67)*1000</f>
        <v>-1438005.0953752887</v>
      </c>
      <c r="K18" s="3">
        <f>('Rate Base - coal'!L63+'Rate Base - coal'!L67)*1000</f>
        <v>-1438376.544943579</v>
      </c>
      <c r="L18" s="3">
        <f>('Rate Base - coal'!M63+'Rate Base - coal'!M67)*1000</f>
        <v>-1438005.0953752887</v>
      </c>
      <c r="M18" s="3">
        <f>('Rate Base - coal'!N63+'Rate Base - coal'!N67)*1000</f>
        <v>-1484092.1668185792</v>
      </c>
      <c r="N18" s="3">
        <f>('Rate Base - coal'!O63+'Rate Base - coal'!O67)*1000</f>
        <v>1729412.5717447111</v>
      </c>
      <c r="O18" s="3">
        <f>('Rate Base - coal'!P63+'Rate Base - coal'!P67)*1000</f>
        <v>1723635.0420914204</v>
      </c>
      <c r="P18" s="3">
        <f>('Rate Base - coal'!Q63+'Rate Base - coal'!Q67)*1000</f>
        <v>1719019.3329097109</v>
      </c>
      <c r="Q18" s="3">
        <f>('Rate Base - coal'!R63+'Rate Base - coal'!R67)*1000</f>
        <v>1714019.8000214205</v>
      </c>
      <c r="R18" s="3">
        <f>('Rate Base - coal'!S63+'Rate Base - coal'!S67)*1000</f>
        <v>1710122.2416997112</v>
      </c>
      <c r="S18" s="3">
        <f>('Rate Base - coal'!T63+'Rate Base - coal'!T67)*1000</f>
        <v>1705790.9880839204</v>
      </c>
      <c r="T18" s="3">
        <f>('Rate Base - coal'!U63+'Rate Base - coal'!U67)*1000</f>
        <v>1702511.8374472111</v>
      </c>
      <c r="U18" s="3">
        <f>('Rate Base - coal'!V63+'Rate Base - coal'!V67)*1000</f>
        <v>1701541.9288289207</v>
      </c>
      <c r="V18" s="3">
        <f>('Rate Base - coal'!W63+'Rate Base - coal'!W67)*1000</f>
        <v>873199.41722360556</v>
      </c>
      <c r="W18" s="3">
        <f>('Rate Base - coal'!X63+'Rate Base - coal'!X67)*1000</f>
        <v>44505.404685000001</v>
      </c>
      <c r="X18" s="3">
        <f>('Rate Base - coal'!Y63+'Rate Base - coal'!Y67)*1000</f>
        <v>44495.43036749999</v>
      </c>
      <c r="Y18" s="3">
        <f>('Rate Base - coal'!Z63+'Rate Base - coal'!Z67)*1000</f>
        <v>44505.404685000001</v>
      </c>
      <c r="Z18" s="3">
        <f>('Rate Base - coal'!AA63+'Rate Base - coal'!AA67)*1000</f>
        <v>44495.43036749999</v>
      </c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</row>
    <row r="19" spans="1:37" ht="14">
      <c r="A19" s="23" t="s">
        <v>7</v>
      </c>
      <c r="B19" s="22">
        <f>SUM(B13:B18)</f>
        <v>10506963.321563967</v>
      </c>
      <c r="C19" s="22">
        <f>SUM(C13:C18)</f>
        <v>10605705.914117917</v>
      </c>
      <c r="D19" s="22">
        <f>SUM(D13:D18)</f>
        <v>10702790.505950252</v>
      </c>
      <c r="E19" s="22">
        <f>SUM(E13:E18)</f>
        <v>10798345.576821689</v>
      </c>
      <c r="F19" s="22">
        <f>SUM(F13:F18)</f>
        <v>10892481.252241403</v>
      </c>
      <c r="G19" s="22">
        <f t="shared" ref="G19:L19" si="18">SUM(G13:G18)</f>
        <v>10985307.657718588</v>
      </c>
      <c r="H19" s="22">
        <f t="shared" si="18"/>
        <v>11076919.62355282</v>
      </c>
      <c r="I19" s="22">
        <f t="shared" si="18"/>
        <v>11167411.980043668</v>
      </c>
      <c r="J19" s="22">
        <f t="shared" si="18"/>
        <v>11257720.794019211</v>
      </c>
      <c r="K19" s="22">
        <f t="shared" si="18"/>
        <v>11348026.548952831</v>
      </c>
      <c r="L19" s="22">
        <f t="shared" si="18"/>
        <v>11438335.362928376</v>
      </c>
      <c r="M19" s="22">
        <f t="shared" ref="M19:Z19" si="19">SUM(M13:M18)</f>
        <v>11810778.444370264</v>
      </c>
      <c r="N19" s="22">
        <f t="shared" si="19"/>
        <v>-141063.45023897453</v>
      </c>
      <c r="O19" s="22">
        <f t="shared" si="19"/>
        <v>-125930.08309873031</v>
      </c>
      <c r="P19" s="22">
        <f t="shared" si="19"/>
        <v>-110837.24148735637</v>
      </c>
      <c r="Q19" s="22">
        <f t="shared" si="19"/>
        <v>-95788.295343920356</v>
      </c>
      <c r="R19" s="22">
        <f t="shared" si="19"/>
        <v>-80773.569426688598</v>
      </c>
      <c r="S19" s="22">
        <f t="shared" si="19"/>
        <v>-65796.871542969951</v>
      </c>
      <c r="T19" s="22">
        <f t="shared" si="19"/>
        <v>-50848.964319270337</v>
      </c>
      <c r="U19" s="22">
        <f t="shared" si="19"/>
        <v>-35909.572809659643</v>
      </c>
      <c r="V19" s="22">
        <f t="shared" si="19"/>
        <v>-28242.957171898335</v>
      </c>
      <c r="W19" s="22">
        <f t="shared" si="19"/>
        <v>-27852.203553889893</v>
      </c>
      <c r="X19" s="22">
        <f t="shared" si="19"/>
        <v>-27461.537509529655</v>
      </c>
      <c r="Y19" s="22">
        <f t="shared" si="19"/>
        <v>-27070.783891521278</v>
      </c>
      <c r="Z19" s="22">
        <f t="shared" si="19"/>
        <v>-26680.117847161026</v>
      </c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</row>
    <row r="20" spans="1:37" ht="14">
      <c r="A20" s="2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</row>
    <row r="21" spans="1:37" ht="14">
      <c r="A21" s="23" t="s">
        <v>107</v>
      </c>
      <c r="B21" s="53">
        <f t="shared" ref="B21:Z21" si="20">WACC</f>
        <v>6.8338296000000007E-2</v>
      </c>
      <c r="C21" s="53">
        <f t="shared" si="20"/>
        <v>6.8338296000000007E-2</v>
      </c>
      <c r="D21" s="53">
        <f t="shared" si="20"/>
        <v>6.8338296000000007E-2</v>
      </c>
      <c r="E21" s="53">
        <f t="shared" si="20"/>
        <v>6.8338296000000007E-2</v>
      </c>
      <c r="F21" s="53">
        <f t="shared" si="20"/>
        <v>6.8338296000000007E-2</v>
      </c>
      <c r="G21" s="53">
        <f t="shared" si="20"/>
        <v>6.8338296000000007E-2</v>
      </c>
      <c r="H21" s="53">
        <f t="shared" si="20"/>
        <v>6.8338296000000007E-2</v>
      </c>
      <c r="I21" s="53">
        <f t="shared" si="20"/>
        <v>6.8338296000000007E-2</v>
      </c>
      <c r="J21" s="53">
        <f t="shared" si="20"/>
        <v>6.8338296000000007E-2</v>
      </c>
      <c r="K21" s="53">
        <f t="shared" si="20"/>
        <v>6.8338296000000007E-2</v>
      </c>
      <c r="L21" s="53">
        <f t="shared" si="20"/>
        <v>6.8338296000000007E-2</v>
      </c>
      <c r="M21" s="53">
        <f t="shared" si="20"/>
        <v>6.8338296000000007E-2</v>
      </c>
      <c r="N21" s="53">
        <f t="shared" si="20"/>
        <v>6.8338296000000007E-2</v>
      </c>
      <c r="O21" s="53">
        <f t="shared" si="20"/>
        <v>6.8338296000000007E-2</v>
      </c>
      <c r="P21" s="53">
        <f t="shared" si="20"/>
        <v>6.8338296000000007E-2</v>
      </c>
      <c r="Q21" s="53">
        <f t="shared" si="20"/>
        <v>6.8338296000000007E-2</v>
      </c>
      <c r="R21" s="53">
        <f t="shared" si="20"/>
        <v>6.8338296000000007E-2</v>
      </c>
      <c r="S21" s="53">
        <f t="shared" si="20"/>
        <v>6.8338296000000007E-2</v>
      </c>
      <c r="T21" s="53">
        <f t="shared" si="20"/>
        <v>6.8338296000000007E-2</v>
      </c>
      <c r="U21" s="53">
        <f t="shared" si="20"/>
        <v>6.8338296000000007E-2</v>
      </c>
      <c r="V21" s="53">
        <f t="shared" si="20"/>
        <v>6.8338296000000007E-2</v>
      </c>
      <c r="W21" s="53">
        <f t="shared" si="20"/>
        <v>6.8338296000000007E-2</v>
      </c>
      <c r="X21" s="53">
        <f t="shared" si="20"/>
        <v>6.8338296000000007E-2</v>
      </c>
      <c r="Y21" s="53">
        <f t="shared" si="20"/>
        <v>6.8338296000000007E-2</v>
      </c>
      <c r="Z21" s="53">
        <f t="shared" si="20"/>
        <v>6.8338296000000007E-2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7"/>
    </row>
    <row r="22" spans="1:37">
      <c r="A22" s="97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</row>
    <row r="23" spans="1:37" ht="14">
      <c r="A23" s="23" t="s">
        <v>0</v>
      </c>
      <c r="B23" s="7">
        <f>('Rate Base - coal'!C16)*1000</f>
        <v>172815830.45943564</v>
      </c>
      <c r="C23" s="7">
        <f>('Rate Base - coal'!D16)*1000</f>
        <v>157816713.40313697</v>
      </c>
      <c r="D23" s="7">
        <f>('Rate Base - coal'!E16)*1000</f>
        <v>143069448.62516862</v>
      </c>
      <c r="E23" s="7">
        <f>('Rate Base - coal'!F16)*1000</f>
        <v>128554519.89732057</v>
      </c>
      <c r="F23" s="7">
        <f>('Rate Base - coal'!G16)*1000</f>
        <v>114255199.02398409</v>
      </c>
      <c r="G23" s="7">
        <f>('Rate Base - coal'!H16)*1000</f>
        <v>100154757.80955055</v>
      </c>
      <c r="H23" s="7">
        <f>('Rate Base - coal'!I16)*1000</f>
        <v>86238791.418912485</v>
      </c>
      <c r="I23" s="7">
        <f>('Rate Base - coal'!J16)*1000</f>
        <v>72492895.016962424</v>
      </c>
      <c r="J23" s="7">
        <f>('Rate Base - coal'!K16)*1000</f>
        <v>58774878.941026837</v>
      </c>
      <c r="K23" s="7">
        <f>('Rate Base - coal'!L16)*1000</f>
        <v>45057327.537191473</v>
      </c>
      <c r="L23" s="7">
        <f>('Rate Base - coal'!M16)*1000</f>
        <v>31339311.461255871</v>
      </c>
      <c r="M23" s="7">
        <f>('Rate Base - coal'!N16)*1000</f>
        <v>22262282.241795491</v>
      </c>
      <c r="N23" s="7">
        <f>('Rate Base - coal'!O16)*1000</f>
        <v>20098839.770739883</v>
      </c>
      <c r="O23" s="7">
        <f>('Rate Base - coal'!P16)*1000</f>
        <v>17942624.813369513</v>
      </c>
      <c r="P23" s="7">
        <f>('Rate Base - coal'!Q16)*1000</f>
        <v>15792183.967648899</v>
      </c>
      <c r="Q23" s="7">
        <f>('Rate Base - coal'!R16)*1000</f>
        <v>13647997.385348529</v>
      </c>
      <c r="R23" s="7">
        <f>('Rate Base - coal'!S16)*1000</f>
        <v>11508686.529837918</v>
      </c>
      <c r="S23" s="7">
        <f>('Rate Base - coal'!T16)*1000</f>
        <v>9374793.9407250471</v>
      </c>
      <c r="T23" s="7">
        <f>('Rate Base - coal'!U16)*1000</f>
        <v>7245003.4692169363</v>
      </c>
      <c r="U23" s="7">
        <f>('Rate Base - coal'!V16)*1000</f>
        <v>5116426.3238590648</v>
      </c>
      <c r="V23" s="7">
        <f>('Rate Base - coal'!W16)*1000</f>
        <v>4024080.4396050093</v>
      </c>
      <c r="W23" s="7">
        <f>('Rate Base - coal'!X16)*1000</f>
        <v>3968405.5334200095</v>
      </c>
      <c r="X23" s="7">
        <f>('Rate Base - coal'!Y16)*1000</f>
        <v>3912743.1048025102</v>
      </c>
      <c r="Y23" s="7">
        <f>('Rate Base - coal'!Z16)*1000</f>
        <v>3857068.19861751</v>
      </c>
      <c r="Z23" s="7">
        <f>('Rate Base - coal'!AA16)*1000</f>
        <v>3801405.7700000093</v>
      </c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</row>
    <row r="24" spans="1:37" ht="14">
      <c r="A24" s="23" t="s">
        <v>40</v>
      </c>
      <c r="B24" s="7">
        <f>B23*B21</f>
        <v>11809939.375422729</v>
      </c>
      <c r="C24" s="7">
        <f>C23*C21</f>
        <v>10784925.274290742</v>
      </c>
      <c r="D24" s="7">
        <f>D23*D21</f>
        <v>9777122.3287035674</v>
      </c>
      <c r="E24" s="7">
        <f>E23*E21</f>
        <v>8785196.8328809831</v>
      </c>
      <c r="F24" s="7">
        <f>F23*F21</f>
        <v>7808005.6104399366</v>
      </c>
      <c r="G24" s="7">
        <f t="shared" ref="G24:L24" si="21">G23*G21</f>
        <v>6844405.4849973777</v>
      </c>
      <c r="H24" s="7">
        <f t="shared" si="21"/>
        <v>5893412.0546679022</v>
      </c>
      <c r="I24" s="7">
        <f t="shared" si="21"/>
        <v>4954040.9175661039</v>
      </c>
      <c r="J24" s="7">
        <f t="shared" si="21"/>
        <v>4016575.0744360588</v>
      </c>
      <c r="K24" s="7">
        <f t="shared" si="21"/>
        <v>3079140.986205542</v>
      </c>
      <c r="L24" s="7">
        <f t="shared" si="21"/>
        <v>2141675.1430754964</v>
      </c>
      <c r="M24" s="7">
        <f t="shared" ref="M24:Z24" si="22">M23*M21</f>
        <v>1521366.433475364</v>
      </c>
      <c r="N24" s="7">
        <f t="shared" si="22"/>
        <v>1373520.4615093945</v>
      </c>
      <c r="O24" s="7">
        <f t="shared" si="22"/>
        <v>1226168.4055129907</v>
      </c>
      <c r="P24" s="7">
        <f t="shared" si="22"/>
        <v>1079210.942467645</v>
      </c>
      <c r="Q24" s="7">
        <f t="shared" si="22"/>
        <v>932680.88512717385</v>
      </c>
      <c r="R24" s="7">
        <f t="shared" si="22"/>
        <v>786484.02664727648</v>
      </c>
      <c r="S24" s="7">
        <f t="shared" si="22"/>
        <v>640657.44326027483</v>
      </c>
      <c r="T24" s="7">
        <f t="shared" si="22"/>
        <v>495111.19160037395</v>
      </c>
      <c r="U24" s="7">
        <f t="shared" si="22"/>
        <v>349647.85658207268</v>
      </c>
      <c r="V24" s="7">
        <f t="shared" si="22"/>
        <v>274998.80020953726</v>
      </c>
      <c r="W24" s="7">
        <f t="shared" si="22"/>
        <v>271194.0719908945</v>
      </c>
      <c r="X24" s="7">
        <f t="shared" si="22"/>
        <v>267390.19646795298</v>
      </c>
      <c r="Y24" s="7">
        <f t="shared" si="22"/>
        <v>263585.46824931022</v>
      </c>
      <c r="Z24" s="7">
        <f t="shared" si="22"/>
        <v>259781.59272636857</v>
      </c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</row>
    <row r="25" spans="1:37" ht="14">
      <c r="A25" s="99"/>
      <c r="B25" s="81"/>
      <c r="C25" s="8"/>
    </row>
    <row r="26" spans="1:37">
      <c r="A26" s="1" t="s">
        <v>61</v>
      </c>
      <c r="B26" s="38">
        <f>B24+B19</f>
        <v>22316902.696986698</v>
      </c>
      <c r="C26" s="38">
        <f>C24+C19</f>
        <v>21390631.188408658</v>
      </c>
      <c r="D26" s="38">
        <f>D24+D19</f>
        <v>20479912.834653817</v>
      </c>
      <c r="E26" s="38">
        <f>E24+E19</f>
        <v>19583542.409702674</v>
      </c>
      <c r="F26" s="38">
        <f>F24+F19</f>
        <v>18700486.86268134</v>
      </c>
      <c r="G26" s="38">
        <f t="shared" ref="G26:L26" si="23">G24+G19</f>
        <v>17829713.142715964</v>
      </c>
      <c r="H26" s="38">
        <f t="shared" si="23"/>
        <v>16970331.678220723</v>
      </c>
      <c r="I26" s="38">
        <f t="shared" si="23"/>
        <v>16121452.897609772</v>
      </c>
      <c r="J26" s="38">
        <f t="shared" si="23"/>
        <v>15274295.86845527</v>
      </c>
      <c r="K26" s="38">
        <f t="shared" si="23"/>
        <v>14427167.535158373</v>
      </c>
      <c r="L26" s="38">
        <f t="shared" si="23"/>
        <v>13580010.506003872</v>
      </c>
      <c r="M26" s="38">
        <f t="shared" ref="M26:Z26" si="24">M24+M19</f>
        <v>13332144.877845628</v>
      </c>
      <c r="N26" s="38">
        <f t="shared" si="24"/>
        <v>1232457.0112704199</v>
      </c>
      <c r="O26" s="38">
        <f t="shared" si="24"/>
        <v>1100238.3224142604</v>
      </c>
      <c r="P26" s="38">
        <f t="shared" si="24"/>
        <v>968373.70098028868</v>
      </c>
      <c r="Q26" s="38">
        <f t="shared" si="24"/>
        <v>836892.5897832535</v>
      </c>
      <c r="R26" s="38">
        <f t="shared" si="24"/>
        <v>705710.45722058788</v>
      </c>
      <c r="S26" s="38">
        <f t="shared" si="24"/>
        <v>574860.57171730488</v>
      </c>
      <c r="T26" s="38">
        <f t="shared" si="24"/>
        <v>444262.22728110361</v>
      </c>
      <c r="U26" s="38">
        <f t="shared" si="24"/>
        <v>313738.28377241304</v>
      </c>
      <c r="V26" s="38">
        <f t="shared" si="24"/>
        <v>246755.84303763893</v>
      </c>
      <c r="W26" s="38">
        <f t="shared" si="24"/>
        <v>243341.86843700462</v>
      </c>
      <c r="X26" s="38">
        <f t="shared" si="24"/>
        <v>239928.65895842333</v>
      </c>
      <c r="Y26" s="38">
        <f t="shared" si="24"/>
        <v>236514.68435778894</v>
      </c>
      <c r="Z26" s="38">
        <f t="shared" si="24"/>
        <v>233101.47487920756</v>
      </c>
      <c r="AA26" s="188"/>
      <c r="AB26" s="188"/>
      <c r="AC26" s="188"/>
      <c r="AD26" s="188"/>
      <c r="AE26" s="188"/>
      <c r="AF26" s="188"/>
      <c r="AG26" s="188"/>
      <c r="AH26" s="188"/>
      <c r="AI26" s="188"/>
      <c r="AJ26" s="188"/>
      <c r="AK26" s="188"/>
    </row>
    <row r="27" spans="1:37" s="47" customFormat="1">
      <c r="A27" s="47" t="s">
        <v>62</v>
      </c>
      <c r="B27" s="122">
        <f t="shared" ref="B27:Z27" si="25">GRCF</f>
        <v>1.3398970400000001</v>
      </c>
      <c r="C27" s="122">
        <f t="shared" si="25"/>
        <v>1.3398970400000001</v>
      </c>
      <c r="D27" s="122">
        <f t="shared" si="25"/>
        <v>1.3398970400000001</v>
      </c>
      <c r="E27" s="122">
        <f t="shared" si="25"/>
        <v>1.3398970400000001</v>
      </c>
      <c r="F27" s="122">
        <f t="shared" si="25"/>
        <v>1.3398970400000001</v>
      </c>
      <c r="G27" s="122">
        <f t="shared" si="25"/>
        <v>1.3398970400000001</v>
      </c>
      <c r="H27" s="122">
        <f t="shared" si="25"/>
        <v>1.3398970400000001</v>
      </c>
      <c r="I27" s="122">
        <f t="shared" si="25"/>
        <v>1.3398970400000001</v>
      </c>
      <c r="J27" s="122">
        <f t="shared" si="25"/>
        <v>1.3398970400000001</v>
      </c>
      <c r="K27" s="122">
        <f t="shared" si="25"/>
        <v>1.3398970400000001</v>
      </c>
      <c r="L27" s="122">
        <f t="shared" si="25"/>
        <v>1.3398970400000001</v>
      </c>
      <c r="M27" s="122">
        <f t="shared" si="25"/>
        <v>1.3398970400000001</v>
      </c>
      <c r="N27" s="122">
        <f t="shared" si="25"/>
        <v>1.3398970400000001</v>
      </c>
      <c r="O27" s="122">
        <f t="shared" si="25"/>
        <v>1.3398970400000001</v>
      </c>
      <c r="P27" s="122">
        <f t="shared" si="25"/>
        <v>1.3398970400000001</v>
      </c>
      <c r="Q27" s="122">
        <f t="shared" si="25"/>
        <v>1.3398970400000001</v>
      </c>
      <c r="R27" s="122">
        <f t="shared" si="25"/>
        <v>1.3398970400000001</v>
      </c>
      <c r="S27" s="122">
        <f t="shared" si="25"/>
        <v>1.3398970400000001</v>
      </c>
      <c r="T27" s="122">
        <f t="shared" si="25"/>
        <v>1.3398970400000001</v>
      </c>
      <c r="U27" s="122">
        <f t="shared" si="25"/>
        <v>1.3398970400000001</v>
      </c>
      <c r="V27" s="122">
        <f t="shared" si="25"/>
        <v>1.3398970400000001</v>
      </c>
      <c r="W27" s="122">
        <f t="shared" si="25"/>
        <v>1.3398970400000001</v>
      </c>
      <c r="X27" s="122">
        <f t="shared" si="25"/>
        <v>1.3398970400000001</v>
      </c>
      <c r="Y27" s="122">
        <f t="shared" si="25"/>
        <v>1.3398970400000001</v>
      </c>
      <c r="Z27" s="122">
        <f t="shared" si="25"/>
        <v>1.3398970400000001</v>
      </c>
      <c r="AA27" s="189"/>
      <c r="AB27" s="189"/>
      <c r="AC27" s="189"/>
      <c r="AD27" s="189"/>
      <c r="AE27" s="189"/>
      <c r="AF27" s="189"/>
      <c r="AG27" s="189"/>
      <c r="AH27" s="189"/>
      <c r="AI27" s="189"/>
      <c r="AJ27" s="189"/>
      <c r="AK27" s="189"/>
    </row>
    <row r="28" spans="1:37" ht="14.5" thickBot="1">
      <c r="A28" s="23" t="s">
        <v>63</v>
      </c>
      <c r="B28" s="5">
        <f>B26*B27</f>
        <v>29902351.865660496</v>
      </c>
      <c r="C28" s="5">
        <f>C26*C27</f>
        <v>28661243.413080446</v>
      </c>
      <c r="D28" s="5">
        <f>D26*D27</f>
        <v>27440974.58661066</v>
      </c>
      <c r="E28" s="5">
        <f>E26*E27</f>
        <v>26239930.507475082</v>
      </c>
      <c r="F28" s="5">
        <f>F26*F27</f>
        <v>25056726.993865617</v>
      </c>
      <c r="G28" s="5">
        <f t="shared" ref="G28:L28" si="26">G26*G27</f>
        <v>23889979.863974221</v>
      </c>
      <c r="H28" s="5">
        <f t="shared" si="26"/>
        <v>22738497.183466181</v>
      </c>
      <c r="I28" s="5">
        <f t="shared" si="26"/>
        <v>21601087.018006757</v>
      </c>
      <c r="J28" s="5">
        <f t="shared" si="26"/>
        <v>20465983.822227448</v>
      </c>
      <c r="K28" s="5">
        <f t="shared" si="26"/>
        <v>19330919.075942803</v>
      </c>
      <c r="L28" s="5">
        <f t="shared" si="26"/>
        <v>18195815.880163491</v>
      </c>
      <c r="M28" s="5">
        <f t="shared" ref="M28:Z28" si="27">M26*M27</f>
        <v>17863701.458676521</v>
      </c>
      <c r="N28" s="5">
        <f t="shared" si="27"/>
        <v>1651365.5013284825</v>
      </c>
      <c r="O28" s="5">
        <f t="shared" si="27"/>
        <v>1474206.0714974331</v>
      </c>
      <c r="P28" s="5">
        <f t="shared" si="27"/>
        <v>1297521.0555573341</v>
      </c>
      <c r="Q28" s="5">
        <f t="shared" si="27"/>
        <v>1121349.9038485156</v>
      </c>
      <c r="R28" s="5">
        <f t="shared" si="27"/>
        <v>945579.35272691236</v>
      </c>
      <c r="S28" s="5">
        <f t="shared" si="27"/>
        <v>770253.97845672455</v>
      </c>
      <c r="T28" s="5">
        <f t="shared" si="27"/>
        <v>595265.64331775799</v>
      </c>
      <c r="U28" s="5">
        <f t="shared" si="27"/>
        <v>420376.99776133627</v>
      </c>
      <c r="V28" s="5">
        <f t="shared" si="27"/>
        <v>330627.42368883704</v>
      </c>
      <c r="W28" s="5">
        <f t="shared" si="27"/>
        <v>326053.04922681197</v>
      </c>
      <c r="X28" s="5">
        <f t="shared" si="27"/>
        <v>321479.69994956092</v>
      </c>
      <c r="Y28" s="5">
        <f t="shared" si="27"/>
        <v>316905.32548753574</v>
      </c>
      <c r="Z28" s="5">
        <f t="shared" si="27"/>
        <v>312331.97621028457</v>
      </c>
      <c r="AA28" s="190"/>
      <c r="AB28" s="190"/>
      <c r="AC28" s="190"/>
      <c r="AD28" s="190"/>
      <c r="AE28" s="190"/>
      <c r="AF28" s="190"/>
      <c r="AG28" s="190"/>
      <c r="AH28" s="190"/>
      <c r="AI28" s="190"/>
      <c r="AJ28" s="190"/>
      <c r="AK28" s="190"/>
    </row>
    <row r="29" spans="1:37" ht="13" thickTop="1">
      <c r="A29" s="7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191"/>
      <c r="AB29" s="191"/>
      <c r="AC29" s="191"/>
      <c r="AD29" s="191"/>
      <c r="AE29" s="191"/>
      <c r="AF29" s="191"/>
      <c r="AG29" s="191"/>
      <c r="AH29" s="191"/>
      <c r="AI29" s="191"/>
      <c r="AJ29" s="191"/>
      <c r="AK29" s="191"/>
    </row>
    <row r="30" spans="1:37">
      <c r="A30" s="7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191"/>
      <c r="AB30" s="191"/>
      <c r="AC30" s="191"/>
      <c r="AD30" s="191"/>
      <c r="AE30" s="191"/>
      <c r="AF30" s="191"/>
      <c r="AG30" s="191"/>
      <c r="AH30" s="191"/>
      <c r="AI30" s="191"/>
      <c r="AJ30" s="191"/>
      <c r="AK30" s="191"/>
    </row>
    <row r="31" spans="1:37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191"/>
      <c r="AB31" s="191"/>
      <c r="AC31" s="191"/>
      <c r="AD31" s="191"/>
      <c r="AE31" s="191"/>
      <c r="AF31" s="191"/>
      <c r="AG31" s="191"/>
      <c r="AH31" s="191"/>
      <c r="AI31" s="191"/>
      <c r="AJ31" s="191"/>
      <c r="AK31" s="191"/>
    </row>
    <row r="32" spans="1:37">
      <c r="A32" s="7" t="s">
        <v>252</v>
      </c>
      <c r="B32" s="38">
        <f>B28</f>
        <v>29902351.865660496</v>
      </c>
      <c r="C32" s="38">
        <f t="shared" ref="C32:Z32" si="28">C28</f>
        <v>28661243.413080446</v>
      </c>
      <c r="D32" s="38">
        <f t="shared" si="28"/>
        <v>27440974.58661066</v>
      </c>
      <c r="E32" s="38">
        <f t="shared" si="28"/>
        <v>26239930.507475082</v>
      </c>
      <c r="F32" s="38">
        <f t="shared" si="28"/>
        <v>25056726.993865617</v>
      </c>
      <c r="G32" s="38">
        <f t="shared" si="28"/>
        <v>23889979.863974221</v>
      </c>
      <c r="H32" s="38">
        <f t="shared" si="28"/>
        <v>22738497.183466181</v>
      </c>
      <c r="I32" s="38">
        <f t="shared" si="28"/>
        <v>21601087.018006757</v>
      </c>
      <c r="J32" s="38">
        <f t="shared" si="28"/>
        <v>20465983.822227448</v>
      </c>
      <c r="K32" s="38">
        <f t="shared" si="28"/>
        <v>19330919.075942803</v>
      </c>
      <c r="L32" s="38">
        <f t="shared" si="28"/>
        <v>18195815.880163491</v>
      </c>
      <c r="M32" s="38">
        <f t="shared" si="28"/>
        <v>17863701.458676521</v>
      </c>
      <c r="N32" s="38">
        <f t="shared" si="28"/>
        <v>1651365.5013284825</v>
      </c>
      <c r="O32" s="38">
        <f t="shared" si="28"/>
        <v>1474206.0714974331</v>
      </c>
      <c r="P32" s="38">
        <f t="shared" si="28"/>
        <v>1297521.0555573341</v>
      </c>
      <c r="Q32" s="38">
        <f t="shared" si="28"/>
        <v>1121349.9038485156</v>
      </c>
      <c r="R32" s="38">
        <f t="shared" si="28"/>
        <v>945579.35272691236</v>
      </c>
      <c r="S32" s="38">
        <f t="shared" si="28"/>
        <v>770253.97845672455</v>
      </c>
      <c r="T32" s="38">
        <f t="shared" si="28"/>
        <v>595265.64331775799</v>
      </c>
      <c r="U32" s="38">
        <f t="shared" si="28"/>
        <v>420376.99776133627</v>
      </c>
      <c r="V32" s="38">
        <f t="shared" si="28"/>
        <v>330627.42368883704</v>
      </c>
      <c r="W32" s="38">
        <f t="shared" si="28"/>
        <v>326053.04922681197</v>
      </c>
      <c r="X32" s="38">
        <f t="shared" si="28"/>
        <v>321479.69994956092</v>
      </c>
      <c r="Y32" s="38">
        <f t="shared" si="28"/>
        <v>316905.32548753574</v>
      </c>
      <c r="Z32" s="38">
        <f t="shared" si="28"/>
        <v>312331.97621028457</v>
      </c>
      <c r="AA32" s="191"/>
      <c r="AB32" s="191"/>
      <c r="AC32" s="191"/>
      <c r="AD32" s="191"/>
      <c r="AE32" s="191"/>
      <c r="AF32" s="191"/>
      <c r="AG32" s="191"/>
      <c r="AH32" s="191"/>
      <c r="AI32" s="191"/>
      <c r="AJ32" s="191"/>
      <c r="AK32" s="191"/>
    </row>
    <row r="33" spans="1:37" s="183" customFormat="1">
      <c r="A33" s="185"/>
      <c r="AA33" s="192"/>
      <c r="AB33" s="192"/>
      <c r="AC33" s="192"/>
      <c r="AD33" s="192"/>
      <c r="AE33" s="192"/>
      <c r="AF33" s="192"/>
      <c r="AG33" s="192"/>
      <c r="AH33" s="192"/>
      <c r="AI33" s="192"/>
      <c r="AJ33" s="192"/>
      <c r="AK33" s="192"/>
    </row>
    <row r="34" spans="1:37">
      <c r="A34" s="97" t="s">
        <v>260</v>
      </c>
      <c r="B34" s="38">
        <f>NPV(B21,B32:K32)</f>
        <v>178136072.99973089</v>
      </c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191"/>
      <c r="AB34" s="191"/>
      <c r="AC34" s="191"/>
      <c r="AD34" s="191"/>
      <c r="AE34" s="191"/>
      <c r="AF34" s="191"/>
      <c r="AG34" s="191"/>
      <c r="AH34" s="191"/>
      <c r="AI34" s="191"/>
      <c r="AJ34" s="191"/>
      <c r="AK34" s="191"/>
    </row>
    <row r="35" spans="1:37">
      <c r="A35" s="97" t="s">
        <v>261</v>
      </c>
      <c r="B35" s="38">
        <f>AVERAGE(B32:K32)</f>
        <v>24532769.43303097</v>
      </c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191"/>
      <c r="AB35" s="191"/>
      <c r="AC35" s="191"/>
      <c r="AD35" s="191"/>
      <c r="AE35" s="191"/>
      <c r="AF35" s="191"/>
      <c r="AG35" s="191"/>
      <c r="AH35" s="191"/>
      <c r="AI35" s="191"/>
      <c r="AJ35" s="191"/>
      <c r="AK35" s="191"/>
    </row>
    <row r="36" spans="1:37">
      <c r="A36" s="97"/>
      <c r="B36" s="38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191"/>
      <c r="AB36" s="191"/>
      <c r="AC36" s="191"/>
      <c r="AD36" s="191"/>
      <c r="AE36" s="191"/>
      <c r="AF36" s="191"/>
      <c r="AG36" s="191"/>
      <c r="AH36" s="191"/>
      <c r="AI36" s="191"/>
      <c r="AJ36" s="191"/>
      <c r="AK36" s="191"/>
    </row>
    <row r="37" spans="1:37">
      <c r="A37" s="7"/>
      <c r="B37" s="38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191"/>
      <c r="AB37" s="191"/>
      <c r="AC37" s="191"/>
      <c r="AD37" s="191"/>
      <c r="AE37" s="191"/>
      <c r="AF37" s="191"/>
      <c r="AG37" s="191"/>
      <c r="AH37" s="191"/>
      <c r="AI37" s="191"/>
      <c r="AJ37" s="191"/>
      <c r="AK37" s="191"/>
    </row>
    <row r="38" spans="1:37" ht="13">
      <c r="A38" s="52" t="s">
        <v>112</v>
      </c>
      <c r="B38" s="39"/>
    </row>
    <row r="39" spans="1:37">
      <c r="A39" s="1" t="s">
        <v>66</v>
      </c>
      <c r="B39" s="100">
        <f t="shared" ref="B39:Z39" si="29">B28</f>
        <v>29902351.865660496</v>
      </c>
      <c r="C39" s="100">
        <f t="shared" si="29"/>
        <v>28661243.413080446</v>
      </c>
      <c r="D39" s="100">
        <f t="shared" si="29"/>
        <v>27440974.58661066</v>
      </c>
      <c r="E39" s="100">
        <f t="shared" si="29"/>
        <v>26239930.507475082</v>
      </c>
      <c r="F39" s="100">
        <f t="shared" si="29"/>
        <v>25056726.993865617</v>
      </c>
      <c r="G39" s="100">
        <f t="shared" si="29"/>
        <v>23889979.863974221</v>
      </c>
      <c r="H39" s="100">
        <f t="shared" si="29"/>
        <v>22738497.183466181</v>
      </c>
      <c r="I39" s="100">
        <f t="shared" si="29"/>
        <v>21601087.018006757</v>
      </c>
      <c r="J39" s="100">
        <f t="shared" si="29"/>
        <v>20465983.822227448</v>
      </c>
      <c r="K39" s="100">
        <f t="shared" si="29"/>
        <v>19330919.075942803</v>
      </c>
      <c r="L39" s="100">
        <f t="shared" si="29"/>
        <v>18195815.880163491</v>
      </c>
      <c r="M39" s="100">
        <f t="shared" si="29"/>
        <v>17863701.458676521</v>
      </c>
      <c r="N39" s="100">
        <f t="shared" si="29"/>
        <v>1651365.5013284825</v>
      </c>
      <c r="O39" s="100">
        <f t="shared" si="29"/>
        <v>1474206.0714974331</v>
      </c>
      <c r="P39" s="100">
        <f t="shared" si="29"/>
        <v>1297521.0555573341</v>
      </c>
      <c r="Q39" s="100">
        <f t="shared" si="29"/>
        <v>1121349.9038485156</v>
      </c>
      <c r="R39" s="100">
        <f t="shared" si="29"/>
        <v>945579.35272691236</v>
      </c>
      <c r="S39" s="100">
        <f t="shared" si="29"/>
        <v>770253.97845672455</v>
      </c>
      <c r="T39" s="100">
        <f t="shared" si="29"/>
        <v>595265.64331775799</v>
      </c>
      <c r="U39" s="100">
        <f t="shared" si="29"/>
        <v>420376.99776133627</v>
      </c>
      <c r="V39" s="100">
        <f t="shared" si="29"/>
        <v>330627.42368883704</v>
      </c>
      <c r="W39" s="100">
        <f t="shared" si="29"/>
        <v>326053.04922681197</v>
      </c>
      <c r="X39" s="100">
        <f t="shared" si="29"/>
        <v>321479.69994956092</v>
      </c>
      <c r="Y39" s="100">
        <f t="shared" si="29"/>
        <v>316905.32548753574</v>
      </c>
      <c r="Z39" s="100">
        <f t="shared" si="29"/>
        <v>312331.97621028457</v>
      </c>
      <c r="AA39" s="39"/>
      <c r="AB39" s="39"/>
      <c r="AC39" s="39"/>
      <c r="AD39" s="39"/>
      <c r="AE39" s="39"/>
      <c r="AF39" s="39"/>
      <c r="AG39" s="39"/>
      <c r="AH39" s="39"/>
      <c r="AI39" s="39"/>
      <c r="AJ39" s="39"/>
      <c r="AK39" s="39"/>
    </row>
    <row r="40" spans="1:37">
      <c r="A40" s="1" t="s">
        <v>104</v>
      </c>
      <c r="B40" s="3">
        <f t="shared" ref="B40:Z40" si="30">B13+B14</f>
        <v>15617149.848333139</v>
      </c>
      <c r="C40" s="3">
        <f t="shared" si="30"/>
        <v>15608450.360440485</v>
      </c>
      <c r="D40" s="3">
        <f t="shared" si="30"/>
        <v>15599896.946869263</v>
      </c>
      <c r="E40" s="3">
        <f t="shared" si="30"/>
        <v>15591478.288207112</v>
      </c>
      <c r="F40" s="3">
        <f t="shared" si="30"/>
        <v>15583184.682100577</v>
      </c>
      <c r="G40" s="3">
        <f t="shared" si="30"/>
        <v>15575006.426196204</v>
      </c>
      <c r="H40" s="3">
        <f t="shared" si="30"/>
        <v>15566935.165689636</v>
      </c>
      <c r="I40" s="3">
        <f t="shared" si="30"/>
        <v>15558962.545776505</v>
      </c>
      <c r="J40" s="3">
        <f t="shared" si="30"/>
        <v>15551006.096452462</v>
      </c>
      <c r="K40" s="3">
        <f t="shared" si="30"/>
        <v>15543049.916638236</v>
      </c>
      <c r="L40" s="3">
        <f t="shared" si="30"/>
        <v>15535093.467314195</v>
      </c>
      <c r="M40" s="3">
        <f t="shared" si="30"/>
        <v>15946495.457033573</v>
      </c>
      <c r="N40" s="3">
        <f t="shared" si="30"/>
        <v>0</v>
      </c>
      <c r="O40" s="3">
        <f t="shared" si="30"/>
        <v>0</v>
      </c>
      <c r="P40" s="3">
        <f t="shared" si="30"/>
        <v>0</v>
      </c>
      <c r="Q40" s="3">
        <f t="shared" si="30"/>
        <v>0</v>
      </c>
      <c r="R40" s="3">
        <f t="shared" si="30"/>
        <v>0</v>
      </c>
      <c r="S40" s="3">
        <f t="shared" si="30"/>
        <v>0</v>
      </c>
      <c r="T40" s="3">
        <f t="shared" si="30"/>
        <v>0</v>
      </c>
      <c r="U40" s="3">
        <f t="shared" si="30"/>
        <v>0</v>
      </c>
      <c r="V40" s="3">
        <f t="shared" si="30"/>
        <v>0</v>
      </c>
      <c r="W40" s="3">
        <f t="shared" si="30"/>
        <v>0</v>
      </c>
      <c r="X40" s="3">
        <f t="shared" si="30"/>
        <v>0</v>
      </c>
      <c r="Y40" s="3">
        <f t="shared" si="30"/>
        <v>0</v>
      </c>
      <c r="Z40" s="3">
        <f t="shared" si="30"/>
        <v>0</v>
      </c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</row>
    <row r="41" spans="1:37">
      <c r="A41" s="1" t="s">
        <v>67</v>
      </c>
      <c r="B41" s="38">
        <f t="shared" ref="B41:Z41" si="31">(B28-B26)+B15+B16+B17+B18</f>
        <v>2475262.641904627</v>
      </c>
      <c r="C41" s="38">
        <f t="shared" si="31"/>
        <v>2267867.7783492212</v>
      </c>
      <c r="D41" s="38">
        <f t="shared" si="31"/>
        <v>2063955.3110378315</v>
      </c>
      <c r="E41" s="38">
        <f t="shared" si="31"/>
        <v>1863255.3863869817</v>
      </c>
      <c r="F41" s="38">
        <f t="shared" si="31"/>
        <v>1665536.7013251022</v>
      </c>
      <c r="G41" s="38">
        <f t="shared" si="31"/>
        <v>1470567.9527806398</v>
      </c>
      <c r="H41" s="38">
        <f t="shared" si="31"/>
        <v>1278149.9631086406</v>
      </c>
      <c r="I41" s="38">
        <f t="shared" si="31"/>
        <v>1088083.5546641487</v>
      </c>
      <c r="J41" s="38">
        <f t="shared" si="31"/>
        <v>898402.65133892791</v>
      </c>
      <c r="K41" s="38">
        <f t="shared" si="31"/>
        <v>708728.17309902376</v>
      </c>
      <c r="L41" s="38">
        <f t="shared" si="31"/>
        <v>519047.26977379806</v>
      </c>
      <c r="M41" s="38">
        <f t="shared" si="31"/>
        <v>395839.56816758541</v>
      </c>
      <c r="N41" s="38">
        <f t="shared" si="31"/>
        <v>277845.03981908807</v>
      </c>
      <c r="O41" s="38">
        <f t="shared" si="31"/>
        <v>248037.66598444246</v>
      </c>
      <c r="P41" s="38">
        <f t="shared" si="31"/>
        <v>218310.11308968905</v>
      </c>
      <c r="Q41" s="38">
        <f t="shared" si="31"/>
        <v>188669.01872134185</v>
      </c>
      <c r="R41" s="38">
        <f t="shared" si="31"/>
        <v>159095.32607963588</v>
      </c>
      <c r="S41" s="38">
        <f t="shared" si="31"/>
        <v>129596.53519644961</v>
      </c>
      <c r="T41" s="38">
        <f t="shared" si="31"/>
        <v>100154.45171738393</v>
      </c>
      <c r="U41" s="38">
        <f t="shared" si="31"/>
        <v>70729.141179263592</v>
      </c>
      <c r="V41" s="38">
        <f t="shared" si="31"/>
        <v>55628.623479299713</v>
      </c>
      <c r="W41" s="38">
        <f t="shared" si="31"/>
        <v>54858.977235917453</v>
      </c>
      <c r="X41" s="38">
        <f t="shared" si="31"/>
        <v>54089.50348160795</v>
      </c>
      <c r="Y41" s="38">
        <f t="shared" si="31"/>
        <v>53319.857238225522</v>
      </c>
      <c r="Z41" s="38">
        <f t="shared" si="31"/>
        <v>52550.38348391599</v>
      </c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</row>
    <row r="42" spans="1:37">
      <c r="A42" s="45" t="s">
        <v>7</v>
      </c>
      <c r="B42" s="46">
        <f>B40+B41</f>
        <v>18092412.490237765</v>
      </c>
      <c r="C42" s="46">
        <f>C40+C41</f>
        <v>17876318.138789706</v>
      </c>
      <c r="D42" s="46">
        <f>D40+D41</f>
        <v>17663852.257907096</v>
      </c>
      <c r="E42" s="46">
        <f>E40+E41</f>
        <v>17454733.674594093</v>
      </c>
      <c r="F42" s="46">
        <f>F40+F41</f>
        <v>17248721.383425679</v>
      </c>
      <c r="G42" s="46">
        <f t="shared" ref="G42:L42" si="32">G40+G41</f>
        <v>17045574.378976844</v>
      </c>
      <c r="H42" s="46">
        <f t="shared" si="32"/>
        <v>16845085.128798276</v>
      </c>
      <c r="I42" s="46">
        <f t="shared" si="32"/>
        <v>16647046.100440653</v>
      </c>
      <c r="J42" s="46">
        <f t="shared" si="32"/>
        <v>16449408.747791389</v>
      </c>
      <c r="K42" s="46">
        <f t="shared" si="32"/>
        <v>16251778.089737261</v>
      </c>
      <c r="L42" s="46">
        <f t="shared" si="32"/>
        <v>16054140.737087993</v>
      </c>
      <c r="M42" s="46">
        <f t="shared" ref="M42:Z42" si="33">M40+M41</f>
        <v>16342335.025201159</v>
      </c>
      <c r="N42" s="46">
        <f t="shared" si="33"/>
        <v>277845.03981908807</v>
      </c>
      <c r="O42" s="46">
        <f t="shared" si="33"/>
        <v>248037.66598444246</v>
      </c>
      <c r="P42" s="46">
        <f t="shared" si="33"/>
        <v>218310.11308968905</v>
      </c>
      <c r="Q42" s="46">
        <f t="shared" si="33"/>
        <v>188669.01872134185</v>
      </c>
      <c r="R42" s="46">
        <f t="shared" si="33"/>
        <v>159095.32607963588</v>
      </c>
      <c r="S42" s="46">
        <f t="shared" si="33"/>
        <v>129596.53519644961</v>
      </c>
      <c r="T42" s="46">
        <f t="shared" si="33"/>
        <v>100154.45171738393</v>
      </c>
      <c r="U42" s="46">
        <f t="shared" si="33"/>
        <v>70729.141179263592</v>
      </c>
      <c r="V42" s="46">
        <f t="shared" si="33"/>
        <v>55628.623479299713</v>
      </c>
      <c r="W42" s="46">
        <f t="shared" si="33"/>
        <v>54858.977235917453</v>
      </c>
      <c r="X42" s="46">
        <f t="shared" si="33"/>
        <v>54089.50348160795</v>
      </c>
      <c r="Y42" s="46">
        <f t="shared" si="33"/>
        <v>53319.857238225522</v>
      </c>
      <c r="Z42" s="46">
        <f t="shared" si="33"/>
        <v>52550.38348391599</v>
      </c>
      <c r="AA42" s="188"/>
      <c r="AB42" s="188"/>
      <c r="AC42" s="188"/>
      <c r="AD42" s="188"/>
      <c r="AE42" s="188"/>
      <c r="AF42" s="188"/>
      <c r="AG42" s="188"/>
      <c r="AH42" s="188"/>
      <c r="AI42" s="188"/>
      <c r="AJ42" s="188"/>
      <c r="AK42" s="188"/>
    </row>
    <row r="43" spans="1:37">
      <c r="A43" s="4" t="s">
        <v>103</v>
      </c>
      <c r="B43" s="39">
        <f>B39-B42</f>
        <v>11809939.375422731</v>
      </c>
      <c r="C43" s="39">
        <f t="shared" ref="C43:Z43" si="34">C39-C42</f>
        <v>10784925.27429074</v>
      </c>
      <c r="D43" s="39">
        <f t="shared" si="34"/>
        <v>9777122.3287035637</v>
      </c>
      <c r="E43" s="39">
        <f t="shared" si="34"/>
        <v>8785196.8328809887</v>
      </c>
      <c r="F43" s="39">
        <f t="shared" si="34"/>
        <v>7808005.6104399376</v>
      </c>
      <c r="G43" s="39">
        <f t="shared" si="34"/>
        <v>6844405.4849973768</v>
      </c>
      <c r="H43" s="39">
        <f t="shared" si="34"/>
        <v>5893412.054667905</v>
      </c>
      <c r="I43" s="39">
        <f t="shared" si="34"/>
        <v>4954040.9175661039</v>
      </c>
      <c r="J43" s="39">
        <f t="shared" si="34"/>
        <v>4016575.0744360592</v>
      </c>
      <c r="K43" s="39">
        <f t="shared" si="34"/>
        <v>3079140.9862055425</v>
      </c>
      <c r="L43" s="39">
        <f t="shared" si="34"/>
        <v>2141675.1430754978</v>
      </c>
      <c r="M43" s="39">
        <f t="shared" si="34"/>
        <v>1521366.4334753621</v>
      </c>
      <c r="N43" s="39">
        <f t="shared" si="34"/>
        <v>1373520.4615093945</v>
      </c>
      <c r="O43" s="39">
        <f t="shared" si="34"/>
        <v>1226168.4055129907</v>
      </c>
      <c r="P43" s="39">
        <f t="shared" si="34"/>
        <v>1079210.942467645</v>
      </c>
      <c r="Q43" s="39">
        <f t="shared" si="34"/>
        <v>932680.88512717374</v>
      </c>
      <c r="R43" s="39">
        <f t="shared" si="34"/>
        <v>786484.02664727648</v>
      </c>
      <c r="S43" s="39">
        <f t="shared" si="34"/>
        <v>640657.44326027494</v>
      </c>
      <c r="T43" s="39">
        <f t="shared" si="34"/>
        <v>495111.19160037406</v>
      </c>
      <c r="U43" s="39">
        <f t="shared" si="34"/>
        <v>349647.85658207268</v>
      </c>
      <c r="V43" s="39">
        <f t="shared" si="34"/>
        <v>274998.80020953732</v>
      </c>
      <c r="W43" s="39">
        <f t="shared" si="34"/>
        <v>271194.0719908945</v>
      </c>
      <c r="X43" s="39">
        <f t="shared" si="34"/>
        <v>267390.19646795298</v>
      </c>
      <c r="Y43" s="39">
        <f t="shared" si="34"/>
        <v>263585.46824931022</v>
      </c>
      <c r="Z43" s="39">
        <f t="shared" si="34"/>
        <v>259781.59272636857</v>
      </c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</row>
    <row r="44" spans="1:37">
      <c r="A44" s="42" t="s">
        <v>47</v>
      </c>
      <c r="B44" s="44">
        <f t="shared" ref="B44:Z44" si="35">B23*WACD</f>
        <v>4860345.1713057915</v>
      </c>
      <c r="C44" s="44">
        <f t="shared" si="35"/>
        <v>4438503.6885861671</v>
      </c>
      <c r="D44" s="44">
        <f t="shared" si="35"/>
        <v>4023745.4053721135</v>
      </c>
      <c r="E44" s="44">
        <f t="shared" si="35"/>
        <v>3615521.4390451205</v>
      </c>
      <c r="F44" s="44">
        <f t="shared" si="35"/>
        <v>3213361.3187893177</v>
      </c>
      <c r="G44" s="44">
        <f t="shared" si="35"/>
        <v>2816794.5737888375</v>
      </c>
      <c r="H44" s="44">
        <f t="shared" si="35"/>
        <v>2425416.0763966823</v>
      </c>
      <c r="I44" s="44">
        <f t="shared" si="35"/>
        <v>2038820.6989658533</v>
      </c>
      <c r="J44" s="44">
        <f t="shared" si="35"/>
        <v>1653009.439561473</v>
      </c>
      <c r="K44" s="44">
        <f t="shared" si="35"/>
        <v>1267211.2487908662</v>
      </c>
      <c r="L44" s="44">
        <f t="shared" si="35"/>
        <v>881399.98938648531</v>
      </c>
      <c r="M44" s="44">
        <f t="shared" si="35"/>
        <v>626113.7981890802</v>
      </c>
      <c r="N44" s="44">
        <f t="shared" si="35"/>
        <v>565268.23132383195</v>
      </c>
      <c r="O44" s="44">
        <f t="shared" si="35"/>
        <v>504625.93409625062</v>
      </c>
      <c r="P44" s="44">
        <f t="shared" si="35"/>
        <v>444146.03041560802</v>
      </c>
      <c r="Q44" s="44">
        <f t="shared" si="35"/>
        <v>383842.02427244122</v>
      </c>
      <c r="R44" s="44">
        <f t="shared" si="35"/>
        <v>323675.14512219065</v>
      </c>
      <c r="S44" s="44">
        <f t="shared" si="35"/>
        <v>263660.65157720027</v>
      </c>
      <c r="T44" s="44">
        <f t="shared" si="35"/>
        <v>203761.52771471767</v>
      </c>
      <c r="U44" s="44">
        <f t="shared" si="35"/>
        <v>143896.52794769467</v>
      </c>
      <c r="V44" s="44">
        <f t="shared" si="35"/>
        <v>113174.93242131635</v>
      </c>
      <c r="W44" s="44">
        <f t="shared" si="35"/>
        <v>111609.10792063392</v>
      </c>
      <c r="X44" s="44">
        <f t="shared" si="35"/>
        <v>110043.63434431292</v>
      </c>
      <c r="Y44" s="44">
        <f t="shared" si="35"/>
        <v>108477.80984363047</v>
      </c>
      <c r="Z44" s="44">
        <f t="shared" si="35"/>
        <v>106912.33626730944</v>
      </c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</row>
    <row r="45" spans="1:37">
      <c r="A45" s="4" t="s">
        <v>69</v>
      </c>
      <c r="B45" s="39">
        <f>B43-B44</f>
        <v>6949594.2041169396</v>
      </c>
      <c r="C45" s="39">
        <f>C43-C44</f>
        <v>6346421.5857045734</v>
      </c>
      <c r="D45" s="39">
        <f>D43-D44</f>
        <v>5753376.9233314507</v>
      </c>
      <c r="E45" s="39">
        <f>E43-E44</f>
        <v>5169675.3938358687</v>
      </c>
      <c r="F45" s="39">
        <f>F43-F44</f>
        <v>4594644.2916506194</v>
      </c>
      <c r="G45" s="39">
        <f t="shared" ref="G45:L45" si="36">G43-G44</f>
        <v>4027610.9112085393</v>
      </c>
      <c r="H45" s="39">
        <f t="shared" si="36"/>
        <v>3467995.9782712227</v>
      </c>
      <c r="I45" s="39">
        <f t="shared" si="36"/>
        <v>2915220.2186002508</v>
      </c>
      <c r="J45" s="39">
        <f t="shared" si="36"/>
        <v>2363565.634874586</v>
      </c>
      <c r="K45" s="39">
        <f t="shared" si="36"/>
        <v>1811929.7374146762</v>
      </c>
      <c r="L45" s="39">
        <f t="shared" si="36"/>
        <v>1260275.1536890124</v>
      </c>
      <c r="M45" s="39">
        <f t="shared" ref="M45:Z45" si="37">M43-M44</f>
        <v>895252.63528628193</v>
      </c>
      <c r="N45" s="39">
        <f t="shared" si="37"/>
        <v>808252.23018556251</v>
      </c>
      <c r="O45" s="39">
        <f t="shared" si="37"/>
        <v>721542.47141673998</v>
      </c>
      <c r="P45" s="39">
        <f t="shared" si="37"/>
        <v>635064.91205203696</v>
      </c>
      <c r="Q45" s="39">
        <f t="shared" si="37"/>
        <v>548838.86085473257</v>
      </c>
      <c r="R45" s="39">
        <f t="shared" si="37"/>
        <v>462808.88152508583</v>
      </c>
      <c r="S45" s="39">
        <f t="shared" si="37"/>
        <v>376996.79168307467</v>
      </c>
      <c r="T45" s="39">
        <f t="shared" si="37"/>
        <v>291349.66388565639</v>
      </c>
      <c r="U45" s="39">
        <f t="shared" si="37"/>
        <v>205751.32863437801</v>
      </c>
      <c r="V45" s="39">
        <f t="shared" si="37"/>
        <v>161823.86778822099</v>
      </c>
      <c r="W45" s="39">
        <f t="shared" si="37"/>
        <v>159584.96407026058</v>
      </c>
      <c r="X45" s="39">
        <f t="shared" si="37"/>
        <v>157346.56212364006</v>
      </c>
      <c r="Y45" s="39">
        <f t="shared" si="37"/>
        <v>155107.65840567974</v>
      </c>
      <c r="Z45" s="39">
        <f t="shared" si="37"/>
        <v>152869.25645905914</v>
      </c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</row>
    <row r="46" spans="1:37">
      <c r="A46" s="42" t="s">
        <v>68</v>
      </c>
      <c r="B46" s="43">
        <f t="shared" ref="B46:Z46" si="38">B23*EquityWeighting</f>
        <v>71277889.27299422</v>
      </c>
      <c r="C46" s="43">
        <f t="shared" si="38"/>
        <v>65091503.44312384</v>
      </c>
      <c r="D46" s="43">
        <f t="shared" si="38"/>
        <v>59008994.085450798</v>
      </c>
      <c r="E46" s="43">
        <f t="shared" si="38"/>
        <v>53022311.731649868</v>
      </c>
      <c r="F46" s="43">
        <f t="shared" si="38"/>
        <v>47124556.837442234</v>
      </c>
      <c r="G46" s="43">
        <f t="shared" si="38"/>
        <v>41308829.858549125</v>
      </c>
      <c r="H46" s="43">
        <f t="shared" si="38"/>
        <v>35569189.520730451</v>
      </c>
      <c r="I46" s="43">
        <f t="shared" si="38"/>
        <v>29899694.549746152</v>
      </c>
      <c r="J46" s="43">
        <f t="shared" si="38"/>
        <v>24241698.819226518</v>
      </c>
      <c r="K46" s="43">
        <f t="shared" si="38"/>
        <v>18583894.742714621</v>
      </c>
      <c r="L46" s="43">
        <f t="shared" si="38"/>
        <v>12925899.012194984</v>
      </c>
      <c r="M46" s="43">
        <f t="shared" si="38"/>
        <v>9182078.3106285501</v>
      </c>
      <c r="N46" s="43">
        <f t="shared" si="38"/>
        <v>8289766.4634416644</v>
      </c>
      <c r="O46" s="43">
        <f t="shared" si="38"/>
        <v>7400435.6042742552</v>
      </c>
      <c r="P46" s="43">
        <f t="shared" si="38"/>
        <v>6513486.2774567883</v>
      </c>
      <c r="Q46" s="43">
        <f t="shared" si="38"/>
        <v>5629116.5215870002</v>
      </c>
      <c r="R46" s="43">
        <f t="shared" si="38"/>
        <v>4746757.7592316493</v>
      </c>
      <c r="S46" s="43">
        <f t="shared" si="38"/>
        <v>3866633.7608520454</v>
      </c>
      <c r="T46" s="43">
        <f t="shared" si="38"/>
        <v>2988201.6808785251</v>
      </c>
      <c r="U46" s="43">
        <f t="shared" si="38"/>
        <v>2110270.037275671</v>
      </c>
      <c r="V46" s="43">
        <f t="shared" si="38"/>
        <v>1659731.9773150859</v>
      </c>
      <c r="W46" s="43">
        <f t="shared" si="38"/>
        <v>1636768.862259083</v>
      </c>
      <c r="X46" s="43">
        <f t="shared" si="38"/>
        <v>1613810.8935757952</v>
      </c>
      <c r="Y46" s="43">
        <f t="shared" si="38"/>
        <v>1590847.778519792</v>
      </c>
      <c r="Z46" s="43">
        <f t="shared" si="38"/>
        <v>1567889.8098365038</v>
      </c>
      <c r="AA46" s="188"/>
      <c r="AB46" s="188"/>
      <c r="AC46" s="188"/>
      <c r="AD46" s="188"/>
      <c r="AE46" s="188"/>
      <c r="AF46" s="188"/>
      <c r="AG46" s="188"/>
      <c r="AH46" s="188"/>
      <c r="AI46" s="188"/>
      <c r="AJ46" s="188"/>
      <c r="AK46" s="188"/>
    </row>
    <row r="47" spans="1:37">
      <c r="A47" s="4" t="s">
        <v>102</v>
      </c>
      <c r="B47" s="182">
        <f>ROUND(B45/B46,4)</f>
        <v>9.7500000000000003E-2</v>
      </c>
      <c r="C47" s="182">
        <f t="shared" ref="C47:Z47" si="39">ROUND(C45/C46,4)</f>
        <v>9.7500000000000003E-2</v>
      </c>
      <c r="D47" s="182">
        <f t="shared" si="39"/>
        <v>9.7500000000000003E-2</v>
      </c>
      <c r="E47" s="182">
        <f t="shared" si="39"/>
        <v>9.7500000000000003E-2</v>
      </c>
      <c r="F47" s="182">
        <f t="shared" si="39"/>
        <v>9.7500000000000003E-2</v>
      </c>
      <c r="G47" s="182">
        <f t="shared" si="39"/>
        <v>9.7500000000000003E-2</v>
      </c>
      <c r="H47" s="182">
        <f t="shared" si="39"/>
        <v>9.7500000000000003E-2</v>
      </c>
      <c r="I47" s="182">
        <f t="shared" si="39"/>
        <v>9.7500000000000003E-2</v>
      </c>
      <c r="J47" s="182">
        <f t="shared" si="39"/>
        <v>9.7500000000000003E-2</v>
      </c>
      <c r="K47" s="182">
        <f t="shared" si="39"/>
        <v>9.7500000000000003E-2</v>
      </c>
      <c r="L47" s="182">
        <f t="shared" si="39"/>
        <v>9.7500000000000003E-2</v>
      </c>
      <c r="M47" s="182">
        <f t="shared" si="39"/>
        <v>9.7500000000000003E-2</v>
      </c>
      <c r="N47" s="182">
        <f t="shared" si="39"/>
        <v>9.7500000000000003E-2</v>
      </c>
      <c r="O47" s="182">
        <f t="shared" si="39"/>
        <v>9.7500000000000003E-2</v>
      </c>
      <c r="P47" s="182">
        <f t="shared" si="39"/>
        <v>9.7500000000000003E-2</v>
      </c>
      <c r="Q47" s="182">
        <f t="shared" si="39"/>
        <v>9.7500000000000003E-2</v>
      </c>
      <c r="R47" s="182">
        <f t="shared" si="39"/>
        <v>9.7500000000000003E-2</v>
      </c>
      <c r="S47" s="182">
        <f t="shared" si="39"/>
        <v>9.7500000000000003E-2</v>
      </c>
      <c r="T47" s="182">
        <f t="shared" si="39"/>
        <v>9.7500000000000003E-2</v>
      </c>
      <c r="U47" s="182">
        <f t="shared" si="39"/>
        <v>9.7500000000000003E-2</v>
      </c>
      <c r="V47" s="182">
        <f t="shared" si="39"/>
        <v>9.7500000000000003E-2</v>
      </c>
      <c r="W47" s="182">
        <f t="shared" si="39"/>
        <v>9.7500000000000003E-2</v>
      </c>
      <c r="X47" s="182">
        <f t="shared" si="39"/>
        <v>9.7500000000000003E-2</v>
      </c>
      <c r="Y47" s="182">
        <f t="shared" si="39"/>
        <v>9.7500000000000003E-2</v>
      </c>
      <c r="Z47" s="182">
        <f t="shared" si="39"/>
        <v>9.7500000000000003E-2</v>
      </c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</row>
    <row r="48" spans="1:37">
      <c r="B48" s="1" t="b">
        <f>B47=ROE</f>
        <v>1</v>
      </c>
      <c r="C48" s="1" t="b">
        <f>C47=ROE</f>
        <v>1</v>
      </c>
      <c r="D48" s="1" t="b">
        <f>D47=ROE</f>
        <v>1</v>
      </c>
      <c r="E48" s="1" t="b">
        <f>E47=ROE</f>
        <v>1</v>
      </c>
      <c r="F48" s="1" t="b">
        <f>F47=ROE</f>
        <v>1</v>
      </c>
      <c r="G48" s="1" t="b">
        <f t="shared" ref="G48:L48" si="40">G47=ROE</f>
        <v>1</v>
      </c>
      <c r="H48" s="1" t="b">
        <f t="shared" si="40"/>
        <v>1</v>
      </c>
      <c r="I48" s="1" t="b">
        <f t="shared" si="40"/>
        <v>1</v>
      </c>
      <c r="J48" s="1" t="b">
        <f t="shared" si="40"/>
        <v>1</v>
      </c>
      <c r="K48" s="1" t="b">
        <f t="shared" si="40"/>
        <v>1</v>
      </c>
      <c r="L48" s="1" t="b">
        <f t="shared" si="40"/>
        <v>1</v>
      </c>
      <c r="M48" s="1" t="b">
        <f t="shared" ref="M48:Z48" si="41">M47=ROE</f>
        <v>1</v>
      </c>
      <c r="N48" s="1" t="b">
        <f t="shared" si="41"/>
        <v>1</v>
      </c>
      <c r="O48" s="1" t="b">
        <f t="shared" si="41"/>
        <v>1</v>
      </c>
      <c r="P48" s="1" t="b">
        <f t="shared" si="41"/>
        <v>1</v>
      </c>
      <c r="Q48" s="1" t="b">
        <f t="shared" si="41"/>
        <v>1</v>
      </c>
      <c r="R48" s="1" t="b">
        <f t="shared" si="41"/>
        <v>1</v>
      </c>
      <c r="S48" s="1" t="b">
        <f t="shared" si="41"/>
        <v>1</v>
      </c>
      <c r="T48" s="1" t="b">
        <f t="shared" si="41"/>
        <v>1</v>
      </c>
      <c r="U48" s="1" t="b">
        <f t="shared" si="41"/>
        <v>1</v>
      </c>
      <c r="V48" s="1" t="b">
        <f t="shared" si="41"/>
        <v>1</v>
      </c>
      <c r="W48" s="1" t="b">
        <f t="shared" si="41"/>
        <v>1</v>
      </c>
      <c r="X48" s="1" t="b">
        <f t="shared" si="41"/>
        <v>1</v>
      </c>
      <c r="Y48" s="1" t="b">
        <f t="shared" si="41"/>
        <v>1</v>
      </c>
      <c r="Z48" s="1" t="b">
        <f t="shared" si="41"/>
        <v>1</v>
      </c>
    </row>
    <row r="49" spans="1:37">
      <c r="A49" s="4"/>
      <c r="B49" s="40"/>
      <c r="C49" s="40"/>
      <c r="D49" s="40"/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</row>
    <row r="50" spans="1:37">
      <c r="A50" s="4" t="s">
        <v>108</v>
      </c>
      <c r="B50" s="38">
        <f t="shared" ref="B50:Z50" si="42">B13</f>
        <v>100233.18166647268</v>
      </c>
      <c r="C50" s="38">
        <f t="shared" si="42"/>
        <v>91533.693773819439</v>
      </c>
      <c r="D50" s="38">
        <f t="shared" si="42"/>
        <v>82980.280202597802</v>
      </c>
      <c r="E50" s="38">
        <f t="shared" si="42"/>
        <v>74561.621540445922</v>
      </c>
      <c r="F50" s="38">
        <f t="shared" si="42"/>
        <v>66268.015433910783</v>
      </c>
      <c r="G50" s="38">
        <f t="shared" si="42"/>
        <v>58089.759529539318</v>
      </c>
      <c r="H50" s="38">
        <f t="shared" si="42"/>
        <v>50018.499022969241</v>
      </c>
      <c r="I50" s="38">
        <f t="shared" si="42"/>
        <v>42045.879109838213</v>
      </c>
      <c r="J50" s="38">
        <f t="shared" si="42"/>
        <v>34089.429785795568</v>
      </c>
      <c r="K50" s="38">
        <f t="shared" si="42"/>
        <v>26133.249971571055</v>
      </c>
      <c r="L50" s="38">
        <f t="shared" si="42"/>
        <v>18176.800647528406</v>
      </c>
      <c r="M50" s="38">
        <f t="shared" si="42"/>
        <v>12912.123700241385</v>
      </c>
      <c r="N50" s="38">
        <f t="shared" si="42"/>
        <v>0</v>
      </c>
      <c r="O50" s="38">
        <f t="shared" si="42"/>
        <v>0</v>
      </c>
      <c r="P50" s="38">
        <f t="shared" si="42"/>
        <v>0</v>
      </c>
      <c r="Q50" s="38">
        <f t="shared" si="42"/>
        <v>0</v>
      </c>
      <c r="R50" s="38">
        <f t="shared" si="42"/>
        <v>0</v>
      </c>
      <c r="S50" s="38">
        <f t="shared" si="42"/>
        <v>0</v>
      </c>
      <c r="T50" s="38">
        <f t="shared" si="42"/>
        <v>0</v>
      </c>
      <c r="U50" s="38">
        <f t="shared" si="42"/>
        <v>0</v>
      </c>
      <c r="V50" s="38">
        <f t="shared" si="42"/>
        <v>0</v>
      </c>
      <c r="W50" s="38">
        <f t="shared" si="42"/>
        <v>0</v>
      </c>
      <c r="X50" s="38">
        <f t="shared" si="42"/>
        <v>0</v>
      </c>
      <c r="Y50" s="38">
        <f t="shared" si="42"/>
        <v>0</v>
      </c>
      <c r="Z50" s="38">
        <f t="shared" si="42"/>
        <v>0</v>
      </c>
      <c r="AA50" s="188"/>
      <c r="AB50" s="188"/>
      <c r="AC50" s="188"/>
      <c r="AD50" s="188"/>
      <c r="AE50" s="188"/>
      <c r="AF50" s="188"/>
      <c r="AG50" s="188"/>
      <c r="AH50" s="188"/>
      <c r="AI50" s="188"/>
      <c r="AJ50" s="188"/>
      <c r="AK50" s="188"/>
    </row>
    <row r="51" spans="1:37">
      <c r="A51" s="4" t="s">
        <v>109</v>
      </c>
      <c r="B51" s="38">
        <f t="shared" ref="B51:Z51" si="43">B14</f>
        <v>15516916.666666666</v>
      </c>
      <c r="C51" s="38">
        <f t="shared" si="43"/>
        <v>15516916.666666666</v>
      </c>
      <c r="D51" s="38">
        <f t="shared" si="43"/>
        <v>15516916.666666666</v>
      </c>
      <c r="E51" s="38">
        <f t="shared" si="43"/>
        <v>15516916.666666666</v>
      </c>
      <c r="F51" s="38">
        <f t="shared" si="43"/>
        <v>15516916.666666666</v>
      </c>
      <c r="G51" s="38">
        <f t="shared" si="43"/>
        <v>15516916.666666666</v>
      </c>
      <c r="H51" s="38">
        <f t="shared" si="43"/>
        <v>15516916.666666666</v>
      </c>
      <c r="I51" s="38">
        <f t="shared" si="43"/>
        <v>15516916.666666666</v>
      </c>
      <c r="J51" s="38">
        <f t="shared" si="43"/>
        <v>15516916.666666666</v>
      </c>
      <c r="K51" s="38">
        <f t="shared" si="43"/>
        <v>15516916.666666666</v>
      </c>
      <c r="L51" s="38">
        <f t="shared" si="43"/>
        <v>15516916.666666666</v>
      </c>
      <c r="M51" s="38">
        <f t="shared" si="43"/>
        <v>15933583.333333332</v>
      </c>
      <c r="N51" s="38">
        <f t="shared" si="43"/>
        <v>0</v>
      </c>
      <c r="O51" s="38">
        <f t="shared" si="43"/>
        <v>0</v>
      </c>
      <c r="P51" s="38">
        <f t="shared" si="43"/>
        <v>0</v>
      </c>
      <c r="Q51" s="38">
        <f t="shared" si="43"/>
        <v>0</v>
      </c>
      <c r="R51" s="38">
        <f t="shared" si="43"/>
        <v>0</v>
      </c>
      <c r="S51" s="38">
        <f t="shared" si="43"/>
        <v>0</v>
      </c>
      <c r="T51" s="38">
        <f t="shared" si="43"/>
        <v>0</v>
      </c>
      <c r="U51" s="38">
        <f t="shared" si="43"/>
        <v>0</v>
      </c>
      <c r="V51" s="38">
        <f t="shared" si="43"/>
        <v>0</v>
      </c>
      <c r="W51" s="38">
        <f t="shared" si="43"/>
        <v>0</v>
      </c>
      <c r="X51" s="38">
        <f t="shared" si="43"/>
        <v>0</v>
      </c>
      <c r="Y51" s="38">
        <f t="shared" si="43"/>
        <v>0</v>
      </c>
      <c r="Z51" s="38">
        <f t="shared" si="43"/>
        <v>0</v>
      </c>
      <c r="AA51" s="188"/>
      <c r="AB51" s="188"/>
      <c r="AC51" s="188"/>
      <c r="AD51" s="188"/>
      <c r="AE51" s="188"/>
      <c r="AF51" s="188"/>
      <c r="AG51" s="188"/>
      <c r="AH51" s="188"/>
      <c r="AI51" s="188"/>
      <c r="AJ51" s="188"/>
      <c r="AK51" s="188"/>
    </row>
    <row r="52" spans="1:37">
      <c r="A52" s="4" t="s">
        <v>111</v>
      </c>
      <c r="B52" s="3">
        <f t="shared" ref="B52:Z52" si="44">B28-SUM(B50:B51,B53)</f>
        <v>2475262.6419046298</v>
      </c>
      <c r="C52" s="3">
        <f t="shared" si="44"/>
        <v>2267867.7783492208</v>
      </c>
      <c r="D52" s="3">
        <f t="shared" si="44"/>
        <v>2063955.311037831</v>
      </c>
      <c r="E52" s="3">
        <f t="shared" si="44"/>
        <v>1863255.3863869868</v>
      </c>
      <c r="F52" s="3">
        <f t="shared" si="44"/>
        <v>1665536.7013251036</v>
      </c>
      <c r="G52" s="3">
        <f t="shared" si="44"/>
        <v>1470567.9527806379</v>
      </c>
      <c r="H52" s="3">
        <f t="shared" si="44"/>
        <v>1278149.9631086439</v>
      </c>
      <c r="I52" s="3">
        <f t="shared" si="44"/>
        <v>1088083.5546641499</v>
      </c>
      <c r="J52" s="3">
        <f t="shared" si="44"/>
        <v>898402.65133892745</v>
      </c>
      <c r="K52" s="3">
        <f t="shared" si="44"/>
        <v>708728.17309902608</v>
      </c>
      <c r="L52" s="3">
        <f t="shared" si="44"/>
        <v>519047.26977379993</v>
      </c>
      <c r="M52" s="3">
        <f t="shared" si="44"/>
        <v>395839.56816758588</v>
      </c>
      <c r="N52" s="3">
        <f t="shared" si="44"/>
        <v>277845.03981908807</v>
      </c>
      <c r="O52" s="3">
        <f t="shared" si="44"/>
        <v>248037.66598444246</v>
      </c>
      <c r="P52" s="3">
        <f t="shared" si="44"/>
        <v>218310.11308968905</v>
      </c>
      <c r="Q52" s="3">
        <f t="shared" si="44"/>
        <v>188669.01872134174</v>
      </c>
      <c r="R52" s="3">
        <f t="shared" si="44"/>
        <v>159095.32607963588</v>
      </c>
      <c r="S52" s="3">
        <f t="shared" si="44"/>
        <v>129596.53519644972</v>
      </c>
      <c r="T52" s="3">
        <f t="shared" si="44"/>
        <v>100154.45171738404</v>
      </c>
      <c r="U52" s="3">
        <f t="shared" si="44"/>
        <v>70729.141179263592</v>
      </c>
      <c r="V52" s="3">
        <f t="shared" si="44"/>
        <v>55628.623479299771</v>
      </c>
      <c r="W52" s="3">
        <f t="shared" si="44"/>
        <v>54858.977235917468</v>
      </c>
      <c r="X52" s="3">
        <f t="shared" si="44"/>
        <v>54089.503481607942</v>
      </c>
      <c r="Y52" s="3">
        <f t="shared" si="44"/>
        <v>53319.857238225522</v>
      </c>
      <c r="Z52" s="3">
        <f t="shared" si="44"/>
        <v>52550.383483915997</v>
      </c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</row>
    <row r="53" spans="1:37">
      <c r="A53" s="4" t="s">
        <v>110</v>
      </c>
      <c r="B53" s="48">
        <f t="shared" ref="B53:Z53" si="45">B24</f>
        <v>11809939.375422729</v>
      </c>
      <c r="C53" s="48">
        <f t="shared" si="45"/>
        <v>10784925.274290742</v>
      </c>
      <c r="D53" s="48">
        <f t="shared" si="45"/>
        <v>9777122.3287035674</v>
      </c>
      <c r="E53" s="48">
        <f t="shared" si="45"/>
        <v>8785196.8328809831</v>
      </c>
      <c r="F53" s="48">
        <f t="shared" si="45"/>
        <v>7808005.6104399366</v>
      </c>
      <c r="G53" s="48">
        <f t="shared" si="45"/>
        <v>6844405.4849973777</v>
      </c>
      <c r="H53" s="48">
        <f t="shared" si="45"/>
        <v>5893412.0546679022</v>
      </c>
      <c r="I53" s="48">
        <f t="shared" si="45"/>
        <v>4954040.9175661039</v>
      </c>
      <c r="J53" s="48">
        <f t="shared" si="45"/>
        <v>4016575.0744360588</v>
      </c>
      <c r="K53" s="48">
        <f t="shared" si="45"/>
        <v>3079140.986205542</v>
      </c>
      <c r="L53" s="48">
        <f t="shared" si="45"/>
        <v>2141675.1430754964</v>
      </c>
      <c r="M53" s="48">
        <f t="shared" si="45"/>
        <v>1521366.433475364</v>
      </c>
      <c r="N53" s="48">
        <f t="shared" si="45"/>
        <v>1373520.4615093945</v>
      </c>
      <c r="O53" s="48">
        <f t="shared" si="45"/>
        <v>1226168.4055129907</v>
      </c>
      <c r="P53" s="48">
        <f t="shared" si="45"/>
        <v>1079210.942467645</v>
      </c>
      <c r="Q53" s="48">
        <f t="shared" si="45"/>
        <v>932680.88512717385</v>
      </c>
      <c r="R53" s="48">
        <f t="shared" si="45"/>
        <v>786484.02664727648</v>
      </c>
      <c r="S53" s="48">
        <f t="shared" si="45"/>
        <v>640657.44326027483</v>
      </c>
      <c r="T53" s="48">
        <f t="shared" si="45"/>
        <v>495111.19160037395</v>
      </c>
      <c r="U53" s="48">
        <f t="shared" si="45"/>
        <v>349647.85658207268</v>
      </c>
      <c r="V53" s="48">
        <f t="shared" si="45"/>
        <v>274998.80020953726</v>
      </c>
      <c r="W53" s="48">
        <f t="shared" si="45"/>
        <v>271194.0719908945</v>
      </c>
      <c r="X53" s="48">
        <f t="shared" si="45"/>
        <v>267390.19646795298</v>
      </c>
      <c r="Y53" s="48">
        <f t="shared" si="45"/>
        <v>263585.46824931022</v>
      </c>
      <c r="Z53" s="48">
        <f t="shared" si="45"/>
        <v>259781.59272636857</v>
      </c>
      <c r="AA53" s="7"/>
      <c r="AB53" s="7"/>
      <c r="AC53" s="7"/>
      <c r="AD53" s="7"/>
      <c r="AE53" s="7"/>
      <c r="AF53" s="7"/>
      <c r="AG53" s="7"/>
      <c r="AH53" s="7"/>
      <c r="AI53" s="7"/>
      <c r="AJ53" s="7"/>
      <c r="AK53" s="7"/>
    </row>
    <row r="54" spans="1:37">
      <c r="B54" s="39">
        <f t="shared" ref="B54:Z54" si="46">SUM(B50:B53)-B28</f>
        <v>0</v>
      </c>
      <c r="C54" s="39">
        <f t="shared" si="46"/>
        <v>0</v>
      </c>
      <c r="D54" s="39">
        <f t="shared" si="46"/>
        <v>0</v>
      </c>
      <c r="E54" s="39">
        <f t="shared" si="46"/>
        <v>0</v>
      </c>
      <c r="F54" s="39">
        <f t="shared" si="46"/>
        <v>0</v>
      </c>
      <c r="G54" s="39">
        <f t="shared" si="46"/>
        <v>0</v>
      </c>
      <c r="H54" s="39">
        <f t="shared" si="46"/>
        <v>0</v>
      </c>
      <c r="I54" s="39">
        <f t="shared" si="46"/>
        <v>0</v>
      </c>
      <c r="J54" s="39">
        <f t="shared" si="46"/>
        <v>0</v>
      </c>
      <c r="K54" s="39">
        <f t="shared" si="46"/>
        <v>0</v>
      </c>
      <c r="L54" s="39">
        <f t="shared" si="46"/>
        <v>0</v>
      </c>
      <c r="M54" s="39">
        <f t="shared" si="46"/>
        <v>0</v>
      </c>
      <c r="N54" s="39">
        <f t="shared" si="46"/>
        <v>0</v>
      </c>
      <c r="O54" s="39">
        <f t="shared" si="46"/>
        <v>0</v>
      </c>
      <c r="P54" s="39">
        <f t="shared" si="46"/>
        <v>0</v>
      </c>
      <c r="Q54" s="39">
        <f t="shared" si="46"/>
        <v>0</v>
      </c>
      <c r="R54" s="39">
        <f t="shared" si="46"/>
        <v>0</v>
      </c>
      <c r="S54" s="39">
        <f t="shared" si="46"/>
        <v>0</v>
      </c>
      <c r="T54" s="39">
        <f t="shared" si="46"/>
        <v>0</v>
      </c>
      <c r="U54" s="39">
        <f t="shared" si="46"/>
        <v>0</v>
      </c>
      <c r="V54" s="39">
        <f t="shared" si="46"/>
        <v>0</v>
      </c>
      <c r="W54" s="39">
        <f t="shared" si="46"/>
        <v>0</v>
      </c>
      <c r="X54" s="39">
        <f t="shared" si="46"/>
        <v>0</v>
      </c>
      <c r="Y54" s="39">
        <f t="shared" si="46"/>
        <v>0</v>
      </c>
      <c r="Z54" s="39">
        <f t="shared" si="46"/>
        <v>0</v>
      </c>
      <c r="AA54" s="39"/>
      <c r="AB54" s="39"/>
      <c r="AC54" s="39"/>
      <c r="AD54" s="39"/>
      <c r="AE54" s="39"/>
      <c r="AF54" s="39"/>
      <c r="AG54" s="39"/>
      <c r="AH54" s="39"/>
      <c r="AI54" s="39"/>
      <c r="AJ54" s="39"/>
      <c r="AK54" s="39"/>
    </row>
    <row r="55" spans="1:37"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  <c r="V55" s="39"/>
      <c r="W55" s="39"/>
      <c r="X55" s="39"/>
      <c r="Y55" s="39"/>
      <c r="Z55" s="39"/>
      <c r="AA55" s="39"/>
      <c r="AB55" s="39"/>
      <c r="AC55" s="39"/>
      <c r="AD55" s="39"/>
      <c r="AE55" s="39"/>
      <c r="AF55" s="39"/>
      <c r="AG55" s="39"/>
      <c r="AH55" s="39"/>
      <c r="AI55" s="39"/>
      <c r="AJ55" s="39"/>
      <c r="AK55" s="39"/>
    </row>
    <row r="56" spans="1:37"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  <c r="W56" s="39"/>
      <c r="X56" s="39"/>
      <c r="Y56" s="39"/>
      <c r="Z56" s="39"/>
      <c r="AA56" s="39"/>
      <c r="AB56" s="39"/>
      <c r="AC56" s="39"/>
      <c r="AD56" s="39"/>
      <c r="AE56" s="39"/>
      <c r="AF56" s="39"/>
      <c r="AG56" s="39"/>
      <c r="AH56" s="39"/>
      <c r="AI56" s="39"/>
      <c r="AJ56" s="39"/>
      <c r="AK56" s="39"/>
    </row>
    <row r="57" spans="1:37"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</row>
    <row r="58" spans="1:37">
      <c r="B58" s="98"/>
      <c r="C58" s="98"/>
      <c r="D58" s="98"/>
      <c r="E58" s="98"/>
      <c r="F58" s="98"/>
      <c r="G58" s="98"/>
      <c r="H58" s="98"/>
      <c r="I58" s="98"/>
      <c r="J58" s="98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98"/>
      <c r="X58" s="98"/>
      <c r="Y58" s="98"/>
      <c r="Z58" s="98"/>
      <c r="AA58" s="98"/>
      <c r="AB58" s="98"/>
      <c r="AC58" s="98"/>
      <c r="AD58" s="98"/>
      <c r="AE58" s="98"/>
      <c r="AF58" s="98"/>
      <c r="AG58" s="98"/>
      <c r="AH58" s="98"/>
      <c r="AI58" s="98"/>
      <c r="AJ58" s="98"/>
      <c r="AK58" s="98"/>
    </row>
    <row r="59" spans="1:37"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</row>
    <row r="60" spans="1:37"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>
      <c r="B61" s="98"/>
      <c r="C61" s="98"/>
      <c r="D61" s="98"/>
      <c r="E61" s="98"/>
      <c r="F61" s="98"/>
      <c r="G61" s="98"/>
      <c r="H61" s="98"/>
      <c r="I61" s="98"/>
      <c r="J61" s="98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98"/>
      <c r="X61" s="98"/>
      <c r="Y61" s="98"/>
      <c r="Z61" s="98"/>
      <c r="AA61" s="98"/>
      <c r="AB61" s="98"/>
      <c r="AC61" s="98"/>
      <c r="AD61" s="98"/>
      <c r="AE61" s="98"/>
      <c r="AF61" s="98"/>
      <c r="AG61" s="98"/>
      <c r="AH61" s="98"/>
      <c r="AI61" s="98"/>
      <c r="AJ61" s="98"/>
      <c r="AK61" s="98"/>
    </row>
    <row r="62" spans="1:37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</row>
    <row r="63" spans="1:37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</row>
    <row r="64" spans="1:37"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</row>
  </sheetData>
  <customSheetViews>
    <customSheetView guid="{B2261136-1BD6-4EB8-80BC-AC5217B292C2}" scale="85" showPageBreaks="1" fitToPage="1" printArea="1" view="pageBreakPreview">
      <selection activeCell="C13" sqref="C13"/>
      <pageMargins left="0.7" right="0.7" top="0.75" bottom="0.75" header="0.3" footer="0.3"/>
      <pageSetup scale="61" fitToHeight="0" orientation="landscape" r:id="rId1"/>
    </customSheetView>
  </customSheetViews>
  <mergeCells count="2">
    <mergeCell ref="A1:J1"/>
    <mergeCell ref="A2:J2"/>
  </mergeCells>
  <phoneticPr fontId="57" type="noConversion"/>
  <pageMargins left="0.7" right="0.7" top="0.75" bottom="0.75" header="0.3" footer="0.3"/>
  <pageSetup fitToHeight="0" orientation="landscape" r:id="rId2"/>
  <headerFooter>
    <oddHeader>&amp;RCase No. 2026-00001
KPSC 1-11 Attachment 2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A1:Z52"/>
  <sheetViews>
    <sheetView zoomScaleNormal="100" workbookViewId="0">
      <selection activeCell="F10" sqref="F10"/>
    </sheetView>
  </sheetViews>
  <sheetFormatPr defaultColWidth="9.1796875" defaultRowHeight="12.5"/>
  <cols>
    <col min="1" max="1" width="51.7265625" style="1" customWidth="1"/>
    <col min="2" max="2" width="19.1796875" style="1" bestFit="1" customWidth="1"/>
    <col min="3" max="9" width="14.7265625" style="1" customWidth="1"/>
    <col min="10" max="21" width="13.81640625" style="1" bestFit="1" customWidth="1"/>
    <col min="22" max="22" width="14" style="1" bestFit="1" customWidth="1"/>
    <col min="23" max="25" width="13.81640625" style="1" bestFit="1" customWidth="1"/>
    <col min="26" max="26" width="14" style="1" bestFit="1" customWidth="1"/>
    <col min="27" max="16384" width="9.1796875" style="1"/>
  </cols>
  <sheetData>
    <row r="1" spans="1:26" ht="14">
      <c r="A1" s="215" t="str">
        <f>Input!B2&amp;" "&amp;Input!B3</f>
        <v>KPCO KY</v>
      </c>
      <c r="B1" s="215"/>
      <c r="C1" s="215"/>
      <c r="D1" s="215"/>
      <c r="E1" s="215"/>
      <c r="F1" s="215"/>
      <c r="G1" s="215"/>
      <c r="H1" s="215"/>
      <c r="I1" s="215"/>
      <c r="J1" s="215"/>
    </row>
    <row r="2" spans="1:26" ht="14">
      <c r="A2" s="215" t="s">
        <v>13</v>
      </c>
      <c r="B2" s="215"/>
      <c r="C2" s="215"/>
      <c r="D2" s="215"/>
      <c r="E2" s="215"/>
      <c r="F2" s="215"/>
      <c r="G2" s="215"/>
      <c r="H2" s="215"/>
      <c r="I2" s="215"/>
      <c r="J2" s="215"/>
    </row>
    <row r="3" spans="1:26">
      <c r="B3" s="51" t="s">
        <v>16</v>
      </c>
      <c r="C3" s="51" t="s">
        <v>17</v>
      </c>
      <c r="D3" s="51" t="s">
        <v>18</v>
      </c>
      <c r="E3" s="51" t="s">
        <v>19</v>
      </c>
      <c r="F3" s="51" t="s">
        <v>20</v>
      </c>
      <c r="G3" s="51" t="s">
        <v>21</v>
      </c>
      <c r="H3" s="51" t="s">
        <v>22</v>
      </c>
      <c r="I3" s="51" t="s">
        <v>23</v>
      </c>
      <c r="J3" s="51" t="s">
        <v>24</v>
      </c>
      <c r="K3" s="51" t="s">
        <v>25</v>
      </c>
      <c r="L3" s="51" t="s">
        <v>26</v>
      </c>
      <c r="M3" s="51" t="s">
        <v>27</v>
      </c>
      <c r="N3" s="51" t="s">
        <v>28</v>
      </c>
      <c r="O3" s="51" t="s">
        <v>29</v>
      </c>
      <c r="P3" s="51" t="s">
        <v>30</v>
      </c>
      <c r="Q3" s="51" t="s">
        <v>31</v>
      </c>
      <c r="R3" s="51" t="s">
        <v>32</v>
      </c>
      <c r="S3" s="51" t="s">
        <v>33</v>
      </c>
      <c r="T3" s="51" t="s">
        <v>34</v>
      </c>
      <c r="U3" s="51" t="s">
        <v>35</v>
      </c>
      <c r="V3" s="51" t="s">
        <v>36</v>
      </c>
      <c r="W3" s="51" t="s">
        <v>248</v>
      </c>
      <c r="X3" s="51" t="s">
        <v>249</v>
      </c>
      <c r="Y3" s="51" t="s">
        <v>250</v>
      </c>
      <c r="Z3" s="51" t="s">
        <v>251</v>
      </c>
    </row>
    <row r="4" spans="1:26">
      <c r="A4" s="7"/>
      <c r="B4" s="115">
        <f>'Total Rev Req'!B5</f>
        <v>2029</v>
      </c>
      <c r="C4" s="115">
        <f>'Total Rev Req'!C5</f>
        <v>2030</v>
      </c>
      <c r="D4" s="115">
        <f>'Total Rev Req'!D5</f>
        <v>2031</v>
      </c>
      <c r="E4" s="115">
        <f>'Total Rev Req'!E5</f>
        <v>2032</v>
      </c>
      <c r="F4" s="115">
        <f>'Total Rev Req'!F5</f>
        <v>2033</v>
      </c>
      <c r="G4" s="115">
        <f>'Total Rev Req'!G5</f>
        <v>2034</v>
      </c>
      <c r="H4" s="115">
        <f>'Total Rev Req'!H5</f>
        <v>2035</v>
      </c>
      <c r="I4" s="115">
        <f>'Total Rev Req'!I5</f>
        <v>2036</v>
      </c>
      <c r="J4" s="115">
        <f>'Total Rev Req'!J5</f>
        <v>2037</v>
      </c>
      <c r="K4" s="115">
        <f>'Total Rev Req'!K5</f>
        <v>2038</v>
      </c>
      <c r="L4" s="115">
        <f>'Total Rev Req'!L5</f>
        <v>2039</v>
      </c>
      <c r="M4" s="115">
        <f>'Total Rev Req'!M5</f>
        <v>2040</v>
      </c>
      <c r="N4" s="115">
        <f>'Total Rev Req'!N5</f>
        <v>2041</v>
      </c>
      <c r="O4" s="115">
        <f>'Total Rev Req'!O5</f>
        <v>2042</v>
      </c>
      <c r="P4" s="115">
        <f>'Total Rev Req'!P5</f>
        <v>2043</v>
      </c>
      <c r="Q4" s="115">
        <f>'Total Rev Req'!Q5</f>
        <v>2044</v>
      </c>
      <c r="R4" s="115">
        <f>'Total Rev Req'!R5</f>
        <v>2045</v>
      </c>
      <c r="S4" s="115">
        <f>'Total Rev Req'!S5</f>
        <v>2046</v>
      </c>
      <c r="T4" s="115">
        <f>'Total Rev Req'!T5</f>
        <v>2047</v>
      </c>
      <c r="U4" s="115">
        <f>'Total Rev Req'!U5</f>
        <v>2048</v>
      </c>
      <c r="V4" s="115">
        <f>'Total Rev Req'!V5</f>
        <v>2049</v>
      </c>
      <c r="W4" s="115">
        <f>'Total Rev Req'!W5</f>
        <v>2050</v>
      </c>
      <c r="X4" s="115">
        <f>'Total Rev Req'!X5</f>
        <v>2051</v>
      </c>
      <c r="Y4" s="115">
        <f>'Total Rev Req'!Y5</f>
        <v>2052</v>
      </c>
      <c r="Z4" s="115">
        <f>'Total Rev Req'!Z5</f>
        <v>2053</v>
      </c>
    </row>
    <row r="5" spans="1:26">
      <c r="A5" s="7" t="str">
        <f>'Total Rev Req'!A6</f>
        <v>Operations and Maint Expense - Account 549</v>
      </c>
      <c r="B5" s="55" cm="1">
        <f t="array" ref="B5">'Total Rev Req'!B6*Allocator</f>
        <v>0</v>
      </c>
      <c r="C5" s="55" cm="1">
        <f t="array" ref="C5">'Total Rev Req'!C6*Allocator</f>
        <v>0</v>
      </c>
      <c r="D5" s="55" cm="1">
        <f t="array" ref="D5">'Total Rev Req'!D6*Allocator</f>
        <v>0</v>
      </c>
      <c r="E5" s="55" cm="1">
        <f t="array" ref="E5">'Total Rev Req'!E6*Allocator</f>
        <v>0</v>
      </c>
      <c r="F5" s="55" cm="1">
        <f t="array" ref="F5">'Total Rev Req'!F6*Allocator</f>
        <v>0</v>
      </c>
      <c r="G5" s="55" cm="1">
        <f t="array" ref="G5">'Total Rev Req'!G6*Allocator</f>
        <v>0</v>
      </c>
      <c r="H5" s="55" cm="1">
        <f t="array" ref="H5">'Total Rev Req'!H6*Allocator</f>
        <v>0</v>
      </c>
      <c r="I5" s="55" cm="1">
        <f t="array" ref="I5">'Total Rev Req'!I6*Allocator</f>
        <v>0</v>
      </c>
      <c r="J5" s="55" cm="1">
        <f t="array" ref="J5">'Total Rev Req'!J6*Allocator</f>
        <v>0</v>
      </c>
      <c r="K5" s="55" cm="1">
        <f t="array" ref="K5">'Total Rev Req'!K6*Allocator</f>
        <v>0</v>
      </c>
      <c r="L5" s="55" cm="1">
        <f t="array" ref="L5">'Total Rev Req'!L6*Allocator</f>
        <v>0</v>
      </c>
      <c r="M5" s="55" cm="1">
        <f t="array" ref="M5">'Total Rev Req'!M6*Allocator</f>
        <v>0</v>
      </c>
      <c r="N5" s="55" cm="1">
        <f t="array" ref="N5">'Total Rev Req'!N6*Allocator</f>
        <v>0</v>
      </c>
      <c r="O5" s="55" cm="1">
        <f t="array" ref="O5">'Total Rev Req'!O6*Allocator</f>
        <v>0</v>
      </c>
      <c r="P5" s="55" cm="1">
        <f t="array" ref="P5">'Total Rev Req'!P6*Allocator</f>
        <v>0</v>
      </c>
      <c r="Q5" s="55" cm="1">
        <f t="array" ref="Q5">'Total Rev Req'!Q6*Allocator</f>
        <v>0</v>
      </c>
      <c r="R5" s="55" cm="1">
        <f t="array" ref="R5">'Total Rev Req'!R6*Allocator</f>
        <v>0</v>
      </c>
      <c r="S5" s="55" cm="1">
        <f t="array" ref="S5">'Total Rev Req'!S6*Allocator</f>
        <v>0</v>
      </c>
      <c r="T5" s="55" cm="1">
        <f t="array" ref="T5">'Total Rev Req'!T6*Allocator</f>
        <v>0</v>
      </c>
      <c r="U5" s="55" cm="1">
        <f t="array" ref="U5">'Total Rev Req'!U6*Allocator</f>
        <v>0</v>
      </c>
      <c r="V5" s="55" cm="1">
        <f t="array" ref="V5">'Total Rev Req'!V6*Allocator</f>
        <v>0</v>
      </c>
      <c r="W5" s="55" cm="1">
        <f t="array" ref="W5">'Total Rev Req'!W6*Allocator</f>
        <v>0</v>
      </c>
      <c r="X5" s="55" cm="1">
        <f t="array" ref="X5">'Total Rev Req'!X6*Allocator</f>
        <v>0</v>
      </c>
      <c r="Y5" s="55" cm="1">
        <f t="array" ref="Y5">'Total Rev Req'!Y6*Allocator</f>
        <v>0</v>
      </c>
      <c r="Z5" s="55" cm="1">
        <f t="array" ref="Z5">'Total Rev Req'!Z6*Allocator</f>
        <v>0</v>
      </c>
    </row>
    <row r="6" spans="1:26">
      <c r="A6" s="7" t="str">
        <f>'Total Rev Req'!A7</f>
        <v>Property Tax Expense - Account 408</v>
      </c>
      <c r="B6" s="55" cm="1">
        <f t="array" ref="B6">'Total Rev Req'!B7*Allocator</f>
        <v>50116.59083323634</v>
      </c>
      <c r="C6" s="55" cm="1">
        <f t="array" ref="C6">'Total Rev Req'!C7*Allocator</f>
        <v>45766.84688690972</v>
      </c>
      <c r="D6" s="55" cm="1">
        <f t="array" ref="D6">'Total Rev Req'!D7*Allocator</f>
        <v>41490.140101298901</v>
      </c>
      <c r="E6" s="55" cm="1">
        <f t="array" ref="E6">'Total Rev Req'!E7*Allocator</f>
        <v>37280.810770222961</v>
      </c>
      <c r="F6" s="55" cm="1">
        <f t="array" ref="F6">'Total Rev Req'!F7*Allocator</f>
        <v>33134.007716955392</v>
      </c>
      <c r="G6" s="55" cm="1">
        <f t="array" ref="G6">'Total Rev Req'!G7*Allocator</f>
        <v>29044.879764769659</v>
      </c>
      <c r="H6" s="55" cm="1">
        <f t="array" ref="H6">'Total Rev Req'!H7*Allocator</f>
        <v>25009.249511484621</v>
      </c>
      <c r="I6" s="55" cm="1">
        <f t="array" ref="I6">'Total Rev Req'!I7*Allocator</f>
        <v>21022.939554919107</v>
      </c>
      <c r="J6" s="55" cm="1">
        <f t="array" ref="J6">'Total Rev Req'!J7*Allocator</f>
        <v>17044.714892897784</v>
      </c>
      <c r="K6" s="55" cm="1">
        <f t="array" ref="K6">'Total Rev Req'!K7*Allocator</f>
        <v>13066.624985785527</v>
      </c>
      <c r="L6" s="55" cm="1">
        <f t="array" ref="L6">'Total Rev Req'!L7*Allocator</f>
        <v>9088.4003237642028</v>
      </c>
      <c r="M6" s="55" cm="1">
        <f t="array" ref="M6">'Total Rev Req'!M7*Allocator</f>
        <v>6456.0618501206927</v>
      </c>
      <c r="N6" s="55" cm="1">
        <f t="array" ref="N6">'Total Rev Req'!N7*Allocator</f>
        <v>0</v>
      </c>
      <c r="O6" s="55" cm="1">
        <f t="array" ref="O6">'Total Rev Req'!O7*Allocator</f>
        <v>0</v>
      </c>
      <c r="P6" s="55" cm="1">
        <f t="array" ref="P6">'Total Rev Req'!P7*Allocator</f>
        <v>0</v>
      </c>
      <c r="Q6" s="55" cm="1">
        <f t="array" ref="Q6">'Total Rev Req'!Q7*Allocator</f>
        <v>0</v>
      </c>
      <c r="R6" s="55" cm="1">
        <f t="array" ref="R6">'Total Rev Req'!R7*Allocator</f>
        <v>0</v>
      </c>
      <c r="S6" s="55" cm="1">
        <f t="array" ref="S6">'Total Rev Req'!S7*Allocator</f>
        <v>0</v>
      </c>
      <c r="T6" s="55" cm="1">
        <f t="array" ref="T6">'Total Rev Req'!T7*Allocator</f>
        <v>0</v>
      </c>
      <c r="U6" s="55" cm="1">
        <f t="array" ref="U6">'Total Rev Req'!U7*Allocator</f>
        <v>0</v>
      </c>
      <c r="V6" s="55" cm="1">
        <f t="array" ref="V6">'Total Rev Req'!V7*Allocator</f>
        <v>0</v>
      </c>
      <c r="W6" s="55" cm="1">
        <f t="array" ref="W6">'Total Rev Req'!W7*Allocator</f>
        <v>0</v>
      </c>
      <c r="X6" s="55" cm="1">
        <f t="array" ref="X6">'Total Rev Req'!X7*Allocator</f>
        <v>0</v>
      </c>
      <c r="Y6" s="55" cm="1">
        <f t="array" ref="Y6">'Total Rev Req'!Y7*Allocator</f>
        <v>0</v>
      </c>
      <c r="Z6" s="55" cm="1">
        <f t="array" ref="Z6">'Total Rev Req'!Z7*Allocator</f>
        <v>0</v>
      </c>
    </row>
    <row r="7" spans="1:26">
      <c r="A7" s="7"/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</row>
    <row r="8" spans="1:26">
      <c r="A8" s="7">
        <f>'Total Rev Req'!A9</f>
        <v>0</v>
      </c>
      <c r="B8" s="55" cm="1">
        <f t="array" ref="B8">'Total Rev Req'!B9*Allocator</f>
        <v>0</v>
      </c>
      <c r="C8" s="55" cm="1">
        <f t="array" ref="C8">'Total Rev Req'!C9*Allocator</f>
        <v>0</v>
      </c>
      <c r="D8" s="55" cm="1">
        <f t="array" ref="D8">'Total Rev Req'!D9*Allocator</f>
        <v>0</v>
      </c>
      <c r="E8" s="55" cm="1">
        <f t="array" ref="E8">'Total Rev Req'!E9*Allocator</f>
        <v>0</v>
      </c>
      <c r="F8" s="55" cm="1">
        <f t="array" ref="F8">'Total Rev Req'!F9*Allocator</f>
        <v>0</v>
      </c>
      <c r="G8" s="55" cm="1">
        <f t="array" ref="G8">'Total Rev Req'!G9*Allocator</f>
        <v>0</v>
      </c>
      <c r="H8" s="55" cm="1">
        <f t="array" ref="H8">'Total Rev Req'!H9*Allocator</f>
        <v>0</v>
      </c>
      <c r="I8" s="55" cm="1">
        <f t="array" ref="I8">'Total Rev Req'!I9*Allocator</f>
        <v>0</v>
      </c>
      <c r="J8" s="55" cm="1">
        <f t="array" ref="J8">'Total Rev Req'!J9*Allocator</f>
        <v>0</v>
      </c>
      <c r="K8" s="55" cm="1">
        <f t="array" ref="K8">'Total Rev Req'!K9*Allocator</f>
        <v>0</v>
      </c>
      <c r="L8" s="55" cm="1">
        <f t="array" ref="L8">'Total Rev Req'!L9*Allocator</f>
        <v>0</v>
      </c>
      <c r="M8" s="55" cm="1">
        <f t="array" ref="M8">'Total Rev Req'!M9*Allocator</f>
        <v>0</v>
      </c>
      <c r="N8" s="55" cm="1">
        <f t="array" ref="N8">'Total Rev Req'!N9*Allocator</f>
        <v>0</v>
      </c>
      <c r="O8" s="55" cm="1">
        <f t="array" ref="O8">'Total Rev Req'!O9*Allocator</f>
        <v>0</v>
      </c>
      <c r="P8" s="55" cm="1">
        <f t="array" ref="P8">'Total Rev Req'!P9*Allocator</f>
        <v>0</v>
      </c>
      <c r="Q8" s="55" cm="1">
        <f t="array" ref="Q8">'Total Rev Req'!Q9*Allocator</f>
        <v>0</v>
      </c>
      <c r="R8" s="55" cm="1">
        <f t="array" ref="R8">'Total Rev Req'!R9*Allocator</f>
        <v>0</v>
      </c>
      <c r="S8" s="55" cm="1">
        <f t="array" ref="S8">'Total Rev Req'!S9*Allocator</f>
        <v>0</v>
      </c>
      <c r="T8" s="55" cm="1">
        <f t="array" ref="T8">'Total Rev Req'!T9*Allocator</f>
        <v>0</v>
      </c>
      <c r="U8" s="55" cm="1">
        <f t="array" ref="U8">'Total Rev Req'!U9*Allocator</f>
        <v>0</v>
      </c>
      <c r="V8" s="55" cm="1">
        <f t="array" ref="V8">'Total Rev Req'!V9*Allocator</f>
        <v>0</v>
      </c>
      <c r="W8" s="55" cm="1">
        <f t="array" ref="W8">'Total Rev Req'!W9*Allocator</f>
        <v>0</v>
      </c>
      <c r="X8" s="55" cm="1">
        <f t="array" ref="X8">'Total Rev Req'!X9*Allocator</f>
        <v>0</v>
      </c>
      <c r="Y8" s="55" cm="1">
        <f t="array" ref="Y8">'Total Rev Req'!Y9*Allocator</f>
        <v>0</v>
      </c>
      <c r="Z8" s="55" cm="1">
        <f t="array" ref="Z8">'Total Rev Req'!Z9*Allocator</f>
        <v>0</v>
      </c>
    </row>
    <row r="9" spans="1:26">
      <c r="A9" s="7" t="str">
        <f>'Total Rev Req'!A10</f>
        <v>WV B&amp;O Tax</v>
      </c>
      <c r="B9" s="55" cm="1">
        <f t="array" ref="B9">'Total Rev Req'!B10*Allocator</f>
        <v>0</v>
      </c>
      <c r="C9" s="55" cm="1">
        <f t="array" ref="C9">'Total Rev Req'!C10*Allocator</f>
        <v>0</v>
      </c>
      <c r="D9" s="55" cm="1">
        <f t="array" ref="D9">'Total Rev Req'!D10*Allocator</f>
        <v>0</v>
      </c>
      <c r="E9" s="55" cm="1">
        <f t="array" ref="E9">'Total Rev Req'!E10*Allocator</f>
        <v>0</v>
      </c>
      <c r="F9" s="55" cm="1">
        <f t="array" ref="F9">'Total Rev Req'!F10*Allocator</f>
        <v>0</v>
      </c>
      <c r="G9" s="55" cm="1">
        <f t="array" ref="G9">'Total Rev Req'!G10*Allocator</f>
        <v>0</v>
      </c>
      <c r="H9" s="55" cm="1">
        <f t="array" ref="H9">'Total Rev Req'!H10*Allocator</f>
        <v>0</v>
      </c>
      <c r="I9" s="55" cm="1">
        <f t="array" ref="I9">'Total Rev Req'!I10*Allocator</f>
        <v>0</v>
      </c>
      <c r="J9" s="55" cm="1">
        <f t="array" ref="J9">'Total Rev Req'!J10*Allocator</f>
        <v>0</v>
      </c>
      <c r="K9" s="55" cm="1">
        <f t="array" ref="K9">'Total Rev Req'!K10*Allocator</f>
        <v>0</v>
      </c>
      <c r="L9" s="55" cm="1">
        <f t="array" ref="L9">'Total Rev Req'!L10*Allocator</f>
        <v>0</v>
      </c>
      <c r="M9" s="55" cm="1">
        <f t="array" ref="M9">'Total Rev Req'!M10*Allocator</f>
        <v>0</v>
      </c>
      <c r="N9" s="55" cm="1">
        <f t="array" ref="N9">'Total Rev Req'!N10*Allocator</f>
        <v>0</v>
      </c>
      <c r="O9" s="55" cm="1">
        <f t="array" ref="O9">'Total Rev Req'!O10*Allocator</f>
        <v>0</v>
      </c>
      <c r="P9" s="55" cm="1">
        <f t="array" ref="P9">'Total Rev Req'!P10*Allocator</f>
        <v>0</v>
      </c>
      <c r="Q9" s="55" cm="1">
        <f t="array" ref="Q9">'Total Rev Req'!Q10*Allocator</f>
        <v>0</v>
      </c>
      <c r="R9" s="55" cm="1">
        <f t="array" ref="R9">'Total Rev Req'!R10*Allocator</f>
        <v>0</v>
      </c>
      <c r="S9" s="55" cm="1">
        <f t="array" ref="S9">'Total Rev Req'!S10*Allocator</f>
        <v>0</v>
      </c>
      <c r="T9" s="55" cm="1">
        <f t="array" ref="T9">'Total Rev Req'!T10*Allocator</f>
        <v>0</v>
      </c>
      <c r="U9" s="55" cm="1">
        <f t="array" ref="U9">'Total Rev Req'!U10*Allocator</f>
        <v>0</v>
      </c>
      <c r="V9" s="55" cm="1">
        <f t="array" ref="V9">'Total Rev Req'!V10*Allocator</f>
        <v>0</v>
      </c>
      <c r="W9" s="55" cm="1">
        <f t="array" ref="W9">'Total Rev Req'!W10*Allocator</f>
        <v>0</v>
      </c>
      <c r="X9" s="55" cm="1">
        <f t="array" ref="X9">'Total Rev Req'!X10*Allocator</f>
        <v>0</v>
      </c>
      <c r="Y9" s="55" cm="1">
        <f t="array" ref="Y9">'Total Rev Req'!Y10*Allocator</f>
        <v>0</v>
      </c>
      <c r="Z9" s="55" cm="1">
        <f t="array" ref="Z9">'Total Rev Req'!Z10*Allocator</f>
        <v>0</v>
      </c>
    </row>
    <row r="10" spans="1:26">
      <c r="A10" s="7">
        <f>'Total Rev Req'!A11</f>
        <v>0</v>
      </c>
      <c r="B10" s="55" cm="1">
        <f t="array" ref="B10">'Total Rev Req'!B11*Allocator</f>
        <v>0</v>
      </c>
      <c r="C10" s="55" cm="1">
        <f t="array" ref="C10">'Total Rev Req'!C11*Allocator</f>
        <v>0</v>
      </c>
      <c r="D10" s="55" cm="1">
        <f t="array" ref="D10">'Total Rev Req'!D11*Allocator</f>
        <v>0</v>
      </c>
      <c r="E10" s="55" cm="1">
        <f t="array" ref="E10">'Total Rev Req'!E11*Allocator</f>
        <v>0</v>
      </c>
      <c r="F10" s="55" cm="1">
        <f t="array" ref="F10">'Total Rev Req'!F11*Allocator</f>
        <v>0</v>
      </c>
      <c r="G10" s="55" cm="1">
        <f t="array" ref="G10">'Total Rev Req'!G11*Allocator</f>
        <v>0</v>
      </c>
      <c r="H10" s="55" cm="1">
        <f t="array" ref="H10">'Total Rev Req'!H11*Allocator</f>
        <v>0</v>
      </c>
      <c r="I10" s="55" cm="1">
        <f t="array" ref="I10">'Total Rev Req'!I11*Allocator</f>
        <v>0</v>
      </c>
      <c r="J10" s="55" cm="1">
        <f t="array" ref="J10">'Total Rev Req'!J11*Allocator</f>
        <v>0</v>
      </c>
      <c r="K10" s="55" cm="1">
        <f t="array" ref="K10">'Total Rev Req'!K11*Allocator</f>
        <v>0</v>
      </c>
      <c r="L10" s="55" cm="1">
        <f t="array" ref="L10">'Total Rev Req'!L11*Allocator</f>
        <v>0</v>
      </c>
      <c r="M10" s="55" cm="1">
        <f t="array" ref="M10">'Total Rev Req'!M11*Allocator</f>
        <v>0</v>
      </c>
      <c r="N10" s="55" cm="1">
        <f t="array" ref="N10">'Total Rev Req'!N11*Allocator</f>
        <v>0</v>
      </c>
      <c r="O10" s="55" cm="1">
        <f t="array" ref="O10">'Total Rev Req'!O11*Allocator</f>
        <v>0</v>
      </c>
      <c r="P10" s="55" cm="1">
        <f t="array" ref="P10">'Total Rev Req'!P11*Allocator</f>
        <v>0</v>
      </c>
      <c r="Q10" s="55" cm="1">
        <f t="array" ref="Q10">'Total Rev Req'!Q11*Allocator</f>
        <v>0</v>
      </c>
      <c r="R10" s="55" cm="1">
        <f t="array" ref="R10">'Total Rev Req'!R11*Allocator</f>
        <v>0</v>
      </c>
      <c r="S10" s="55" cm="1">
        <f t="array" ref="S10">'Total Rev Req'!S11*Allocator</f>
        <v>0</v>
      </c>
      <c r="T10" s="55" cm="1">
        <f t="array" ref="T10">'Total Rev Req'!T11*Allocator</f>
        <v>0</v>
      </c>
      <c r="U10" s="55" cm="1">
        <f t="array" ref="U10">'Total Rev Req'!U11*Allocator</f>
        <v>0</v>
      </c>
      <c r="V10" s="55" cm="1">
        <f t="array" ref="V10">'Total Rev Req'!V11*Allocator</f>
        <v>0</v>
      </c>
      <c r="W10" s="55" cm="1">
        <f t="array" ref="W10">'Total Rev Req'!W11*Allocator</f>
        <v>0</v>
      </c>
      <c r="X10" s="55" cm="1">
        <f t="array" ref="X10">'Total Rev Req'!X11*Allocator</f>
        <v>0</v>
      </c>
      <c r="Y10" s="55" cm="1">
        <f t="array" ref="Y10">'Total Rev Req'!Y11*Allocator</f>
        <v>0</v>
      </c>
      <c r="Z10" s="55" cm="1">
        <f t="array" ref="Z10">'Total Rev Req'!Z11*Allocator</f>
        <v>0</v>
      </c>
    </row>
    <row r="11" spans="1:26">
      <c r="A11" s="7">
        <f>'Total Rev Req'!A12</f>
        <v>0</v>
      </c>
      <c r="B11" s="55" cm="1">
        <f t="array" ref="B11">'Total Rev Req'!B12*Allocator</f>
        <v>0</v>
      </c>
      <c r="C11" s="55" cm="1">
        <f t="array" ref="C11">'Total Rev Req'!C12*Allocator</f>
        <v>0</v>
      </c>
      <c r="D11" s="55" cm="1">
        <f t="array" ref="D11">'Total Rev Req'!D12*Allocator</f>
        <v>0</v>
      </c>
      <c r="E11" s="55" cm="1">
        <f t="array" ref="E11">'Total Rev Req'!E12*Allocator</f>
        <v>0</v>
      </c>
      <c r="F11" s="55" cm="1">
        <f t="array" ref="F11">'Total Rev Req'!F12*Allocator</f>
        <v>0</v>
      </c>
      <c r="G11" s="55" cm="1">
        <f t="array" ref="G11">'Total Rev Req'!G12*Allocator</f>
        <v>0</v>
      </c>
      <c r="H11" s="55" cm="1">
        <f t="array" ref="H11">'Total Rev Req'!H12*Allocator</f>
        <v>0</v>
      </c>
      <c r="I11" s="55" cm="1">
        <f t="array" ref="I11">'Total Rev Req'!I12*Allocator</f>
        <v>0</v>
      </c>
      <c r="J11" s="55" cm="1">
        <f t="array" ref="J11">'Total Rev Req'!J12*Allocator</f>
        <v>0</v>
      </c>
      <c r="K11" s="55" cm="1">
        <f t="array" ref="K11">'Total Rev Req'!K12*Allocator</f>
        <v>0</v>
      </c>
      <c r="L11" s="55" cm="1">
        <f t="array" ref="L11">'Total Rev Req'!L12*Allocator</f>
        <v>0</v>
      </c>
      <c r="M11" s="55" cm="1">
        <f t="array" ref="M11">'Total Rev Req'!M12*Allocator</f>
        <v>0</v>
      </c>
      <c r="N11" s="55" cm="1">
        <f t="array" ref="N11">'Total Rev Req'!N12*Allocator</f>
        <v>0</v>
      </c>
      <c r="O11" s="55" cm="1">
        <f t="array" ref="O11">'Total Rev Req'!O12*Allocator</f>
        <v>0</v>
      </c>
      <c r="P11" s="55" cm="1">
        <f t="array" ref="P11">'Total Rev Req'!P12*Allocator</f>
        <v>0</v>
      </c>
      <c r="Q11" s="55" cm="1">
        <f t="array" ref="Q11">'Total Rev Req'!Q12*Allocator</f>
        <v>0</v>
      </c>
      <c r="R11" s="55" cm="1">
        <f t="array" ref="R11">'Total Rev Req'!R12*Allocator</f>
        <v>0</v>
      </c>
      <c r="S11" s="55" cm="1">
        <f t="array" ref="S11">'Total Rev Req'!S12*Allocator</f>
        <v>0</v>
      </c>
      <c r="T11" s="55" cm="1">
        <f t="array" ref="T11">'Total Rev Req'!T12*Allocator</f>
        <v>0</v>
      </c>
      <c r="U11" s="55" cm="1">
        <f t="array" ref="U11">'Total Rev Req'!U12*Allocator</f>
        <v>0</v>
      </c>
      <c r="V11" s="55" cm="1">
        <f t="array" ref="V11">'Total Rev Req'!V12*Allocator</f>
        <v>0</v>
      </c>
      <c r="W11" s="55" cm="1">
        <f t="array" ref="W11">'Total Rev Req'!W12*Allocator</f>
        <v>0</v>
      </c>
      <c r="X11" s="55" cm="1">
        <f t="array" ref="X11">'Total Rev Req'!X12*Allocator</f>
        <v>0</v>
      </c>
      <c r="Y11" s="55" cm="1">
        <f t="array" ref="Y11">'Total Rev Req'!Y12*Allocator</f>
        <v>0</v>
      </c>
      <c r="Z11" s="55" cm="1">
        <f t="array" ref="Z11">'Total Rev Req'!Z12*Allocator</f>
        <v>0</v>
      </c>
    </row>
    <row r="12" spans="1:26">
      <c r="A12" s="7" t="str">
        <f>'Total Rev Req'!A13</f>
        <v>Total O&amp;M Expenses</v>
      </c>
      <c r="B12" s="54">
        <f>'Total Rev Req'!B13*Allocator</f>
        <v>50116.59083323634</v>
      </c>
      <c r="C12" s="54" cm="1">
        <f t="array" ref="C12">'Total Rev Req'!C13*Allocator</f>
        <v>45766.84688690972</v>
      </c>
      <c r="D12" s="54" cm="1">
        <f t="array" ref="D12">'Total Rev Req'!D13*Allocator</f>
        <v>41490.140101298901</v>
      </c>
      <c r="E12" s="54" cm="1">
        <f t="array" ref="E12">'Total Rev Req'!E13*Allocator</f>
        <v>37280.810770222961</v>
      </c>
      <c r="F12" s="54" cm="1">
        <f t="array" ref="F12">'Total Rev Req'!F13*Allocator</f>
        <v>33134.007716955392</v>
      </c>
      <c r="G12" s="54" cm="1">
        <f t="array" ref="G12">'Total Rev Req'!G13*Allocator</f>
        <v>29044.879764769659</v>
      </c>
      <c r="H12" s="54" cm="1">
        <f t="array" ref="H12">'Total Rev Req'!H13*Allocator</f>
        <v>25009.249511484621</v>
      </c>
      <c r="I12" s="54" cm="1">
        <f t="array" ref="I12">'Total Rev Req'!I13*Allocator</f>
        <v>21022.939554919107</v>
      </c>
      <c r="J12" s="54" cm="1">
        <f t="array" ref="J12">'Total Rev Req'!J13*Allocator</f>
        <v>17044.714892897784</v>
      </c>
      <c r="K12" s="54" cm="1">
        <f t="array" ref="K12">'Total Rev Req'!K13*Allocator</f>
        <v>13066.624985785527</v>
      </c>
      <c r="L12" s="54" cm="1">
        <f t="array" ref="L12">'Total Rev Req'!L13*Allocator</f>
        <v>9088.4003237642028</v>
      </c>
      <c r="M12" s="54" cm="1">
        <f t="array" ref="M12">'Total Rev Req'!M13*Allocator</f>
        <v>6456.0618501206927</v>
      </c>
      <c r="N12" s="54" cm="1">
        <f t="array" ref="N12">'Total Rev Req'!N13*Allocator</f>
        <v>0</v>
      </c>
      <c r="O12" s="54" cm="1">
        <f t="array" ref="O12">'Total Rev Req'!O13*Allocator</f>
        <v>0</v>
      </c>
      <c r="P12" s="54" cm="1">
        <f t="array" ref="P12">'Total Rev Req'!P13*Allocator</f>
        <v>0</v>
      </c>
      <c r="Q12" s="54" cm="1">
        <f t="array" ref="Q12">'Total Rev Req'!Q13*Allocator</f>
        <v>0</v>
      </c>
      <c r="R12" s="54" cm="1">
        <f t="array" ref="R12">'Total Rev Req'!R13*Allocator</f>
        <v>0</v>
      </c>
      <c r="S12" s="54" cm="1">
        <f t="array" ref="S12">'Total Rev Req'!S13*Allocator</f>
        <v>0</v>
      </c>
      <c r="T12" s="54" cm="1">
        <f t="array" ref="T12">'Total Rev Req'!T13*Allocator</f>
        <v>0</v>
      </c>
      <c r="U12" s="54" cm="1">
        <f t="array" ref="U12">'Total Rev Req'!U13*Allocator</f>
        <v>0</v>
      </c>
      <c r="V12" s="54" cm="1">
        <f t="array" ref="V12">'Total Rev Req'!V13*Allocator</f>
        <v>0</v>
      </c>
      <c r="W12" s="54" cm="1">
        <f t="array" ref="W12">'Total Rev Req'!W13*Allocator</f>
        <v>0</v>
      </c>
      <c r="X12" s="54" cm="1">
        <f t="array" ref="X12">'Total Rev Req'!X13*Allocator</f>
        <v>0</v>
      </c>
      <c r="Y12" s="54" cm="1">
        <f t="array" ref="Y12">'Total Rev Req'!Y13*Allocator</f>
        <v>0</v>
      </c>
      <c r="Z12" s="54" cm="1">
        <f t="array" ref="Z12">'Total Rev Req'!Z13*Allocator</f>
        <v>0</v>
      </c>
    </row>
    <row r="13" spans="1:26">
      <c r="A13" s="7" t="str">
        <f>'Total Rev Req'!A14</f>
        <v>Plant Depreciation - Account 403</v>
      </c>
      <c r="B13" s="55">
        <f>'Total Rev Req'!B14*Allocator</f>
        <v>7758458.333333333</v>
      </c>
      <c r="C13" s="55" cm="1">
        <f t="array" ref="C13">'Total Rev Req'!C14*Allocator</f>
        <v>7758458.333333333</v>
      </c>
      <c r="D13" s="55" cm="1">
        <f t="array" ref="D13">'Total Rev Req'!D14*Allocator</f>
        <v>7758458.333333333</v>
      </c>
      <c r="E13" s="55" cm="1">
        <f t="array" ref="E13">'Total Rev Req'!E14*Allocator</f>
        <v>7758458.333333333</v>
      </c>
      <c r="F13" s="55" cm="1">
        <f t="array" ref="F13">'Total Rev Req'!F14*Allocator</f>
        <v>7758458.333333333</v>
      </c>
      <c r="G13" s="55" cm="1">
        <f t="array" ref="G13">'Total Rev Req'!G14*Allocator</f>
        <v>7758458.333333333</v>
      </c>
      <c r="H13" s="55" cm="1">
        <f t="array" ref="H13">'Total Rev Req'!H14*Allocator</f>
        <v>7758458.333333333</v>
      </c>
      <c r="I13" s="55" cm="1">
        <f t="array" ref="I13">'Total Rev Req'!I14*Allocator</f>
        <v>7758458.333333333</v>
      </c>
      <c r="J13" s="55" cm="1">
        <f t="array" ref="J13">'Total Rev Req'!J14*Allocator</f>
        <v>7758458.333333333</v>
      </c>
      <c r="K13" s="55" cm="1">
        <f t="array" ref="K13">'Total Rev Req'!K14*Allocator</f>
        <v>7758458.333333333</v>
      </c>
      <c r="L13" s="55" cm="1">
        <f t="array" ref="L13">'Total Rev Req'!L14*Allocator</f>
        <v>7758458.333333333</v>
      </c>
      <c r="M13" s="55" cm="1">
        <f t="array" ref="M13">'Total Rev Req'!M14*Allocator</f>
        <v>7966791.666666666</v>
      </c>
      <c r="N13" s="55" cm="1">
        <f t="array" ref="N13">'Total Rev Req'!N14*Allocator</f>
        <v>0</v>
      </c>
      <c r="O13" s="55" cm="1">
        <f t="array" ref="O13">'Total Rev Req'!O14*Allocator</f>
        <v>0</v>
      </c>
      <c r="P13" s="55" cm="1">
        <f t="array" ref="P13">'Total Rev Req'!P14*Allocator</f>
        <v>0</v>
      </c>
      <c r="Q13" s="55" cm="1">
        <f t="array" ref="Q13">'Total Rev Req'!Q14*Allocator</f>
        <v>0</v>
      </c>
      <c r="R13" s="55" cm="1">
        <f t="array" ref="R13">'Total Rev Req'!R14*Allocator</f>
        <v>0</v>
      </c>
      <c r="S13" s="55" cm="1">
        <f t="array" ref="S13">'Total Rev Req'!S14*Allocator</f>
        <v>0</v>
      </c>
      <c r="T13" s="55" cm="1">
        <f t="array" ref="T13">'Total Rev Req'!T14*Allocator</f>
        <v>0</v>
      </c>
      <c r="U13" s="55" cm="1">
        <f t="array" ref="U13">'Total Rev Req'!U14*Allocator</f>
        <v>0</v>
      </c>
      <c r="V13" s="55" cm="1">
        <f t="array" ref="V13">'Total Rev Req'!V14*Allocator</f>
        <v>0</v>
      </c>
      <c r="W13" s="55" cm="1">
        <f t="array" ref="W13">'Total Rev Req'!W14*Allocator</f>
        <v>0</v>
      </c>
      <c r="X13" s="55" cm="1">
        <f t="array" ref="X13">'Total Rev Req'!X14*Allocator</f>
        <v>0</v>
      </c>
      <c r="Y13" s="55" cm="1">
        <f t="array" ref="Y13">'Total Rev Req'!Y14*Allocator</f>
        <v>0</v>
      </c>
      <c r="Z13" s="55" cm="1">
        <f t="array" ref="Z13">'Total Rev Req'!Z14*Allocator</f>
        <v>0</v>
      </c>
    </row>
    <row r="14" spans="1:26">
      <c r="A14" s="7" t="str">
        <f>'Total Rev Req'!A15</f>
        <v>Current SIT</v>
      </c>
      <c r="B14" s="55" cm="1">
        <f t="array" ref="B14">'Total Rev Req'!B15*Allocator</f>
        <v>-298967.92502702825</v>
      </c>
      <c r="C14" s="55" cm="1">
        <f t="array" ref="C14">'Total Rev Req'!C15*Allocator</f>
        <v>-449884.88984745147</v>
      </c>
      <c r="D14" s="55" cm="1">
        <f t="array" ref="D14">'Total Rev Req'!D15*Allocator</f>
        <v>-414025.03363922401</v>
      </c>
      <c r="E14" s="55" cm="1">
        <f t="array" ref="E14">'Total Rev Req'!E15*Allocator</f>
        <v>-380289.79414168326</v>
      </c>
      <c r="F14" s="55" cm="1">
        <f t="array" ref="F14">'Total Rev Req'!F15*Allocator</f>
        <v>-348387.48382411792</v>
      </c>
      <c r="G14" s="55" cm="1">
        <f t="array" ref="G14">'Total Rev Req'!G15*Allocator</f>
        <v>-318306.0827516673</v>
      </c>
      <c r="H14" s="55" cm="1">
        <f t="array" ref="H14">'Total Rev Req'!H15*Allocator</f>
        <v>-289802.18409499241</v>
      </c>
      <c r="I14" s="55" cm="1">
        <f t="array" ref="I14">'Total Rev Req'!I15*Allocator</f>
        <v>-262865.43735462986</v>
      </c>
      <c r="J14" s="55" cm="1">
        <f t="array" ref="J14">'Total Rev Req'!J15*Allocator</f>
        <v>-250211.77122738556</v>
      </c>
      <c r="K14" s="55" cm="1">
        <f t="array" ref="K14">'Total Rev Req'!K15*Allocator</f>
        <v>-240308.50367974577</v>
      </c>
      <c r="L14" s="55" cm="1">
        <f t="array" ref="L14">'Total Rev Req'!L15*Allocator</f>
        <v>-230498.12477697647</v>
      </c>
      <c r="M14" s="55" cm="1">
        <f t="array" ref="M14">'Total Rev Req'!M15*Allocator</f>
        <v>-228622.86765416944</v>
      </c>
      <c r="N14" s="55" cm="1">
        <f t="array" ref="N14">'Total Rev Req'!N15*Allocator</f>
        <v>-231165.02665606388</v>
      </c>
      <c r="O14" s="55" cm="1">
        <f t="array" ref="O14">'Total Rev Req'!O15*Allocator</f>
        <v>-228922.00633473942</v>
      </c>
      <c r="P14" s="55" cm="1">
        <f t="array" ref="P14">'Total Rev Req'!P15*Allocator</f>
        <v>-226828.84191182876</v>
      </c>
      <c r="Q14" s="55" cm="1">
        <f t="array" ref="Q14">'Total Rev Req'!Q15*Allocator</f>
        <v>-224691.91661207491</v>
      </c>
      <c r="R14" s="55" cm="1">
        <f t="array" ref="R14">'Total Rev Req'!R15*Allocator</f>
        <v>-222696.70497572131</v>
      </c>
      <c r="S14" s="55" cm="1">
        <f t="array" ref="S14">'Total Rev Req'!S15*Allocator</f>
        <v>-220650.88577508129</v>
      </c>
      <c r="T14" s="55" cm="1">
        <f t="array" ref="T14">'Total Rev Req'!T15*Allocator</f>
        <v>-218739.97747296875</v>
      </c>
      <c r="U14" s="55" cm="1">
        <f t="array" ref="U14">'Total Rev Req'!U15*Allocator</f>
        <v>-217119.69810032568</v>
      </c>
      <c r="V14" s="55" cm="1">
        <f t="array" ref="V14">'Total Rev Req'!V15*Allocator</f>
        <v>-112406.28501106163</v>
      </c>
      <c r="W14" s="55" cm="1">
        <f t="array" ref="W14">'Total Rev Req'!W15*Allocator</f>
        <v>-8378.6057440232689</v>
      </c>
      <c r="X14" s="55" cm="1">
        <f t="array" ref="X14">'Total Rev Req'!X15*Allocator</f>
        <v>-8338.1664017240128</v>
      </c>
      <c r="Y14" s="55" cm="1">
        <f t="array" ref="Y14">'Total Rev Req'!Y15*Allocator</f>
        <v>-8300.2215249106812</v>
      </c>
      <c r="Z14" s="55" cm="1">
        <f t="array" ref="Z14">'Total Rev Req'!Z15*Allocator</f>
        <v>-8259.7821826114232</v>
      </c>
    </row>
    <row r="15" spans="1:26">
      <c r="A15" s="7" t="str">
        <f>'Total Rev Req'!A16</f>
        <v>Deferred SIT</v>
      </c>
      <c r="B15" s="55" cm="1">
        <f t="array" ref="B15">'Total Rev Req'!B16*Allocator</f>
        <v>-213634.9690520833</v>
      </c>
      <c r="C15" s="55" cm="1">
        <f t="array" ref="C15">'Total Rev Req'!C16*Allocator</f>
        <v>-51940.487384808308</v>
      </c>
      <c r="D15" s="55" cm="1">
        <f t="array" ref="D15">'Total Rev Req'!D16*Allocator</f>
        <v>-77203.793543258362</v>
      </c>
      <c r="E15" s="55" cm="1">
        <f t="array" ref="E15">'Total Rev Req'!E16*Allocator</f>
        <v>-100509.42653075834</v>
      </c>
      <c r="F15" s="55" cm="1">
        <f t="array" ref="F15">'Total Rev Req'!F16*Allocator</f>
        <v>-122137.05394315835</v>
      </c>
      <c r="G15" s="55" cm="1">
        <f t="array" ref="G15">'Total Rev Req'!G16*Allocator</f>
        <v>-142086.67578045835</v>
      </c>
      <c r="H15" s="55" cm="1">
        <f t="array" ref="H15">'Total Rev Req'!H16*Allocator</f>
        <v>-160591.34837253336</v>
      </c>
      <c r="I15" s="55" cm="1">
        <f t="array" ref="I15">'Total Rev Req'!I16*Allocator</f>
        <v>-177651.07171938333</v>
      </c>
      <c r="J15" s="55" cm="1">
        <f t="array" ref="J15">'Total Rev Req'!J16*Allocator</f>
        <v>-180447.74767788331</v>
      </c>
      <c r="K15" s="55" cm="1">
        <f t="array" ref="K15">'Total Rev Req'!K16*Allocator</f>
        <v>-180494.35894385836</v>
      </c>
      <c r="L15" s="55" cm="1">
        <f t="array" ref="L15">'Total Rev Req'!L16*Allocator</f>
        <v>-180447.74767788331</v>
      </c>
      <c r="M15" s="55" cm="1">
        <f t="array" ref="M15">'Total Rev Req'!M16*Allocator</f>
        <v>-186230.97352719164</v>
      </c>
      <c r="N15" s="55" cm="1">
        <f t="array" ref="N15">'Total Rev Req'!N16*Allocator</f>
        <v>217014.94965545007</v>
      </c>
      <c r="O15" s="55" cm="1">
        <f t="array" ref="O15">'Total Rev Req'!O16*Allocator</f>
        <v>216289.95763947503</v>
      </c>
      <c r="P15" s="55" cm="1">
        <f t="array" ref="P15">'Total Rev Req'!P16*Allocator</f>
        <v>215710.75640545005</v>
      </c>
      <c r="Q15" s="55" cm="1">
        <f t="array" ref="Q15">'Total Rev Req'!Q16*Allocator</f>
        <v>215083.39113947502</v>
      </c>
      <c r="R15" s="55" cm="1">
        <f t="array" ref="R15">'Total Rev Req'!R16*Allocator</f>
        <v>214594.30690545004</v>
      </c>
      <c r="S15" s="55" cm="1">
        <f t="array" ref="S15">'Total Rev Req'!S16*Allocator</f>
        <v>214050.80051447501</v>
      </c>
      <c r="T15" s="55" cm="1">
        <f t="array" ref="T15">'Total Rev Req'!T16*Allocator</f>
        <v>213639.31703045007</v>
      </c>
      <c r="U15" s="55" cm="1">
        <f t="array" ref="U15">'Total Rev Req'!U16*Allocator</f>
        <v>213517.60826447504</v>
      </c>
      <c r="V15" s="55" cm="1">
        <f t="array" ref="V15">'Total Rev Req'!V16*Allocator</f>
        <v>109573.23351522503</v>
      </c>
      <c r="W15" s="55" cm="1">
        <f t="array" ref="W15">'Total Rev Req'!W16*Allocator</f>
        <v>5584.7507500000002</v>
      </c>
      <c r="X15" s="55" cm="1">
        <f t="array" ref="X15">'Total Rev Req'!X16*Allocator</f>
        <v>5583.4991250000003</v>
      </c>
      <c r="Y15" s="55" cm="1">
        <f t="array" ref="Y15">'Total Rev Req'!Y16*Allocator</f>
        <v>5584.7507500000002</v>
      </c>
      <c r="Z15" s="55" cm="1">
        <f t="array" ref="Z15">'Total Rev Req'!Z16*Allocator</f>
        <v>5583.4991250000003</v>
      </c>
    </row>
    <row r="16" spans="1:26">
      <c r="A16" s="7" t="str">
        <f>'Total Rev Req'!A17</f>
        <v>Current FIT</v>
      </c>
      <c r="B16" s="55" cm="1">
        <f t="array" ref="B16">'Total Rev Req'!B17*Allocator</f>
        <v>-1191251.775306412</v>
      </c>
      <c r="C16" s="55" cm="1">
        <f t="array" ref="C16">'Total Rev Req'!C17*Allocator</f>
        <v>-1792587.528129834</v>
      </c>
      <c r="D16" s="55" cm="1">
        <f t="array" ref="D16">'Total Rev Req'!D17*Allocator</f>
        <v>-1649702.2424711075</v>
      </c>
      <c r="E16" s="55" cm="1">
        <f t="array" ref="E16">'Total Rev Req'!E17*Allocator</f>
        <v>-1515282.5921417309</v>
      </c>
      <c r="F16" s="55" cm="1">
        <f t="array" ref="F16">'Total Rev Req'!F17*Allocator</f>
        <v>-1388166.334440374</v>
      </c>
      <c r="G16" s="55" cm="1">
        <f t="array" ref="G16">'Total Rev Req'!G17*Allocator</f>
        <v>-1268305.5753705793</v>
      </c>
      <c r="H16" s="55" cm="1">
        <f t="array" ref="H16">'Total Rev Req'!H17*Allocator</f>
        <v>-1154730.448959115</v>
      </c>
      <c r="I16" s="55" cm="1">
        <f t="array" ref="I16">'Total Rev Req'!I17*Allocator</f>
        <v>-1047399.7131534755</v>
      </c>
      <c r="J16" s="55" cm="1">
        <f t="array" ref="J16">'Total Rev Req'!J17*Allocator</f>
        <v>-996980.58462371223</v>
      </c>
      <c r="K16" s="55" cm="1">
        <f t="array" ref="K16">'Total Rev Req'!K17*Allocator</f>
        <v>-957520.54874730913</v>
      </c>
      <c r="L16" s="55" cm="1">
        <f t="array" ref="L16">'Total Rev Req'!L17*Allocator</f>
        <v>-918430.63205040642</v>
      </c>
      <c r="M16" s="55" cm="1">
        <f t="array" ref="M16">'Total Rev Req'!M17*Allocator</f>
        <v>-910958.58174100285</v>
      </c>
      <c r="N16" s="55" cm="1">
        <f t="array" ref="N16">'Total Rev Req'!N17*Allocator</f>
        <v>-921087.93399122905</v>
      </c>
      <c r="O16" s="55" cm="1">
        <f t="array" ref="O16">'Total Rev Req'!O17*Allocator</f>
        <v>-912150.51389981096</v>
      </c>
      <c r="P16" s="55" cm="1">
        <f t="array" ref="P16">'Total Rev Req'!P17*Allocator</f>
        <v>-903810.20169215498</v>
      </c>
      <c r="Q16" s="55" cm="1">
        <f t="array" ref="Q16">'Total Rev Req'!Q17*Allocator</f>
        <v>-895295.52221007051</v>
      </c>
      <c r="R16" s="55" cm="1">
        <f t="array" ref="R16">'Total Rev Req'!R17*Allocator</f>
        <v>-887345.50749292865</v>
      </c>
      <c r="S16" s="55" cm="1">
        <f t="array" ref="S16">'Total Rev Req'!S17*Allocator</f>
        <v>-879193.84455283894</v>
      </c>
      <c r="T16" s="55" cm="1">
        <f t="array" ref="T16">'Total Rev Req'!T17*Allocator</f>
        <v>-871579.74044072209</v>
      </c>
      <c r="U16" s="55" cm="1">
        <f t="array" ref="U16">'Total Rev Req'!U17*Allocator</f>
        <v>-865123.66098343953</v>
      </c>
      <c r="V16" s="55" cm="1">
        <f t="array" ref="V16">'Total Rev Req'!V17*Allocator</f>
        <v>-447888.13570191537</v>
      </c>
      <c r="W16" s="55" cm="1">
        <f t="array" ref="W16">'Total Rev Req'!W17*Allocator</f>
        <v>-33384.949125421677</v>
      </c>
      <c r="X16" s="55" cm="1">
        <f t="array" ref="X16">'Total Rev Req'!X17*Allocator</f>
        <v>-33223.816661790806</v>
      </c>
      <c r="Y16" s="55" cm="1">
        <f t="array" ref="Y16">'Total Rev Req'!Y17*Allocator</f>
        <v>-33072.623513349958</v>
      </c>
      <c r="Z16" s="55" cm="1">
        <f t="array" ref="Z16">'Total Rev Req'!Z17*Allocator</f>
        <v>-32911.491049719087</v>
      </c>
    </row>
    <row r="17" spans="1:26">
      <c r="A17" s="7" t="str">
        <f>'Total Rev Req'!A18</f>
        <v>Deferred FIT</v>
      </c>
      <c r="B17" s="55" cm="1">
        <f t="array" ref="B17">'Total Rev Req'!B18*Allocator</f>
        <v>-851238.5939990622</v>
      </c>
      <c r="C17" s="55" cm="1">
        <f t="array" ref="C17">'Total Rev Req'!C18*Allocator</f>
        <v>-206959.31779919012</v>
      </c>
      <c r="D17" s="55" cm="1">
        <f t="array" ref="D17">'Total Rev Req'!D18*Allocator</f>
        <v>-307622.15080591576</v>
      </c>
      <c r="E17" s="55" cm="1">
        <f t="array" ref="E17">'Total Rev Req'!E18*Allocator</f>
        <v>-400484.5428785407</v>
      </c>
      <c r="F17" s="55" cm="1">
        <f t="array" ref="F17">'Total Rev Req'!F18*Allocator</f>
        <v>-486660.84272193676</v>
      </c>
      <c r="G17" s="55" cm="1">
        <f t="array" ref="G17">'Total Rev Req'!G18*Allocator</f>
        <v>-566151.05033610365</v>
      </c>
      <c r="H17" s="55" cm="1">
        <f t="array" ref="H17">'Total Rev Req'!H18*Allocator</f>
        <v>-639883.78964176797</v>
      </c>
      <c r="I17" s="55" cm="1">
        <f t="array" ref="I17">'Total Rev Req'!I18*Allocator</f>
        <v>-707859.06063892937</v>
      </c>
      <c r="J17" s="55" cm="1">
        <f t="array" ref="J17">'Total Rev Req'!J18*Allocator</f>
        <v>-719002.54768764437</v>
      </c>
      <c r="K17" s="55" cm="1">
        <f t="array" ref="K17">'Total Rev Req'!K18*Allocator</f>
        <v>-719188.2724717895</v>
      </c>
      <c r="L17" s="55" cm="1">
        <f t="array" ref="L17">'Total Rev Req'!L18*Allocator</f>
        <v>-719002.54768764437</v>
      </c>
      <c r="M17" s="55" cm="1">
        <f t="array" ref="M17">'Total Rev Req'!M18*Allocator</f>
        <v>-742046.0834092896</v>
      </c>
      <c r="N17" s="55" cm="1">
        <f t="array" ref="N17">'Total Rev Req'!N18*Allocator</f>
        <v>864706.28587235557</v>
      </c>
      <c r="O17" s="55" cm="1">
        <f t="array" ref="O17">'Total Rev Req'!O18*Allocator</f>
        <v>861817.52104571019</v>
      </c>
      <c r="P17" s="55" cm="1">
        <f t="array" ref="P17">'Total Rev Req'!P18*Allocator</f>
        <v>859509.66645485547</v>
      </c>
      <c r="Q17" s="55" cm="1">
        <f t="array" ref="Q17">'Total Rev Req'!Q18*Allocator</f>
        <v>857009.90001071023</v>
      </c>
      <c r="R17" s="55" cm="1">
        <f t="array" ref="R17">'Total Rev Req'!R18*Allocator</f>
        <v>855061.12084985559</v>
      </c>
      <c r="S17" s="55" cm="1">
        <f t="array" ref="S17">'Total Rev Req'!S18*Allocator</f>
        <v>852895.49404196022</v>
      </c>
      <c r="T17" s="55" cm="1">
        <f t="array" ref="T17">'Total Rev Req'!T18*Allocator</f>
        <v>851255.91872360557</v>
      </c>
      <c r="U17" s="55" cm="1">
        <f t="array" ref="U17">'Total Rev Req'!U18*Allocator</f>
        <v>850770.96441446035</v>
      </c>
      <c r="V17" s="55" cm="1">
        <f t="array" ref="V17">'Total Rev Req'!V18*Allocator</f>
        <v>436599.70861180278</v>
      </c>
      <c r="W17" s="55" cm="1">
        <f t="array" ref="W17">'Total Rev Req'!W18*Allocator</f>
        <v>22252.702342500001</v>
      </c>
      <c r="X17" s="55" cm="1">
        <f t="array" ref="X17">'Total Rev Req'!X18*Allocator</f>
        <v>22247.715183749995</v>
      </c>
      <c r="Y17" s="55" cm="1">
        <f t="array" ref="Y17">'Total Rev Req'!Y18*Allocator</f>
        <v>22252.702342500001</v>
      </c>
      <c r="Z17" s="55" cm="1">
        <f t="array" ref="Z17">'Total Rev Req'!Z18*Allocator</f>
        <v>22247.715183749995</v>
      </c>
    </row>
    <row r="18" spans="1:26">
      <c r="A18" s="7" t="str">
        <f>'Total Rev Req'!A19</f>
        <v>Total Expenses</v>
      </c>
      <c r="B18" s="22" cm="1">
        <f t="array" ref="B18">'Total Rev Req'!B19*Allocator</f>
        <v>5253481.6607819833</v>
      </c>
      <c r="C18" s="22" cm="1">
        <f t="array" ref="C18">'Total Rev Req'!C19*Allocator</f>
        <v>5302852.9570589587</v>
      </c>
      <c r="D18" s="22" cm="1">
        <f t="array" ref="D18">'Total Rev Req'!D19*Allocator</f>
        <v>5351395.2529751258</v>
      </c>
      <c r="E18" s="22" cm="1">
        <f t="array" ref="E18">'Total Rev Req'!E19*Allocator</f>
        <v>5399172.7884108443</v>
      </c>
      <c r="F18" s="22" cm="1">
        <f t="array" ref="F18">'Total Rev Req'!F19*Allocator</f>
        <v>5446240.6261207014</v>
      </c>
      <c r="G18" s="22" cm="1">
        <f t="array" ref="G18">'Total Rev Req'!G19*Allocator</f>
        <v>5492653.8288592938</v>
      </c>
      <c r="H18" s="22" cm="1">
        <f t="array" ref="H18">'Total Rev Req'!H19*Allocator</f>
        <v>5538459.8117764099</v>
      </c>
      <c r="I18" s="22" cm="1">
        <f t="array" ref="I18">'Total Rev Req'!I19*Allocator</f>
        <v>5583705.9900218341</v>
      </c>
      <c r="J18" s="22" cm="1">
        <f t="array" ref="J18">'Total Rev Req'!J19*Allocator</f>
        <v>5628860.3970096055</v>
      </c>
      <c r="K18" s="22" cm="1">
        <f t="array" ref="K18">'Total Rev Req'!K19*Allocator</f>
        <v>5674013.2744764155</v>
      </c>
      <c r="L18" s="22" cm="1">
        <f t="array" ref="L18">'Total Rev Req'!L19*Allocator</f>
        <v>5719167.6814641878</v>
      </c>
      <c r="M18" s="22" cm="1">
        <f t="array" ref="M18">'Total Rev Req'!M19*Allocator</f>
        <v>5905389.2221851321</v>
      </c>
      <c r="N18" s="22" cm="1">
        <f t="array" ref="N18">'Total Rev Req'!N19*Allocator</f>
        <v>-70531.725119487266</v>
      </c>
      <c r="O18" s="22" cm="1">
        <f t="array" ref="O18">'Total Rev Req'!O19*Allocator</f>
        <v>-62965.041549365153</v>
      </c>
      <c r="P18" s="22" cm="1">
        <f t="array" ref="P18">'Total Rev Req'!P19*Allocator</f>
        <v>-55418.620743678184</v>
      </c>
      <c r="Q18" s="22" cm="1">
        <f t="array" ref="Q18">'Total Rev Req'!Q19*Allocator</f>
        <v>-47894.147671960178</v>
      </c>
      <c r="R18" s="22" cm="1">
        <f t="array" ref="R18">'Total Rev Req'!R19*Allocator</f>
        <v>-40386.784713344299</v>
      </c>
      <c r="S18" s="22" cm="1">
        <f t="array" ref="S18">'Total Rev Req'!S19*Allocator</f>
        <v>-32898.435771484976</v>
      </c>
      <c r="T18" s="22" cm="1">
        <f t="array" ref="T18">'Total Rev Req'!T19*Allocator</f>
        <v>-25424.482159635169</v>
      </c>
      <c r="U18" s="22" cm="1">
        <f t="array" ref="U18">'Total Rev Req'!U19*Allocator</f>
        <v>-17954.786404829822</v>
      </c>
      <c r="V18" s="22" cm="1">
        <f t="array" ref="V18">'Total Rev Req'!V19*Allocator</f>
        <v>-14121.478585949168</v>
      </c>
      <c r="W18" s="22" cm="1">
        <f t="array" ref="W18">'Total Rev Req'!W19*Allocator</f>
        <v>-13926.101776944946</v>
      </c>
      <c r="X18" s="22" cm="1">
        <f t="array" ref="X18">'Total Rev Req'!X19*Allocator</f>
        <v>-13730.768754764827</v>
      </c>
      <c r="Y18" s="22" cm="1">
        <f t="array" ref="Y18">'Total Rev Req'!Y19*Allocator</f>
        <v>-13535.391945760639</v>
      </c>
      <c r="Z18" s="22" cm="1">
        <f t="array" ref="Z18">'Total Rev Req'!Z19*Allocator</f>
        <v>-13340.058923580513</v>
      </c>
    </row>
    <row r="19" spans="1:26">
      <c r="A19" s="7"/>
    </row>
    <row r="20" spans="1:26">
      <c r="A20" s="7" t="str">
        <f>'Total Rev Req'!A23</f>
        <v>Rate Base</v>
      </c>
      <c r="B20" s="55" cm="1">
        <f t="array" ref="B20">'Total Rev Req'!B23*Allocator</f>
        <v>86407915.229717821</v>
      </c>
      <c r="C20" s="55" cm="1">
        <f t="array" ref="C20">'Total Rev Req'!C23*Allocator</f>
        <v>78908356.701568484</v>
      </c>
      <c r="D20" s="55" cm="1">
        <f t="array" ref="D20">'Total Rev Req'!D23*Allocator</f>
        <v>71534724.312584311</v>
      </c>
      <c r="E20" s="55" cm="1">
        <f t="array" ref="E20">'Total Rev Req'!E23*Allocator</f>
        <v>64277259.948660284</v>
      </c>
      <c r="F20" s="55" cm="1">
        <f t="array" ref="F20">'Total Rev Req'!F23*Allocator</f>
        <v>57127599.511992045</v>
      </c>
      <c r="G20" s="55" cm="1">
        <f t="array" ref="G20">'Total Rev Req'!G23*Allocator</f>
        <v>50077378.904775277</v>
      </c>
      <c r="H20" s="55" cm="1">
        <f t="array" ref="H20">'Total Rev Req'!H23*Allocator</f>
        <v>43119395.709456243</v>
      </c>
      <c r="I20" s="55" cm="1">
        <f t="array" ref="I20">'Total Rev Req'!I23*Allocator</f>
        <v>36246447.508481212</v>
      </c>
      <c r="J20" s="55" cm="1">
        <f t="array" ref="J20">'Total Rev Req'!J23*Allocator</f>
        <v>29387439.470513418</v>
      </c>
      <c r="K20" s="55" cm="1">
        <f t="array" ref="K20">'Total Rev Req'!K23*Allocator</f>
        <v>22528663.768595736</v>
      </c>
      <c r="L20" s="55" cm="1">
        <f t="array" ref="L20">'Total Rev Req'!L23*Allocator</f>
        <v>15669655.730627935</v>
      </c>
      <c r="M20" s="55" cm="1">
        <f t="array" ref="M20">'Total Rev Req'!M23*Allocator</f>
        <v>11131141.120897746</v>
      </c>
      <c r="N20" s="55" cm="1">
        <f t="array" ref="N20">'Total Rev Req'!N23*Allocator</f>
        <v>10049419.885369942</v>
      </c>
      <c r="O20" s="55" cm="1">
        <f t="array" ref="O20">'Total Rev Req'!O23*Allocator</f>
        <v>8971312.4066847563</v>
      </c>
      <c r="P20" s="55" cm="1">
        <f t="array" ref="P20">'Total Rev Req'!P23*Allocator</f>
        <v>7896091.9838244496</v>
      </c>
      <c r="Q20" s="55" cm="1">
        <f t="array" ref="Q20">'Total Rev Req'!Q23*Allocator</f>
        <v>6823998.6926742643</v>
      </c>
      <c r="R20" s="55" cm="1">
        <f t="array" ref="R20">'Total Rev Req'!R23*Allocator</f>
        <v>5754343.2649189588</v>
      </c>
      <c r="S20" s="55" cm="1">
        <f t="array" ref="S20">'Total Rev Req'!S23*Allocator</f>
        <v>4687396.9703625236</v>
      </c>
      <c r="T20" s="55" cm="1">
        <f t="array" ref="T20">'Total Rev Req'!T23*Allocator</f>
        <v>3622501.7346084681</v>
      </c>
      <c r="U20" s="55" cm="1">
        <f t="array" ref="U20">'Total Rev Req'!U23*Allocator</f>
        <v>2558213.1619295324</v>
      </c>
      <c r="V20" s="55" cm="1">
        <f t="array" ref="V20">'Total Rev Req'!V23*Allocator</f>
        <v>2012040.2198025046</v>
      </c>
      <c r="W20" s="55" cm="1">
        <f t="array" ref="W20">'Total Rev Req'!W23*Allocator</f>
        <v>1984202.7667100048</v>
      </c>
      <c r="X20" s="55" cm="1">
        <f t="array" ref="X20">'Total Rev Req'!X23*Allocator</f>
        <v>1956371.5524012551</v>
      </c>
      <c r="Y20" s="55" cm="1">
        <f t="array" ref="Y20">'Total Rev Req'!Y23*Allocator</f>
        <v>1928534.099308755</v>
      </c>
      <c r="Z20" s="55" cm="1">
        <f t="array" ref="Z20">'Total Rev Req'!Z23*Allocator</f>
        <v>1900702.8850000047</v>
      </c>
    </row>
    <row r="21" spans="1:26">
      <c r="A21" s="7" t="str">
        <f>'Total Rev Req'!A24</f>
        <v>Return on Rate Base</v>
      </c>
      <c r="B21" s="55" cm="1">
        <f t="array" ref="B21">'Total Rev Req'!B24*Allocator</f>
        <v>5904969.6877113646</v>
      </c>
      <c r="C21" s="55" cm="1">
        <f t="array" ref="C21">'Total Rev Req'!C24*Allocator</f>
        <v>5392462.6371453712</v>
      </c>
      <c r="D21" s="55" cm="1">
        <f t="array" ref="D21">'Total Rev Req'!D24*Allocator</f>
        <v>4888561.1643517837</v>
      </c>
      <c r="E21" s="55" cm="1">
        <f t="array" ref="E21">'Total Rev Req'!E24*Allocator</f>
        <v>4392598.4164404916</v>
      </c>
      <c r="F21" s="55" cm="1">
        <f t="array" ref="F21">'Total Rev Req'!F24*Allocator</f>
        <v>3904002.8052199683</v>
      </c>
      <c r="G21" s="55" cm="1">
        <f t="array" ref="G21">'Total Rev Req'!G24*Allocator</f>
        <v>3422202.7424986889</v>
      </c>
      <c r="H21" s="55" cm="1">
        <f t="array" ref="H21">'Total Rev Req'!H24*Allocator</f>
        <v>2946706.0273339511</v>
      </c>
      <c r="I21" s="55" cm="1">
        <f t="array" ref="I21">'Total Rev Req'!I24*Allocator</f>
        <v>2477020.4587830519</v>
      </c>
      <c r="J21" s="55" cm="1">
        <f t="array" ref="J21">'Total Rev Req'!J24*Allocator</f>
        <v>2008287.5372180294</v>
      </c>
      <c r="K21" s="55" cm="1">
        <f t="array" ref="K21">'Total Rev Req'!K24*Allocator</f>
        <v>1539570.493102771</v>
      </c>
      <c r="L21" s="55" cm="1">
        <f t="array" ref="L21">'Total Rev Req'!L24*Allocator</f>
        <v>1070837.5715377482</v>
      </c>
      <c r="M21" s="55" cm="1">
        <f t="array" ref="M21">'Total Rev Req'!M24*Allocator</f>
        <v>760683.216737682</v>
      </c>
      <c r="N21" s="55" cm="1">
        <f t="array" ref="N21">'Total Rev Req'!N24*Allocator</f>
        <v>686760.23075469723</v>
      </c>
      <c r="O21" s="55" cm="1">
        <f t="array" ref="O21">'Total Rev Req'!O24*Allocator</f>
        <v>613084.20275649533</v>
      </c>
      <c r="P21" s="55" cm="1">
        <f t="array" ref="P21">'Total Rev Req'!P24*Allocator</f>
        <v>539605.47123382252</v>
      </c>
      <c r="Q21" s="55" cm="1">
        <f t="array" ref="Q21">'Total Rev Req'!Q24*Allocator</f>
        <v>466340.44256358693</v>
      </c>
      <c r="R21" s="55" cm="1">
        <f t="array" ref="R21">'Total Rev Req'!R24*Allocator</f>
        <v>393242.01332363824</v>
      </c>
      <c r="S21" s="55" cm="1">
        <f t="array" ref="S21">'Total Rev Req'!S24*Allocator</f>
        <v>320328.72163013741</v>
      </c>
      <c r="T21" s="55" cm="1">
        <f t="array" ref="T21">'Total Rev Req'!T24*Allocator</f>
        <v>247555.59580018697</v>
      </c>
      <c r="U21" s="55" cm="1">
        <f t="array" ref="U21">'Total Rev Req'!U24*Allocator</f>
        <v>174823.92829103634</v>
      </c>
      <c r="V21" s="55" cm="1">
        <f t="array" ref="V21">'Total Rev Req'!V24*Allocator</f>
        <v>137499.40010476863</v>
      </c>
      <c r="W21" s="55" cm="1">
        <f t="array" ref="W21">'Total Rev Req'!W24*Allocator</f>
        <v>135597.03599544725</v>
      </c>
      <c r="X21" s="55" cm="1">
        <f t="array" ref="X21">'Total Rev Req'!X24*Allocator</f>
        <v>133695.09823397649</v>
      </c>
      <c r="Y21" s="55" cm="1">
        <f t="array" ref="Y21">'Total Rev Req'!Y24*Allocator</f>
        <v>131792.73412465511</v>
      </c>
      <c r="Z21" s="55" cm="1">
        <f t="array" ref="Z21">'Total Rev Req'!Z24*Allocator</f>
        <v>129890.79636318429</v>
      </c>
    </row>
    <row r="22" spans="1:26">
      <c r="A22" s="7"/>
    </row>
    <row r="23" spans="1:26">
      <c r="A23" s="7" t="str">
        <f>'Total Rev Req'!A26</f>
        <v>Operating Income Deficiency</v>
      </c>
      <c r="B23" s="55">
        <f t="shared" ref="B23:U23" si="0">B21+B18</f>
        <v>11158451.348493349</v>
      </c>
      <c r="C23" s="55">
        <f t="shared" si="0"/>
        <v>10695315.594204329</v>
      </c>
      <c r="D23" s="55">
        <f t="shared" si="0"/>
        <v>10239956.417326909</v>
      </c>
      <c r="E23" s="55">
        <f t="shared" si="0"/>
        <v>9791771.2048513368</v>
      </c>
      <c r="F23" s="55">
        <f t="shared" si="0"/>
        <v>9350243.4313406702</v>
      </c>
      <c r="G23" s="55">
        <f t="shared" si="0"/>
        <v>8914856.5713579822</v>
      </c>
      <c r="H23" s="55">
        <f t="shared" si="0"/>
        <v>8485165.8391103614</v>
      </c>
      <c r="I23" s="55">
        <f t="shared" si="0"/>
        <v>8060726.4488048861</v>
      </c>
      <c r="J23" s="55">
        <f t="shared" si="0"/>
        <v>7637147.9342276352</v>
      </c>
      <c r="K23" s="55">
        <f t="shared" si="0"/>
        <v>7213583.7675791867</v>
      </c>
      <c r="L23" s="55">
        <f t="shared" si="0"/>
        <v>6790005.2530019358</v>
      </c>
      <c r="M23" s="55">
        <f t="shared" si="0"/>
        <v>6666072.4389228141</v>
      </c>
      <c r="N23" s="55">
        <f t="shared" si="0"/>
        <v>616228.50563520996</v>
      </c>
      <c r="O23" s="55">
        <f t="shared" si="0"/>
        <v>550119.16120713018</v>
      </c>
      <c r="P23" s="55">
        <f t="shared" si="0"/>
        <v>484186.85049014434</v>
      </c>
      <c r="Q23" s="55">
        <f t="shared" si="0"/>
        <v>418446.29489162675</v>
      </c>
      <c r="R23" s="55">
        <f t="shared" si="0"/>
        <v>352855.22861029394</v>
      </c>
      <c r="S23" s="55">
        <f t="shared" si="0"/>
        <v>287430.28585865244</v>
      </c>
      <c r="T23" s="55">
        <f t="shared" si="0"/>
        <v>222131.1136405518</v>
      </c>
      <c r="U23" s="55">
        <f t="shared" si="0"/>
        <v>156869.14188620652</v>
      </c>
      <c r="V23" s="55">
        <f t="shared" ref="V23:Z23" si="1">V21+V18</f>
        <v>123377.92151881946</v>
      </c>
      <c r="W23" s="55">
        <f t="shared" si="1"/>
        <v>121670.93421850231</v>
      </c>
      <c r="X23" s="55">
        <f t="shared" si="1"/>
        <v>119964.32947921166</v>
      </c>
      <c r="Y23" s="55">
        <f t="shared" si="1"/>
        <v>118257.34217889447</v>
      </c>
      <c r="Z23" s="55">
        <f t="shared" si="1"/>
        <v>116550.73743960378</v>
      </c>
    </row>
    <row r="24" spans="1:26">
      <c r="A24" s="7" t="str">
        <f>'Total Rev Req'!A27</f>
        <v>Gross Up Factor</v>
      </c>
      <c r="B24" s="106">
        <f t="shared" ref="B24:Z24" si="2">GRCF</f>
        <v>1.3398970400000001</v>
      </c>
      <c r="C24" s="106">
        <f t="shared" si="2"/>
        <v>1.3398970400000001</v>
      </c>
      <c r="D24" s="106">
        <f t="shared" si="2"/>
        <v>1.3398970400000001</v>
      </c>
      <c r="E24" s="106">
        <f t="shared" si="2"/>
        <v>1.3398970400000001</v>
      </c>
      <c r="F24" s="106">
        <f t="shared" si="2"/>
        <v>1.3398970400000001</v>
      </c>
      <c r="G24" s="106">
        <f t="shared" si="2"/>
        <v>1.3398970400000001</v>
      </c>
      <c r="H24" s="106">
        <f t="shared" si="2"/>
        <v>1.3398970400000001</v>
      </c>
      <c r="I24" s="106">
        <f t="shared" si="2"/>
        <v>1.3398970400000001</v>
      </c>
      <c r="J24" s="106">
        <f t="shared" si="2"/>
        <v>1.3398970400000001</v>
      </c>
      <c r="K24" s="106">
        <f t="shared" si="2"/>
        <v>1.3398970400000001</v>
      </c>
      <c r="L24" s="106">
        <f t="shared" si="2"/>
        <v>1.3398970400000001</v>
      </c>
      <c r="M24" s="106">
        <f t="shared" si="2"/>
        <v>1.3398970400000001</v>
      </c>
      <c r="N24" s="106">
        <f t="shared" si="2"/>
        <v>1.3398970400000001</v>
      </c>
      <c r="O24" s="106">
        <f t="shared" si="2"/>
        <v>1.3398970400000001</v>
      </c>
      <c r="P24" s="106">
        <f t="shared" si="2"/>
        <v>1.3398970400000001</v>
      </c>
      <c r="Q24" s="106">
        <f t="shared" si="2"/>
        <v>1.3398970400000001</v>
      </c>
      <c r="R24" s="106">
        <f t="shared" si="2"/>
        <v>1.3398970400000001</v>
      </c>
      <c r="S24" s="106">
        <f t="shared" si="2"/>
        <v>1.3398970400000001</v>
      </c>
      <c r="T24" s="106">
        <f t="shared" si="2"/>
        <v>1.3398970400000001</v>
      </c>
      <c r="U24" s="106">
        <f t="shared" si="2"/>
        <v>1.3398970400000001</v>
      </c>
      <c r="V24" s="106">
        <f t="shared" si="2"/>
        <v>1.3398970400000001</v>
      </c>
      <c r="W24" s="106">
        <f t="shared" si="2"/>
        <v>1.3398970400000001</v>
      </c>
      <c r="X24" s="106">
        <f t="shared" si="2"/>
        <v>1.3398970400000001</v>
      </c>
      <c r="Y24" s="106">
        <f t="shared" si="2"/>
        <v>1.3398970400000001</v>
      </c>
      <c r="Z24" s="106">
        <f t="shared" si="2"/>
        <v>1.3398970400000001</v>
      </c>
    </row>
    <row r="25" spans="1:26" s="84" customFormat="1" ht="13">
      <c r="A25" s="111" t="str">
        <f>'Total Rev Req'!A28</f>
        <v>Revenue Requirement</v>
      </c>
      <c r="B25" s="112">
        <f t="shared" ref="B25:U25" si="3">B23*B24</f>
        <v>14951175.932830248</v>
      </c>
      <c r="C25" s="112">
        <f t="shared" si="3"/>
        <v>14330621.706540223</v>
      </c>
      <c r="D25" s="112">
        <f t="shared" si="3"/>
        <v>13720487.29330533</v>
      </c>
      <c r="E25" s="112">
        <f t="shared" si="3"/>
        <v>13119965.253737541</v>
      </c>
      <c r="F25" s="112">
        <f t="shared" si="3"/>
        <v>12528363.496932808</v>
      </c>
      <c r="G25" s="112">
        <f>G23*G24</f>
        <v>11944989.931987111</v>
      </c>
      <c r="H25" s="112">
        <f t="shared" si="3"/>
        <v>11369248.591733091</v>
      </c>
      <c r="I25" s="112">
        <f t="shared" si="3"/>
        <v>10800543.509003378</v>
      </c>
      <c r="J25" s="112">
        <f t="shared" si="3"/>
        <v>10232991.911113724</v>
      </c>
      <c r="K25" s="112">
        <f t="shared" si="3"/>
        <v>9665459.5379714016</v>
      </c>
      <c r="L25" s="112">
        <f t="shared" si="3"/>
        <v>9097907.9400817454</v>
      </c>
      <c r="M25" s="112">
        <f t="shared" si="3"/>
        <v>8931850.7293382604</v>
      </c>
      <c r="N25" s="112">
        <f t="shared" si="3"/>
        <v>825682.75066424126</v>
      </c>
      <c r="O25" s="112">
        <f t="shared" si="3"/>
        <v>737103.03574871656</v>
      </c>
      <c r="P25" s="112">
        <f t="shared" si="3"/>
        <v>648760.52777866705</v>
      </c>
      <c r="Q25" s="112">
        <f t="shared" si="3"/>
        <v>560674.9519242578</v>
      </c>
      <c r="R25" s="112">
        <f t="shared" si="3"/>
        <v>472789.67636345618</v>
      </c>
      <c r="S25" s="112">
        <f t="shared" si="3"/>
        <v>385126.98922836228</v>
      </c>
      <c r="T25" s="112">
        <f t="shared" si="3"/>
        <v>297632.82165887899</v>
      </c>
      <c r="U25" s="112">
        <f t="shared" si="3"/>
        <v>210188.49888066814</v>
      </c>
      <c r="V25" s="112">
        <f t="shared" ref="V25:Z25" si="4">V23*V24</f>
        <v>165313.71184441852</v>
      </c>
      <c r="W25" s="112">
        <f t="shared" si="4"/>
        <v>163026.52461340599</v>
      </c>
      <c r="X25" s="112">
        <f t="shared" si="4"/>
        <v>160739.84997478046</v>
      </c>
      <c r="Y25" s="112">
        <f t="shared" si="4"/>
        <v>158452.66274376787</v>
      </c>
      <c r="Z25" s="112">
        <f t="shared" si="4"/>
        <v>156165.98810514229</v>
      </c>
    </row>
    <row r="26" spans="1:26" s="84" customFormat="1" ht="13">
      <c r="A26" s="111"/>
      <c r="B26" s="190"/>
      <c r="C26" s="190"/>
      <c r="D26" s="190"/>
      <c r="E26" s="190"/>
      <c r="F26" s="190"/>
      <c r="G26" s="190"/>
      <c r="H26" s="190"/>
      <c r="I26" s="190"/>
      <c r="J26" s="190"/>
      <c r="K26" s="190"/>
      <c r="L26" s="190"/>
      <c r="M26" s="190"/>
      <c r="N26" s="190"/>
      <c r="O26" s="190"/>
      <c r="P26" s="190"/>
      <c r="Q26" s="190"/>
      <c r="R26" s="190"/>
      <c r="S26" s="190"/>
      <c r="T26" s="190"/>
      <c r="U26" s="190"/>
      <c r="V26" s="190"/>
      <c r="W26" s="190"/>
      <c r="X26" s="190"/>
      <c r="Y26" s="190"/>
      <c r="Z26" s="190"/>
    </row>
    <row r="27" spans="1:26" s="84" customFormat="1" ht="13">
      <c r="A27" s="111"/>
      <c r="B27" s="190"/>
      <c r="C27" s="190"/>
      <c r="D27" s="190"/>
      <c r="E27" s="190"/>
      <c r="F27" s="190"/>
      <c r="G27" s="190"/>
      <c r="H27" s="190"/>
      <c r="I27" s="190"/>
      <c r="J27" s="190"/>
      <c r="K27" s="190"/>
      <c r="L27" s="190"/>
      <c r="M27" s="190"/>
      <c r="N27" s="190"/>
      <c r="O27" s="190"/>
      <c r="P27" s="190"/>
      <c r="Q27" s="190"/>
      <c r="R27" s="190"/>
      <c r="S27" s="190"/>
      <c r="T27" s="190"/>
      <c r="U27" s="190"/>
      <c r="V27" s="190"/>
      <c r="W27" s="190"/>
      <c r="X27" s="190"/>
      <c r="Y27" s="190"/>
      <c r="Z27" s="190"/>
    </row>
    <row r="28" spans="1:26" s="39" customFormat="1">
      <c r="A28" s="97"/>
    </row>
    <row r="29" spans="1:26" s="39" customFormat="1">
      <c r="A29" s="97" t="str">
        <f>'Total Rev Req'!A32</f>
        <v>Net Revenue Requirement</v>
      </c>
      <c r="B29" s="39">
        <f>B25</f>
        <v>14951175.932830248</v>
      </c>
      <c r="C29" s="39">
        <f t="shared" ref="C29:Z29" si="5">C25</f>
        <v>14330621.706540223</v>
      </c>
      <c r="D29" s="39">
        <f t="shared" si="5"/>
        <v>13720487.29330533</v>
      </c>
      <c r="E29" s="39">
        <f t="shared" si="5"/>
        <v>13119965.253737541</v>
      </c>
      <c r="F29" s="39">
        <f t="shared" si="5"/>
        <v>12528363.496932808</v>
      </c>
      <c r="G29" s="39">
        <f t="shared" si="5"/>
        <v>11944989.931987111</v>
      </c>
      <c r="H29" s="39">
        <f t="shared" si="5"/>
        <v>11369248.591733091</v>
      </c>
      <c r="I29" s="39">
        <f t="shared" si="5"/>
        <v>10800543.509003378</v>
      </c>
      <c r="J29" s="39">
        <f t="shared" si="5"/>
        <v>10232991.911113724</v>
      </c>
      <c r="K29" s="39">
        <f t="shared" si="5"/>
        <v>9665459.5379714016</v>
      </c>
      <c r="L29" s="39">
        <f t="shared" si="5"/>
        <v>9097907.9400817454</v>
      </c>
      <c r="M29" s="39">
        <f t="shared" si="5"/>
        <v>8931850.7293382604</v>
      </c>
      <c r="N29" s="39">
        <f t="shared" si="5"/>
        <v>825682.75066424126</v>
      </c>
      <c r="O29" s="39">
        <f t="shared" si="5"/>
        <v>737103.03574871656</v>
      </c>
      <c r="P29" s="39">
        <f t="shared" si="5"/>
        <v>648760.52777866705</v>
      </c>
      <c r="Q29" s="39">
        <f t="shared" si="5"/>
        <v>560674.9519242578</v>
      </c>
      <c r="R29" s="39">
        <f t="shared" si="5"/>
        <v>472789.67636345618</v>
      </c>
      <c r="S29" s="39">
        <f t="shared" si="5"/>
        <v>385126.98922836228</v>
      </c>
      <c r="T29" s="39">
        <f t="shared" si="5"/>
        <v>297632.82165887899</v>
      </c>
      <c r="U29" s="39">
        <f t="shared" si="5"/>
        <v>210188.49888066814</v>
      </c>
      <c r="V29" s="39">
        <f t="shared" si="5"/>
        <v>165313.71184441852</v>
      </c>
      <c r="W29" s="39">
        <f t="shared" si="5"/>
        <v>163026.52461340599</v>
      </c>
      <c r="X29" s="39">
        <f t="shared" si="5"/>
        <v>160739.84997478046</v>
      </c>
      <c r="Y29" s="39">
        <f t="shared" si="5"/>
        <v>158452.66274376787</v>
      </c>
      <c r="Z29" s="39">
        <f t="shared" si="5"/>
        <v>156165.98810514229</v>
      </c>
    </row>
    <row r="30" spans="1:26" s="39" customFormat="1">
      <c r="A30" s="97" t="s">
        <v>269</v>
      </c>
      <c r="B30" s="39">
        <f>B29-B6</f>
        <v>14901059.341997012</v>
      </c>
    </row>
    <row r="31" spans="1:26" s="39" customFormat="1">
      <c r="A31" s="97"/>
    </row>
    <row r="32" spans="1:26" s="39" customFormat="1">
      <c r="A32" s="97" t="str">
        <f>'Total Rev Req'!A34</f>
        <v>Total Present Value Rev Requirement 10 Yr</v>
      </c>
      <c r="B32" s="39">
        <f>NPV(WACC,B29:K29)</f>
        <v>89068036.499865443</v>
      </c>
    </row>
    <row r="33" spans="1:26" s="39" customFormat="1">
      <c r="A33" s="97" t="str">
        <f>'Total Rev Req'!A35</f>
        <v>Avg Revenue Rrequirement 10 Yr</v>
      </c>
      <c r="B33" s="39">
        <f>AVERAGE(B29:K29)</f>
        <v>12266384.716515485</v>
      </c>
    </row>
    <row r="34" spans="1:26" s="39" customFormat="1" ht="13">
      <c r="A34" s="111"/>
    </row>
    <row r="35" spans="1:26" s="39" customFormat="1" ht="13">
      <c r="A35" s="111"/>
    </row>
    <row r="36" spans="1:26" ht="13">
      <c r="A36" s="84" t="s">
        <v>112</v>
      </c>
    </row>
    <row r="37" spans="1:26">
      <c r="A37" s="107" t="s">
        <v>66</v>
      </c>
      <c r="B37" s="100">
        <f t="shared" ref="B37:Z37" si="6">B25</f>
        <v>14951175.932830248</v>
      </c>
      <c r="C37" s="100">
        <f t="shared" si="6"/>
        <v>14330621.706540223</v>
      </c>
      <c r="D37" s="100">
        <f t="shared" si="6"/>
        <v>13720487.29330533</v>
      </c>
      <c r="E37" s="100">
        <f t="shared" si="6"/>
        <v>13119965.253737541</v>
      </c>
      <c r="F37" s="100">
        <f t="shared" si="6"/>
        <v>12528363.496932808</v>
      </c>
      <c r="G37" s="100">
        <f t="shared" si="6"/>
        <v>11944989.931987111</v>
      </c>
      <c r="H37" s="100">
        <f t="shared" si="6"/>
        <v>11369248.591733091</v>
      </c>
      <c r="I37" s="100">
        <f t="shared" si="6"/>
        <v>10800543.509003378</v>
      </c>
      <c r="J37" s="100">
        <f t="shared" si="6"/>
        <v>10232991.911113724</v>
      </c>
      <c r="K37" s="100">
        <f t="shared" si="6"/>
        <v>9665459.5379714016</v>
      </c>
      <c r="L37" s="100">
        <f t="shared" si="6"/>
        <v>9097907.9400817454</v>
      </c>
      <c r="M37" s="100">
        <f t="shared" si="6"/>
        <v>8931850.7293382604</v>
      </c>
      <c r="N37" s="100">
        <f t="shared" si="6"/>
        <v>825682.75066424126</v>
      </c>
      <c r="O37" s="100">
        <f t="shared" si="6"/>
        <v>737103.03574871656</v>
      </c>
      <c r="P37" s="100">
        <f t="shared" si="6"/>
        <v>648760.52777866705</v>
      </c>
      <c r="Q37" s="100">
        <f t="shared" si="6"/>
        <v>560674.9519242578</v>
      </c>
      <c r="R37" s="100">
        <f t="shared" si="6"/>
        <v>472789.67636345618</v>
      </c>
      <c r="S37" s="100">
        <f t="shared" si="6"/>
        <v>385126.98922836228</v>
      </c>
      <c r="T37" s="100">
        <f t="shared" si="6"/>
        <v>297632.82165887899</v>
      </c>
      <c r="U37" s="100">
        <f t="shared" si="6"/>
        <v>210188.49888066814</v>
      </c>
      <c r="V37" s="100">
        <f t="shared" si="6"/>
        <v>165313.71184441852</v>
      </c>
      <c r="W37" s="100">
        <f t="shared" si="6"/>
        <v>163026.52461340599</v>
      </c>
      <c r="X37" s="100">
        <f t="shared" si="6"/>
        <v>160739.84997478046</v>
      </c>
      <c r="Y37" s="100">
        <f t="shared" si="6"/>
        <v>158452.66274376787</v>
      </c>
      <c r="Z37" s="100">
        <f t="shared" si="6"/>
        <v>156165.98810514229</v>
      </c>
    </row>
    <row r="38" spans="1:26">
      <c r="A38" s="1" t="s">
        <v>104</v>
      </c>
      <c r="B38" s="3">
        <f t="shared" ref="B38:Z38" si="7">B12+B13</f>
        <v>7808574.9241665695</v>
      </c>
      <c r="C38" s="3">
        <f t="shared" si="7"/>
        <v>7804225.1802202426</v>
      </c>
      <c r="D38" s="3">
        <f t="shared" si="7"/>
        <v>7799948.4734346317</v>
      </c>
      <c r="E38" s="3">
        <f t="shared" si="7"/>
        <v>7795739.1441035559</v>
      </c>
      <c r="F38" s="3">
        <f t="shared" si="7"/>
        <v>7791592.3410502886</v>
      </c>
      <c r="G38" s="3">
        <f t="shared" si="7"/>
        <v>7787503.2130981022</v>
      </c>
      <c r="H38" s="3">
        <f t="shared" si="7"/>
        <v>7783467.582844818</v>
      </c>
      <c r="I38" s="3">
        <f t="shared" si="7"/>
        <v>7779481.2728882525</v>
      </c>
      <c r="J38" s="3">
        <f t="shared" si="7"/>
        <v>7775503.0482262308</v>
      </c>
      <c r="K38" s="3">
        <f t="shared" si="7"/>
        <v>7771524.9583191182</v>
      </c>
      <c r="L38" s="3">
        <f t="shared" si="7"/>
        <v>7767546.7336570974</v>
      </c>
      <c r="M38" s="3">
        <f t="shared" si="7"/>
        <v>7973247.7285167864</v>
      </c>
      <c r="N38" s="3">
        <f t="shared" si="7"/>
        <v>0</v>
      </c>
      <c r="O38" s="3">
        <f t="shared" si="7"/>
        <v>0</v>
      </c>
      <c r="P38" s="3">
        <f t="shared" si="7"/>
        <v>0</v>
      </c>
      <c r="Q38" s="3">
        <f t="shared" si="7"/>
        <v>0</v>
      </c>
      <c r="R38" s="3">
        <f t="shared" si="7"/>
        <v>0</v>
      </c>
      <c r="S38" s="3">
        <f t="shared" si="7"/>
        <v>0</v>
      </c>
      <c r="T38" s="3">
        <f t="shared" si="7"/>
        <v>0</v>
      </c>
      <c r="U38" s="3">
        <f t="shared" si="7"/>
        <v>0</v>
      </c>
      <c r="V38" s="3">
        <f t="shared" si="7"/>
        <v>0</v>
      </c>
      <c r="W38" s="3">
        <f t="shared" si="7"/>
        <v>0</v>
      </c>
      <c r="X38" s="3">
        <f t="shared" si="7"/>
        <v>0</v>
      </c>
      <c r="Y38" s="3">
        <f t="shared" si="7"/>
        <v>0</v>
      </c>
      <c r="Z38" s="3">
        <f t="shared" si="7"/>
        <v>0</v>
      </c>
    </row>
    <row r="39" spans="1:26">
      <c r="A39" s="1" t="s">
        <v>67</v>
      </c>
      <c r="B39" s="38">
        <f t="shared" ref="B39:Z39" si="8">(B25-B23)+B14+B16+B15+B17</f>
        <v>1237631.3209523135</v>
      </c>
      <c r="C39" s="38">
        <f t="shared" si="8"/>
        <v>1133933.8891746106</v>
      </c>
      <c r="D39" s="38">
        <f t="shared" si="8"/>
        <v>1031977.6555189155</v>
      </c>
      <c r="E39" s="38">
        <f t="shared" si="8"/>
        <v>931627.69319349085</v>
      </c>
      <c r="F39" s="38">
        <f t="shared" si="8"/>
        <v>832768.35066255089</v>
      </c>
      <c r="G39" s="38">
        <f t="shared" si="8"/>
        <v>735283.97639031988</v>
      </c>
      <c r="H39" s="38">
        <f t="shared" si="8"/>
        <v>639074.98155432031</v>
      </c>
      <c r="I39" s="38">
        <f t="shared" si="8"/>
        <v>544041.77733207436</v>
      </c>
      <c r="J39" s="38">
        <f t="shared" si="8"/>
        <v>449201.32566946372</v>
      </c>
      <c r="K39" s="38">
        <f t="shared" si="8"/>
        <v>354364.08654951211</v>
      </c>
      <c r="L39" s="38">
        <f t="shared" si="8"/>
        <v>259523.63488689903</v>
      </c>
      <c r="M39" s="38">
        <f t="shared" si="8"/>
        <v>197919.78408379271</v>
      </c>
      <c r="N39" s="38">
        <f t="shared" si="8"/>
        <v>138922.51990954403</v>
      </c>
      <c r="O39" s="38">
        <f t="shared" si="8"/>
        <v>124018.83299222123</v>
      </c>
      <c r="P39" s="38">
        <f t="shared" si="8"/>
        <v>109155.05654484453</v>
      </c>
      <c r="Q39" s="38">
        <f t="shared" si="8"/>
        <v>94334.509360670927</v>
      </c>
      <c r="R39" s="38">
        <f t="shared" si="8"/>
        <v>79547.66303981794</v>
      </c>
      <c r="S39" s="38">
        <f t="shared" si="8"/>
        <v>64798.267598224804</v>
      </c>
      <c r="T39" s="38">
        <f t="shared" si="8"/>
        <v>50077.22585869208</v>
      </c>
      <c r="U39" s="38">
        <f t="shared" si="8"/>
        <v>35364.570589631796</v>
      </c>
      <c r="V39" s="38">
        <f t="shared" si="8"/>
        <v>27814.311739649856</v>
      </c>
      <c r="W39" s="38">
        <f t="shared" si="8"/>
        <v>27429.488617958727</v>
      </c>
      <c r="X39" s="38">
        <f t="shared" si="8"/>
        <v>27044.751740803971</v>
      </c>
      <c r="Y39" s="38">
        <f t="shared" si="8"/>
        <v>26659.928619112761</v>
      </c>
      <c r="Z39" s="38">
        <f t="shared" si="8"/>
        <v>26275.191741957991</v>
      </c>
    </row>
    <row r="40" spans="1:26">
      <c r="A40" s="45" t="s">
        <v>7</v>
      </c>
      <c r="B40" s="46">
        <f>B38+B39</f>
        <v>9046206.2451188825</v>
      </c>
      <c r="C40" s="46">
        <f t="shared" ref="C40:U40" si="9">C38+C39</f>
        <v>8938159.069394853</v>
      </c>
      <c r="D40" s="46">
        <f t="shared" si="9"/>
        <v>8831926.1289535463</v>
      </c>
      <c r="E40" s="46">
        <f t="shared" si="9"/>
        <v>8727366.8372970466</v>
      </c>
      <c r="F40" s="46">
        <f t="shared" si="9"/>
        <v>8624360.6917128395</v>
      </c>
      <c r="G40" s="46">
        <f t="shared" si="9"/>
        <v>8522787.1894884221</v>
      </c>
      <c r="H40" s="46">
        <f t="shared" si="9"/>
        <v>8422542.5643991381</v>
      </c>
      <c r="I40" s="46">
        <f t="shared" si="9"/>
        <v>8323523.0502203265</v>
      </c>
      <c r="J40" s="46">
        <f t="shared" si="9"/>
        <v>8224704.3738956945</v>
      </c>
      <c r="K40" s="46">
        <f t="shared" si="9"/>
        <v>8125889.0448686304</v>
      </c>
      <c r="L40" s="46">
        <f t="shared" si="9"/>
        <v>8027070.3685439965</v>
      </c>
      <c r="M40" s="46">
        <f t="shared" si="9"/>
        <v>8171167.5126005793</v>
      </c>
      <c r="N40" s="46">
        <f t="shared" si="9"/>
        <v>138922.51990954403</v>
      </c>
      <c r="O40" s="46">
        <f t="shared" si="9"/>
        <v>124018.83299222123</v>
      </c>
      <c r="P40" s="46">
        <f t="shared" si="9"/>
        <v>109155.05654484453</v>
      </c>
      <c r="Q40" s="46">
        <f t="shared" si="9"/>
        <v>94334.509360670927</v>
      </c>
      <c r="R40" s="46">
        <f t="shared" si="9"/>
        <v>79547.66303981794</v>
      </c>
      <c r="S40" s="46">
        <f t="shared" si="9"/>
        <v>64798.267598224804</v>
      </c>
      <c r="T40" s="46">
        <f t="shared" si="9"/>
        <v>50077.22585869208</v>
      </c>
      <c r="U40" s="46">
        <f t="shared" si="9"/>
        <v>35364.570589631796</v>
      </c>
      <c r="V40" s="46">
        <f t="shared" ref="V40:Z40" si="10">V38+V39</f>
        <v>27814.311739649856</v>
      </c>
      <c r="W40" s="46">
        <f t="shared" si="10"/>
        <v>27429.488617958727</v>
      </c>
      <c r="X40" s="46">
        <f t="shared" si="10"/>
        <v>27044.751740803971</v>
      </c>
      <c r="Y40" s="46">
        <f t="shared" si="10"/>
        <v>26659.928619112761</v>
      </c>
      <c r="Z40" s="46">
        <f t="shared" si="10"/>
        <v>26275.191741957991</v>
      </c>
    </row>
    <row r="41" spans="1:26">
      <c r="A41" s="4" t="s">
        <v>103</v>
      </c>
      <c r="B41" s="39">
        <f>B37-B40</f>
        <v>5904969.6877113655</v>
      </c>
      <c r="C41" s="39">
        <f t="shared" ref="C41:Z41" si="11">C37-C40</f>
        <v>5392462.6371453702</v>
      </c>
      <c r="D41" s="39">
        <f t="shared" si="11"/>
        <v>4888561.1643517837</v>
      </c>
      <c r="E41" s="39">
        <f t="shared" si="11"/>
        <v>4392598.4164404944</v>
      </c>
      <c r="F41" s="39">
        <f t="shared" si="11"/>
        <v>3904002.8052199688</v>
      </c>
      <c r="G41" s="39">
        <f t="shared" si="11"/>
        <v>3422202.7424986884</v>
      </c>
      <c r="H41" s="39">
        <f t="shared" si="11"/>
        <v>2946706.0273339525</v>
      </c>
      <c r="I41" s="39">
        <f t="shared" si="11"/>
        <v>2477020.4587830519</v>
      </c>
      <c r="J41" s="39">
        <f t="shared" si="11"/>
        <v>2008287.5372180296</v>
      </c>
      <c r="K41" s="39">
        <f t="shared" si="11"/>
        <v>1539570.4931027712</v>
      </c>
      <c r="L41" s="39">
        <f t="shared" si="11"/>
        <v>1070837.5715377489</v>
      </c>
      <c r="M41" s="39">
        <f t="shared" si="11"/>
        <v>760683.21673768107</v>
      </c>
      <c r="N41" s="39">
        <f t="shared" si="11"/>
        <v>686760.23075469723</v>
      </c>
      <c r="O41" s="39">
        <f t="shared" si="11"/>
        <v>613084.20275649533</v>
      </c>
      <c r="P41" s="39">
        <f t="shared" si="11"/>
        <v>539605.47123382252</v>
      </c>
      <c r="Q41" s="39">
        <f t="shared" si="11"/>
        <v>466340.44256358687</v>
      </c>
      <c r="R41" s="39">
        <f t="shared" si="11"/>
        <v>393242.01332363824</v>
      </c>
      <c r="S41" s="39">
        <f t="shared" si="11"/>
        <v>320328.72163013747</v>
      </c>
      <c r="T41" s="39">
        <f t="shared" si="11"/>
        <v>247555.59580018691</v>
      </c>
      <c r="U41" s="39">
        <f t="shared" si="11"/>
        <v>174823.92829103634</v>
      </c>
      <c r="V41" s="39">
        <f t="shared" si="11"/>
        <v>137499.40010476866</v>
      </c>
      <c r="W41" s="39">
        <f t="shared" si="11"/>
        <v>135597.03599544725</v>
      </c>
      <c r="X41" s="39">
        <f t="shared" si="11"/>
        <v>133695.09823397649</v>
      </c>
      <c r="Y41" s="39">
        <f t="shared" si="11"/>
        <v>131792.73412465511</v>
      </c>
      <c r="Z41" s="39">
        <f t="shared" si="11"/>
        <v>129890.79636318429</v>
      </c>
    </row>
    <row r="42" spans="1:26">
      <c r="A42" s="42" t="s">
        <v>47</v>
      </c>
      <c r="B42" s="44">
        <f t="shared" ref="B42:Z42" si="12">B20*WACD</f>
        <v>2430172.5856528957</v>
      </c>
      <c r="C42" s="44">
        <f t="shared" si="12"/>
        <v>2219251.8442930835</v>
      </c>
      <c r="D42" s="44">
        <f t="shared" si="12"/>
        <v>2011872.7026860567</v>
      </c>
      <c r="E42" s="44">
        <f t="shared" si="12"/>
        <v>1807760.7195225602</v>
      </c>
      <c r="F42" s="44">
        <f t="shared" si="12"/>
        <v>1606680.6593946589</v>
      </c>
      <c r="G42" s="44">
        <f t="shared" si="12"/>
        <v>1408397.2868944188</v>
      </c>
      <c r="H42" s="44">
        <f t="shared" si="12"/>
        <v>1212708.0381983411</v>
      </c>
      <c r="I42" s="44">
        <f t="shared" si="12"/>
        <v>1019410.3494829267</v>
      </c>
      <c r="J42" s="44">
        <f t="shared" si="12"/>
        <v>826504.71978073649</v>
      </c>
      <c r="K42" s="44">
        <f t="shared" si="12"/>
        <v>633605.62439543311</v>
      </c>
      <c r="L42" s="44">
        <f t="shared" si="12"/>
        <v>440699.99469324265</v>
      </c>
      <c r="M42" s="44">
        <f t="shared" si="12"/>
        <v>313056.8990945401</v>
      </c>
      <c r="N42" s="44">
        <f t="shared" si="12"/>
        <v>282634.11566191597</v>
      </c>
      <c r="O42" s="44">
        <f t="shared" si="12"/>
        <v>252312.96704812531</v>
      </c>
      <c r="P42" s="44">
        <f t="shared" si="12"/>
        <v>222073.01520780401</v>
      </c>
      <c r="Q42" s="44">
        <f t="shared" si="12"/>
        <v>191921.01213622061</v>
      </c>
      <c r="R42" s="44">
        <f t="shared" si="12"/>
        <v>161837.57256109532</v>
      </c>
      <c r="S42" s="44">
        <f t="shared" si="12"/>
        <v>131830.32578860014</v>
      </c>
      <c r="T42" s="44">
        <f t="shared" si="12"/>
        <v>101880.76385735883</v>
      </c>
      <c r="U42" s="44">
        <f t="shared" si="12"/>
        <v>71948.263973847337</v>
      </c>
      <c r="V42" s="44">
        <f t="shared" si="12"/>
        <v>56587.466210658175</v>
      </c>
      <c r="W42" s="44">
        <f t="shared" si="12"/>
        <v>55804.55396031696</v>
      </c>
      <c r="X42" s="44">
        <f t="shared" si="12"/>
        <v>55021.817172156458</v>
      </c>
      <c r="Y42" s="44">
        <f t="shared" si="12"/>
        <v>54238.904921815236</v>
      </c>
      <c r="Z42" s="44">
        <f t="shared" si="12"/>
        <v>53456.168133654719</v>
      </c>
    </row>
    <row r="43" spans="1:26">
      <c r="A43" s="4" t="s">
        <v>69</v>
      </c>
      <c r="B43" s="39">
        <f>B41-B42</f>
        <v>3474797.1020584698</v>
      </c>
      <c r="C43" s="39">
        <f>C41-C42</f>
        <v>3173210.7928522867</v>
      </c>
      <c r="D43" s="39">
        <f t="shared" ref="D43:U43" si="13">D41-D42</f>
        <v>2876688.4616657272</v>
      </c>
      <c r="E43" s="39">
        <f t="shared" si="13"/>
        <v>2584837.6969179343</v>
      </c>
      <c r="F43" s="39">
        <f t="shared" si="13"/>
        <v>2297322.1458253097</v>
      </c>
      <c r="G43" s="39">
        <f t="shared" si="13"/>
        <v>2013805.4556042696</v>
      </c>
      <c r="H43" s="39">
        <f t="shared" si="13"/>
        <v>1733997.9891356113</v>
      </c>
      <c r="I43" s="39">
        <f t="shared" si="13"/>
        <v>1457610.1093001254</v>
      </c>
      <c r="J43" s="39">
        <f t="shared" si="13"/>
        <v>1181782.817437293</v>
      </c>
      <c r="K43" s="39">
        <f t="shared" si="13"/>
        <v>905964.86870733812</v>
      </c>
      <c r="L43" s="39">
        <f t="shared" si="13"/>
        <v>630137.5768445062</v>
      </c>
      <c r="M43" s="39">
        <f t="shared" si="13"/>
        <v>447626.31764314097</v>
      </c>
      <c r="N43" s="39">
        <f t="shared" si="13"/>
        <v>404126.11509278126</v>
      </c>
      <c r="O43" s="39">
        <f t="shared" si="13"/>
        <v>360771.23570836999</v>
      </c>
      <c r="P43" s="39">
        <f t="shared" si="13"/>
        <v>317532.45602601848</v>
      </c>
      <c r="Q43" s="39">
        <f t="shared" si="13"/>
        <v>274419.43042736629</v>
      </c>
      <c r="R43" s="39">
        <f t="shared" si="13"/>
        <v>231404.44076254292</v>
      </c>
      <c r="S43" s="39">
        <f t="shared" si="13"/>
        <v>188498.39584153733</v>
      </c>
      <c r="T43" s="39">
        <f t="shared" si="13"/>
        <v>145674.83194282808</v>
      </c>
      <c r="U43" s="39">
        <f t="shared" si="13"/>
        <v>102875.664317189</v>
      </c>
      <c r="V43" s="39">
        <f t="shared" ref="V43:Z43" si="14">V41-V42</f>
        <v>80911.933894110494</v>
      </c>
      <c r="W43" s="39">
        <f t="shared" si="14"/>
        <v>79792.482035130291</v>
      </c>
      <c r="X43" s="39">
        <f t="shared" si="14"/>
        <v>78673.281061820031</v>
      </c>
      <c r="Y43" s="39">
        <f t="shared" si="14"/>
        <v>77553.829202839872</v>
      </c>
      <c r="Z43" s="39">
        <f t="shared" si="14"/>
        <v>76434.628229529568</v>
      </c>
    </row>
    <row r="44" spans="1:26">
      <c r="A44" s="42" t="s">
        <v>68</v>
      </c>
      <c r="B44" s="43">
        <f t="shared" ref="B44:Z44" si="15">B20*EquityWeighting</f>
        <v>35638944.63649711</v>
      </c>
      <c r="C44" s="43">
        <f t="shared" si="15"/>
        <v>32545751.72156192</v>
      </c>
      <c r="D44" s="43">
        <f t="shared" si="15"/>
        <v>29504497.042725399</v>
      </c>
      <c r="E44" s="43">
        <f t="shared" si="15"/>
        <v>26511155.865824934</v>
      </c>
      <c r="F44" s="43">
        <f t="shared" si="15"/>
        <v>23562278.418721117</v>
      </c>
      <c r="G44" s="43">
        <f t="shared" si="15"/>
        <v>20654414.929274563</v>
      </c>
      <c r="H44" s="43">
        <f t="shared" si="15"/>
        <v>17784594.760365225</v>
      </c>
      <c r="I44" s="43">
        <f t="shared" si="15"/>
        <v>14949847.274873076</v>
      </c>
      <c r="J44" s="43">
        <f t="shared" si="15"/>
        <v>12120849.409613259</v>
      </c>
      <c r="K44" s="43">
        <f t="shared" si="15"/>
        <v>9291947.3713573106</v>
      </c>
      <c r="L44" s="43">
        <f t="shared" si="15"/>
        <v>6462949.5060974918</v>
      </c>
      <c r="M44" s="43">
        <f t="shared" si="15"/>
        <v>4591039.1553142751</v>
      </c>
      <c r="N44" s="43">
        <f t="shared" si="15"/>
        <v>4144883.2317208322</v>
      </c>
      <c r="O44" s="43">
        <f t="shared" si="15"/>
        <v>3700217.8021371276</v>
      </c>
      <c r="P44" s="43">
        <f t="shared" si="15"/>
        <v>3256743.1387283942</v>
      </c>
      <c r="Q44" s="43">
        <f t="shared" si="15"/>
        <v>2814558.2607935001</v>
      </c>
      <c r="R44" s="43">
        <f t="shared" si="15"/>
        <v>2373378.8796158247</v>
      </c>
      <c r="S44" s="43">
        <f t="shared" si="15"/>
        <v>1933316.8804260227</v>
      </c>
      <c r="T44" s="43">
        <f t="shared" si="15"/>
        <v>1494100.8404392626</v>
      </c>
      <c r="U44" s="43">
        <f t="shared" si="15"/>
        <v>1055135.0186378355</v>
      </c>
      <c r="V44" s="43">
        <f t="shared" si="15"/>
        <v>829865.98865754297</v>
      </c>
      <c r="W44" s="43">
        <f t="shared" si="15"/>
        <v>818384.43112954148</v>
      </c>
      <c r="X44" s="43">
        <f t="shared" si="15"/>
        <v>806905.44678789761</v>
      </c>
      <c r="Y44" s="43">
        <f t="shared" si="15"/>
        <v>795423.88925989601</v>
      </c>
      <c r="Z44" s="43">
        <f t="shared" si="15"/>
        <v>783944.90491825191</v>
      </c>
    </row>
    <row r="45" spans="1:26">
      <c r="A45" s="4" t="s">
        <v>102</v>
      </c>
      <c r="B45" s="182">
        <f>ROUND(B43/B44,4)</f>
        <v>9.7500000000000003E-2</v>
      </c>
      <c r="C45" s="182">
        <f t="shared" ref="C45:Z45" si="16">ROUND(C43/C44,4)</f>
        <v>9.7500000000000003E-2</v>
      </c>
      <c r="D45" s="182">
        <f t="shared" si="16"/>
        <v>9.7500000000000003E-2</v>
      </c>
      <c r="E45" s="182">
        <f t="shared" si="16"/>
        <v>9.7500000000000003E-2</v>
      </c>
      <c r="F45" s="182">
        <f t="shared" si="16"/>
        <v>9.7500000000000003E-2</v>
      </c>
      <c r="G45" s="182">
        <f t="shared" si="16"/>
        <v>9.7500000000000003E-2</v>
      </c>
      <c r="H45" s="182">
        <f t="shared" si="16"/>
        <v>9.7500000000000003E-2</v>
      </c>
      <c r="I45" s="182">
        <f t="shared" si="16"/>
        <v>9.7500000000000003E-2</v>
      </c>
      <c r="J45" s="182">
        <f t="shared" si="16"/>
        <v>9.7500000000000003E-2</v>
      </c>
      <c r="K45" s="182">
        <f t="shared" si="16"/>
        <v>9.7500000000000003E-2</v>
      </c>
      <c r="L45" s="182">
        <f t="shared" si="16"/>
        <v>9.7500000000000003E-2</v>
      </c>
      <c r="M45" s="182">
        <f t="shared" si="16"/>
        <v>9.7500000000000003E-2</v>
      </c>
      <c r="N45" s="182">
        <f t="shared" si="16"/>
        <v>9.7500000000000003E-2</v>
      </c>
      <c r="O45" s="182">
        <f t="shared" si="16"/>
        <v>9.7500000000000003E-2</v>
      </c>
      <c r="P45" s="182">
        <f t="shared" si="16"/>
        <v>9.7500000000000003E-2</v>
      </c>
      <c r="Q45" s="182">
        <f t="shared" si="16"/>
        <v>9.7500000000000003E-2</v>
      </c>
      <c r="R45" s="182">
        <f t="shared" si="16"/>
        <v>9.7500000000000003E-2</v>
      </c>
      <c r="S45" s="182">
        <f t="shared" si="16"/>
        <v>9.7500000000000003E-2</v>
      </c>
      <c r="T45" s="182">
        <f t="shared" si="16"/>
        <v>9.7500000000000003E-2</v>
      </c>
      <c r="U45" s="182">
        <f t="shared" si="16"/>
        <v>9.7500000000000003E-2</v>
      </c>
      <c r="V45" s="182">
        <f t="shared" si="16"/>
        <v>9.7500000000000003E-2</v>
      </c>
      <c r="W45" s="182">
        <f t="shared" si="16"/>
        <v>9.7500000000000003E-2</v>
      </c>
      <c r="X45" s="182">
        <f t="shared" si="16"/>
        <v>9.7500000000000003E-2</v>
      </c>
      <c r="Y45" s="182">
        <f t="shared" si="16"/>
        <v>9.7500000000000003E-2</v>
      </c>
      <c r="Z45" s="182">
        <f t="shared" si="16"/>
        <v>9.7500000000000003E-2</v>
      </c>
    </row>
    <row r="46" spans="1:26">
      <c r="B46" s="1" t="b">
        <f t="shared" ref="B46:U46" si="17">B45=ROE</f>
        <v>1</v>
      </c>
      <c r="C46" s="1" t="b">
        <f t="shared" si="17"/>
        <v>1</v>
      </c>
      <c r="D46" s="1" t="b">
        <f t="shared" si="17"/>
        <v>1</v>
      </c>
      <c r="E46" s="1" t="b">
        <f t="shared" si="17"/>
        <v>1</v>
      </c>
      <c r="F46" s="1" t="b">
        <f t="shared" si="17"/>
        <v>1</v>
      </c>
      <c r="G46" s="1" t="b">
        <f t="shared" si="17"/>
        <v>1</v>
      </c>
      <c r="H46" s="1" t="b">
        <f t="shared" si="17"/>
        <v>1</v>
      </c>
      <c r="I46" s="1" t="b">
        <f t="shared" si="17"/>
        <v>1</v>
      </c>
      <c r="J46" s="1" t="b">
        <f t="shared" si="17"/>
        <v>1</v>
      </c>
      <c r="K46" s="1" t="b">
        <f t="shared" si="17"/>
        <v>1</v>
      </c>
      <c r="L46" s="1" t="b">
        <f t="shared" si="17"/>
        <v>1</v>
      </c>
      <c r="M46" s="1" t="b">
        <f t="shared" si="17"/>
        <v>1</v>
      </c>
      <c r="N46" s="1" t="b">
        <f t="shared" si="17"/>
        <v>1</v>
      </c>
      <c r="O46" s="1" t="b">
        <f t="shared" si="17"/>
        <v>1</v>
      </c>
      <c r="P46" s="1" t="b">
        <f t="shared" si="17"/>
        <v>1</v>
      </c>
      <c r="Q46" s="1" t="b">
        <f t="shared" si="17"/>
        <v>1</v>
      </c>
      <c r="R46" s="1" t="b">
        <f t="shared" si="17"/>
        <v>1</v>
      </c>
      <c r="S46" s="1" t="b">
        <f t="shared" si="17"/>
        <v>1</v>
      </c>
      <c r="T46" s="1" t="b">
        <f t="shared" si="17"/>
        <v>1</v>
      </c>
      <c r="U46" s="1" t="b">
        <f t="shared" si="17"/>
        <v>1</v>
      </c>
      <c r="V46" s="1" t="b">
        <f t="shared" ref="V46:Z46" si="18">V45=ROE</f>
        <v>1</v>
      </c>
      <c r="W46" s="1" t="b">
        <f t="shared" si="18"/>
        <v>1</v>
      </c>
      <c r="X46" s="1" t="b">
        <f t="shared" si="18"/>
        <v>1</v>
      </c>
      <c r="Y46" s="1" t="b">
        <f t="shared" si="18"/>
        <v>1</v>
      </c>
      <c r="Z46" s="1" t="b">
        <f t="shared" si="18"/>
        <v>1</v>
      </c>
    </row>
    <row r="47" spans="1:26">
      <c r="A47" s="4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</row>
    <row r="48" spans="1:26">
      <c r="A48" s="4" t="s">
        <v>108</v>
      </c>
      <c r="B48" s="38">
        <f t="shared" ref="B48:Z48" si="19">B12</f>
        <v>50116.59083323634</v>
      </c>
      <c r="C48" s="38">
        <f t="shared" si="19"/>
        <v>45766.84688690972</v>
      </c>
      <c r="D48" s="38">
        <f t="shared" si="19"/>
        <v>41490.140101298901</v>
      </c>
      <c r="E48" s="38">
        <f t="shared" si="19"/>
        <v>37280.810770222961</v>
      </c>
      <c r="F48" s="38">
        <f t="shared" si="19"/>
        <v>33134.007716955392</v>
      </c>
      <c r="G48" s="38">
        <f t="shared" si="19"/>
        <v>29044.879764769659</v>
      </c>
      <c r="H48" s="38">
        <f t="shared" si="19"/>
        <v>25009.249511484621</v>
      </c>
      <c r="I48" s="38">
        <f t="shared" si="19"/>
        <v>21022.939554919107</v>
      </c>
      <c r="J48" s="38">
        <f t="shared" si="19"/>
        <v>17044.714892897784</v>
      </c>
      <c r="K48" s="38">
        <f t="shared" si="19"/>
        <v>13066.624985785527</v>
      </c>
      <c r="L48" s="38">
        <f t="shared" si="19"/>
        <v>9088.4003237642028</v>
      </c>
      <c r="M48" s="38">
        <f t="shared" si="19"/>
        <v>6456.0618501206927</v>
      </c>
      <c r="N48" s="38">
        <f t="shared" si="19"/>
        <v>0</v>
      </c>
      <c r="O48" s="38">
        <f t="shared" si="19"/>
        <v>0</v>
      </c>
      <c r="P48" s="38">
        <f t="shared" si="19"/>
        <v>0</v>
      </c>
      <c r="Q48" s="38">
        <f t="shared" si="19"/>
        <v>0</v>
      </c>
      <c r="R48" s="38">
        <f t="shared" si="19"/>
        <v>0</v>
      </c>
      <c r="S48" s="38">
        <f t="shared" si="19"/>
        <v>0</v>
      </c>
      <c r="T48" s="38">
        <f t="shared" si="19"/>
        <v>0</v>
      </c>
      <c r="U48" s="38">
        <f t="shared" si="19"/>
        <v>0</v>
      </c>
      <c r="V48" s="38">
        <f t="shared" si="19"/>
        <v>0</v>
      </c>
      <c r="W48" s="38">
        <f t="shared" si="19"/>
        <v>0</v>
      </c>
      <c r="X48" s="38">
        <f t="shared" si="19"/>
        <v>0</v>
      </c>
      <c r="Y48" s="38">
        <f t="shared" si="19"/>
        <v>0</v>
      </c>
      <c r="Z48" s="38">
        <f t="shared" si="19"/>
        <v>0</v>
      </c>
    </row>
    <row r="49" spans="1:26">
      <c r="A49" s="4" t="s">
        <v>109</v>
      </c>
      <c r="B49" s="38">
        <f t="shared" ref="B49:Z49" si="20">B13</f>
        <v>7758458.333333333</v>
      </c>
      <c r="C49" s="38">
        <f t="shared" si="20"/>
        <v>7758458.333333333</v>
      </c>
      <c r="D49" s="38">
        <f t="shared" si="20"/>
        <v>7758458.333333333</v>
      </c>
      <c r="E49" s="38">
        <f t="shared" si="20"/>
        <v>7758458.333333333</v>
      </c>
      <c r="F49" s="38">
        <f t="shared" si="20"/>
        <v>7758458.333333333</v>
      </c>
      <c r="G49" s="38">
        <f t="shared" si="20"/>
        <v>7758458.333333333</v>
      </c>
      <c r="H49" s="38">
        <f t="shared" si="20"/>
        <v>7758458.333333333</v>
      </c>
      <c r="I49" s="38">
        <f t="shared" si="20"/>
        <v>7758458.333333333</v>
      </c>
      <c r="J49" s="38">
        <f t="shared" si="20"/>
        <v>7758458.333333333</v>
      </c>
      <c r="K49" s="38">
        <f t="shared" si="20"/>
        <v>7758458.333333333</v>
      </c>
      <c r="L49" s="38">
        <f t="shared" si="20"/>
        <v>7758458.333333333</v>
      </c>
      <c r="M49" s="38">
        <f t="shared" si="20"/>
        <v>7966791.666666666</v>
      </c>
      <c r="N49" s="38">
        <f t="shared" si="20"/>
        <v>0</v>
      </c>
      <c r="O49" s="38">
        <f t="shared" si="20"/>
        <v>0</v>
      </c>
      <c r="P49" s="38">
        <f t="shared" si="20"/>
        <v>0</v>
      </c>
      <c r="Q49" s="38">
        <f t="shared" si="20"/>
        <v>0</v>
      </c>
      <c r="R49" s="38">
        <f t="shared" si="20"/>
        <v>0</v>
      </c>
      <c r="S49" s="38">
        <f t="shared" si="20"/>
        <v>0</v>
      </c>
      <c r="T49" s="38">
        <f t="shared" si="20"/>
        <v>0</v>
      </c>
      <c r="U49" s="38">
        <f t="shared" si="20"/>
        <v>0</v>
      </c>
      <c r="V49" s="38">
        <f t="shared" si="20"/>
        <v>0</v>
      </c>
      <c r="W49" s="38">
        <f t="shared" si="20"/>
        <v>0</v>
      </c>
      <c r="X49" s="38">
        <f t="shared" si="20"/>
        <v>0</v>
      </c>
      <c r="Y49" s="38">
        <f t="shared" si="20"/>
        <v>0</v>
      </c>
      <c r="Z49" s="38">
        <f t="shared" si="20"/>
        <v>0</v>
      </c>
    </row>
    <row r="50" spans="1:26">
      <c r="A50" s="4" t="s">
        <v>111</v>
      </c>
      <c r="B50" s="3">
        <f t="shared" ref="B50:Z50" si="21">B25-SUM(B48:B49,B51)</f>
        <v>1237631.3209523149</v>
      </c>
      <c r="C50" s="3">
        <f t="shared" si="21"/>
        <v>1133933.8891746104</v>
      </c>
      <c r="D50" s="3">
        <f t="shared" si="21"/>
        <v>1031977.6555189155</v>
      </c>
      <c r="E50" s="3">
        <f t="shared" si="21"/>
        <v>931627.69319349341</v>
      </c>
      <c r="F50" s="3">
        <f t="shared" si="21"/>
        <v>832768.35066255182</v>
      </c>
      <c r="G50" s="3">
        <f t="shared" si="21"/>
        <v>735283.97639031895</v>
      </c>
      <c r="H50" s="3">
        <f t="shared" si="21"/>
        <v>639074.98155432194</v>
      </c>
      <c r="I50" s="3">
        <f t="shared" si="21"/>
        <v>544041.77733207494</v>
      </c>
      <c r="J50" s="3">
        <f t="shared" si="21"/>
        <v>449201.32566946372</v>
      </c>
      <c r="K50" s="3">
        <f t="shared" si="21"/>
        <v>354364.08654951304</v>
      </c>
      <c r="L50" s="3">
        <f t="shared" si="21"/>
        <v>259523.63488689996</v>
      </c>
      <c r="M50" s="3">
        <f t="shared" si="21"/>
        <v>197919.78408379294</v>
      </c>
      <c r="N50" s="3">
        <f t="shared" si="21"/>
        <v>138922.51990954403</v>
      </c>
      <c r="O50" s="3">
        <f t="shared" si="21"/>
        <v>124018.83299222123</v>
      </c>
      <c r="P50" s="3">
        <f t="shared" si="21"/>
        <v>109155.05654484453</v>
      </c>
      <c r="Q50" s="3">
        <f t="shared" si="21"/>
        <v>94334.509360670869</v>
      </c>
      <c r="R50" s="3">
        <f t="shared" si="21"/>
        <v>79547.66303981794</v>
      </c>
      <c r="S50" s="3">
        <f t="shared" si="21"/>
        <v>64798.267598224862</v>
      </c>
      <c r="T50" s="3">
        <f t="shared" si="21"/>
        <v>50077.225858692022</v>
      </c>
      <c r="U50" s="3">
        <f t="shared" si="21"/>
        <v>35364.570589631796</v>
      </c>
      <c r="V50" s="3">
        <f t="shared" si="21"/>
        <v>27814.311739649886</v>
      </c>
      <c r="W50" s="3">
        <f t="shared" si="21"/>
        <v>27429.488617958734</v>
      </c>
      <c r="X50" s="3">
        <f t="shared" si="21"/>
        <v>27044.751740803971</v>
      </c>
      <c r="Y50" s="3">
        <f t="shared" si="21"/>
        <v>26659.928619112761</v>
      </c>
      <c r="Z50" s="3">
        <f t="shared" si="21"/>
        <v>26275.191741957999</v>
      </c>
    </row>
    <row r="51" spans="1:26">
      <c r="A51" s="4" t="s">
        <v>110</v>
      </c>
      <c r="B51" s="48">
        <f t="shared" ref="B51:Z51" si="22">B21</f>
        <v>5904969.6877113646</v>
      </c>
      <c r="C51" s="48">
        <f t="shared" si="22"/>
        <v>5392462.6371453712</v>
      </c>
      <c r="D51" s="48">
        <f t="shared" si="22"/>
        <v>4888561.1643517837</v>
      </c>
      <c r="E51" s="48">
        <f t="shared" si="22"/>
        <v>4392598.4164404916</v>
      </c>
      <c r="F51" s="48">
        <f t="shared" si="22"/>
        <v>3904002.8052199683</v>
      </c>
      <c r="G51" s="48">
        <f t="shared" si="22"/>
        <v>3422202.7424986889</v>
      </c>
      <c r="H51" s="48">
        <f t="shared" si="22"/>
        <v>2946706.0273339511</v>
      </c>
      <c r="I51" s="48">
        <f t="shared" si="22"/>
        <v>2477020.4587830519</v>
      </c>
      <c r="J51" s="48">
        <f t="shared" si="22"/>
        <v>2008287.5372180294</v>
      </c>
      <c r="K51" s="48">
        <f t="shared" si="22"/>
        <v>1539570.493102771</v>
      </c>
      <c r="L51" s="48">
        <f t="shared" si="22"/>
        <v>1070837.5715377482</v>
      </c>
      <c r="M51" s="48">
        <f t="shared" si="22"/>
        <v>760683.216737682</v>
      </c>
      <c r="N51" s="48">
        <f t="shared" si="22"/>
        <v>686760.23075469723</v>
      </c>
      <c r="O51" s="48">
        <f t="shared" si="22"/>
        <v>613084.20275649533</v>
      </c>
      <c r="P51" s="48">
        <f t="shared" si="22"/>
        <v>539605.47123382252</v>
      </c>
      <c r="Q51" s="48">
        <f t="shared" si="22"/>
        <v>466340.44256358693</v>
      </c>
      <c r="R51" s="48">
        <f t="shared" si="22"/>
        <v>393242.01332363824</v>
      </c>
      <c r="S51" s="48">
        <f t="shared" si="22"/>
        <v>320328.72163013741</v>
      </c>
      <c r="T51" s="48">
        <f t="shared" si="22"/>
        <v>247555.59580018697</v>
      </c>
      <c r="U51" s="48">
        <f t="shared" si="22"/>
        <v>174823.92829103634</v>
      </c>
      <c r="V51" s="48">
        <f t="shared" si="22"/>
        <v>137499.40010476863</v>
      </c>
      <c r="W51" s="48">
        <f t="shared" si="22"/>
        <v>135597.03599544725</v>
      </c>
      <c r="X51" s="48">
        <f t="shared" si="22"/>
        <v>133695.09823397649</v>
      </c>
      <c r="Y51" s="48">
        <f t="shared" si="22"/>
        <v>131792.73412465511</v>
      </c>
      <c r="Z51" s="48">
        <f t="shared" si="22"/>
        <v>129890.79636318429</v>
      </c>
    </row>
    <row r="52" spans="1:26">
      <c r="B52" s="39">
        <f t="shared" ref="B52:Z52" si="23">SUM(B48:B51)-B25</f>
        <v>0</v>
      </c>
      <c r="C52" s="39">
        <f t="shared" si="23"/>
        <v>0</v>
      </c>
      <c r="D52" s="39">
        <f t="shared" si="23"/>
        <v>0</v>
      </c>
      <c r="E52" s="39">
        <f t="shared" si="23"/>
        <v>0</v>
      </c>
      <c r="F52" s="39">
        <f t="shared" si="23"/>
        <v>0</v>
      </c>
      <c r="G52" s="39">
        <f t="shared" si="23"/>
        <v>0</v>
      </c>
      <c r="H52" s="39">
        <f t="shared" si="23"/>
        <v>0</v>
      </c>
      <c r="I52" s="39">
        <f t="shared" si="23"/>
        <v>0</v>
      </c>
      <c r="J52" s="39">
        <f t="shared" si="23"/>
        <v>0</v>
      </c>
      <c r="K52" s="39">
        <f t="shared" si="23"/>
        <v>0</v>
      </c>
      <c r="L52" s="39">
        <f t="shared" si="23"/>
        <v>0</v>
      </c>
      <c r="M52" s="39">
        <f t="shared" si="23"/>
        <v>0</v>
      </c>
      <c r="N52" s="39">
        <f t="shared" si="23"/>
        <v>0</v>
      </c>
      <c r="O52" s="39">
        <f t="shared" si="23"/>
        <v>0</v>
      </c>
      <c r="P52" s="39">
        <f t="shared" si="23"/>
        <v>0</v>
      </c>
      <c r="Q52" s="39">
        <f t="shared" si="23"/>
        <v>0</v>
      </c>
      <c r="R52" s="39">
        <f t="shared" si="23"/>
        <v>0</v>
      </c>
      <c r="S52" s="39">
        <f t="shared" si="23"/>
        <v>0</v>
      </c>
      <c r="T52" s="39">
        <f t="shared" si="23"/>
        <v>0</v>
      </c>
      <c r="U52" s="39">
        <f t="shared" si="23"/>
        <v>0</v>
      </c>
      <c r="V52" s="39">
        <f t="shared" si="23"/>
        <v>0</v>
      </c>
      <c r="W52" s="39">
        <f t="shared" si="23"/>
        <v>0</v>
      </c>
      <c r="X52" s="39">
        <f t="shared" si="23"/>
        <v>0</v>
      </c>
      <c r="Y52" s="39">
        <f t="shared" si="23"/>
        <v>0</v>
      </c>
      <c r="Z52" s="39">
        <f t="shared" si="23"/>
        <v>0</v>
      </c>
    </row>
  </sheetData>
  <mergeCells count="2">
    <mergeCell ref="A1:J1"/>
    <mergeCell ref="A2:J2"/>
  </mergeCells>
  <phoneticPr fontId="19" type="noConversion"/>
  <pageMargins left="0.7" right="0.7" top="0.75" bottom="0.75" header="0.3" footer="0.3"/>
  <pageSetup orientation="portrait" r:id="rId1"/>
  <headerFooter>
    <oddHeader>&amp;RCase No. 2026-00001
KPSC 1-11 Attachment 2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8"/>
  <dimension ref="A1:AL28"/>
  <sheetViews>
    <sheetView zoomScaleNormal="100" workbookViewId="0">
      <selection activeCell="F10" sqref="F10"/>
    </sheetView>
  </sheetViews>
  <sheetFormatPr defaultRowHeight="12.5"/>
  <cols>
    <col min="1" max="1" width="5" bestFit="1" customWidth="1"/>
    <col min="2" max="2" width="5.26953125" customWidth="1"/>
    <col min="3" max="3" width="40.54296875" bestFit="1" customWidth="1"/>
    <col min="4" max="14" width="13.90625" bestFit="1" customWidth="1"/>
    <col min="15" max="24" width="12.81640625" bestFit="1" customWidth="1"/>
  </cols>
  <sheetData>
    <row r="1" spans="1:38">
      <c r="A1" t="s">
        <v>53</v>
      </c>
    </row>
    <row r="2" spans="1:38" ht="13">
      <c r="A2" s="25" t="s">
        <v>41</v>
      </c>
      <c r="B2" s="25"/>
      <c r="C2" s="25"/>
      <c r="D2" s="129" t="str">
        <f>'50% Rev Req'!B3</f>
        <v>Year 1</v>
      </c>
      <c r="E2" s="129" t="str">
        <f>'50% Rev Req'!C3</f>
        <v>Year 2</v>
      </c>
      <c r="F2" s="129" t="str">
        <f>'50% Rev Req'!D3</f>
        <v>Year 3</v>
      </c>
      <c r="G2" s="129" t="str">
        <f>'50% Rev Req'!E3</f>
        <v>Year 4</v>
      </c>
      <c r="H2" s="129" t="str">
        <f>'50% Rev Req'!F3</f>
        <v>Year 5</v>
      </c>
      <c r="I2" s="129" t="str">
        <f>'50% Rev Req'!G3</f>
        <v>Year 6</v>
      </c>
      <c r="J2" s="129" t="str">
        <f>'50% Rev Req'!H3</f>
        <v>Year 7</v>
      </c>
      <c r="K2" s="129" t="str">
        <f>'50% Rev Req'!I3</f>
        <v>Year 8</v>
      </c>
      <c r="L2" s="129" t="str">
        <f>'50% Rev Req'!J3</f>
        <v>Year 9</v>
      </c>
      <c r="M2" s="129" t="str">
        <f>'50% Rev Req'!K3</f>
        <v>Year 10</v>
      </c>
      <c r="N2" s="129" t="str">
        <f>'50% Rev Req'!L3</f>
        <v>Year 11</v>
      </c>
      <c r="O2" s="129" t="str">
        <f>'50% Rev Req'!M3</f>
        <v>Year 12</v>
      </c>
      <c r="P2" s="129" t="str">
        <f>'50% Rev Req'!N3</f>
        <v>Year 13</v>
      </c>
      <c r="Q2" s="129" t="str">
        <f>'50% Rev Req'!O3</f>
        <v>Year 14</v>
      </c>
      <c r="R2" s="129" t="str">
        <f>'50% Rev Req'!P3</f>
        <v>Year 15</v>
      </c>
      <c r="S2" s="129" t="str">
        <f>'50% Rev Req'!Q3</f>
        <v>Year 16</v>
      </c>
      <c r="T2" s="129" t="str">
        <f>'50% Rev Req'!R3</f>
        <v>Year 17</v>
      </c>
      <c r="U2" s="129" t="str">
        <f>'50% Rev Req'!S3</f>
        <v>Year 18</v>
      </c>
      <c r="V2" s="129" t="str">
        <f>'50% Rev Req'!T3</f>
        <v>Year 19</v>
      </c>
      <c r="W2" s="129" t="str">
        <f>'50% Rev Req'!U3</f>
        <v>Year 20</v>
      </c>
      <c r="X2" s="129" t="str">
        <f>'50% Rev Req'!V3</f>
        <v>Year 21</v>
      </c>
      <c r="Y2" s="129" t="str">
        <f>'50% Rev Req'!W3</f>
        <v>Year 22</v>
      </c>
      <c r="Z2" s="129" t="str">
        <f>'50% Rev Req'!X3</f>
        <v>Year 23</v>
      </c>
      <c r="AA2" s="129" t="str">
        <f>'50% Rev Req'!Y3</f>
        <v>Year 24</v>
      </c>
      <c r="AB2" s="129" t="str">
        <f>'50% Rev Req'!Z3</f>
        <v>Year 25</v>
      </c>
      <c r="AC2" s="129" t="e">
        <f>'50% Rev Req'!#REF!</f>
        <v>#REF!</v>
      </c>
      <c r="AD2" s="129" t="e">
        <f>'50% Rev Req'!#REF!</f>
        <v>#REF!</v>
      </c>
      <c r="AE2" s="129" t="e">
        <f>'50% Rev Req'!#REF!</f>
        <v>#REF!</v>
      </c>
      <c r="AF2" s="129" t="e">
        <f>'50% Rev Req'!#REF!</f>
        <v>#REF!</v>
      </c>
      <c r="AG2" s="129" t="e">
        <f>'50% Rev Req'!#REF!</f>
        <v>#REF!</v>
      </c>
      <c r="AH2" s="129" t="e">
        <f>'50% Rev Req'!#REF!</f>
        <v>#REF!</v>
      </c>
      <c r="AI2" s="129" t="e">
        <f>'50% Rev Req'!#REF!</f>
        <v>#REF!</v>
      </c>
      <c r="AJ2" s="129" t="e">
        <f>'50% Rev Req'!#REF!</f>
        <v>#REF!</v>
      </c>
      <c r="AK2" s="129" t="e">
        <f>'50% Rev Req'!#REF!</f>
        <v>#REF!</v>
      </c>
      <c r="AL2" s="129" t="e">
        <f>'50% Rev Req'!#REF!</f>
        <v>#REF!</v>
      </c>
    </row>
    <row r="3" spans="1:38" ht="13">
      <c r="A3" s="56" t="s">
        <v>42</v>
      </c>
      <c r="B3" s="56"/>
      <c r="C3" s="56" t="s">
        <v>43</v>
      </c>
      <c r="D3" s="128">
        <f>'50% Rev Req'!B4</f>
        <v>2029</v>
      </c>
      <c r="E3" s="128">
        <f>'50% Rev Req'!C4</f>
        <v>2030</v>
      </c>
      <c r="F3" s="128">
        <f>'50% Rev Req'!D4</f>
        <v>2031</v>
      </c>
      <c r="G3" s="128">
        <f>'50% Rev Req'!E4</f>
        <v>2032</v>
      </c>
      <c r="H3" s="128">
        <f>'50% Rev Req'!F4</f>
        <v>2033</v>
      </c>
      <c r="I3" s="128">
        <f>'50% Rev Req'!G4</f>
        <v>2034</v>
      </c>
      <c r="J3" s="128">
        <f>'50% Rev Req'!H4</f>
        <v>2035</v>
      </c>
      <c r="K3" s="128">
        <f>'50% Rev Req'!I4</f>
        <v>2036</v>
      </c>
      <c r="L3" s="128">
        <f>'50% Rev Req'!J4</f>
        <v>2037</v>
      </c>
      <c r="M3" s="128">
        <f>'50% Rev Req'!K4</f>
        <v>2038</v>
      </c>
      <c r="N3" s="128">
        <f>'50% Rev Req'!L4</f>
        <v>2039</v>
      </c>
      <c r="O3" s="128">
        <f>'50% Rev Req'!M4</f>
        <v>2040</v>
      </c>
      <c r="P3" s="128">
        <f>'50% Rev Req'!N4</f>
        <v>2041</v>
      </c>
      <c r="Q3" s="128">
        <f>'50% Rev Req'!O4</f>
        <v>2042</v>
      </c>
      <c r="R3" s="128">
        <f>'50% Rev Req'!P4</f>
        <v>2043</v>
      </c>
      <c r="S3" s="128">
        <f>'50% Rev Req'!Q4</f>
        <v>2044</v>
      </c>
      <c r="T3" s="128">
        <f>'50% Rev Req'!R4</f>
        <v>2045</v>
      </c>
      <c r="U3" s="128">
        <f>'50% Rev Req'!S4</f>
        <v>2046</v>
      </c>
      <c r="V3" s="128">
        <f>'50% Rev Req'!T4</f>
        <v>2047</v>
      </c>
      <c r="W3" s="128">
        <f>'50% Rev Req'!U4</f>
        <v>2048</v>
      </c>
      <c r="X3" s="128">
        <f>'50% Rev Req'!V4</f>
        <v>2049</v>
      </c>
      <c r="Y3" s="128">
        <f>'50% Rev Req'!W4</f>
        <v>2050</v>
      </c>
      <c r="Z3" s="128">
        <f>'50% Rev Req'!X4</f>
        <v>2051</v>
      </c>
      <c r="AA3" s="128">
        <f>'50% Rev Req'!Y4</f>
        <v>2052</v>
      </c>
      <c r="AB3" s="128">
        <f>'50% Rev Req'!Z4</f>
        <v>2053</v>
      </c>
      <c r="AC3" s="128" t="e">
        <f>'50% Rev Req'!#REF!</f>
        <v>#REF!</v>
      </c>
      <c r="AD3" s="128" t="e">
        <f>'50% Rev Req'!#REF!</f>
        <v>#REF!</v>
      </c>
      <c r="AE3" s="128" t="e">
        <f>'50% Rev Req'!#REF!</f>
        <v>#REF!</v>
      </c>
      <c r="AF3" s="128" t="e">
        <f>'50% Rev Req'!#REF!</f>
        <v>#REF!</v>
      </c>
      <c r="AG3" s="128" t="e">
        <f>'50% Rev Req'!#REF!</f>
        <v>#REF!</v>
      </c>
      <c r="AH3" s="128" t="e">
        <f>'50% Rev Req'!#REF!</f>
        <v>#REF!</v>
      </c>
      <c r="AI3" s="128" t="e">
        <f>'50% Rev Req'!#REF!</f>
        <v>#REF!</v>
      </c>
      <c r="AJ3" s="128" t="e">
        <f>'50% Rev Req'!#REF!</f>
        <v>#REF!</v>
      </c>
      <c r="AK3" s="128" t="e">
        <f>'50% Rev Req'!#REF!</f>
        <v>#REF!</v>
      </c>
      <c r="AL3" s="128" t="e">
        <f>'50% Rev Req'!#REF!</f>
        <v>#REF!</v>
      </c>
    </row>
    <row r="4" spans="1:38" ht="13">
      <c r="A4" s="25">
        <v>1</v>
      </c>
      <c r="B4" s="24"/>
      <c r="C4" s="24" t="s">
        <v>105</v>
      </c>
      <c r="D4" s="124"/>
      <c r="E4" s="124"/>
      <c r="F4" s="124"/>
      <c r="G4" s="124"/>
      <c r="H4" s="124"/>
      <c r="I4" s="124"/>
      <c r="J4" s="124"/>
      <c r="K4" s="124"/>
      <c r="L4" s="124"/>
      <c r="M4" s="124"/>
      <c r="N4" s="124"/>
      <c r="O4" s="124"/>
      <c r="P4" s="124"/>
      <c r="Q4" s="124"/>
      <c r="R4" s="124"/>
      <c r="S4" s="124"/>
      <c r="T4" s="124"/>
      <c r="U4" s="124"/>
      <c r="V4" s="124"/>
      <c r="W4" s="124"/>
      <c r="X4" s="124"/>
      <c r="Y4" s="124"/>
      <c r="Z4" s="124"/>
      <c r="AA4" s="124"/>
      <c r="AB4" s="124"/>
      <c r="AC4" s="124"/>
      <c r="AD4" s="124"/>
      <c r="AE4" s="124"/>
      <c r="AF4" s="124"/>
      <c r="AG4" s="124"/>
      <c r="AH4" s="124"/>
      <c r="AI4" s="124"/>
      <c r="AJ4" s="124"/>
      <c r="AK4" s="124"/>
      <c r="AL4" s="124"/>
    </row>
    <row r="5" spans="1:38">
      <c r="A5" s="24"/>
      <c r="B5" s="24"/>
      <c r="C5" s="24"/>
    </row>
    <row r="6" spans="1:38">
      <c r="A6" s="27">
        <v>2</v>
      </c>
      <c r="B6" s="24"/>
      <c r="C6" s="24" t="s">
        <v>44</v>
      </c>
      <c r="D6" s="124">
        <f>'Total Rev Req'!B13</f>
        <v>100233.18166647268</v>
      </c>
      <c r="E6" s="124">
        <f>'Total Rev Req'!C13</f>
        <v>91533.693773819439</v>
      </c>
      <c r="F6" s="124">
        <f>'Total Rev Req'!D13</f>
        <v>82980.280202597802</v>
      </c>
      <c r="G6" s="124">
        <f>'Total Rev Req'!E13</f>
        <v>74561.621540445922</v>
      </c>
      <c r="H6" s="124">
        <f>'Total Rev Req'!F13</f>
        <v>66268.015433910783</v>
      </c>
      <c r="I6" s="124">
        <f>'Total Rev Req'!G13</f>
        <v>58089.759529539318</v>
      </c>
      <c r="J6" s="124">
        <f>'Total Rev Req'!H13</f>
        <v>50018.499022969241</v>
      </c>
      <c r="K6" s="124">
        <f>'Total Rev Req'!I13</f>
        <v>42045.879109838213</v>
      </c>
      <c r="L6" s="124">
        <f>'Total Rev Req'!J13</f>
        <v>34089.429785795568</v>
      </c>
      <c r="M6" s="124">
        <f>'Total Rev Req'!K13</f>
        <v>26133.249971571055</v>
      </c>
      <c r="N6" s="124">
        <f>'Total Rev Req'!L13</f>
        <v>18176.800647528406</v>
      </c>
      <c r="O6" s="124">
        <f>'Total Rev Req'!M13</f>
        <v>12912.123700241385</v>
      </c>
      <c r="P6" s="124">
        <f>'Total Rev Req'!N13</f>
        <v>0</v>
      </c>
      <c r="Q6" s="124">
        <f>'Total Rev Req'!O13</f>
        <v>0</v>
      </c>
      <c r="R6" s="124">
        <f>'Total Rev Req'!P13</f>
        <v>0</v>
      </c>
      <c r="S6" s="124">
        <f>'Total Rev Req'!Q13</f>
        <v>0</v>
      </c>
      <c r="T6" s="124">
        <f>'Total Rev Req'!R13</f>
        <v>0</v>
      </c>
      <c r="U6" s="124">
        <f>'Total Rev Req'!S13</f>
        <v>0</v>
      </c>
      <c r="V6" s="124">
        <f>'Total Rev Req'!T13</f>
        <v>0</v>
      </c>
      <c r="W6" s="124">
        <f>'Total Rev Req'!U13</f>
        <v>0</v>
      </c>
      <c r="X6" s="124">
        <f>'Total Rev Req'!V13</f>
        <v>0</v>
      </c>
      <c r="Y6" s="124">
        <f>'Total Rev Req'!W13</f>
        <v>0</v>
      </c>
      <c r="Z6" s="124">
        <f>'Total Rev Req'!X13</f>
        <v>0</v>
      </c>
      <c r="AA6" s="124">
        <f>'Total Rev Req'!Y13</f>
        <v>0</v>
      </c>
      <c r="AB6" s="124">
        <f>'Total Rev Req'!Z13</f>
        <v>0</v>
      </c>
      <c r="AC6" s="124">
        <f>'Total Rev Req'!AA13</f>
        <v>0</v>
      </c>
      <c r="AD6" s="124">
        <f>'Total Rev Req'!AB13</f>
        <v>0</v>
      </c>
      <c r="AE6" s="124">
        <f>'Total Rev Req'!AC13</f>
        <v>0</v>
      </c>
      <c r="AF6" s="124">
        <f>'Total Rev Req'!AD13</f>
        <v>0</v>
      </c>
      <c r="AG6" s="124">
        <f>'Total Rev Req'!AE13</f>
        <v>0</v>
      </c>
      <c r="AH6" s="124">
        <f>'Total Rev Req'!AF13</f>
        <v>0</v>
      </c>
      <c r="AI6" s="124">
        <f>'Total Rev Req'!AG13</f>
        <v>0</v>
      </c>
      <c r="AJ6" s="124">
        <f>'Total Rev Req'!AH13</f>
        <v>0</v>
      </c>
      <c r="AK6" s="124">
        <f>'Total Rev Req'!AI13</f>
        <v>0</v>
      </c>
      <c r="AL6" s="124">
        <f>'Total Rev Req'!AJ13</f>
        <v>0</v>
      </c>
    </row>
    <row r="7" spans="1:38">
      <c r="A7" s="27">
        <v>3</v>
      </c>
      <c r="B7" s="24"/>
      <c r="C7" s="24" t="s">
        <v>45</v>
      </c>
      <c r="D7" s="124">
        <f>'Total Rev Req'!B14</f>
        <v>15516916.666666666</v>
      </c>
      <c r="E7" s="124">
        <f>'Total Rev Req'!C14</f>
        <v>15516916.666666666</v>
      </c>
      <c r="F7" s="124">
        <f>'Total Rev Req'!D14</f>
        <v>15516916.666666666</v>
      </c>
      <c r="G7" s="124">
        <f>'Total Rev Req'!E14</f>
        <v>15516916.666666666</v>
      </c>
      <c r="H7" s="124">
        <f>'Total Rev Req'!F14</f>
        <v>15516916.666666666</v>
      </c>
      <c r="I7" s="124">
        <f>'Total Rev Req'!G14</f>
        <v>15516916.666666666</v>
      </c>
      <c r="J7" s="124">
        <f>'Total Rev Req'!H14</f>
        <v>15516916.666666666</v>
      </c>
      <c r="K7" s="124">
        <f>'Total Rev Req'!I14</f>
        <v>15516916.666666666</v>
      </c>
      <c r="L7" s="124">
        <f>'Total Rev Req'!J14</f>
        <v>15516916.666666666</v>
      </c>
      <c r="M7" s="124">
        <f>'Total Rev Req'!K14</f>
        <v>15516916.666666666</v>
      </c>
      <c r="N7" s="124">
        <f>'Total Rev Req'!L14</f>
        <v>15516916.666666666</v>
      </c>
      <c r="O7" s="124">
        <f>'Total Rev Req'!M14</f>
        <v>15933583.333333332</v>
      </c>
      <c r="P7" s="124">
        <f>'Total Rev Req'!N14</f>
        <v>0</v>
      </c>
      <c r="Q7" s="124">
        <f>'Total Rev Req'!O14</f>
        <v>0</v>
      </c>
      <c r="R7" s="124">
        <f>'Total Rev Req'!P14</f>
        <v>0</v>
      </c>
      <c r="S7" s="124">
        <f>'Total Rev Req'!Q14</f>
        <v>0</v>
      </c>
      <c r="T7" s="124">
        <f>'Total Rev Req'!R14</f>
        <v>0</v>
      </c>
      <c r="U7" s="124">
        <f>'Total Rev Req'!S14</f>
        <v>0</v>
      </c>
      <c r="V7" s="124">
        <f>'Total Rev Req'!T14</f>
        <v>0</v>
      </c>
      <c r="W7" s="124">
        <f>'Total Rev Req'!U14</f>
        <v>0</v>
      </c>
      <c r="X7" s="124">
        <f>'Total Rev Req'!V14</f>
        <v>0</v>
      </c>
      <c r="Y7" s="124">
        <f>'Total Rev Req'!W14</f>
        <v>0</v>
      </c>
      <c r="Z7" s="124">
        <f>'Total Rev Req'!X14</f>
        <v>0</v>
      </c>
      <c r="AA7" s="124">
        <f>'Total Rev Req'!Y14</f>
        <v>0</v>
      </c>
      <c r="AB7" s="124">
        <f>'Total Rev Req'!Z14</f>
        <v>0</v>
      </c>
      <c r="AC7" s="124">
        <f>'Total Rev Req'!AA14</f>
        <v>0</v>
      </c>
      <c r="AD7" s="124">
        <f>'Total Rev Req'!AB14</f>
        <v>0</v>
      </c>
      <c r="AE7" s="124">
        <f>'Total Rev Req'!AC14</f>
        <v>0</v>
      </c>
      <c r="AF7" s="124">
        <f>'Total Rev Req'!AD14</f>
        <v>0</v>
      </c>
      <c r="AG7" s="124">
        <f>'Total Rev Req'!AE14</f>
        <v>0</v>
      </c>
      <c r="AH7" s="124">
        <f>'Total Rev Req'!AF14</f>
        <v>0</v>
      </c>
      <c r="AI7" s="124">
        <f>'Total Rev Req'!AG14</f>
        <v>0</v>
      </c>
      <c r="AJ7" s="124">
        <f>'Total Rev Req'!AH14</f>
        <v>0</v>
      </c>
      <c r="AK7" s="124">
        <f>'Total Rev Req'!AI14</f>
        <v>0</v>
      </c>
      <c r="AL7" s="124">
        <f>'Total Rev Req'!AJ14</f>
        <v>0</v>
      </c>
    </row>
    <row r="8" spans="1:38">
      <c r="A8" s="27">
        <v>4</v>
      </c>
      <c r="B8" s="24"/>
      <c r="C8" s="24" t="s">
        <v>46</v>
      </c>
    </row>
    <row r="9" spans="1:38">
      <c r="A9" s="27">
        <v>5</v>
      </c>
      <c r="B9" s="24"/>
      <c r="C9" s="24" t="s">
        <v>47</v>
      </c>
      <c r="D9" s="125">
        <f>'Total Rev Req'!B23*(WACD)</f>
        <v>4860345.1713057915</v>
      </c>
      <c r="E9" s="125">
        <f>'Total Rev Req'!C23*(WACD)</f>
        <v>4438503.6885861671</v>
      </c>
      <c r="F9" s="125">
        <f>'Total Rev Req'!D23*(WACD)</f>
        <v>4023745.4053721135</v>
      </c>
      <c r="G9" s="125">
        <f>'Total Rev Req'!E23*(WACD)</f>
        <v>3615521.4390451205</v>
      </c>
      <c r="H9" s="125">
        <f>'Total Rev Req'!F23*(WACD)</f>
        <v>3213361.3187893177</v>
      </c>
      <c r="I9" s="125">
        <f>'Total Rev Req'!G23*(WACD)</f>
        <v>2816794.5737888375</v>
      </c>
      <c r="J9" s="125">
        <f>'Total Rev Req'!H23*(WACD)</f>
        <v>2425416.0763966823</v>
      </c>
      <c r="K9" s="125">
        <f>'Total Rev Req'!I23*(WACD)</f>
        <v>2038820.6989658533</v>
      </c>
      <c r="L9" s="125">
        <f>'Total Rev Req'!J23*(WACD)</f>
        <v>1653009.439561473</v>
      </c>
      <c r="M9" s="125">
        <f>'Total Rev Req'!K23*(WACD)</f>
        <v>1267211.2487908662</v>
      </c>
      <c r="N9" s="125">
        <f>'Total Rev Req'!L23*(WACD)</f>
        <v>881399.98938648531</v>
      </c>
      <c r="O9" s="125">
        <f>'Total Rev Req'!M23*(WACD)</f>
        <v>626113.7981890802</v>
      </c>
      <c r="P9" s="125">
        <f>'Total Rev Req'!N23*(WACD)</f>
        <v>565268.23132383195</v>
      </c>
      <c r="Q9" s="125">
        <f>'Total Rev Req'!O23*(WACD)</f>
        <v>504625.93409625062</v>
      </c>
      <c r="R9" s="125">
        <f>'Total Rev Req'!P23*(WACD)</f>
        <v>444146.03041560802</v>
      </c>
      <c r="S9" s="125">
        <f>'Total Rev Req'!Q23*(WACD)</f>
        <v>383842.02427244122</v>
      </c>
      <c r="T9" s="125">
        <f>'Total Rev Req'!R23*(WACD)</f>
        <v>323675.14512219065</v>
      </c>
      <c r="U9" s="125">
        <f>'Total Rev Req'!S23*(WACD)</f>
        <v>263660.65157720027</v>
      </c>
      <c r="V9" s="125">
        <f>'Total Rev Req'!T23*(WACD)</f>
        <v>203761.52771471767</v>
      </c>
      <c r="W9" s="125">
        <f>'Total Rev Req'!U23*(WACD)</f>
        <v>143896.52794769467</v>
      </c>
      <c r="X9" s="125">
        <f>'Total Rev Req'!V23*(WACD)</f>
        <v>113174.93242131635</v>
      </c>
      <c r="Y9" s="125">
        <f>'Total Rev Req'!W23*(WACD)</f>
        <v>111609.10792063392</v>
      </c>
      <c r="Z9" s="125">
        <f>'Total Rev Req'!X23*(WACD)</f>
        <v>110043.63434431292</v>
      </c>
      <c r="AA9" s="125">
        <f>'Total Rev Req'!Y23*(WACD)</f>
        <v>108477.80984363047</v>
      </c>
      <c r="AB9" s="125">
        <f>'Total Rev Req'!Z23*(WACD)</f>
        <v>106912.33626730944</v>
      </c>
      <c r="AC9" s="125">
        <f>'Total Rev Req'!AA23*(WACD)</f>
        <v>0</v>
      </c>
      <c r="AD9" s="125">
        <f>'Total Rev Req'!AB23*(WACD)</f>
        <v>0</v>
      </c>
      <c r="AE9" s="125">
        <f>'Total Rev Req'!AC23*(WACD)</f>
        <v>0</v>
      </c>
      <c r="AF9" s="125">
        <f>'Total Rev Req'!AD23*(WACD)</f>
        <v>0</v>
      </c>
      <c r="AG9" s="125">
        <f>'Total Rev Req'!AE23*(WACD)</f>
        <v>0</v>
      </c>
      <c r="AH9" s="125">
        <f>'Total Rev Req'!AF23*(WACD)</f>
        <v>0</v>
      </c>
      <c r="AI9" s="125">
        <f>'Total Rev Req'!AG23*(WACD)</f>
        <v>0</v>
      </c>
      <c r="AJ9" s="125">
        <f>'Total Rev Req'!AH23*(WACD)</f>
        <v>0</v>
      </c>
      <c r="AK9" s="125">
        <f>'Total Rev Req'!AI23*(WACD)</f>
        <v>0</v>
      </c>
      <c r="AL9" s="125">
        <f>'Total Rev Req'!AJ23*(WACD)</f>
        <v>0</v>
      </c>
    </row>
    <row r="10" spans="1:38">
      <c r="A10" s="27"/>
      <c r="B10" s="24"/>
      <c r="C10" s="24"/>
      <c r="D10" s="125"/>
      <c r="E10" s="125"/>
      <c r="F10" s="125"/>
      <c r="G10" s="125"/>
      <c r="H10" s="125"/>
      <c r="I10" s="125"/>
      <c r="J10" s="125"/>
      <c r="K10" s="125"/>
      <c r="L10" s="125"/>
      <c r="M10" s="125"/>
      <c r="N10" s="125"/>
      <c r="O10" s="125"/>
      <c r="P10" s="125"/>
      <c r="Q10" s="125"/>
      <c r="R10" s="125"/>
      <c r="S10" s="125"/>
      <c r="T10" s="125"/>
      <c r="U10" s="125"/>
      <c r="V10" s="125"/>
      <c r="W10" s="125"/>
      <c r="X10" s="125"/>
      <c r="Y10" s="125"/>
      <c r="Z10" s="125"/>
      <c r="AA10" s="125"/>
      <c r="AB10" s="125"/>
      <c r="AC10" s="125"/>
      <c r="AD10" s="125"/>
      <c r="AE10" s="125"/>
      <c r="AF10" s="125"/>
      <c r="AG10" s="125"/>
      <c r="AH10" s="125"/>
      <c r="AI10" s="125"/>
      <c r="AJ10" s="125"/>
      <c r="AK10" s="125"/>
      <c r="AL10" s="125"/>
    </row>
    <row r="11" spans="1:38" ht="13">
      <c r="A11" s="25">
        <v>6</v>
      </c>
      <c r="B11" s="24"/>
      <c r="C11" s="26" t="s">
        <v>48</v>
      </c>
      <c r="D11" s="31">
        <f>D4-D6-D7-D8-D9</f>
        <v>-20477495.01963893</v>
      </c>
      <c r="E11" s="31">
        <f>E4-E6-E7-E8-E9</f>
        <v>-20046954.049026653</v>
      </c>
      <c r="F11" s="31">
        <f>F4-F6-F7-F8-F9</f>
        <v>-19623642.352241378</v>
      </c>
      <c r="G11" s="31">
        <f>G4-G6-G7-G8-G9</f>
        <v>-19206999.727252234</v>
      </c>
      <c r="H11" s="31">
        <f t="shared" ref="H11:X11" si="0">H4-H6-H7-H8-H9</f>
        <v>-18796546.000889894</v>
      </c>
      <c r="I11" s="31">
        <f t="shared" si="0"/>
        <v>-18391800.999985043</v>
      </c>
      <c r="J11" s="31">
        <f t="shared" si="0"/>
        <v>-17992351.242086317</v>
      </c>
      <c r="K11" s="31">
        <f t="shared" si="0"/>
        <v>-17597783.24474236</v>
      </c>
      <c r="L11" s="31">
        <f t="shared" si="0"/>
        <v>-17204015.536013935</v>
      </c>
      <c r="M11" s="31">
        <f t="shared" si="0"/>
        <v>-16810261.165429104</v>
      </c>
      <c r="N11" s="31">
        <f t="shared" si="0"/>
        <v>-16416493.456700681</v>
      </c>
      <c r="O11" s="31">
        <f t="shared" si="0"/>
        <v>-16572609.255222652</v>
      </c>
      <c r="P11" s="31">
        <f t="shared" si="0"/>
        <v>-565268.23132383195</v>
      </c>
      <c r="Q11" s="31">
        <f t="shared" si="0"/>
        <v>-504625.93409625062</v>
      </c>
      <c r="R11" s="31">
        <f t="shared" si="0"/>
        <v>-444146.03041560802</v>
      </c>
      <c r="S11" s="31">
        <f t="shared" si="0"/>
        <v>-383842.02427244122</v>
      </c>
      <c r="T11" s="31">
        <f t="shared" si="0"/>
        <v>-323675.14512219065</v>
      </c>
      <c r="U11" s="31">
        <f t="shared" si="0"/>
        <v>-263660.65157720027</v>
      </c>
      <c r="V11" s="31">
        <f t="shared" si="0"/>
        <v>-203761.52771471767</v>
      </c>
      <c r="W11" s="31">
        <f t="shared" si="0"/>
        <v>-143896.52794769467</v>
      </c>
      <c r="X11" s="31">
        <f t="shared" si="0"/>
        <v>-113174.93242131635</v>
      </c>
      <c r="Y11" s="31">
        <f t="shared" ref="Y11:AK11" si="1">Y4-Y6-Y7-Y8-Y9</f>
        <v>-111609.10792063392</v>
      </c>
      <c r="Z11" s="31">
        <f t="shared" si="1"/>
        <v>-110043.63434431292</v>
      </c>
      <c r="AA11" s="31">
        <f t="shared" si="1"/>
        <v>-108477.80984363047</v>
      </c>
      <c r="AB11" s="31">
        <f t="shared" si="1"/>
        <v>-106912.33626730944</v>
      </c>
      <c r="AC11" s="31">
        <f t="shared" si="1"/>
        <v>0</v>
      </c>
      <c r="AD11" s="31">
        <f t="shared" si="1"/>
        <v>0</v>
      </c>
      <c r="AE11" s="31">
        <f t="shared" si="1"/>
        <v>0</v>
      </c>
      <c r="AF11" s="31">
        <f t="shared" si="1"/>
        <v>0</v>
      </c>
      <c r="AG11" s="31">
        <f t="shared" si="1"/>
        <v>0</v>
      </c>
      <c r="AH11" s="31">
        <f t="shared" si="1"/>
        <v>0</v>
      </c>
      <c r="AI11" s="31">
        <f t="shared" si="1"/>
        <v>0</v>
      </c>
      <c r="AJ11" s="31">
        <f t="shared" si="1"/>
        <v>0</v>
      </c>
      <c r="AK11" s="31">
        <f t="shared" si="1"/>
        <v>0</v>
      </c>
      <c r="AL11" s="31">
        <f>AL4-AL6-AL7-AL8-AL9</f>
        <v>0</v>
      </c>
    </row>
    <row r="12" spans="1:38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</row>
    <row r="13" spans="1:38" ht="12" customHeight="1">
      <c r="A13" s="27">
        <v>7</v>
      </c>
      <c r="B13" s="24"/>
      <c r="C13" s="24" t="s">
        <v>6</v>
      </c>
    </row>
    <row r="14" spans="1:38">
      <c r="A14" s="27">
        <v>8</v>
      </c>
      <c r="B14" s="24"/>
      <c r="C14" s="24" t="s">
        <v>49</v>
      </c>
      <c r="D14" s="124">
        <f>-('Rate Base - coal'!C59-'Rate Base - coal'!C19)*1000</f>
        <v>8534304.1666666642</v>
      </c>
      <c r="E14" s="124">
        <f>-('Rate Base - coal'!D59-'Rate Base - coal'!D19)*1000</f>
        <v>2074922.0966666653</v>
      </c>
      <c r="F14" s="124">
        <f>-('Rate Base - coal'!E59-'Rate Base - coal'!E19)*1000</f>
        <v>3084142.3566666674</v>
      </c>
      <c r="G14" s="124">
        <f>-('Rate Base - coal'!F59-'Rate Base - coal'!F19)*1000</f>
        <v>4015157.3566666665</v>
      </c>
      <c r="H14" s="124">
        <f>-('Rate Base - coal'!G59-'Rate Base - coal'!G19)*1000</f>
        <v>4879139.2766666664</v>
      </c>
      <c r="I14" s="124">
        <f>-('Rate Base - coal'!H59-'Rate Base - coal'!H19)*1000</f>
        <v>5676088.1166666662</v>
      </c>
      <c r="J14" s="124">
        <f>-('Rate Base - coal'!I59-'Rate Base - coal'!I19)*1000</f>
        <v>6415314.0266666673</v>
      </c>
      <c r="K14" s="124">
        <f>-('Rate Base - coal'!J59-'Rate Base - coal'!J19)*1000</f>
        <v>7096817.0066666659</v>
      </c>
      <c r="L14" s="124">
        <f>-('Rate Base - coal'!K59-'Rate Base - coal'!K19)*1000</f>
        <v>7208538.8066666657</v>
      </c>
      <c r="M14" s="124">
        <f>-('Rate Base - coal'!L59-'Rate Base - coal'!L19)*1000</f>
        <v>7210400.836666666</v>
      </c>
      <c r="N14" s="124">
        <f>-('Rate Base - coal'!M59-'Rate Base - coal'!M19)*1000</f>
        <v>7208538.8066666657</v>
      </c>
      <c r="O14" s="124">
        <f>-('Rate Base - coal'!N59-'Rate Base - coal'!N19)*1000</f>
        <v>7439567.503333332</v>
      </c>
      <c r="P14" s="124">
        <f>-('Rate Base - coal'!O59-'Rate Base - coal'!O19)*1000</f>
        <v>-8669327.8600000013</v>
      </c>
      <c r="Q14" s="124">
        <f>-('Rate Base - coal'!P59-'Rate Base - coal'!P19)*1000</f>
        <v>-8640365.8300000001</v>
      </c>
      <c r="R14" s="124">
        <f>-('Rate Base - coal'!Q59-'Rate Base - coal'!Q19)*1000</f>
        <v>-8617227.8600000013</v>
      </c>
      <c r="S14" s="124">
        <f>-('Rate Base - coal'!R59-'Rate Base - coal'!R19)*1000</f>
        <v>-8592165.8300000001</v>
      </c>
      <c r="T14" s="124">
        <f>-('Rate Base - coal'!S59-'Rate Base - coal'!S19)*1000</f>
        <v>-8572627.8600000013</v>
      </c>
      <c r="U14" s="124">
        <f>-('Rate Base - coal'!T59-'Rate Base - coal'!T19)*1000</f>
        <v>-8550915.8300000001</v>
      </c>
      <c r="V14" s="124">
        <f>-('Rate Base - coal'!U59-'Rate Base - coal'!U19)*1000</f>
        <v>-8534477.8600000013</v>
      </c>
      <c r="W14" s="124">
        <f>-('Rate Base - coal'!V59-'Rate Base - coal'!V19)*1000</f>
        <v>-8529615.8300000001</v>
      </c>
      <c r="X14" s="124">
        <f>-('Rate Base - coal'!W59-'Rate Base - coal'!W19)*1000</f>
        <v>-4377238.9300000006</v>
      </c>
      <c r="Y14" s="124">
        <f>-('Rate Base - coal'!X59-'Rate Base - coal'!X19)*1000</f>
        <v>-223100</v>
      </c>
      <c r="Z14" s="124">
        <f>-('Rate Base - coal'!Y59-'Rate Base - coal'!Y19)*1000</f>
        <v>-223049.99999999997</v>
      </c>
      <c r="AA14" s="124">
        <f>-('Rate Base - coal'!Z59-'Rate Base - coal'!Z19)*1000</f>
        <v>-223100</v>
      </c>
      <c r="AB14" s="124">
        <f>-('Rate Base - coal'!AA59-'Rate Base - coal'!AA19)*1000</f>
        <v>-223049.99999999997</v>
      </c>
      <c r="AC14" s="124">
        <f>-('Rate Base - coal'!AB59-'Rate Base - coal'!AB19)*1000</f>
        <v>0</v>
      </c>
      <c r="AD14" s="124">
        <f>-('Rate Base - coal'!AC59-'Rate Base - coal'!AC19)*1000</f>
        <v>0</v>
      </c>
      <c r="AE14" s="124">
        <f>-('Rate Base - coal'!AD59-'Rate Base - coal'!AD19)*1000</f>
        <v>0</v>
      </c>
      <c r="AF14" s="124">
        <f>-('Rate Base - coal'!AE59-'Rate Base - coal'!AE19)*1000</f>
        <v>0</v>
      </c>
      <c r="AG14" s="124">
        <f>-('Rate Base - coal'!AF59-'Rate Base - coal'!AF19)*1000</f>
        <v>0</v>
      </c>
      <c r="AH14" s="124">
        <f>-('Rate Base - coal'!AG59-'Rate Base - coal'!AG19)*1000</f>
        <v>0</v>
      </c>
      <c r="AI14" s="124">
        <f>-('Rate Base - coal'!AH59-'Rate Base - coal'!AH19)*1000</f>
        <v>0</v>
      </c>
      <c r="AJ14" s="124">
        <f>-('Rate Base - coal'!AI59-'Rate Base - coal'!AI19)*1000</f>
        <v>0</v>
      </c>
      <c r="AK14" s="124">
        <f>-('Rate Base - coal'!AJ59-'Rate Base - coal'!AJ19)*1000</f>
        <v>0</v>
      </c>
      <c r="AL14" s="124">
        <f>-('Rate Base - coal'!AK59-'Rate Base - coal'!AK19)*1000</f>
        <v>0</v>
      </c>
    </row>
    <row r="15" spans="1:38">
      <c r="A15" s="24"/>
      <c r="B15" s="24"/>
      <c r="C15" s="24"/>
    </row>
    <row r="16" spans="1:38">
      <c r="A16" s="27">
        <v>9</v>
      </c>
      <c r="B16" s="24"/>
      <c r="C16" s="24" t="s">
        <v>50</v>
      </c>
      <c r="D16" s="33">
        <f>SUM(D11:D14)</f>
        <v>-11943190.852972265</v>
      </c>
      <c r="E16" s="33">
        <f>SUM(E11:E14)</f>
        <v>-17972031.952359989</v>
      </c>
      <c r="F16" s="33">
        <f>SUM(F11:F14)</f>
        <v>-16539499.995574711</v>
      </c>
      <c r="G16" s="33">
        <f>SUM(G11:G14)</f>
        <v>-15191842.370585568</v>
      </c>
      <c r="H16" s="33">
        <f t="shared" ref="H16:X16" si="2">SUM(H11:H14)</f>
        <v>-13917406.724223226</v>
      </c>
      <c r="I16" s="33">
        <f t="shared" si="2"/>
        <v>-12715712.883318376</v>
      </c>
      <c r="J16" s="33">
        <f t="shared" si="2"/>
        <v>-11577037.21541965</v>
      </c>
      <c r="K16" s="33">
        <f t="shared" si="2"/>
        <v>-10500966.238075694</v>
      </c>
      <c r="L16" s="33">
        <f t="shared" si="2"/>
        <v>-9995476.72934727</v>
      </c>
      <c r="M16" s="33">
        <f t="shared" si="2"/>
        <v>-9599860.3287624381</v>
      </c>
      <c r="N16" s="33">
        <f t="shared" si="2"/>
        <v>-9207954.6500340141</v>
      </c>
      <c r="O16" s="33">
        <f t="shared" si="2"/>
        <v>-9133041.7518893201</v>
      </c>
      <c r="P16" s="33">
        <f t="shared" si="2"/>
        <v>-9234596.0913238339</v>
      </c>
      <c r="Q16" s="33">
        <f t="shared" si="2"/>
        <v>-9144991.7640962508</v>
      </c>
      <c r="R16" s="33">
        <f t="shared" si="2"/>
        <v>-9061373.8904156089</v>
      </c>
      <c r="S16" s="33">
        <f t="shared" si="2"/>
        <v>-8976007.8542724419</v>
      </c>
      <c r="T16" s="33">
        <f t="shared" si="2"/>
        <v>-8896303.0051221922</v>
      </c>
      <c r="U16" s="33">
        <f t="shared" si="2"/>
        <v>-8814576.4815772008</v>
      </c>
      <c r="V16" s="33">
        <f t="shared" si="2"/>
        <v>-8738239.3877147194</v>
      </c>
      <c r="W16" s="33">
        <f t="shared" si="2"/>
        <v>-8673512.3579476941</v>
      </c>
      <c r="X16" s="33">
        <f t="shared" si="2"/>
        <v>-4490413.862421317</v>
      </c>
      <c r="Y16" s="33">
        <f t="shared" ref="Y16:AK16" si="3">SUM(Y11:Y14)</f>
        <v>-334709.10792063392</v>
      </c>
      <c r="Z16" s="33">
        <f t="shared" si="3"/>
        <v>-333093.63434431289</v>
      </c>
      <c r="AA16" s="33">
        <f t="shared" si="3"/>
        <v>-331577.80984363047</v>
      </c>
      <c r="AB16" s="33">
        <f t="shared" si="3"/>
        <v>-329962.33626730938</v>
      </c>
      <c r="AC16" s="33">
        <f t="shared" si="3"/>
        <v>0</v>
      </c>
      <c r="AD16" s="33">
        <f t="shared" si="3"/>
        <v>0</v>
      </c>
      <c r="AE16" s="33">
        <f t="shared" si="3"/>
        <v>0</v>
      </c>
      <c r="AF16" s="33">
        <f t="shared" si="3"/>
        <v>0</v>
      </c>
      <c r="AG16" s="33">
        <f t="shared" si="3"/>
        <v>0</v>
      </c>
      <c r="AH16" s="33">
        <f t="shared" si="3"/>
        <v>0</v>
      </c>
      <c r="AI16" s="33">
        <f t="shared" si="3"/>
        <v>0</v>
      </c>
      <c r="AJ16" s="33">
        <f t="shared" si="3"/>
        <v>0</v>
      </c>
      <c r="AK16" s="33">
        <f t="shared" si="3"/>
        <v>0</v>
      </c>
      <c r="AL16" s="33">
        <f>SUM(AL11:AL14)</f>
        <v>0</v>
      </c>
    </row>
    <row r="17" spans="1:38">
      <c r="A17" s="24"/>
      <c r="B17" s="24"/>
      <c r="C17" s="24"/>
    </row>
    <row r="18" spans="1:38">
      <c r="A18" s="27">
        <v>10</v>
      </c>
      <c r="B18" s="24"/>
      <c r="C18" s="24" t="s">
        <v>51</v>
      </c>
      <c r="D18" s="126">
        <f>Input!$B$34</f>
        <v>5.0065000000000005E-2</v>
      </c>
      <c r="E18" s="126">
        <f>Input!$B$34</f>
        <v>5.0065000000000005E-2</v>
      </c>
      <c r="F18" s="126">
        <f>Input!$B$34</f>
        <v>5.0065000000000005E-2</v>
      </c>
      <c r="G18" s="126">
        <f>Input!$B$34</f>
        <v>5.0065000000000005E-2</v>
      </c>
      <c r="H18" s="126">
        <f>Input!$B$34</f>
        <v>5.0065000000000005E-2</v>
      </c>
      <c r="I18" s="126">
        <f>Input!$B$34</f>
        <v>5.0065000000000005E-2</v>
      </c>
      <c r="J18" s="126">
        <f>Input!$B$34</f>
        <v>5.0065000000000005E-2</v>
      </c>
      <c r="K18" s="126">
        <f>Input!$B$34</f>
        <v>5.0065000000000005E-2</v>
      </c>
      <c r="L18" s="126">
        <f>Input!$B$34</f>
        <v>5.0065000000000005E-2</v>
      </c>
      <c r="M18" s="126">
        <f>Input!$B$34</f>
        <v>5.0065000000000005E-2</v>
      </c>
      <c r="N18" s="126">
        <f>Input!$B$34</f>
        <v>5.0065000000000005E-2</v>
      </c>
      <c r="O18" s="126">
        <f>Input!$B$34</f>
        <v>5.0065000000000005E-2</v>
      </c>
      <c r="P18" s="126">
        <f>Input!$B$34</f>
        <v>5.0065000000000005E-2</v>
      </c>
      <c r="Q18" s="126">
        <f>Input!$B$34</f>
        <v>5.0065000000000005E-2</v>
      </c>
      <c r="R18" s="126">
        <f>Input!$B$34</f>
        <v>5.0065000000000005E-2</v>
      </c>
      <c r="S18" s="126">
        <f>Input!$B$34</f>
        <v>5.0065000000000005E-2</v>
      </c>
      <c r="T18" s="126">
        <f>Input!$B$34</f>
        <v>5.0065000000000005E-2</v>
      </c>
      <c r="U18" s="126">
        <f>Input!$B$34</f>
        <v>5.0065000000000005E-2</v>
      </c>
      <c r="V18" s="126">
        <f>Input!$B$34</f>
        <v>5.0065000000000005E-2</v>
      </c>
      <c r="W18" s="126">
        <f>Input!$B$34</f>
        <v>5.0065000000000005E-2</v>
      </c>
      <c r="X18" s="126">
        <f>Input!$B$34</f>
        <v>5.0065000000000005E-2</v>
      </c>
      <c r="Y18" s="126">
        <f>Input!$B$34</f>
        <v>5.0065000000000005E-2</v>
      </c>
      <c r="Z18" s="126">
        <f>Input!$B$34</f>
        <v>5.0065000000000005E-2</v>
      </c>
      <c r="AA18" s="126">
        <f>Input!$B$34</f>
        <v>5.0065000000000005E-2</v>
      </c>
      <c r="AB18" s="126">
        <f>Input!$B$34</f>
        <v>5.0065000000000005E-2</v>
      </c>
      <c r="AC18" s="126">
        <f>Input!$B$34</f>
        <v>5.0065000000000005E-2</v>
      </c>
      <c r="AD18" s="126">
        <f>Input!$B$34</f>
        <v>5.0065000000000005E-2</v>
      </c>
      <c r="AE18" s="126">
        <f>Input!$B$34</f>
        <v>5.0065000000000005E-2</v>
      </c>
      <c r="AF18" s="126">
        <f>Input!$B$34</f>
        <v>5.0065000000000005E-2</v>
      </c>
      <c r="AG18" s="126">
        <f>Input!$B$34</f>
        <v>5.0065000000000005E-2</v>
      </c>
      <c r="AH18" s="126">
        <f>Input!$B$34</f>
        <v>5.0065000000000005E-2</v>
      </c>
      <c r="AI18" s="126">
        <f>Input!$B$34</f>
        <v>5.0065000000000005E-2</v>
      </c>
      <c r="AJ18" s="126">
        <f>Input!$B$34</f>
        <v>5.0065000000000005E-2</v>
      </c>
      <c r="AK18" s="126">
        <f>Input!$B$34</f>
        <v>5.0065000000000005E-2</v>
      </c>
      <c r="AL18" s="126">
        <f>Input!$B$34</f>
        <v>5.0065000000000005E-2</v>
      </c>
    </row>
    <row r="19" spans="1:38">
      <c r="A19" s="24"/>
      <c r="B19" s="24"/>
      <c r="C19" s="24"/>
    </row>
    <row r="20" spans="1:38" s="84" customFormat="1" ht="13">
      <c r="A20" s="130">
        <v>11</v>
      </c>
      <c r="B20" s="131"/>
      <c r="C20" s="131" t="s">
        <v>159</v>
      </c>
      <c r="D20" s="132">
        <f>D16*D18</f>
        <v>-597935.8500540565</v>
      </c>
      <c r="E20" s="132">
        <f>E16*E18</f>
        <v>-899769.77969490294</v>
      </c>
      <c r="F20" s="132">
        <f>F16*F18</f>
        <v>-828050.06727844803</v>
      </c>
      <c r="G20" s="132">
        <f>G16*G18</f>
        <v>-760579.58828336652</v>
      </c>
      <c r="H20" s="132">
        <f t="shared" ref="H20:X20" si="4">H16*H18</f>
        <v>-696774.96764823585</v>
      </c>
      <c r="I20" s="132">
        <f t="shared" si="4"/>
        <v>-636612.1655033346</v>
      </c>
      <c r="J20" s="132">
        <f t="shared" si="4"/>
        <v>-579604.36818998482</v>
      </c>
      <c r="K20" s="132">
        <f t="shared" si="4"/>
        <v>-525730.87470925972</v>
      </c>
      <c r="L20" s="132">
        <f t="shared" si="4"/>
        <v>-500423.54245477112</v>
      </c>
      <c r="M20" s="132">
        <f t="shared" si="4"/>
        <v>-480617.00735949154</v>
      </c>
      <c r="N20" s="132">
        <f t="shared" si="4"/>
        <v>-460996.24955395295</v>
      </c>
      <c r="O20" s="132">
        <f t="shared" si="4"/>
        <v>-457245.73530833889</v>
      </c>
      <c r="P20" s="132">
        <f t="shared" si="4"/>
        <v>-462330.05331212777</v>
      </c>
      <c r="Q20" s="132">
        <f t="shared" si="4"/>
        <v>-457844.01266947883</v>
      </c>
      <c r="R20" s="132">
        <f t="shared" si="4"/>
        <v>-453657.68382365751</v>
      </c>
      <c r="S20" s="132">
        <f t="shared" si="4"/>
        <v>-449383.83322414983</v>
      </c>
      <c r="T20" s="132">
        <f t="shared" si="4"/>
        <v>-445393.40995144262</v>
      </c>
      <c r="U20" s="132">
        <f t="shared" si="4"/>
        <v>-441301.77155016258</v>
      </c>
      <c r="V20" s="132">
        <f t="shared" si="4"/>
        <v>-437479.9549459375</v>
      </c>
      <c r="W20" s="132">
        <f t="shared" si="4"/>
        <v>-434239.39620065136</v>
      </c>
      <c r="X20" s="132">
        <f t="shared" si="4"/>
        <v>-224812.57002212325</v>
      </c>
      <c r="Y20" s="132">
        <f t="shared" ref="Y20:AK20" si="5">Y16*Y18</f>
        <v>-16757.211488046538</v>
      </c>
      <c r="Z20" s="132">
        <f t="shared" si="5"/>
        <v>-16676.332803448026</v>
      </c>
      <c r="AA20" s="132">
        <f t="shared" si="5"/>
        <v>-16600.443049821362</v>
      </c>
      <c r="AB20" s="132">
        <f t="shared" si="5"/>
        <v>-16519.564365222846</v>
      </c>
      <c r="AC20" s="132">
        <f t="shared" si="5"/>
        <v>0</v>
      </c>
      <c r="AD20" s="132">
        <f t="shared" si="5"/>
        <v>0</v>
      </c>
      <c r="AE20" s="132">
        <f t="shared" si="5"/>
        <v>0</v>
      </c>
      <c r="AF20" s="132">
        <f t="shared" si="5"/>
        <v>0</v>
      </c>
      <c r="AG20" s="132">
        <f t="shared" si="5"/>
        <v>0</v>
      </c>
      <c r="AH20" s="132">
        <f t="shared" si="5"/>
        <v>0</v>
      </c>
      <c r="AI20" s="132">
        <f t="shared" si="5"/>
        <v>0</v>
      </c>
      <c r="AJ20" s="132">
        <f t="shared" si="5"/>
        <v>0</v>
      </c>
      <c r="AK20" s="132">
        <f t="shared" si="5"/>
        <v>0</v>
      </c>
      <c r="AL20" s="132">
        <f>AL16*AL18</f>
        <v>0</v>
      </c>
    </row>
    <row r="22" spans="1:38">
      <c r="A22" s="27">
        <v>12</v>
      </c>
      <c r="B22" s="24"/>
      <c r="C22" s="24" t="s">
        <v>187</v>
      </c>
      <c r="D22" s="124">
        <f>'Total Rev Req'!B28</f>
        <v>29902351.865660496</v>
      </c>
      <c r="E22" s="124">
        <f>'Total Rev Req'!C28</f>
        <v>28661243.413080446</v>
      </c>
      <c r="F22" s="124">
        <f>'Total Rev Req'!D28</f>
        <v>27440974.58661066</v>
      </c>
      <c r="G22" s="124">
        <f>'Total Rev Req'!E28</f>
        <v>26239930.507475082</v>
      </c>
      <c r="H22" s="124">
        <f>'Total Rev Req'!F28</f>
        <v>25056726.993865617</v>
      </c>
      <c r="I22" s="124">
        <f>'Total Rev Req'!G28</f>
        <v>23889979.863974221</v>
      </c>
      <c r="J22" s="124">
        <f>'Total Rev Req'!H28</f>
        <v>22738497.183466181</v>
      </c>
      <c r="K22" s="124">
        <f>'Total Rev Req'!I28</f>
        <v>21601087.018006757</v>
      </c>
      <c r="L22" s="124">
        <f>'Total Rev Req'!J28</f>
        <v>20465983.822227448</v>
      </c>
      <c r="M22" s="124">
        <f>'Total Rev Req'!K28</f>
        <v>19330919.075942803</v>
      </c>
      <c r="N22" s="124">
        <f>'Total Rev Req'!L28</f>
        <v>18195815.880163491</v>
      </c>
      <c r="O22" s="124">
        <f>'Total Rev Req'!M28</f>
        <v>17863701.458676521</v>
      </c>
      <c r="P22" s="124">
        <f>'Total Rev Req'!N28</f>
        <v>1651365.5013284825</v>
      </c>
      <c r="Q22" s="124">
        <f>'Total Rev Req'!O28</f>
        <v>1474206.0714974331</v>
      </c>
      <c r="R22" s="124">
        <f>'Total Rev Req'!P28</f>
        <v>1297521.0555573341</v>
      </c>
      <c r="S22" s="124">
        <f>'Total Rev Req'!Q28</f>
        <v>1121349.9038485156</v>
      </c>
      <c r="T22" s="124">
        <f>'Total Rev Req'!R28</f>
        <v>945579.35272691236</v>
      </c>
      <c r="U22" s="124">
        <f>'Total Rev Req'!S28</f>
        <v>770253.97845672455</v>
      </c>
      <c r="V22" s="124">
        <f>'Total Rev Req'!T28</f>
        <v>595265.64331775799</v>
      </c>
      <c r="W22" s="124">
        <f>'Total Rev Req'!U28</f>
        <v>420376.99776133627</v>
      </c>
      <c r="X22" s="124">
        <f>'Total Rev Req'!V28</f>
        <v>330627.42368883704</v>
      </c>
      <c r="Y22" s="124">
        <f>'Total Rev Req'!W28</f>
        <v>326053.04922681197</v>
      </c>
      <c r="Z22" s="124">
        <f>'Total Rev Req'!X28</f>
        <v>321479.69994956092</v>
      </c>
      <c r="AA22" s="124">
        <f>'Total Rev Req'!Y28</f>
        <v>316905.32548753574</v>
      </c>
      <c r="AB22" s="124">
        <f>'Total Rev Req'!Z28</f>
        <v>312331.97621028457</v>
      </c>
      <c r="AC22" s="124">
        <f>'Total Rev Req'!AA28</f>
        <v>0</v>
      </c>
      <c r="AD22" s="124">
        <f>'Total Rev Req'!AB28</f>
        <v>0</v>
      </c>
      <c r="AE22" s="124">
        <f>'Total Rev Req'!AC28</f>
        <v>0</v>
      </c>
      <c r="AF22" s="124">
        <f>'Total Rev Req'!AD28</f>
        <v>0</v>
      </c>
      <c r="AG22" s="124">
        <f>'Total Rev Req'!AE28</f>
        <v>0</v>
      </c>
      <c r="AH22" s="124">
        <f>'Total Rev Req'!AF28</f>
        <v>0</v>
      </c>
      <c r="AI22" s="124">
        <f>'Total Rev Req'!AG28</f>
        <v>0</v>
      </c>
      <c r="AJ22" s="124">
        <f>'Total Rev Req'!AH28</f>
        <v>0</v>
      </c>
      <c r="AK22" s="124">
        <f>'Total Rev Req'!AI28</f>
        <v>0</v>
      </c>
      <c r="AL22" s="124">
        <f>'Total Rev Req'!AJ28</f>
        <v>0</v>
      </c>
    </row>
    <row r="23" spans="1:38">
      <c r="A23" s="24"/>
      <c r="B23" s="24"/>
      <c r="C23" s="24"/>
    </row>
    <row r="24" spans="1:38">
      <c r="A24" s="27">
        <v>13</v>
      </c>
      <c r="B24" s="24"/>
      <c r="C24" s="24" t="s">
        <v>188</v>
      </c>
      <c r="D24" s="127">
        <f t="shared" ref="D24:X24" si="6">D22+D11</f>
        <v>9424856.8460215665</v>
      </c>
      <c r="E24" s="127">
        <f t="shared" si="6"/>
        <v>8614289.3640537933</v>
      </c>
      <c r="F24" s="127">
        <f t="shared" si="6"/>
        <v>7817332.2343692817</v>
      </c>
      <c r="G24" s="127">
        <f t="shared" si="6"/>
        <v>7032930.7802228481</v>
      </c>
      <c r="H24" s="127">
        <f t="shared" si="6"/>
        <v>6260180.992975723</v>
      </c>
      <c r="I24" s="127">
        <f t="shared" si="6"/>
        <v>5498178.8639891781</v>
      </c>
      <c r="J24" s="127">
        <f t="shared" si="6"/>
        <v>4746145.9413798638</v>
      </c>
      <c r="K24" s="127">
        <f t="shared" si="6"/>
        <v>4003303.7732643969</v>
      </c>
      <c r="L24" s="127">
        <f t="shared" si="6"/>
        <v>3261968.2862135135</v>
      </c>
      <c r="M24" s="127">
        <f t="shared" si="6"/>
        <v>2520657.9105136991</v>
      </c>
      <c r="N24" s="127">
        <f t="shared" si="6"/>
        <v>1779322.42346281</v>
      </c>
      <c r="O24" s="127">
        <f t="shared" si="6"/>
        <v>1291092.2034538686</v>
      </c>
      <c r="P24" s="127">
        <f t="shared" si="6"/>
        <v>1086097.2700046506</v>
      </c>
      <c r="Q24" s="127">
        <f t="shared" si="6"/>
        <v>969580.13740118244</v>
      </c>
      <c r="R24" s="127">
        <f t="shared" si="6"/>
        <v>853375.02514172602</v>
      </c>
      <c r="S24" s="127">
        <f t="shared" si="6"/>
        <v>737507.87957607443</v>
      </c>
      <c r="T24" s="127">
        <f t="shared" si="6"/>
        <v>621904.20760472165</v>
      </c>
      <c r="U24" s="127">
        <f t="shared" si="6"/>
        <v>506593.32687952428</v>
      </c>
      <c r="V24" s="127">
        <f t="shared" si="6"/>
        <v>391504.11560304032</v>
      </c>
      <c r="W24" s="127">
        <f t="shared" si="6"/>
        <v>276480.46981364163</v>
      </c>
      <c r="X24" s="127">
        <f t="shared" si="6"/>
        <v>217452.4912675207</v>
      </c>
      <c r="Y24" s="127">
        <f t="shared" ref="Y24:AK24" si="7">Y22+Y11</f>
        <v>214443.94130617805</v>
      </c>
      <c r="Z24" s="127">
        <f t="shared" si="7"/>
        <v>211436.065605248</v>
      </c>
      <c r="AA24" s="127">
        <f t="shared" si="7"/>
        <v>208427.51564390527</v>
      </c>
      <c r="AB24" s="127">
        <f t="shared" si="7"/>
        <v>205419.63994297513</v>
      </c>
      <c r="AC24" s="127">
        <f t="shared" si="7"/>
        <v>0</v>
      </c>
      <c r="AD24" s="127">
        <f t="shared" si="7"/>
        <v>0</v>
      </c>
      <c r="AE24" s="127">
        <f t="shared" si="7"/>
        <v>0</v>
      </c>
      <c r="AF24" s="127">
        <f t="shared" si="7"/>
        <v>0</v>
      </c>
      <c r="AG24" s="127">
        <f t="shared" si="7"/>
        <v>0</v>
      </c>
      <c r="AH24" s="127">
        <f t="shared" si="7"/>
        <v>0</v>
      </c>
      <c r="AI24" s="127">
        <f t="shared" si="7"/>
        <v>0</v>
      </c>
      <c r="AJ24" s="127">
        <f t="shared" si="7"/>
        <v>0</v>
      </c>
      <c r="AK24" s="127">
        <f t="shared" si="7"/>
        <v>0</v>
      </c>
      <c r="AL24" s="127">
        <f>AL22+AL11</f>
        <v>0</v>
      </c>
    </row>
    <row r="25" spans="1:38">
      <c r="A25" s="24"/>
      <c r="B25" s="24"/>
      <c r="C25" s="24"/>
    </row>
    <row r="26" spans="1:38">
      <c r="A26" s="27">
        <v>14</v>
      </c>
      <c r="B26" s="24"/>
      <c r="C26" s="24" t="s">
        <v>189</v>
      </c>
      <c r="D26" s="127">
        <f t="shared" ref="D26:X26" si="8">D16+D22</f>
        <v>17959161.012688231</v>
      </c>
      <c r="E26" s="127">
        <f t="shared" si="8"/>
        <v>10689211.460720457</v>
      </c>
      <c r="F26" s="127">
        <f t="shared" si="8"/>
        <v>10901474.591035949</v>
      </c>
      <c r="G26" s="127">
        <f t="shared" si="8"/>
        <v>11048088.136889514</v>
      </c>
      <c r="H26" s="127">
        <f t="shared" si="8"/>
        <v>11139320.26964239</v>
      </c>
      <c r="I26" s="127">
        <f t="shared" si="8"/>
        <v>11174266.980655845</v>
      </c>
      <c r="J26" s="127">
        <f t="shared" si="8"/>
        <v>11161459.968046531</v>
      </c>
      <c r="K26" s="127">
        <f t="shared" si="8"/>
        <v>11100120.779931063</v>
      </c>
      <c r="L26" s="127">
        <f t="shared" si="8"/>
        <v>10470507.092880178</v>
      </c>
      <c r="M26" s="127">
        <f t="shared" si="8"/>
        <v>9731058.747180365</v>
      </c>
      <c r="N26" s="127">
        <f t="shared" si="8"/>
        <v>8987861.2301294766</v>
      </c>
      <c r="O26" s="127">
        <f t="shared" si="8"/>
        <v>8730659.7067872006</v>
      </c>
      <c r="P26" s="127">
        <f t="shared" si="8"/>
        <v>-7583230.5899953516</v>
      </c>
      <c r="Q26" s="127">
        <f t="shared" si="8"/>
        <v>-7670785.6925988179</v>
      </c>
      <c r="R26" s="127">
        <f t="shared" si="8"/>
        <v>-7763852.834858275</v>
      </c>
      <c r="S26" s="127">
        <f t="shared" si="8"/>
        <v>-7854657.9504239261</v>
      </c>
      <c r="T26" s="127">
        <f t="shared" si="8"/>
        <v>-7950723.6523952801</v>
      </c>
      <c r="U26" s="127">
        <f t="shared" si="8"/>
        <v>-8044322.5031204764</v>
      </c>
      <c r="V26" s="127">
        <f t="shared" si="8"/>
        <v>-8142973.7443969613</v>
      </c>
      <c r="W26" s="127">
        <f t="shared" si="8"/>
        <v>-8253135.360186358</v>
      </c>
      <c r="X26" s="127">
        <f t="shared" si="8"/>
        <v>-4159786.4387324802</v>
      </c>
      <c r="Y26" s="127">
        <f t="shared" ref="Y26:AK26" si="9">Y16+Y22</f>
        <v>-8656.0586938219494</v>
      </c>
      <c r="Z26" s="127">
        <f t="shared" si="9"/>
        <v>-11613.934394751966</v>
      </c>
      <c r="AA26" s="127">
        <f t="shared" si="9"/>
        <v>-14672.484356094734</v>
      </c>
      <c r="AB26" s="127">
        <f t="shared" si="9"/>
        <v>-17630.360057024809</v>
      </c>
      <c r="AC26" s="127">
        <f t="shared" si="9"/>
        <v>0</v>
      </c>
      <c r="AD26" s="127">
        <f t="shared" si="9"/>
        <v>0</v>
      </c>
      <c r="AE26" s="127">
        <f t="shared" si="9"/>
        <v>0</v>
      </c>
      <c r="AF26" s="127">
        <f t="shared" si="9"/>
        <v>0</v>
      </c>
      <c r="AG26" s="127">
        <f t="shared" si="9"/>
        <v>0</v>
      </c>
      <c r="AH26" s="127">
        <f t="shared" si="9"/>
        <v>0</v>
      </c>
      <c r="AI26" s="127">
        <f t="shared" si="9"/>
        <v>0</v>
      </c>
      <c r="AJ26" s="127">
        <f t="shared" si="9"/>
        <v>0</v>
      </c>
      <c r="AK26" s="127">
        <f t="shared" si="9"/>
        <v>0</v>
      </c>
      <c r="AL26" s="127">
        <f>AL16+AL22</f>
        <v>0</v>
      </c>
    </row>
    <row r="27" spans="1:38">
      <c r="A27" s="24"/>
      <c r="B27" s="24"/>
      <c r="C27" s="24"/>
    </row>
    <row r="28" spans="1:38" s="84" customFormat="1" ht="13">
      <c r="A28" s="130">
        <v>15</v>
      </c>
      <c r="B28" s="131"/>
      <c r="C28" s="131" t="s">
        <v>190</v>
      </c>
      <c r="D28" s="132">
        <f t="shared" ref="D28:X28" si="10">D18*D26</f>
        <v>899125.39610023634</v>
      </c>
      <c r="E28" s="132">
        <f t="shared" si="10"/>
        <v>535155.37178096978</v>
      </c>
      <c r="F28" s="132">
        <f t="shared" si="10"/>
        <v>545782.32540021488</v>
      </c>
      <c r="G28" s="132">
        <f t="shared" si="10"/>
        <v>553122.53257337352</v>
      </c>
      <c r="H28" s="132">
        <f t="shared" si="10"/>
        <v>557690.0692996463</v>
      </c>
      <c r="I28" s="132">
        <f t="shared" si="10"/>
        <v>559439.67638653493</v>
      </c>
      <c r="J28" s="132">
        <f t="shared" si="10"/>
        <v>558798.49330024968</v>
      </c>
      <c r="K28" s="132">
        <f t="shared" si="10"/>
        <v>555727.54684724868</v>
      </c>
      <c r="L28" s="132">
        <f t="shared" si="10"/>
        <v>524205.9376050462</v>
      </c>
      <c r="M28" s="132">
        <f t="shared" si="10"/>
        <v>487185.456177585</v>
      </c>
      <c r="N28" s="132">
        <f t="shared" si="10"/>
        <v>449977.27248643228</v>
      </c>
      <c r="O28" s="132">
        <f t="shared" si="10"/>
        <v>437100.47822030127</v>
      </c>
      <c r="P28" s="132">
        <f t="shared" si="10"/>
        <v>-379654.43948811729</v>
      </c>
      <c r="Q28" s="132">
        <f t="shared" si="10"/>
        <v>-384037.88569995988</v>
      </c>
      <c r="R28" s="132">
        <f t="shared" si="10"/>
        <v>-388697.2921771796</v>
      </c>
      <c r="S28" s="132">
        <f t="shared" si="10"/>
        <v>-393243.45028797392</v>
      </c>
      <c r="T28" s="132">
        <f t="shared" si="10"/>
        <v>-398052.97965716972</v>
      </c>
      <c r="U28" s="132">
        <f t="shared" si="10"/>
        <v>-402739.00611872668</v>
      </c>
      <c r="V28" s="132">
        <f t="shared" si="10"/>
        <v>-407677.98051323392</v>
      </c>
      <c r="W28" s="132">
        <f t="shared" si="10"/>
        <v>-413193.22180773003</v>
      </c>
      <c r="X28" s="132">
        <f t="shared" si="10"/>
        <v>-208259.70805514164</v>
      </c>
      <c r="Y28" s="132">
        <f t="shared" ref="Y28:AK28" si="11">Y18*Y26</f>
        <v>-433.36557850619596</v>
      </c>
      <c r="Z28" s="132">
        <f t="shared" si="11"/>
        <v>-581.45162547325731</v>
      </c>
      <c r="AA28" s="132">
        <f t="shared" si="11"/>
        <v>-734.57792928788297</v>
      </c>
      <c r="AB28" s="132">
        <f t="shared" si="11"/>
        <v>-882.66397625494722</v>
      </c>
      <c r="AC28" s="132">
        <f t="shared" si="11"/>
        <v>0</v>
      </c>
      <c r="AD28" s="132">
        <f t="shared" si="11"/>
        <v>0</v>
      </c>
      <c r="AE28" s="132">
        <f t="shared" si="11"/>
        <v>0</v>
      </c>
      <c r="AF28" s="132">
        <f t="shared" si="11"/>
        <v>0</v>
      </c>
      <c r="AG28" s="132">
        <f t="shared" si="11"/>
        <v>0</v>
      </c>
      <c r="AH28" s="132">
        <f t="shared" si="11"/>
        <v>0</v>
      </c>
      <c r="AI28" s="132">
        <f t="shared" si="11"/>
        <v>0</v>
      </c>
      <c r="AJ28" s="132">
        <f t="shared" si="11"/>
        <v>0</v>
      </c>
      <c r="AK28" s="132">
        <f t="shared" si="11"/>
        <v>0</v>
      </c>
      <c r="AL28" s="132">
        <f>AL18*AL26</f>
        <v>0</v>
      </c>
    </row>
  </sheetData>
  <pageMargins left="0.7" right="0.7" top="0.75" bottom="0.75" header="0.3" footer="0.3"/>
  <pageSetup orientation="portrait" r:id="rId1"/>
  <headerFooter>
    <oddHeader>&amp;RCase No. 2026-00001
KPSC 1-11 Attachment 2
Page &amp;P of &amp;N</oddHead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WrappedLabelHistory xmlns:xsd="http://www.w3.org/2001/XMLSchema" xmlns:xsi="http://www.w3.org/2001/XMLSchema-instance" xmlns="http://www.boldonjames.com/2016/02/Classifier/internal/wrappedLabelHistory">
  <Value>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JlOWMwYjhkNy1iZGI0LTRmZDMtYjYyYS1mNTAzMjdhYWVmY2UiIG9yaWdpbj0iYXV0b1NlbGVjdGVkU3VnZ2VzdGlvbiI+PGVsZW1lbnQgdWlkPSI1MGMzMTgyNC0wNzgwLTQ5MTAtODdkMS1lYWFmZmQxODJkNDIiIHZhbHVlPSIiIHhtbG5zPSJodHRwOi8vd3d3LmJvbGRvbmphbWVzLmNvbS8yMDA4LzAxL3NpZS9pbnRlcm5hbC9sYWJlbCIgLz48ZWxlbWVudCB1aWQ9ImM2NDIxOGFiLWI4ZDEtNDBiNi1hNDc4LWNiOGJlMWUxMGVjYyIgdmFsdWU9IiIgeG1sbnM9Imh0dHA6Ly93d3cuYm9sZG9uamFtZXMuY29tLzIwMDgvMDEvc2llL2ludGVybmFsL2xhYmVsIiAvPjwvc2lzbD48VXNlck5hbWU+Q09SUFxzMTg5MjcwPC9Vc2VyTmFtZT48RGF0ZVRpbWU+OC85LzIwMjIgMTo0NToxNCBQTTwvRGF0ZVRpbWU+PExhYmVsU3RyaW5nPkFFUCBJbnRlcm5hbDwvTGFiZWxTdHJpbmc+PC9pdGVtPjxpdGVtPjxzaXNsIHNpc2xWZXJzaW9uPSIwIiBwb2xpY3k9ImU5YzBiOGQ3LWJkYjQtNGZkMy1iNjJhLWY1MDMyN2FhZWZjZSIgb3JpZ2luPSJ1c2VyU2VsZWN0ZWQiPjxlbGVtZW50IHVpZD0iNTBjMzE4MjQtMDc4MC00OTEwLTg3ZDEtZWFhZmZkMTgyZDQyIiB2YWx1ZT0iIiB4bWxucz0iaHR0cDovL3d3dy5ib2xkb25qYW1lcy5jb20vMjAwOC8wMS9zaWUvaW50ZXJuYWwvbGFiZWwiIC8+PC9zaXNsPjxVc2VyTmFtZT5DT1JQXHMxODkyNzA8L1VzZXJOYW1lPjxEYXRlVGltZT44LzEwLzIwMjIgMjozNzowMyBQTTwvRGF0ZVRpbWU+PExhYmVsU3RyaW5nPkFFUCBJbnRlcm5hbDwvTGFiZWxTdHJpbmc+PC9pdGVtPjwvbGFiZWxIaXN0b3J5Pg==</Value>
</WrappedLabelHistory>
</file>

<file path=customXml/item2.xml><?xml version="1.0" encoding="utf-8"?>
<sisl xmlns:xsd="http://www.w3.org/2001/XMLSchema" xmlns:xsi="http://www.w3.org/2001/XMLSchema-instance" xmlns="http://www.boldonjames.com/2008/01/sie/internal/label" sislVersion="0" policy="e9c0b8d7-bdb4-4fd3-b62a-f50327aaefce" origin="userSelected">
  <element uid="50c31824-0780-4910-87d1-eaaffd182d42" value=""/>
</sisl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DF805D1E1DA4A49A223477D3B105720" ma:contentTypeVersion="20" ma:contentTypeDescription="Create a new document." ma:contentTypeScope="" ma:versionID="049995464e7bd8919604ce5b50842935">
  <xsd:schema xmlns:xsd="http://www.w3.org/2001/XMLSchema" xmlns:xs="http://www.w3.org/2001/XMLSchema" xmlns:p="http://schemas.microsoft.com/office/2006/metadata/properties" xmlns:ns2="f88ffb1c-9230-4705-a789-27bae69f5829" xmlns:ns3="b6888f76-1100-40b0-929b-1efe9044426d" targetNamespace="http://schemas.microsoft.com/office/2006/metadata/properties" ma:root="true" ma:fieldsID="d05b0b3c092d42dd81fdac30d210b6a3" ns2:_="" ns3:_="">
    <xsd:import namespace="f88ffb1c-9230-4705-a789-27bae69f5829"/>
    <xsd:import namespace="b6888f76-1100-40b0-929b-1efe90444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Owner" minOccurs="0"/>
                <xsd:element ref="ns2:OriginalFileDate" minOccurs="0"/>
                <xsd:element ref="ns2:_Flow_SignoffStatu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ffb1c-9230-4705-a789-27bae69f582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fefa54f2-5b03-49c6-9483-51c08a9736b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Owner" ma:index="22" nillable="true" ma:displayName="Owner" ma:format="Dropdown" ma:list="UserInfo" ma:SharePointGroup="0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OriginalFileDate" ma:index="23" nillable="true" ma:displayName="Original File Date" ma:format="DateOnly" ma:internalName="OriginalFileDate">
      <xsd:simpleType>
        <xsd:restriction base="dms:DateTime"/>
      </xsd:simpleType>
    </xsd:element>
    <xsd:element name="_Flow_SignoffStatus" ma:index="24" nillable="true" ma:displayName="Sign-off status" ma:internalName="_x0024_Resources_x003a_core_x002c_Signoff_Status">
      <xsd:simpleType>
        <xsd:restriction base="dms:Text"/>
      </xsd:simpleType>
    </xsd:element>
    <xsd:element name="MediaServiceLocation" ma:index="25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888f76-1100-40b0-929b-1efe90444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6b0cac33-65cc-488e-b290-aff2b08f7242}" ma:internalName="TaxCatchAll" ma:showField="CatchAllData" ma:web="b6888f76-1100-40b0-929b-1efe90444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88ffb1c-9230-4705-a789-27bae69f5829">
      <Terms xmlns="http://schemas.microsoft.com/office/infopath/2007/PartnerControls"/>
    </lcf76f155ced4ddcb4097134ff3c332f>
    <TaxCatchAll xmlns="b6888f76-1100-40b0-929b-1efe9044426d" xsi:nil="true"/>
    <OriginalFileDate xmlns="f88ffb1c-9230-4705-a789-27bae69f5829" xsi:nil="true"/>
    <Owner xmlns="f88ffb1c-9230-4705-a789-27bae69f5829">
      <UserInfo>
        <DisplayName/>
        <AccountId xsi:nil="true"/>
        <AccountType/>
      </UserInfo>
    </Owner>
    <_Flow_SignoffStatus xmlns="f88ffb1c-9230-4705-a789-27bae69f5829" xsi:nil="true"/>
  </documentManagement>
</p:properties>
</file>

<file path=customXml/itemProps1.xml><?xml version="1.0" encoding="utf-8"?>
<ds:datastoreItem xmlns:ds="http://schemas.openxmlformats.org/officeDocument/2006/customXml" ds:itemID="{6149A85B-ED20-4F42-9BCF-572E56DF98C5}">
  <ds:schemaRefs>
    <ds:schemaRef ds:uri="http://www.w3.org/2001/XMLSchema"/>
    <ds:schemaRef ds:uri="http://www.boldonjames.com/2016/02/Classifier/internal/wrappedLabelHistory"/>
  </ds:schemaRefs>
</ds:datastoreItem>
</file>

<file path=customXml/itemProps2.xml><?xml version="1.0" encoding="utf-8"?>
<ds:datastoreItem xmlns:ds="http://schemas.openxmlformats.org/officeDocument/2006/customXml" ds:itemID="{5D5A6A4F-9E69-45FD-87DD-14D54069B05C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643CE488-3F7E-4B31-95D3-DEFE7E6761B2}"/>
</file>

<file path=customXml/itemProps4.xml><?xml version="1.0" encoding="utf-8"?>
<ds:datastoreItem xmlns:ds="http://schemas.openxmlformats.org/officeDocument/2006/customXml" ds:itemID="{39559E9F-7AB2-4CAD-8F8D-8A2BB33B79ED}"/>
</file>

<file path=customXml/itemProps5.xml><?xml version="1.0" encoding="utf-8"?>
<ds:datastoreItem xmlns:ds="http://schemas.openxmlformats.org/officeDocument/2006/customXml" ds:itemID="{1CEEA148-53A6-4806-9FF0-53AF0F1406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9</vt:i4>
      </vt:variant>
    </vt:vector>
  </HeadingPairs>
  <TitlesOfParts>
    <vt:vector size="21" baseType="lpstr">
      <vt:lpstr>Input</vt:lpstr>
      <vt:lpstr>Cash Flow of U2</vt:lpstr>
      <vt:lpstr>GRCF</vt:lpstr>
      <vt:lpstr>Allocators</vt:lpstr>
      <vt:lpstr>CAP Structure</vt:lpstr>
      <vt:lpstr>Rate Base - coal</vt:lpstr>
      <vt:lpstr>Total Rev Req</vt:lpstr>
      <vt:lpstr>50% Rev Req</vt:lpstr>
      <vt:lpstr>SIT</vt:lpstr>
      <vt:lpstr>FIT</vt:lpstr>
      <vt:lpstr>MACRS</vt:lpstr>
      <vt:lpstr>DropDowns</vt:lpstr>
      <vt:lpstr>Allocator</vt:lpstr>
      <vt:lpstr>EquityWeighting</vt:lpstr>
      <vt:lpstr>GRCF</vt:lpstr>
      <vt:lpstr>'Rate Base - coal'!Print_Area</vt:lpstr>
      <vt:lpstr>'Total Rev Req'!Print_Area</vt:lpstr>
      <vt:lpstr>'Rate Base - coal'!Print_Titles</vt:lpstr>
      <vt:lpstr>ROE</vt:lpstr>
      <vt:lpstr>WACC</vt:lpstr>
      <vt:lpstr>WACD</vt:lpstr>
    </vt:vector>
  </TitlesOfParts>
  <Company>AEP-SS-IT-WE-7/1/6-(8-835-3050)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AEP</dc:creator>
  <cp:keywords/>
  <cp:lastModifiedBy>Nicole M Coon</cp:lastModifiedBy>
  <cp:lastPrinted>2018-07-05T12:53:07Z</cp:lastPrinted>
  <dcterms:created xsi:type="dcterms:W3CDTF">2010-08-13T18:09:08Z</dcterms:created>
  <dcterms:modified xsi:type="dcterms:W3CDTF">2026-03-23T17:10:27Z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40b2881a-ec07-4b3e-936f-bee0fcad6f2e</vt:lpwstr>
  </property>
  <property fmtid="{D5CDD505-2E9C-101B-9397-08002B2CF9AE}" pid="3" name="bjSaver">
    <vt:lpwstr>N1DSBWDQZIeY/VRw0Xy3fwx0B1BRPR0Y</vt:lpwstr>
  </property>
  <property fmtid="{D5CDD505-2E9C-101B-9397-08002B2CF9AE}" pid="4" name="bjDocumentSecurityLabel">
    <vt:lpwstr>AEP Internal</vt:lpwstr>
  </property>
  <property fmtid="{D5CDD505-2E9C-101B-9397-08002B2CF9AE}" pid="5" name="Visual Markings Removed">
    <vt:lpwstr>No</vt:lpwstr>
  </property>
  <property fmtid="{D5CDD505-2E9C-101B-9397-08002B2CF9AE}" pid="6" name="{A44787D4-0540-4523-9961-78E4036D8C6D}">
    <vt:lpwstr>{5586F48E-9DA0-4B74-9B36-4A111570CE79}</vt:lpwstr>
  </property>
  <property fmtid="{D5CDD505-2E9C-101B-9397-08002B2CF9AE}" pid="7" name="MSIP_Label_69f43042-6bda-44b2-91eb-eca3d3d484f4_SiteId">
    <vt:lpwstr>15f3c881-6b03-4ff6-8559-77bf5177818f</vt:lpwstr>
  </property>
  <property fmtid="{D5CDD505-2E9C-101B-9397-08002B2CF9AE}" pid="8" name="MSIP_Label_69f43042-6bda-44b2-91eb-eca3d3d484f4_Name">
    <vt:lpwstr>AEP Internal</vt:lpwstr>
  </property>
  <property fmtid="{D5CDD505-2E9C-101B-9397-08002B2CF9AE}" pid="9" name="MSIP_Label_69f43042-6bda-44b2-91eb-eca3d3d484f4_Enabled">
    <vt:lpwstr>true</vt:lpwstr>
  </property>
  <property fmtid="{D5CDD505-2E9C-101B-9397-08002B2CF9AE}" pid="10" name="bjClsUserRVM">
    <vt:lpwstr>[]</vt:lpwstr>
  </property>
  <property fmtid="{D5CDD505-2E9C-101B-9397-08002B2CF9AE}" pid="11" name="bjDocumentLabelXML">
    <vt:lpwstr>&lt;?xml version="1.0" encoding="us-ascii"?&gt;&lt;sisl xmlns:xsd="http://www.w3.org/2001/XMLSchema" xmlns:xsi="http://www.w3.org/2001/XMLSchema-instance" sislVersion="0" policy="e9c0b8d7-bdb4-4fd3-b62a-f50327aaefce" origin="userSelected" xmlns="http://www.boldonj</vt:lpwstr>
  </property>
  <property fmtid="{D5CDD505-2E9C-101B-9397-08002B2CF9AE}" pid="12" name="bjDocumentLabelXML-0">
    <vt:lpwstr>ames.com/2008/01/sie/internal/label"&gt;&lt;element uid="50c31824-0780-4910-87d1-eaaffd182d42" value="" /&gt;&lt;/sisl&gt;</vt:lpwstr>
  </property>
  <property fmtid="{D5CDD505-2E9C-101B-9397-08002B2CF9AE}" pid="13" name="bjLabelHistoryID">
    <vt:lpwstr>{6149A85B-ED20-4F42-9BCF-572E56DF98C5}</vt:lpwstr>
  </property>
  <property fmtid="{D5CDD505-2E9C-101B-9397-08002B2CF9AE}" pid="14" name="bjpmDocIH">
    <vt:lpwstr>tMee0lY+QQaNhjKQa7tM5H9HydNafo19</vt:lpwstr>
  </property>
  <property fmtid="{D5CDD505-2E9C-101B-9397-08002B2CF9AE}" pid="15" name="ContentTypeId">
    <vt:lpwstr>0x0101004DF805D1E1DA4A49A223477D3B105720</vt:lpwstr>
  </property>
</Properties>
</file>