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h0co007\EPRS\pricing\Rate Cases\KPCo\2026 Mitchell U2 Cooling Tower\Discovery\Staff\"/>
    </mc:Choice>
  </mc:AlternateContent>
  <xr:revisionPtr revIDLastSave="0" documentId="13_ncr:1_{ECC744A2-5A0D-4353-9272-B2D3E7077E1F}" xr6:coauthVersionLast="47" xr6:coauthVersionMax="47" xr10:uidLastSave="{00000000-0000-0000-0000-000000000000}"/>
  <bookViews>
    <workbookView xWindow="28680" yWindow="-120" windowWidth="29040" windowHeight="15720" tabRatio="909" xr2:uid="{00000000-000D-0000-FFFF-FFFF00000000}"/>
  </bookViews>
  <sheets>
    <sheet name="2026" sheetId="156" r:id="rId1"/>
    <sheet name="2027" sheetId="157" r:id="rId2"/>
    <sheet name="2028" sheetId="158" r:id="rId3"/>
    <sheet name="2029" sheetId="153" r:id="rId4"/>
    <sheet name="12mos BA" sheetId="155" r:id="rId5"/>
    <sheet name="3.32" sheetId="45" state="hidden" r:id="rId6"/>
    <sheet name="Property Tax" sheetId="57" state="hidden" r:id="rId7"/>
    <sheet name="IN Tax Rates" sheetId="105" state="hidden" r:id="rId8"/>
    <sheet name="IN TAX Lookup" sheetId="113" state="hidden" r:id="rId9"/>
    <sheet name="Changes from Rate Case" sheetId="116" state="hidden" r:id="rId10"/>
  </sheets>
  <definedNames>
    <definedName name="AllocFactors">#REF!</definedName>
    <definedName name="ASD">#REF!</definedName>
    <definedName name="Begin_AP">#REF!</definedName>
    <definedName name="Begin_Print1" localSheetId="4">#REF!</definedName>
    <definedName name="Begin_Print1">#REF!</definedName>
    <definedName name="Begin_Print2" localSheetId="4">#REF!</definedName>
    <definedName name="Begin_Print2">#REF!</definedName>
    <definedName name="BS_BEGIN">#REF!</definedName>
    <definedName name="BS_CAP">#REF!</definedName>
    <definedName name="BS_END">#REF!</definedName>
    <definedName name="C_Begin">#REF!</definedName>
    <definedName name="C_End">#REF!</definedName>
    <definedName name="CSA">#REF!</definedName>
    <definedName name="CSO">#REF!</definedName>
    <definedName name="End_AP">#REF!</definedName>
    <definedName name="End_of_Report" localSheetId="4">#REF!</definedName>
    <definedName name="End_of_Report">#REF!</definedName>
    <definedName name="End_Print1" localSheetId="4">#REF!</definedName>
    <definedName name="End_Print1">#REF!</definedName>
    <definedName name="End_Print2" localSheetId="4">#REF!</definedName>
    <definedName name="End_Print2">#REF!</definedName>
    <definedName name="Katy">#REF!</definedName>
    <definedName name="Marshall_Rate" localSheetId="0">#REF!</definedName>
    <definedName name="Marshall_Rate" localSheetId="1">#REF!</definedName>
    <definedName name="Marshall_Rate" localSheetId="2">#REF!</definedName>
    <definedName name="Marshall_Rate" localSheetId="3">#REF!</definedName>
    <definedName name="Marshall_Rate" localSheetId="6">'Property Tax'!$B$2</definedName>
    <definedName name="Marshall_Rate">#REF!</definedName>
    <definedName name="NONUTILITY">#REF!</definedName>
    <definedName name="NvsASD" localSheetId="4">"V2013-03-31"</definedName>
    <definedName name="NvsASD">"V2017-08-31"</definedName>
    <definedName name="NvsAutoDrillOk">"VN"</definedName>
    <definedName name="NvsElapsedTime" localSheetId="4">0.000115740738692693</definedName>
    <definedName name="NvsElapsedTime">0.00255787037167465</definedName>
    <definedName name="NvsEndTime" localSheetId="4">41370.633587963</definedName>
    <definedName name="NvsEndTime">42990.6050462963</definedName>
    <definedName name="NvsInstanceHook">"""nvsMacro"""</definedName>
    <definedName name="NvsInstLang">"VENG"</definedName>
    <definedName name="NvsInstSpec" localSheetId="4">"%,FBUSINESS_UNIT,V117"</definedName>
    <definedName name="NvsInstSpec">"%,FBUSINESS_UNIT,TGL_PRPT_CONS,NKYP_CORP_CONSOL"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ReqBU">"VX999"</definedName>
    <definedName name="NvsReqBUOnly">"VN"</definedName>
    <definedName name="NvsTransLed">"VN"</definedName>
    <definedName name="NvsTree.GL_PRPT_CONS">"NNNNN"</definedName>
    <definedName name="NvsTreeASD" localSheetId="4">"V2099-01-01"</definedName>
    <definedName name="NvsTreeASD">"V2017-08-31"</definedName>
    <definedName name="NvsValTbl.ACCOUNT">"GL_ACCOUNT_TBL"</definedName>
    <definedName name="NvsValTbl.AEP_BENEFIT_LOC">"AEP_BEN_ALL_VW"</definedName>
    <definedName name="NvsValTbl.AFFILIATE">"AFFILIATE_VW"</definedName>
    <definedName name="NvsValTbl.BUSINESS_UNIT">"BUS_UNIT_TBL_FS"</definedName>
    <definedName name="NvsValTbl.CURRENCY_CD">"CURRENCY_CD_TBL"</definedName>
    <definedName name="NvsValTbl.DEPTID">"DEPARTMENT_TBL"</definedName>
    <definedName name="OPR_ID">#REF!</definedName>
    <definedName name="PC_Percent" localSheetId="0">#REF!</definedName>
    <definedName name="PC_Percent" localSheetId="1">#REF!</definedName>
    <definedName name="PC_Percent" localSheetId="2">#REF!</definedName>
    <definedName name="PC_Percent" localSheetId="3">#REF!</definedName>
    <definedName name="PC_Percent" localSheetId="6">'Property Tax'!$B$6</definedName>
    <definedName name="PC_Percent">#REF!</definedName>
    <definedName name="_xlnm.Print_Area" localSheetId="0">'2026'!$B$1:$Q$35</definedName>
    <definedName name="_xlnm.Print_Area" localSheetId="1">'2027'!$B$1:$Q$35</definedName>
    <definedName name="_xlnm.Print_Area" localSheetId="2">'2028'!$B$1:$Q$35</definedName>
    <definedName name="_xlnm.Print_Area" localSheetId="3">'2029'!$B$1:$Q$35</definedName>
    <definedName name="RESERVED">#REF!</definedName>
    <definedName name="Reserved_Section">#REF!</definedName>
    <definedName name="Rev_End" localSheetId="4">#REF!</definedName>
    <definedName name="Rev_End">#REF!</definedName>
    <definedName name="search_directory_name">"R:\fcm90prd\nvision\rpts\Fin_Reports\"</definedName>
    <definedName name="tim" localSheetId="4">#REF!</definedName>
    <definedName name="tim" localSheetId="0">#REF!</definedName>
    <definedName name="tim" localSheetId="1">#REF!</definedName>
    <definedName name="tim" localSheetId="2">#REF!</definedName>
    <definedName name="tim" localSheetId="3">#REF!</definedName>
    <definedName name="tim">#REF!</definedName>
    <definedName name="timm" localSheetId="4">#REF!</definedName>
    <definedName name="timm">#REF!</definedName>
    <definedName name="WV_List" localSheetId="0">#REF!</definedName>
    <definedName name="WV_List" localSheetId="1">#REF!</definedName>
    <definedName name="WV_List" localSheetId="2">#REF!</definedName>
    <definedName name="WV_List" localSheetId="3">#REF!</definedName>
    <definedName name="WV_List" localSheetId="6">'Property Tax'!$B$4</definedName>
    <definedName name="WV_List">#REF!</definedName>
    <definedName name="Z_0BD4BC22_E7A2_4140_8384_5A5B3339DEED_.wvu.PrintArea" localSheetId="0" hidden="1">'2026'!$B$1:$N$29</definedName>
    <definedName name="Z_0BD4BC22_E7A2_4140_8384_5A5B3339DEED_.wvu.PrintArea" localSheetId="1" hidden="1">'2027'!$B$1:$N$29</definedName>
    <definedName name="Z_0BD4BC22_E7A2_4140_8384_5A5B3339DEED_.wvu.PrintArea" localSheetId="2" hidden="1">'2028'!$B$1:$N$29</definedName>
    <definedName name="Z_0BD4BC22_E7A2_4140_8384_5A5B3339DEED_.wvu.PrintArea" localSheetId="3" hidden="1">'2029'!$B$1:$N$29</definedName>
    <definedName name="Z_4EF176FC_448F_4BD8_8859_C810312E84E7_.wvu.PrintArea" localSheetId="0" hidden="1">'2026'!$B$1:$N$29</definedName>
    <definedName name="Z_4EF176FC_448F_4BD8_8859_C810312E84E7_.wvu.PrintArea" localSheetId="1" hidden="1">'2027'!$B$1:$N$29</definedName>
    <definedName name="Z_4EF176FC_448F_4BD8_8859_C810312E84E7_.wvu.PrintArea" localSheetId="2" hidden="1">'2028'!$B$1:$N$29</definedName>
    <definedName name="Z_4EF176FC_448F_4BD8_8859_C810312E84E7_.wvu.PrintArea" localSheetId="3" hidden="1">'2029'!$B$1:$N$29</definedName>
    <definedName name="Z_567BA860_460A_4CE0_A629_0EA7372574F1_.wvu.PrintArea" localSheetId="0" hidden="1">'2026'!$B$1:$N$29</definedName>
    <definedName name="Z_567BA860_460A_4CE0_A629_0EA7372574F1_.wvu.PrintArea" localSheetId="1" hidden="1">'2027'!$B$1:$N$29</definedName>
    <definedName name="Z_567BA860_460A_4CE0_A629_0EA7372574F1_.wvu.PrintArea" localSheetId="2" hidden="1">'2028'!$B$1:$N$29</definedName>
    <definedName name="Z_567BA860_460A_4CE0_A629_0EA7372574F1_.wvu.PrintArea" localSheetId="3" hidden="1">'2029'!$B$1:$N$29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58" l="1"/>
  <c r="K20" i="158"/>
  <c r="I24" i="157"/>
  <c r="I22" i="157"/>
  <c r="K20" i="157"/>
  <c r="I24" i="156"/>
  <c r="K21" i="156"/>
  <c r="K20" i="156"/>
  <c r="D29" i="158"/>
  <c r="C29" i="158"/>
  <c r="H26" i="158" s="1"/>
  <c r="O27" i="158"/>
  <c r="I27" i="158"/>
  <c r="F27" i="158"/>
  <c r="O26" i="158"/>
  <c r="I26" i="158"/>
  <c r="F26" i="158"/>
  <c r="O25" i="158"/>
  <c r="I25" i="158"/>
  <c r="H25" i="158"/>
  <c r="F25" i="158"/>
  <c r="O24" i="158"/>
  <c r="F24" i="158"/>
  <c r="O23" i="158"/>
  <c r="I23" i="158"/>
  <c r="F23" i="158"/>
  <c r="E23" i="158"/>
  <c r="O22" i="158"/>
  <c r="F22" i="158"/>
  <c r="O21" i="158"/>
  <c r="I21" i="158"/>
  <c r="H21" i="158"/>
  <c r="F21" i="158"/>
  <c r="O20" i="158"/>
  <c r="O29" i="158" s="1"/>
  <c r="I20" i="158"/>
  <c r="H20" i="158"/>
  <c r="F20" i="158"/>
  <c r="I9" i="158"/>
  <c r="D29" i="157"/>
  <c r="C29" i="157"/>
  <c r="H26" i="157" s="1"/>
  <c r="O27" i="157"/>
  <c r="I27" i="157"/>
  <c r="H27" i="157"/>
  <c r="F27" i="157"/>
  <c r="O26" i="157"/>
  <c r="I26" i="157"/>
  <c r="F26" i="157"/>
  <c r="O25" i="157"/>
  <c r="I25" i="157"/>
  <c r="H25" i="157"/>
  <c r="F25" i="157"/>
  <c r="O24" i="157"/>
  <c r="H24" i="157"/>
  <c r="K24" i="157" s="1"/>
  <c r="F24" i="157"/>
  <c r="O23" i="157"/>
  <c r="I23" i="157"/>
  <c r="H23" i="157"/>
  <c r="F23" i="157"/>
  <c r="E23" i="157"/>
  <c r="O22" i="157"/>
  <c r="K22" i="157"/>
  <c r="H22" i="157"/>
  <c r="F22" i="157"/>
  <c r="O21" i="157"/>
  <c r="I21" i="157"/>
  <c r="H21" i="157"/>
  <c r="F21" i="157"/>
  <c r="O20" i="157"/>
  <c r="O29" i="157" s="1"/>
  <c r="I20" i="157"/>
  <c r="H20" i="157"/>
  <c r="H29" i="157" s="1"/>
  <c r="F20" i="157"/>
  <c r="F29" i="157" s="1"/>
  <c r="G21" i="157" s="1"/>
  <c r="K21" i="157" s="1"/>
  <c r="I9" i="157"/>
  <c r="D29" i="156"/>
  <c r="C29" i="156"/>
  <c r="H26" i="156" s="1"/>
  <c r="O27" i="156"/>
  <c r="I27" i="156"/>
  <c r="F27" i="156"/>
  <c r="O26" i="156"/>
  <c r="I26" i="156"/>
  <c r="F26" i="156"/>
  <c r="O25" i="156"/>
  <c r="I25" i="156"/>
  <c r="H25" i="156"/>
  <c r="F25" i="156"/>
  <c r="O24" i="156"/>
  <c r="F24" i="156"/>
  <c r="O23" i="156"/>
  <c r="I23" i="156"/>
  <c r="E23" i="156"/>
  <c r="F23" i="156" s="1"/>
  <c r="O22" i="156"/>
  <c r="F22" i="156"/>
  <c r="O21" i="156"/>
  <c r="I21" i="156"/>
  <c r="H21" i="156"/>
  <c r="F21" i="156"/>
  <c r="O20" i="156"/>
  <c r="O29" i="156" s="1"/>
  <c r="I20" i="156"/>
  <c r="H20" i="156"/>
  <c r="F20" i="156"/>
  <c r="I9" i="156"/>
  <c r="I24" i="153"/>
  <c r="I22" i="153"/>
  <c r="G22" i="153"/>
  <c r="G20" i="153"/>
  <c r="K20" i="153"/>
  <c r="G24" i="153"/>
  <c r="G21" i="153"/>
  <c r="K21" i="153"/>
  <c r="Q20" i="153"/>
  <c r="I20" i="153"/>
  <c r="M20" i="153"/>
  <c r="I21" i="153"/>
  <c r="M21" i="153"/>
  <c r="K22" i="153"/>
  <c r="M22" i="153"/>
  <c r="G23" i="153"/>
  <c r="K23" i="153"/>
  <c r="I23" i="153"/>
  <c r="M23" i="153"/>
  <c r="K24" i="153"/>
  <c r="M24" i="153"/>
  <c r="G25" i="153"/>
  <c r="K25" i="153"/>
  <c r="I25" i="153"/>
  <c r="M25" i="153"/>
  <c r="G26" i="153"/>
  <c r="K26" i="153"/>
  <c r="I26" i="153"/>
  <c r="M26" i="153"/>
  <c r="G27" i="153"/>
  <c r="K27" i="153"/>
  <c r="I27" i="153"/>
  <c r="M27" i="153"/>
  <c r="M29" i="153"/>
  <c r="P29" i="153"/>
  <c r="P21" i="153"/>
  <c r="P22" i="153"/>
  <c r="P23" i="153"/>
  <c r="P24" i="153"/>
  <c r="P25" i="153"/>
  <c r="P26" i="153"/>
  <c r="P27" i="153"/>
  <c r="P20" i="153"/>
  <c r="O29" i="153"/>
  <c r="O27" i="153"/>
  <c r="O26" i="153"/>
  <c r="O25" i="153"/>
  <c r="O24" i="153"/>
  <c r="O23" i="153"/>
  <c r="O22" i="153"/>
  <c r="O21" i="153"/>
  <c r="O20" i="153"/>
  <c r="E87" i="155"/>
  <c r="E85" i="155"/>
  <c r="E83" i="155"/>
  <c r="E71" i="155"/>
  <c r="E59" i="155"/>
  <c r="E57" i="155"/>
  <c r="E55" i="155"/>
  <c r="E43" i="155"/>
  <c r="E16" i="155"/>
  <c r="E90" i="155"/>
  <c r="D87" i="155"/>
  <c r="D85" i="155"/>
  <c r="D83" i="155"/>
  <c r="D71" i="155"/>
  <c r="D59" i="155"/>
  <c r="D57" i="155"/>
  <c r="D55" i="155"/>
  <c r="D43" i="155"/>
  <c r="D16" i="155"/>
  <c r="D90" i="155"/>
  <c r="C87" i="155"/>
  <c r="C85" i="155"/>
  <c r="C83" i="155"/>
  <c r="C71" i="155"/>
  <c r="C59" i="155"/>
  <c r="C57" i="155"/>
  <c r="C55" i="155"/>
  <c r="C43" i="155"/>
  <c r="C16" i="155"/>
  <c r="C90" i="155"/>
  <c r="F87" i="155"/>
  <c r="J87" i="155"/>
  <c r="I87" i="155"/>
  <c r="H87" i="155"/>
  <c r="F85" i="155"/>
  <c r="J85" i="155"/>
  <c r="I85" i="155"/>
  <c r="H85" i="155"/>
  <c r="F83" i="155"/>
  <c r="J83" i="155"/>
  <c r="I83" i="155"/>
  <c r="H83" i="155"/>
  <c r="M82" i="155"/>
  <c r="M81" i="155"/>
  <c r="M80" i="155"/>
  <c r="M79" i="155"/>
  <c r="M78" i="155"/>
  <c r="M77" i="155"/>
  <c r="M76" i="155"/>
  <c r="M75" i="155"/>
  <c r="M74" i="155"/>
  <c r="M73" i="155"/>
  <c r="M72" i="155"/>
  <c r="F71" i="155"/>
  <c r="J71" i="155"/>
  <c r="I71" i="155"/>
  <c r="H71" i="155"/>
  <c r="M70" i="155"/>
  <c r="M69" i="155"/>
  <c r="M68" i="155"/>
  <c r="M67" i="155"/>
  <c r="M66" i="155"/>
  <c r="M65" i="155"/>
  <c r="M64" i="155"/>
  <c r="M63" i="155"/>
  <c r="M62" i="155"/>
  <c r="M61" i="155"/>
  <c r="M60" i="155"/>
  <c r="F59" i="155"/>
  <c r="J59" i="155"/>
  <c r="I59" i="155"/>
  <c r="H59" i="155"/>
  <c r="M58" i="155"/>
  <c r="F57" i="155"/>
  <c r="J57" i="155"/>
  <c r="I57" i="155"/>
  <c r="H57" i="155"/>
  <c r="M56" i="155"/>
  <c r="F55" i="155"/>
  <c r="J55" i="155"/>
  <c r="I55" i="155"/>
  <c r="H55" i="155"/>
  <c r="M54" i="155"/>
  <c r="M53" i="155"/>
  <c r="M52" i="155"/>
  <c r="M51" i="155"/>
  <c r="M50" i="155"/>
  <c r="M49" i="155"/>
  <c r="M48" i="155"/>
  <c r="M47" i="155"/>
  <c r="M46" i="155"/>
  <c r="M45" i="155"/>
  <c r="M44" i="155"/>
  <c r="F43" i="155"/>
  <c r="J43" i="155"/>
  <c r="I43" i="155"/>
  <c r="H43" i="155"/>
  <c r="M42" i="155"/>
  <c r="M41" i="155"/>
  <c r="M40" i="155"/>
  <c r="M39" i="155"/>
  <c r="M38" i="155"/>
  <c r="M37" i="155"/>
  <c r="M36" i="155"/>
  <c r="M35" i="155"/>
  <c r="M34" i="155"/>
  <c r="M33" i="155"/>
  <c r="M32" i="155"/>
  <c r="M31" i="155"/>
  <c r="M30" i="155"/>
  <c r="M29" i="155"/>
  <c r="M28" i="155"/>
  <c r="M27" i="155"/>
  <c r="M26" i="155"/>
  <c r="M25" i="155"/>
  <c r="M24" i="155"/>
  <c r="M23" i="155"/>
  <c r="M22" i="155"/>
  <c r="M21" i="155"/>
  <c r="M20" i="155"/>
  <c r="M19" i="155"/>
  <c r="M18" i="155"/>
  <c r="M17" i="155"/>
  <c r="F16" i="155"/>
  <c r="J16" i="155"/>
  <c r="I16" i="155"/>
  <c r="H16" i="155"/>
  <c r="M15" i="155"/>
  <c r="M14" i="155"/>
  <c r="M13" i="155"/>
  <c r="M12" i="155"/>
  <c r="M11" i="155"/>
  <c r="M10" i="155"/>
  <c r="M9" i="155"/>
  <c r="M8" i="155"/>
  <c r="M7" i="155"/>
  <c r="M6" i="155"/>
  <c r="M5" i="155"/>
  <c r="M4" i="155"/>
  <c r="F22" i="153"/>
  <c r="F20" i="153"/>
  <c r="F27" i="153"/>
  <c r="F26" i="153"/>
  <c r="F25" i="153"/>
  <c r="F24" i="153"/>
  <c r="E23" i="153"/>
  <c r="F21" i="153"/>
  <c r="C29" i="153"/>
  <c r="H20" i="153"/>
  <c r="H21" i="153"/>
  <c r="F23" i="153"/>
  <c r="F29" i="153"/>
  <c r="H22" i="153"/>
  <c r="D29" i="153"/>
  <c r="H23" i="153"/>
  <c r="H24" i="153"/>
  <c r="H27" i="153"/>
  <c r="H25" i="153"/>
  <c r="H26" i="153"/>
  <c r="H29" i="153"/>
  <c r="D15" i="45"/>
  <c r="G19" i="45"/>
  <c r="C20" i="45"/>
  <c r="C21" i="45"/>
  <c r="F20" i="45"/>
  <c r="G20" i="45"/>
  <c r="F21" i="45"/>
  <c r="A5" i="45"/>
  <c r="C25" i="45"/>
  <c r="E21" i="45"/>
  <c r="G21" i="45"/>
  <c r="C26" i="45"/>
  <c r="C27" i="45"/>
  <c r="E9" i="45"/>
  <c r="C9" i="45"/>
  <c r="E15" i="45"/>
  <c r="C15" i="45"/>
  <c r="I9" i="153"/>
  <c r="N22" i="153"/>
  <c r="N23" i="153"/>
  <c r="N21" i="153"/>
  <c r="N25" i="153"/>
  <c r="N27" i="153"/>
  <c r="N24" i="153"/>
  <c r="N26" i="153"/>
  <c r="G29" i="153"/>
  <c r="N20" i="153"/>
  <c r="N29" i="153"/>
  <c r="M21" i="157" l="1"/>
  <c r="H24" i="158"/>
  <c r="K24" i="158" s="1"/>
  <c r="F29" i="158"/>
  <c r="G27" i="158" s="1"/>
  <c r="K27" i="158" s="1"/>
  <c r="M27" i="158" s="1"/>
  <c r="H23" i="158"/>
  <c r="H27" i="158"/>
  <c r="H22" i="158"/>
  <c r="K22" i="158" s="1"/>
  <c r="G23" i="157"/>
  <c r="K23" i="157" s="1"/>
  <c r="M23" i="157" s="1"/>
  <c r="G27" i="157"/>
  <c r="K27" i="157" s="1"/>
  <c r="M27" i="157" s="1"/>
  <c r="G26" i="157"/>
  <c r="K26" i="157" s="1"/>
  <c r="M26" i="157" s="1"/>
  <c r="G24" i="157"/>
  <c r="M24" i="157" s="1"/>
  <c r="P21" i="157"/>
  <c r="N21" i="157"/>
  <c r="G22" i="157"/>
  <c r="M22" i="157" s="1"/>
  <c r="G25" i="157"/>
  <c r="K25" i="157" s="1"/>
  <c r="M25" i="157" s="1"/>
  <c r="G20" i="157"/>
  <c r="G25" i="156"/>
  <c r="K25" i="156" s="1"/>
  <c r="M25" i="156" s="1"/>
  <c r="G26" i="156"/>
  <c r="K26" i="156" s="1"/>
  <c r="M26" i="156" s="1"/>
  <c r="H24" i="156"/>
  <c r="K24" i="156" s="1"/>
  <c r="F29" i="156"/>
  <c r="G21" i="156" s="1"/>
  <c r="M21" i="156" s="1"/>
  <c r="H23" i="156"/>
  <c r="H22" i="156"/>
  <c r="K22" i="156" s="1"/>
  <c r="H27" i="156"/>
  <c r="N27" i="158" l="1"/>
  <c r="P27" i="158"/>
  <c r="H29" i="158"/>
  <c r="G20" i="158"/>
  <c r="G22" i="158"/>
  <c r="M22" i="158" s="1"/>
  <c r="G21" i="158"/>
  <c r="K21" i="158" s="1"/>
  <c r="M21" i="158" s="1"/>
  <c r="G24" i="158"/>
  <c r="I24" i="158" s="1"/>
  <c r="M24" i="158" s="1"/>
  <c r="G25" i="158"/>
  <c r="K25" i="158" s="1"/>
  <c r="M25" i="158" s="1"/>
  <c r="G23" i="158"/>
  <c r="K23" i="158" s="1"/>
  <c r="M23" i="158" s="1"/>
  <c r="G26" i="158"/>
  <c r="K26" i="158" s="1"/>
  <c r="M26" i="158" s="1"/>
  <c r="P24" i="157"/>
  <c r="N24" i="157"/>
  <c r="P25" i="157"/>
  <c r="N25" i="157"/>
  <c r="N27" i="157"/>
  <c r="P27" i="157"/>
  <c r="P23" i="157"/>
  <c r="N23" i="157"/>
  <c r="P22" i="157"/>
  <c r="N22" i="157"/>
  <c r="G29" i="157"/>
  <c r="P26" i="157"/>
  <c r="N26" i="157"/>
  <c r="P26" i="156"/>
  <c r="N26" i="156"/>
  <c r="P25" i="156"/>
  <c r="N25" i="156"/>
  <c r="G24" i="156"/>
  <c r="M24" i="156" s="1"/>
  <c r="H29" i="156"/>
  <c r="G20" i="156"/>
  <c r="P21" i="156"/>
  <c r="N21" i="156"/>
  <c r="G27" i="156"/>
  <c r="K27" i="156" s="1"/>
  <c r="M27" i="156" s="1"/>
  <c r="G23" i="156"/>
  <c r="K23" i="156" s="1"/>
  <c r="M23" i="156" s="1"/>
  <c r="G22" i="156"/>
  <c r="I22" i="156" s="1"/>
  <c r="M22" i="156" s="1"/>
  <c r="P24" i="158" l="1"/>
  <c r="N24" i="158"/>
  <c r="P22" i="158"/>
  <c r="N22" i="158"/>
  <c r="N23" i="158"/>
  <c r="P23" i="158"/>
  <c r="P25" i="158"/>
  <c r="N25" i="158"/>
  <c r="P26" i="158"/>
  <c r="N26" i="158"/>
  <c r="P21" i="158"/>
  <c r="N21" i="158"/>
  <c r="G29" i="158"/>
  <c r="Q20" i="157"/>
  <c r="M20" i="157"/>
  <c r="P22" i="156"/>
  <c r="N22" i="156"/>
  <c r="P24" i="156"/>
  <c r="N24" i="156"/>
  <c r="P23" i="156"/>
  <c r="N23" i="156"/>
  <c r="P27" i="156"/>
  <c r="N27" i="156"/>
  <c r="G29" i="156"/>
  <c r="Q20" i="158" l="1"/>
  <c r="M20" i="158"/>
  <c r="P20" i="157"/>
  <c r="M29" i="157"/>
  <c r="P29" i="157" s="1"/>
  <c r="N20" i="157"/>
  <c r="N29" i="157" s="1"/>
  <c r="Q20" i="156"/>
  <c r="M20" i="156"/>
  <c r="P20" i="158" l="1"/>
  <c r="M29" i="158"/>
  <c r="P29" i="158" s="1"/>
  <c r="N20" i="158"/>
  <c r="N29" i="158" s="1"/>
  <c r="P20" i="156"/>
  <c r="M29" i="156"/>
  <c r="P29" i="156" s="1"/>
  <c r="N20" i="156"/>
  <c r="N29" i="156" s="1"/>
</calcChain>
</file>

<file path=xl/sharedStrings.xml><?xml version="1.0" encoding="utf-8"?>
<sst xmlns="http://schemas.openxmlformats.org/spreadsheetml/2006/main" count="372" uniqueCount="172">
  <si>
    <t xml:space="preserve"> </t>
  </si>
  <si>
    <t>Kentucky Power Company</t>
  </si>
  <si>
    <t>A.  Residential Revenue Calculation</t>
  </si>
  <si>
    <t>(+)</t>
  </si>
  <si>
    <t>(-)</t>
  </si>
  <si>
    <t>B.  All Other Revenue Calculation</t>
  </si>
  <si>
    <t>Non-Residential Fuel Revenue Calculation:</t>
  </si>
  <si>
    <t>Less Residential (Rev Class 010 + 020 kWh)</t>
  </si>
  <si>
    <t>Non-Residential kWh</t>
  </si>
  <si>
    <t>Base Fuel Amount</t>
  </si>
  <si>
    <t>Plus FAC Revenues</t>
  </si>
  <si>
    <t xml:space="preserve">Total Non-Residential Fuel Revenues </t>
  </si>
  <si>
    <t>ES 3.32</t>
  </si>
  <si>
    <t>Less Residential PPA Revenues</t>
  </si>
  <si>
    <t xml:space="preserve">Billed Revenue Calculations </t>
  </si>
  <si>
    <t>010 Metered kWh</t>
  </si>
  <si>
    <t>020 Metered kWH</t>
  </si>
  <si>
    <t>WV Listing Percentage</t>
  </si>
  <si>
    <t>Pollution Control Value (Salvage)</t>
  </si>
  <si>
    <t>Non-Residential</t>
  </si>
  <si>
    <t>Less All Other Classifications PPA Revenues</t>
  </si>
  <si>
    <t>Non-Residential Embedded Fuel Revenues (Ln 16  * Ln 17)</t>
  </si>
  <si>
    <t>INPUTS</t>
  </si>
  <si>
    <t>Total Retail kWh (MCSR0162)</t>
  </si>
  <si>
    <t>Changes since rate case</t>
  </si>
  <si>
    <t>Depreciation rate for Mitchell</t>
  </si>
  <si>
    <t>Update 3.15</t>
  </si>
  <si>
    <t>Include consumable inventories in rate base calc</t>
  </si>
  <si>
    <t>Add anhydrous ammonia to 3.20</t>
  </si>
  <si>
    <t>Maybe remove consumable inventories from cash working capital allowance</t>
  </si>
  <si>
    <t>add revenue gross up calculation</t>
  </si>
  <si>
    <t>update baserevenue</t>
  </si>
  <si>
    <t>Marshall County, WV rate, 2018-2019 fiscal year</t>
  </si>
  <si>
    <t>Demand</t>
  </si>
  <si>
    <t>Energy</t>
  </si>
  <si>
    <t>Total</t>
  </si>
  <si>
    <t>KY Retail Jurisdiction</t>
  </si>
  <si>
    <t>CP</t>
  </si>
  <si>
    <t>Allocated</t>
  </si>
  <si>
    <t>Test Year</t>
  </si>
  <si>
    <t>Billing</t>
  </si>
  <si>
    <t>CP / kWh</t>
  </si>
  <si>
    <t>Allocation</t>
  </si>
  <si>
    <t>Related</t>
  </si>
  <si>
    <t>$ / kW</t>
  </si>
  <si>
    <t>$ / kWh</t>
  </si>
  <si>
    <t>Revenue</t>
  </si>
  <si>
    <t>Class</t>
  </si>
  <si>
    <t>Ratio</t>
  </si>
  <si>
    <t>Factor</t>
  </si>
  <si>
    <t>Costs</t>
  </si>
  <si>
    <t>Rate</t>
  </si>
  <si>
    <t>Verification</t>
  </si>
  <si>
    <t>Difference</t>
  </si>
  <si>
    <t>(5) = (2) x (4)</t>
  </si>
  <si>
    <t>(8) = (6) / (3)</t>
  </si>
  <si>
    <t>(9) = (7) / (2)</t>
  </si>
  <si>
    <t>(11) =</t>
  </si>
  <si>
    <t>on (5)</t>
  </si>
  <si>
    <t>on (2)</t>
  </si>
  <si>
    <t>(10) - (6) - (7)</t>
  </si>
  <si>
    <t>RES</t>
  </si>
  <si>
    <t>GS (SGS/MGS)</t>
  </si>
  <si>
    <t>LGS</t>
  </si>
  <si>
    <t>LGS  LMTOD</t>
  </si>
  <si>
    <t xml:space="preserve">IGS </t>
  </si>
  <si>
    <t>MW</t>
  </si>
  <si>
    <t>OL</t>
  </si>
  <si>
    <t>SL</t>
  </si>
  <si>
    <r>
      <t>Revenue Requirement</t>
    </r>
    <r>
      <rPr>
        <vertAlign val="superscript"/>
        <sz val="12.6"/>
        <rFont val="Times New Roman"/>
        <family val="1"/>
      </rPr>
      <t>1</t>
    </r>
  </si>
  <si>
    <t>Generation Rider - Form 2.0</t>
  </si>
  <si>
    <t>Generation Rider Rate Design</t>
  </si>
  <si>
    <t>12 MONTHS BILLED AND ACCRUED - MCSR0162 - FINAL</t>
  </si>
  <si>
    <t>Tariff Code</t>
  </si>
  <si>
    <t>Metered KWH</t>
  </si>
  <si>
    <t>Billing Demand</t>
  </si>
  <si>
    <t># of Customers</t>
  </si>
  <si>
    <t>Avg kWh</t>
  </si>
  <si>
    <t>Avg Bill</t>
  </si>
  <si>
    <t>Avg Peak</t>
  </si>
  <si>
    <t>Check</t>
  </si>
  <si>
    <t xml:space="preserve">RSW-LMWH </t>
  </si>
  <si>
    <t xml:space="preserve">RSW-A    </t>
  </si>
  <si>
    <t xml:space="preserve">RSW-B    </t>
  </si>
  <si>
    <t xml:space="preserve">RSW-C    </t>
  </si>
  <si>
    <t xml:space="preserve">RS       </t>
  </si>
  <si>
    <t xml:space="preserve">RS EMP   </t>
  </si>
  <si>
    <t xml:space="preserve">RSW-RS   </t>
  </si>
  <si>
    <t>AORH-W ON</t>
  </si>
  <si>
    <t xml:space="preserve">RSW-ONPK </t>
  </si>
  <si>
    <t xml:space="preserve">RS LM-ON </t>
  </si>
  <si>
    <t xml:space="preserve">AORH-ON  </t>
  </si>
  <si>
    <t>RS-TOD-ON</t>
  </si>
  <si>
    <t>RES Subtotal</t>
  </si>
  <si>
    <t>OL 175 MV</t>
  </si>
  <si>
    <t>OL 100 HP</t>
  </si>
  <si>
    <t>OL 400 MV</t>
  </si>
  <si>
    <t>OL 200 HP</t>
  </si>
  <si>
    <t>OL 400 HP</t>
  </si>
  <si>
    <t>OL175 MVP</t>
  </si>
  <si>
    <t>OL 250 HP</t>
  </si>
  <si>
    <t>OL 200HPF</t>
  </si>
  <si>
    <t>OL400 HPF</t>
  </si>
  <si>
    <t>OL 250 MH</t>
  </si>
  <si>
    <t>OL100 HPP</t>
  </si>
  <si>
    <t>OL 150 HP</t>
  </si>
  <si>
    <t>OL 400 MH</t>
  </si>
  <si>
    <t>OL 250HPP</t>
  </si>
  <si>
    <t>OL150 HPP</t>
  </si>
  <si>
    <t>OL 400HPP</t>
  </si>
  <si>
    <t>OL 250MON</t>
  </si>
  <si>
    <t>OL 1000MH</t>
  </si>
  <si>
    <t>OL 400MON</t>
  </si>
  <si>
    <t>55W LEDOL</t>
  </si>
  <si>
    <t>100WLEDOL</t>
  </si>
  <si>
    <t>175WLEDOL</t>
  </si>
  <si>
    <t>300WLEDOL</t>
  </si>
  <si>
    <t>64W LEDOL</t>
  </si>
  <si>
    <t>146WLEDOL</t>
  </si>
  <si>
    <t>297WLEDOL</t>
  </si>
  <si>
    <t>OL Subtotal</t>
  </si>
  <si>
    <t xml:space="preserve">GS-MTRD  </t>
  </si>
  <si>
    <t xml:space="preserve">GS SEC   </t>
  </si>
  <si>
    <t xml:space="preserve">GS-UMR   </t>
  </si>
  <si>
    <t xml:space="preserve">GS - AF  </t>
  </si>
  <si>
    <t xml:space="preserve">GS PRI   </t>
  </si>
  <si>
    <t xml:space="preserve">GSCC PRI </t>
  </si>
  <si>
    <t xml:space="preserve">GS LM ON </t>
  </si>
  <si>
    <t>GS LM TOD</t>
  </si>
  <si>
    <t>EXP GSTOD</t>
  </si>
  <si>
    <t>SGS-TOD Subtotal</t>
  </si>
  <si>
    <t xml:space="preserve">GS-TOD   </t>
  </si>
  <si>
    <t>MGS-TOD Subtotal</t>
  </si>
  <si>
    <t xml:space="preserve">GSCC SUB </t>
  </si>
  <si>
    <t>GS Subtotal</t>
  </si>
  <si>
    <t xml:space="preserve">LGS SEC  </t>
  </si>
  <si>
    <t>LGS M SEC</t>
  </si>
  <si>
    <t xml:space="preserve">LGS PRI  </t>
  </si>
  <si>
    <t>LGS M PRI</t>
  </si>
  <si>
    <t xml:space="preserve">LGS SUB  </t>
  </si>
  <si>
    <t xml:space="preserve">LGS TRAN </t>
  </si>
  <si>
    <t>LGS-LM-TD</t>
  </si>
  <si>
    <t>LGSSECTOD</t>
  </si>
  <si>
    <t>LGSPRITOD</t>
  </si>
  <si>
    <t xml:space="preserve">PS SEC   </t>
  </si>
  <si>
    <t xml:space="preserve">PS PRI   </t>
  </si>
  <si>
    <t>LGS Subtotal</t>
  </si>
  <si>
    <t>CS-IRP PR</t>
  </si>
  <si>
    <t>CS-IRP ST</t>
  </si>
  <si>
    <t>CS-IRP TR</t>
  </si>
  <si>
    <t xml:space="preserve">CS-IRP   </t>
  </si>
  <si>
    <t xml:space="preserve">IGS SEC  </t>
  </si>
  <si>
    <t xml:space="preserve">IGS PRI  </t>
  </si>
  <si>
    <t xml:space="preserve">IGS SUB  </t>
  </si>
  <si>
    <t xml:space="preserve">IGS      </t>
  </si>
  <si>
    <t>IGS Subtotal</t>
  </si>
  <si>
    <t xml:space="preserve">SL       </t>
  </si>
  <si>
    <t>SL Subtotal</t>
  </si>
  <si>
    <t xml:space="preserve">MW       </t>
  </si>
  <si>
    <t>MW Subtotal</t>
  </si>
  <si>
    <t>% Increase</t>
  </si>
  <si>
    <t>(13) =</t>
  </si>
  <si>
    <t xml:space="preserve"> (10) / (12)</t>
  </si>
  <si>
    <t>Bill Impact</t>
  </si>
  <si>
    <t>12 Months December</t>
  </si>
  <si>
    <t>2025 Revenues</t>
  </si>
  <si>
    <t>Est. Monthly</t>
  </si>
  <si>
    <r>
      <t>Energy</t>
    </r>
    <r>
      <rPr>
        <u/>
        <vertAlign val="superscript"/>
        <sz val="8.4"/>
        <rFont val="Times New Roman"/>
        <family val="1"/>
      </rPr>
      <t>2</t>
    </r>
  </si>
  <si>
    <r>
      <t>Demand</t>
    </r>
    <r>
      <rPr>
        <u/>
        <vertAlign val="superscript"/>
        <sz val="8.4"/>
        <rFont val="Times New Roman"/>
        <family val="1"/>
      </rPr>
      <t>2</t>
    </r>
  </si>
  <si>
    <t>2 Numbers derived from the 2025 Base Case. Case No. 2025-00257</t>
  </si>
  <si>
    <t>1 All Generation Rider cost considered demand-related</t>
  </si>
  <si>
    <t>3 Altered for revenue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</si>
</sst>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0%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0"/>
    <numFmt numFmtId="169" formatCode="0.00000"/>
    <numFmt numFmtId="170" formatCode="0.00000_);[Red]\(0.00000\)"/>
    <numFmt numFmtId="171" formatCode="_-* #,##0.00\ _€_-;\-* #,##0.00\ _€_-;_-* &quot;-&quot;??\ _€_-;_-@_-"/>
    <numFmt numFmtId="172" formatCode="0_);\(0\)"/>
    <numFmt numFmtId="173" formatCode="0.0000000%"/>
    <numFmt numFmtId="174" formatCode="&quot;$&quot;#,##0.00000"/>
    <numFmt numFmtId="175" formatCode="&quot;$&quot;#,##0"/>
    <numFmt numFmtId="176" formatCode="0.000000_);\(0.000000\)"/>
    <numFmt numFmtId="177" formatCode="#,##0.0"/>
    <numFmt numFmtId="178" formatCode="_(* #,##0.0_);_(* \(#,##0.0\);_(* &quot;-&quot;??_);_(@_)"/>
    <numFmt numFmtId="179" formatCode="0.0%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0"/>
      <name val="Arial"/>
      <family val="2"/>
    </font>
    <font>
      <sz val="10"/>
      <name val="Arial Unicode MS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sz val="10"/>
      <name val="Arial Unicode MS"/>
    </font>
    <font>
      <sz val="10"/>
      <name val="Arial"/>
      <family val="2"/>
    </font>
    <font>
      <sz val="9"/>
      <name val="Segoe UI"/>
      <family val="2"/>
    </font>
    <font>
      <b/>
      <sz val="10"/>
      <name val="MS Sans Serif"/>
    </font>
    <font>
      <sz val="10"/>
      <name val="MS Sans Serif"/>
    </font>
    <font>
      <sz val="11"/>
      <color theme="1"/>
      <name val="Calibri"/>
      <family val="2"/>
      <scheme val="minor"/>
    </font>
    <font>
      <sz val="9"/>
      <color theme="1"/>
      <name val="Segoe UI"/>
      <family val="2"/>
      <charset val="1"/>
    </font>
    <font>
      <sz val="10"/>
      <color theme="1"/>
      <name val="Tahoma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u/>
      <sz val="14"/>
      <name val="Times New Roman"/>
      <family val="1"/>
    </font>
    <font>
      <sz val="14"/>
      <color rgb="FFFF0000"/>
      <name val="Times New Roman"/>
      <family val="1"/>
    </font>
    <font>
      <vertAlign val="superscript"/>
      <sz val="14"/>
      <name val="Times New Roman"/>
      <family val="1"/>
    </font>
    <font>
      <vertAlign val="superscript"/>
      <sz val="10"/>
      <name val="Times New Roman"/>
      <family val="1"/>
    </font>
    <font>
      <vertAlign val="superscript"/>
      <sz val="12.6"/>
      <name val="Times New Roman"/>
      <family val="1"/>
    </font>
    <font>
      <u/>
      <vertAlign val="superscript"/>
      <sz val="8.4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68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42" fillId="3" borderId="0" applyNumberFormat="0" applyBorder="0" applyAlignment="0" applyProtection="0"/>
    <xf numFmtId="0" fontId="43" fillId="20" borderId="1" applyNumberFormat="0" applyAlignment="0" applyProtection="0"/>
    <xf numFmtId="0" fontId="44" fillId="21" borderId="2" applyNumberFormat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7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50" fillId="7" borderId="1" applyNumberFormat="0" applyAlignment="0" applyProtection="0"/>
    <xf numFmtId="0" fontId="51" fillId="0" borderId="6" applyNumberFormat="0" applyFill="0" applyAlignment="0" applyProtection="0"/>
    <xf numFmtId="0" fontId="52" fillId="22" borderId="0" applyNumberFormat="0" applyBorder="0" applyAlignment="0" applyProtection="0"/>
    <xf numFmtId="0" fontId="27" fillId="0" borderId="0"/>
    <xf numFmtId="0" fontId="18" fillId="0" borderId="0"/>
    <xf numFmtId="0" fontId="7" fillId="0" borderId="0"/>
    <xf numFmtId="0" fontId="29" fillId="0" borderId="0"/>
    <xf numFmtId="0" fontId="18" fillId="0" borderId="0"/>
    <xf numFmtId="0" fontId="70" fillId="0" borderId="0"/>
    <xf numFmtId="0" fontId="7" fillId="0" borderId="0"/>
    <xf numFmtId="0" fontId="32" fillId="0" borderId="0"/>
    <xf numFmtId="0" fontId="12" fillId="0" borderId="0"/>
    <xf numFmtId="0" fontId="68" fillId="0" borderId="0"/>
    <xf numFmtId="0" fontId="7" fillId="0" borderId="0"/>
    <xf numFmtId="0" fontId="34" fillId="0" borderId="0"/>
    <xf numFmtId="0" fontId="12" fillId="0" borderId="0"/>
    <xf numFmtId="0" fontId="69" fillId="0" borderId="0"/>
    <xf numFmtId="0" fontId="35" fillId="0" borderId="0"/>
    <xf numFmtId="0" fontId="18" fillId="0" borderId="0"/>
    <xf numFmtId="0" fontId="71" fillId="0" borderId="0"/>
    <xf numFmtId="0" fontId="40" fillId="0" borderId="0"/>
    <xf numFmtId="0" fontId="38" fillId="0" borderId="0"/>
    <xf numFmtId="0" fontId="69" fillId="0" borderId="0"/>
    <xf numFmtId="0" fontId="7" fillId="0" borderId="0"/>
    <xf numFmtId="0" fontId="18" fillId="0" borderId="0"/>
    <xf numFmtId="0" fontId="7" fillId="0" borderId="0"/>
    <xf numFmtId="0" fontId="38" fillId="0" borderId="0"/>
    <xf numFmtId="0" fontId="59" fillId="0" borderId="0"/>
    <xf numFmtId="0" fontId="6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8" fillId="0" borderId="0"/>
    <xf numFmtId="0" fontId="7" fillId="0" borderId="0"/>
    <xf numFmtId="0" fontId="38" fillId="0" borderId="0"/>
    <xf numFmtId="0" fontId="64" fillId="0" borderId="0"/>
    <xf numFmtId="0" fontId="72" fillId="0" borderId="0"/>
    <xf numFmtId="0" fontId="71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8" fillId="0" borderId="0"/>
    <xf numFmtId="0" fontId="69" fillId="0" borderId="0"/>
    <xf numFmtId="0" fontId="12" fillId="0" borderId="0"/>
    <xf numFmtId="0" fontId="7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3" fillId="0" borderId="0"/>
    <xf numFmtId="0" fontId="18" fillId="0" borderId="0"/>
    <xf numFmtId="0" fontId="69" fillId="0" borderId="0"/>
    <xf numFmtId="0" fontId="18" fillId="0" borderId="0"/>
    <xf numFmtId="0" fontId="69" fillId="0" borderId="0"/>
    <xf numFmtId="0" fontId="69" fillId="0" borderId="0"/>
    <xf numFmtId="0" fontId="18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66" fillId="0" borderId="0"/>
    <xf numFmtId="0" fontId="20" fillId="0" borderId="0"/>
    <xf numFmtId="0" fontId="18" fillId="0" borderId="0"/>
    <xf numFmtId="0" fontId="66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66" fillId="0" borderId="0"/>
    <xf numFmtId="0" fontId="7" fillId="0" borderId="0"/>
    <xf numFmtId="0" fontId="66" fillId="0" borderId="0"/>
    <xf numFmtId="0" fontId="7" fillId="0" borderId="0"/>
    <xf numFmtId="0" fontId="7" fillId="0" borderId="0"/>
    <xf numFmtId="0" fontId="69" fillId="0" borderId="0"/>
    <xf numFmtId="0" fontId="7" fillId="23" borderId="7" applyNumberFormat="0" applyFont="0" applyAlignment="0" applyProtection="0"/>
    <xf numFmtId="0" fontId="53" fillId="20" borderId="8" applyNumberForma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0" fontId="59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68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34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15" fontId="68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34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59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68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34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1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24" fillId="0" borderId="9">
      <alignment horizontal="center"/>
    </xf>
    <xf numFmtId="0" fontId="11" fillId="0" borderId="9">
      <alignment horizontal="center"/>
    </xf>
    <xf numFmtId="0" fontId="24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31" fillId="0" borderId="9">
      <alignment horizontal="center"/>
    </xf>
    <xf numFmtId="0" fontId="11" fillId="0" borderId="9">
      <alignment horizontal="center"/>
    </xf>
    <xf numFmtId="0" fontId="33" fillId="0" borderId="9">
      <alignment horizontal="center"/>
    </xf>
    <xf numFmtId="0" fontId="11" fillId="0" borderId="9">
      <alignment horizontal="center"/>
    </xf>
    <xf numFmtId="0" fontId="60" fillId="0" borderId="9">
      <alignment horizontal="center"/>
    </xf>
    <xf numFmtId="0" fontId="62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67" fillId="0" borderId="9">
      <alignment horizontal="center"/>
    </xf>
    <xf numFmtId="3" fontId="12" fillId="0" borderId="0" applyFont="0" applyFill="0" applyBorder="0" applyAlignment="0" applyProtection="0"/>
    <xf numFmtId="3" fontId="59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68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2" fillId="24" borderId="0" applyNumberFormat="0" applyFont="0" applyBorder="0" applyAlignment="0" applyProtection="0"/>
    <xf numFmtId="0" fontId="68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23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23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34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59" fillId="24" borderId="0" applyNumberFormat="0" applyFont="0" applyBorder="0" applyAlignment="0" applyProtection="0"/>
    <xf numFmtId="0" fontId="61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54" fillId="0" borderId="0" applyNumberFormat="0" applyFill="0" applyBorder="0" applyAlignment="0" applyProtection="0"/>
    <xf numFmtId="0" fontId="55" fillId="0" borderId="10" applyNumberFormat="0" applyFill="0" applyAlignment="0" applyProtection="0"/>
    <xf numFmtId="0" fontId="56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27">
    <xf numFmtId="0" fontId="0" fillId="0" borderId="0" xfId="0"/>
    <xf numFmtId="0" fontId="7" fillId="0" borderId="0" xfId="0" applyFont="1"/>
    <xf numFmtId="10" fontId="8" fillId="25" borderId="18" xfId="665" applyNumberFormat="1" applyFont="1" applyFill="1" applyBorder="1"/>
    <xf numFmtId="0" fontId="7" fillId="0" borderId="0" xfId="478"/>
    <xf numFmtId="0" fontId="8" fillId="0" borderId="0" xfId="478" applyFont="1"/>
    <xf numFmtId="0" fontId="8" fillId="0" borderId="0" xfId="478" applyFont="1" applyAlignment="1">
      <alignment horizontal="center"/>
    </xf>
    <xf numFmtId="167" fontId="7" fillId="0" borderId="0" xfId="478" applyNumberFormat="1"/>
    <xf numFmtId="0" fontId="7" fillId="0" borderId="0" xfId="478" applyAlignment="1">
      <alignment horizontal="center"/>
    </xf>
    <xf numFmtId="0" fontId="10" fillId="0" borderId="0" xfId="478" applyFont="1" applyAlignment="1">
      <alignment horizontal="center"/>
    </xf>
    <xf numFmtId="0" fontId="7" fillId="0" borderId="0" xfId="478" applyAlignment="1">
      <alignment horizontal="right"/>
    </xf>
    <xf numFmtId="0" fontId="9" fillId="0" borderId="0" xfId="478" applyFont="1" applyAlignment="1">
      <alignment horizontal="right"/>
    </xf>
    <xf numFmtId="166" fontId="7" fillId="0" borderId="0" xfId="132" applyNumberFormat="1" applyFont="1"/>
    <xf numFmtId="166" fontId="8" fillId="0" borderId="19" xfId="478" applyNumberFormat="1" applyFont="1" applyBorder="1"/>
    <xf numFmtId="43" fontId="7" fillId="0" borderId="19" xfId="478" applyNumberFormat="1" applyBorder="1"/>
    <xf numFmtId="0" fontId="69" fillId="0" borderId="0" xfId="468"/>
    <xf numFmtId="44" fontId="7" fillId="0" borderId="0" xfId="386" applyFont="1"/>
    <xf numFmtId="164" fontId="69" fillId="0" borderId="0" xfId="468" applyNumberFormat="1"/>
    <xf numFmtId="9" fontId="69" fillId="0" borderId="0" xfId="468" applyNumberFormat="1"/>
    <xf numFmtId="0" fontId="8" fillId="0" borderId="0" xfId="478" applyFont="1" applyAlignment="1">
      <alignment horizontal="right"/>
    </xf>
    <xf numFmtId="168" fontId="7" fillId="0" borderId="0" xfId="478" applyNumberFormat="1"/>
    <xf numFmtId="170" fontId="7" fillId="0" borderId="20" xfId="453" applyNumberFormat="1" applyBorder="1" applyAlignment="1">
      <alignment horizontal="center" wrapText="1"/>
    </xf>
    <xf numFmtId="170" fontId="7" fillId="0" borderId="20" xfId="478" applyNumberFormat="1" applyBorder="1" applyAlignment="1">
      <alignment horizontal="center"/>
    </xf>
    <xf numFmtId="0" fontId="8" fillId="26" borderId="0" xfId="478" applyFont="1" applyFill="1"/>
    <xf numFmtId="169" fontId="7" fillId="26" borderId="0" xfId="478" applyNumberFormat="1" applyFill="1"/>
    <xf numFmtId="43" fontId="7" fillId="0" borderId="0" xfId="28" applyFont="1"/>
    <xf numFmtId="43" fontId="7" fillId="0" borderId="0" xfId="478" applyNumberFormat="1"/>
    <xf numFmtId="170" fontId="7" fillId="26" borderId="20" xfId="453" applyNumberFormat="1" applyFill="1" applyBorder="1" applyAlignment="1">
      <alignment wrapText="1"/>
    </xf>
    <xf numFmtId="3" fontId="7" fillId="0" borderId="0" xfId="478" applyNumberFormat="1"/>
    <xf numFmtId="0" fontId="7" fillId="26" borderId="0" xfId="478" applyFill="1"/>
    <xf numFmtId="3" fontId="7" fillId="27" borderId="0" xfId="478" applyNumberFormat="1" applyFill="1"/>
    <xf numFmtId="166" fontId="39" fillId="27" borderId="0" xfId="132" applyNumberFormat="1" applyFont="1" applyFill="1"/>
    <xf numFmtId="0" fontId="78" fillId="0" borderId="0" xfId="960" applyFont="1"/>
    <xf numFmtId="0" fontId="79" fillId="0" borderId="0" xfId="960" applyFont="1"/>
    <xf numFmtId="166" fontId="78" fillId="0" borderId="0" xfId="961" applyNumberFormat="1" applyFont="1" applyFill="1" applyAlignment="1">
      <alignment horizontal="right"/>
    </xf>
    <xf numFmtId="0" fontId="80" fillId="0" borderId="0" xfId="960" applyFont="1"/>
    <xf numFmtId="0" fontId="81" fillId="0" borderId="0" xfId="960" applyFont="1"/>
    <xf numFmtId="0" fontId="81" fillId="0" borderId="11" xfId="960" applyFont="1" applyBorder="1"/>
    <xf numFmtId="0" fontId="81" fillId="0" borderId="12" xfId="960" applyFont="1" applyBorder="1"/>
    <xf numFmtId="0" fontId="82" fillId="0" borderId="12" xfId="960" applyFont="1" applyBorder="1" applyAlignment="1">
      <alignment horizontal="center"/>
    </xf>
    <xf numFmtId="0" fontId="82" fillId="0" borderId="13" xfId="960" applyFont="1" applyBorder="1" applyAlignment="1">
      <alignment horizontal="center"/>
    </xf>
    <xf numFmtId="0" fontId="81" fillId="0" borderId="15" xfId="960" applyFont="1" applyBorder="1"/>
    <xf numFmtId="0" fontId="82" fillId="0" borderId="0" xfId="960" applyFont="1" applyAlignment="1">
      <alignment horizontal="center"/>
    </xf>
    <xf numFmtId="0" fontId="82" fillId="0" borderId="16" xfId="960" applyFont="1" applyBorder="1" applyAlignment="1">
      <alignment horizontal="center"/>
    </xf>
    <xf numFmtId="0" fontId="81" fillId="0" borderId="14" xfId="960" applyFont="1" applyBorder="1"/>
    <xf numFmtId="0" fontId="81" fillId="0" borderId="9" xfId="960" applyFont="1" applyBorder="1"/>
    <xf numFmtId="5" fontId="81" fillId="0" borderId="9" xfId="960" applyNumberFormat="1" applyFont="1" applyBorder="1"/>
    <xf numFmtId="5" fontId="81" fillId="0" borderId="17" xfId="960" applyNumberFormat="1" applyFont="1" applyBorder="1"/>
    <xf numFmtId="0" fontId="83" fillId="0" borderId="0" xfId="960" applyFont="1"/>
    <xf numFmtId="37" fontId="81" fillId="0" borderId="0" xfId="960" applyNumberFormat="1" applyFont="1"/>
    <xf numFmtId="0" fontId="81" fillId="0" borderId="0" xfId="960" applyFont="1" applyAlignment="1">
      <alignment horizontal="center"/>
    </xf>
    <xf numFmtId="172" fontId="81" fillId="0" borderId="0" xfId="960" applyNumberFormat="1" applyFont="1" applyAlignment="1">
      <alignment horizontal="center"/>
    </xf>
    <xf numFmtId="172" fontId="81" fillId="0" borderId="0" xfId="960" quotePrefix="1" applyNumberFormat="1" applyFont="1" applyAlignment="1">
      <alignment horizontal="center"/>
    </xf>
    <xf numFmtId="38" fontId="81" fillId="0" borderId="0" xfId="960" applyNumberFormat="1" applyFont="1"/>
    <xf numFmtId="6" fontId="81" fillId="0" borderId="0" xfId="962" applyNumberFormat="1" applyFont="1" applyFill="1"/>
    <xf numFmtId="44" fontId="81" fillId="0" borderId="0" xfId="962" applyFont="1" applyFill="1"/>
    <xf numFmtId="174" fontId="81" fillId="0" borderId="0" xfId="962" applyNumberFormat="1" applyFont="1" applyFill="1"/>
    <xf numFmtId="172" fontId="84" fillId="0" borderId="0" xfId="960" applyNumberFormat="1" applyFont="1"/>
    <xf numFmtId="175" fontId="81" fillId="0" borderId="0" xfId="962" applyNumberFormat="1" applyFont="1" applyFill="1"/>
    <xf numFmtId="168" fontId="81" fillId="0" borderId="0" xfId="960" applyNumberFormat="1" applyFont="1"/>
    <xf numFmtId="38" fontId="81" fillId="0" borderId="0" xfId="962" applyNumberFormat="1" applyFont="1" applyFill="1"/>
    <xf numFmtId="176" fontId="81" fillId="0" borderId="0" xfId="960" applyNumberFormat="1" applyFont="1"/>
    <xf numFmtId="3" fontId="81" fillId="0" borderId="0" xfId="960" applyNumberFormat="1" applyFont="1"/>
    <xf numFmtId="0" fontId="81" fillId="0" borderId="21" xfId="960" applyFont="1" applyBorder="1"/>
    <xf numFmtId="38" fontId="81" fillId="0" borderId="21" xfId="960" applyNumberFormat="1" applyFont="1" applyBorder="1"/>
    <xf numFmtId="3" fontId="81" fillId="0" borderId="21" xfId="960" applyNumberFormat="1" applyFont="1" applyBorder="1"/>
    <xf numFmtId="6" fontId="81" fillId="0" borderId="21" xfId="960" applyNumberFormat="1" applyFont="1" applyBorder="1"/>
    <xf numFmtId="166" fontId="80" fillId="0" borderId="0" xfId="954" applyNumberFormat="1" applyFont="1" applyFill="1"/>
    <xf numFmtId="37" fontId="80" fillId="0" borderId="0" xfId="960" applyNumberFormat="1" applyFont="1"/>
    <xf numFmtId="167" fontId="80" fillId="0" borderId="0" xfId="962" applyNumberFormat="1" applyFont="1" applyFill="1" applyAlignment="1">
      <alignment horizontal="right"/>
    </xf>
    <xf numFmtId="0" fontId="14" fillId="0" borderId="0" xfId="960" applyFont="1"/>
    <xf numFmtId="165" fontId="14" fillId="0" borderId="0" xfId="963" applyNumberFormat="1" applyFont="1" applyFill="1"/>
    <xf numFmtId="0" fontId="85" fillId="0" borderId="0" xfId="960" applyFont="1"/>
    <xf numFmtId="38" fontId="14" fillId="0" borderId="0" xfId="960" applyNumberFormat="1" applyFont="1"/>
    <xf numFmtId="172" fontId="85" fillId="0" borderId="0" xfId="960" applyNumberFormat="1" applyFont="1"/>
    <xf numFmtId="6" fontId="14" fillId="0" borderId="0" xfId="960" applyNumberFormat="1" applyFont="1"/>
    <xf numFmtId="166" fontId="78" fillId="0" borderId="0" xfId="961" applyNumberFormat="1" applyFont="1" applyFill="1"/>
    <xf numFmtId="38" fontId="78" fillId="0" borderId="0" xfId="960" applyNumberFormat="1" applyFont="1"/>
    <xf numFmtId="0" fontId="76" fillId="0" borderId="0" xfId="964" applyFont="1"/>
    <xf numFmtId="0" fontId="74" fillId="0" borderId="0" xfId="964" applyFont="1"/>
    <xf numFmtId="43" fontId="74" fillId="0" borderId="0" xfId="965" applyFont="1"/>
    <xf numFmtId="166" fontId="74" fillId="0" borderId="0" xfId="965" applyNumberFormat="1" applyFont="1"/>
    <xf numFmtId="0" fontId="16" fillId="0" borderId="0" xfId="964" applyFont="1" applyAlignment="1">
      <alignment horizontal="center" wrapText="1"/>
    </xf>
    <xf numFmtId="0" fontId="76" fillId="0" borderId="0" xfId="964" applyFont="1" applyAlignment="1">
      <alignment horizontal="center" wrapText="1"/>
    </xf>
    <xf numFmtId="0" fontId="76" fillId="0" borderId="0" xfId="964" applyFont="1" applyAlignment="1">
      <alignment wrapText="1"/>
    </xf>
    <xf numFmtId="43" fontId="74" fillId="0" borderId="0" xfId="965" applyFont="1" applyFill="1"/>
    <xf numFmtId="3" fontId="74" fillId="0" borderId="0" xfId="964" applyNumberFormat="1" applyFont="1"/>
    <xf numFmtId="177" fontId="74" fillId="0" borderId="0" xfId="964" applyNumberFormat="1" applyFont="1"/>
    <xf numFmtId="0" fontId="14" fillId="0" borderId="0" xfId="949" applyFont="1"/>
    <xf numFmtId="0" fontId="74" fillId="28" borderId="0" xfId="964" applyFont="1" applyFill="1"/>
    <xf numFmtId="43" fontId="74" fillId="28" borderId="0" xfId="965" applyFont="1" applyFill="1"/>
    <xf numFmtId="166" fontId="74" fillId="28" borderId="0" xfId="965" applyNumberFormat="1" applyFont="1" applyFill="1"/>
    <xf numFmtId="44" fontId="74" fillId="28" borderId="0" xfId="966" applyFont="1" applyFill="1"/>
    <xf numFmtId="178" fontId="74" fillId="28" borderId="0" xfId="965" applyNumberFormat="1" applyFont="1" applyFill="1"/>
    <xf numFmtId="43" fontId="74" fillId="0" borderId="0" xfId="965" applyFont="1" applyFill="1" applyBorder="1"/>
    <xf numFmtId="0" fontId="14" fillId="0" borderId="0" xfId="964" applyFont="1"/>
    <xf numFmtId="0" fontId="74" fillId="0" borderId="11" xfId="964" applyFont="1" applyBorder="1"/>
    <xf numFmtId="0" fontId="74" fillId="0" borderId="12" xfId="964" applyFont="1" applyBorder="1"/>
    <xf numFmtId="43" fontId="74" fillId="0" borderId="12" xfId="965" applyFont="1" applyFill="1" applyBorder="1"/>
    <xf numFmtId="3" fontId="74" fillId="0" borderId="12" xfId="964" applyNumberFormat="1" applyFont="1" applyBorder="1"/>
    <xf numFmtId="177" fontId="74" fillId="0" borderId="12" xfId="964" applyNumberFormat="1" applyFont="1" applyBorder="1"/>
    <xf numFmtId="0" fontId="74" fillId="0" borderId="13" xfId="964" applyFont="1" applyBorder="1"/>
    <xf numFmtId="0" fontId="74" fillId="0" borderId="15" xfId="964" applyFont="1" applyBorder="1"/>
    <xf numFmtId="0" fontId="74" fillId="0" borderId="16" xfId="964" applyFont="1" applyBorder="1"/>
    <xf numFmtId="0" fontId="74" fillId="29" borderId="15" xfId="964" applyFont="1" applyFill="1" applyBorder="1"/>
    <xf numFmtId="0" fontId="74" fillId="29" borderId="0" xfId="964" applyFont="1" applyFill="1"/>
    <xf numFmtId="43" fontId="74" fillId="29" borderId="0" xfId="965" applyFont="1" applyFill="1" applyBorder="1"/>
    <xf numFmtId="166" fontId="74" fillId="29" borderId="0" xfId="965" applyNumberFormat="1" applyFont="1" applyFill="1" applyBorder="1"/>
    <xf numFmtId="44" fontId="74" fillId="29" borderId="0" xfId="966" applyFont="1" applyFill="1" applyBorder="1"/>
    <xf numFmtId="166" fontId="74" fillId="29" borderId="16" xfId="965" applyNumberFormat="1" applyFont="1" applyFill="1" applyBorder="1"/>
    <xf numFmtId="0" fontId="74" fillId="29" borderId="14" xfId="964" applyFont="1" applyFill="1" applyBorder="1"/>
    <xf numFmtId="0" fontId="74" fillId="29" borderId="9" xfId="964" applyFont="1" applyFill="1" applyBorder="1"/>
    <xf numFmtId="43" fontId="74" fillId="29" borderId="9" xfId="965" applyFont="1" applyFill="1" applyBorder="1"/>
    <xf numFmtId="166" fontId="74" fillId="29" borderId="9" xfId="965" applyNumberFormat="1" applyFont="1" applyFill="1" applyBorder="1"/>
    <xf numFmtId="44" fontId="74" fillId="29" borderId="9" xfId="966" applyFont="1" applyFill="1" applyBorder="1"/>
    <xf numFmtId="166" fontId="74" fillId="29" borderId="17" xfId="965" applyNumberFormat="1" applyFont="1" applyFill="1" applyBorder="1"/>
    <xf numFmtId="166" fontId="74" fillId="0" borderId="0" xfId="964" applyNumberFormat="1" applyFont="1"/>
    <xf numFmtId="43" fontId="74" fillId="0" borderId="0" xfId="964" applyNumberFormat="1" applyFont="1"/>
    <xf numFmtId="166" fontId="74" fillId="0" borderId="0" xfId="967" applyNumberFormat="1" applyFont="1" applyFill="1"/>
    <xf numFmtId="177" fontId="74" fillId="0" borderId="0" xfId="967" applyNumberFormat="1" applyFont="1" applyFill="1"/>
    <xf numFmtId="43" fontId="76" fillId="0" borderId="0" xfId="964" applyNumberFormat="1" applyFont="1"/>
    <xf numFmtId="175" fontId="81" fillId="0" borderId="0" xfId="960" applyNumberFormat="1" applyFont="1"/>
    <xf numFmtId="179" fontId="81" fillId="0" borderId="0" xfId="527" applyNumberFormat="1" applyFont="1"/>
    <xf numFmtId="179" fontId="81" fillId="0" borderId="21" xfId="527" applyNumberFormat="1" applyFont="1" applyBorder="1"/>
    <xf numFmtId="166" fontId="81" fillId="0" borderId="0" xfId="961" applyNumberFormat="1" applyFont="1" applyFill="1"/>
    <xf numFmtId="173" fontId="81" fillId="0" borderId="0" xfId="960" applyNumberFormat="1" applyFont="1"/>
    <xf numFmtId="38" fontId="84" fillId="0" borderId="0" xfId="960" applyNumberFormat="1" applyFont="1"/>
    <xf numFmtId="0" fontId="77" fillId="0" borderId="0" xfId="960" applyFont="1" applyAlignment="1">
      <alignment horizontal="center"/>
    </xf>
  </cellXfs>
  <cellStyles count="968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10" xfId="29" xr:uid="{00000000-0005-0000-0000-00001C000000}"/>
    <cellStyle name="Comma 10 2" xfId="30" xr:uid="{00000000-0005-0000-0000-00001D000000}"/>
    <cellStyle name="Comma 10 3" xfId="31" xr:uid="{00000000-0005-0000-0000-00001E000000}"/>
    <cellStyle name="Comma 10 3 2" xfId="32" xr:uid="{00000000-0005-0000-0000-00001F000000}"/>
    <cellStyle name="Comma 10 3 3" xfId="33" xr:uid="{00000000-0005-0000-0000-000020000000}"/>
    <cellStyle name="Comma 10 4" xfId="34" xr:uid="{00000000-0005-0000-0000-000021000000}"/>
    <cellStyle name="Comma 10 4 2" xfId="35" xr:uid="{00000000-0005-0000-0000-000022000000}"/>
    <cellStyle name="Comma 10 4 3" xfId="36" xr:uid="{00000000-0005-0000-0000-000023000000}"/>
    <cellStyle name="Comma 10 4 4" xfId="37" xr:uid="{00000000-0005-0000-0000-000024000000}"/>
    <cellStyle name="Comma 10 4 4 2" xfId="954" xr:uid="{0F1FEE47-2F4A-4A33-8A24-EC8D66240175}"/>
    <cellStyle name="Comma 10 5" xfId="38" xr:uid="{00000000-0005-0000-0000-000025000000}"/>
    <cellStyle name="Comma 10 5 2" xfId="39" xr:uid="{00000000-0005-0000-0000-000026000000}"/>
    <cellStyle name="Comma 10 5 2 2" xfId="40" xr:uid="{00000000-0005-0000-0000-000027000000}"/>
    <cellStyle name="Comma 10 5 2 3" xfId="41" xr:uid="{00000000-0005-0000-0000-000028000000}"/>
    <cellStyle name="Comma 10 5 2 3 2" xfId="42" xr:uid="{00000000-0005-0000-0000-000029000000}"/>
    <cellStyle name="Comma 10 5 3" xfId="43" xr:uid="{00000000-0005-0000-0000-00002A000000}"/>
    <cellStyle name="Comma 10 6" xfId="44" xr:uid="{00000000-0005-0000-0000-00002B000000}"/>
    <cellStyle name="Comma 10 6 2" xfId="45" xr:uid="{00000000-0005-0000-0000-00002C000000}"/>
    <cellStyle name="Comma 10 6 3" xfId="46" xr:uid="{00000000-0005-0000-0000-00002D000000}"/>
    <cellStyle name="Comma 10 6 3 2" xfId="47" xr:uid="{00000000-0005-0000-0000-00002E000000}"/>
    <cellStyle name="Comma 10 7" xfId="48" xr:uid="{00000000-0005-0000-0000-00002F000000}"/>
    <cellStyle name="Comma 10 8" xfId="49" xr:uid="{00000000-0005-0000-0000-000030000000}"/>
    <cellStyle name="Comma 10 8 2" xfId="50" xr:uid="{00000000-0005-0000-0000-000031000000}"/>
    <cellStyle name="Comma 10 9" xfId="947" xr:uid="{B9B83C04-9229-44A7-9DD9-B3431E6E4056}"/>
    <cellStyle name="Comma 11" xfId="51" xr:uid="{00000000-0005-0000-0000-000032000000}"/>
    <cellStyle name="Comma 11 10" xfId="52" xr:uid="{00000000-0005-0000-0000-000033000000}"/>
    <cellStyle name="Comma 11 11" xfId="53" xr:uid="{00000000-0005-0000-0000-000034000000}"/>
    <cellStyle name="Comma 11 11 2" xfId="54" xr:uid="{00000000-0005-0000-0000-000035000000}"/>
    <cellStyle name="Comma 11 11 2 2" xfId="55" xr:uid="{00000000-0005-0000-0000-000036000000}"/>
    <cellStyle name="Comma 11 11 2 3" xfId="56" xr:uid="{00000000-0005-0000-0000-000037000000}"/>
    <cellStyle name="Comma 11 11 2 3 2" xfId="57" xr:uid="{00000000-0005-0000-0000-000038000000}"/>
    <cellStyle name="Comma 11 12" xfId="58" xr:uid="{00000000-0005-0000-0000-000039000000}"/>
    <cellStyle name="Comma 11 13" xfId="59" xr:uid="{00000000-0005-0000-0000-00003A000000}"/>
    <cellStyle name="Comma 11 13 2" xfId="60" xr:uid="{00000000-0005-0000-0000-00003B000000}"/>
    <cellStyle name="Comma 11 13 2 2" xfId="61" xr:uid="{00000000-0005-0000-0000-00003C000000}"/>
    <cellStyle name="Comma 11 13 2 3" xfId="62" xr:uid="{00000000-0005-0000-0000-00003D000000}"/>
    <cellStyle name="Comma 11 13 2 3 2" xfId="63" xr:uid="{00000000-0005-0000-0000-00003E000000}"/>
    <cellStyle name="Comma 11 2" xfId="64" xr:uid="{00000000-0005-0000-0000-00003F000000}"/>
    <cellStyle name="Comma 11 3" xfId="65" xr:uid="{00000000-0005-0000-0000-000040000000}"/>
    <cellStyle name="Comma 11 4" xfId="66" xr:uid="{00000000-0005-0000-0000-000041000000}"/>
    <cellStyle name="Comma 11 5" xfId="67" xr:uid="{00000000-0005-0000-0000-000042000000}"/>
    <cellStyle name="Comma 11 6" xfId="68" xr:uid="{00000000-0005-0000-0000-000043000000}"/>
    <cellStyle name="Comma 11 7" xfId="69" xr:uid="{00000000-0005-0000-0000-000044000000}"/>
    <cellStyle name="Comma 11 7 2" xfId="70" xr:uid="{00000000-0005-0000-0000-000045000000}"/>
    <cellStyle name="Comma 11 7 2 2" xfId="71" xr:uid="{00000000-0005-0000-0000-000046000000}"/>
    <cellStyle name="Comma 11 7 2 3" xfId="72" xr:uid="{00000000-0005-0000-0000-000047000000}"/>
    <cellStyle name="Comma 11 8" xfId="73" xr:uid="{00000000-0005-0000-0000-000048000000}"/>
    <cellStyle name="Comma 11 9" xfId="74" xr:uid="{00000000-0005-0000-0000-000049000000}"/>
    <cellStyle name="Comma 12" xfId="75" xr:uid="{00000000-0005-0000-0000-00004A000000}"/>
    <cellStyle name="Comma 12 10" xfId="76" xr:uid="{00000000-0005-0000-0000-00004B000000}"/>
    <cellStyle name="Comma 12 10 2" xfId="77" xr:uid="{00000000-0005-0000-0000-00004C000000}"/>
    <cellStyle name="Comma 12 10 2 2" xfId="78" xr:uid="{00000000-0005-0000-0000-00004D000000}"/>
    <cellStyle name="Comma 12 10 2 3" xfId="79" xr:uid="{00000000-0005-0000-0000-00004E000000}"/>
    <cellStyle name="Comma 12 10 2 3 2" xfId="80" xr:uid="{00000000-0005-0000-0000-00004F000000}"/>
    <cellStyle name="Comma 12 11" xfId="81" xr:uid="{00000000-0005-0000-0000-000050000000}"/>
    <cellStyle name="Comma 12 12" xfId="82" xr:uid="{00000000-0005-0000-0000-000051000000}"/>
    <cellStyle name="Comma 12 12 2" xfId="83" xr:uid="{00000000-0005-0000-0000-000052000000}"/>
    <cellStyle name="Comma 12 12 2 2" xfId="84" xr:uid="{00000000-0005-0000-0000-000053000000}"/>
    <cellStyle name="Comma 12 12 2 3" xfId="85" xr:uid="{00000000-0005-0000-0000-000054000000}"/>
    <cellStyle name="Comma 12 12 2 3 2" xfId="86" xr:uid="{00000000-0005-0000-0000-000055000000}"/>
    <cellStyle name="Comma 12 2" xfId="87" xr:uid="{00000000-0005-0000-0000-000056000000}"/>
    <cellStyle name="Comma 12 3" xfId="88" xr:uid="{00000000-0005-0000-0000-000057000000}"/>
    <cellStyle name="Comma 12 4" xfId="89" xr:uid="{00000000-0005-0000-0000-000058000000}"/>
    <cellStyle name="Comma 12 5" xfId="90" xr:uid="{00000000-0005-0000-0000-000059000000}"/>
    <cellStyle name="Comma 12 6" xfId="91" xr:uid="{00000000-0005-0000-0000-00005A000000}"/>
    <cellStyle name="Comma 12 6 2" xfId="92" xr:uid="{00000000-0005-0000-0000-00005B000000}"/>
    <cellStyle name="Comma 12 6 2 2" xfId="93" xr:uid="{00000000-0005-0000-0000-00005C000000}"/>
    <cellStyle name="Comma 12 6 2 3" xfId="94" xr:uid="{00000000-0005-0000-0000-00005D000000}"/>
    <cellStyle name="Comma 12 7" xfId="95" xr:uid="{00000000-0005-0000-0000-00005E000000}"/>
    <cellStyle name="Comma 12 8" xfId="96" xr:uid="{00000000-0005-0000-0000-00005F000000}"/>
    <cellStyle name="Comma 12 9" xfId="97" xr:uid="{00000000-0005-0000-0000-000060000000}"/>
    <cellStyle name="Comma 13" xfId="98" xr:uid="{00000000-0005-0000-0000-000061000000}"/>
    <cellStyle name="Comma 13 2" xfId="99" xr:uid="{00000000-0005-0000-0000-000062000000}"/>
    <cellStyle name="Comma 13 3" xfId="100" xr:uid="{00000000-0005-0000-0000-000063000000}"/>
    <cellStyle name="Comma 13 4" xfId="101" xr:uid="{00000000-0005-0000-0000-000064000000}"/>
    <cellStyle name="Comma 13 5" xfId="102" xr:uid="{00000000-0005-0000-0000-000065000000}"/>
    <cellStyle name="Comma 13 6" xfId="103" xr:uid="{00000000-0005-0000-0000-000066000000}"/>
    <cellStyle name="Comma 14" xfId="104" xr:uid="{00000000-0005-0000-0000-000067000000}"/>
    <cellStyle name="Comma 14 2" xfId="105" xr:uid="{00000000-0005-0000-0000-000068000000}"/>
    <cellStyle name="Comma 14 3" xfId="106" xr:uid="{00000000-0005-0000-0000-000069000000}"/>
    <cellStyle name="Comma 14 4" xfId="107" xr:uid="{00000000-0005-0000-0000-00006A000000}"/>
    <cellStyle name="Comma 14 5" xfId="108" xr:uid="{00000000-0005-0000-0000-00006B000000}"/>
    <cellStyle name="Comma 15" xfId="109" xr:uid="{00000000-0005-0000-0000-00006C000000}"/>
    <cellStyle name="Comma 15 2" xfId="110" xr:uid="{00000000-0005-0000-0000-00006D000000}"/>
    <cellStyle name="Comma 15 3" xfId="111" xr:uid="{00000000-0005-0000-0000-00006E000000}"/>
    <cellStyle name="Comma 15 4" xfId="112" xr:uid="{00000000-0005-0000-0000-00006F000000}"/>
    <cellStyle name="Comma 15 5" xfId="113" xr:uid="{00000000-0005-0000-0000-000070000000}"/>
    <cellStyle name="Comma 16" xfId="114" xr:uid="{00000000-0005-0000-0000-000071000000}"/>
    <cellStyle name="Comma 16 2" xfId="115" xr:uid="{00000000-0005-0000-0000-000072000000}"/>
    <cellStyle name="Comma 16 3" xfId="116" xr:uid="{00000000-0005-0000-0000-000073000000}"/>
    <cellStyle name="Comma 16 3 2" xfId="117" xr:uid="{00000000-0005-0000-0000-000074000000}"/>
    <cellStyle name="Comma 16 3 3" xfId="118" xr:uid="{00000000-0005-0000-0000-000075000000}"/>
    <cellStyle name="Comma 16 3 3 2" xfId="119" xr:uid="{00000000-0005-0000-0000-000076000000}"/>
    <cellStyle name="Comma 17" xfId="120" xr:uid="{00000000-0005-0000-0000-000077000000}"/>
    <cellStyle name="Comma 17 2" xfId="121" xr:uid="{00000000-0005-0000-0000-000078000000}"/>
    <cellStyle name="Comma 17 3" xfId="122" xr:uid="{00000000-0005-0000-0000-000079000000}"/>
    <cellStyle name="Comma 17 3 2" xfId="123" xr:uid="{00000000-0005-0000-0000-00007A000000}"/>
    <cellStyle name="Comma 18" xfId="124" xr:uid="{00000000-0005-0000-0000-00007B000000}"/>
    <cellStyle name="Comma 18 2" xfId="125" xr:uid="{00000000-0005-0000-0000-00007C000000}"/>
    <cellStyle name="Comma 18 3" xfId="126" xr:uid="{00000000-0005-0000-0000-00007D000000}"/>
    <cellStyle name="Comma 18 3 2" xfId="127" xr:uid="{00000000-0005-0000-0000-00007E000000}"/>
    <cellStyle name="Comma 19" xfId="128" xr:uid="{00000000-0005-0000-0000-00007F000000}"/>
    <cellStyle name="Comma 19 2" xfId="129" xr:uid="{00000000-0005-0000-0000-000080000000}"/>
    <cellStyle name="Comma 19 3" xfId="130" xr:uid="{00000000-0005-0000-0000-000081000000}"/>
    <cellStyle name="Comma 19 3 2" xfId="131" xr:uid="{00000000-0005-0000-0000-000082000000}"/>
    <cellStyle name="Comma 2" xfId="132" xr:uid="{00000000-0005-0000-0000-000083000000}"/>
    <cellStyle name="Comma 2 2" xfId="133" xr:uid="{00000000-0005-0000-0000-000084000000}"/>
    <cellStyle name="Comma 2 2 2" xfId="134" xr:uid="{00000000-0005-0000-0000-000085000000}"/>
    <cellStyle name="Comma 2 2 3" xfId="135" xr:uid="{00000000-0005-0000-0000-000086000000}"/>
    <cellStyle name="Comma 2 2 4" xfId="136" xr:uid="{00000000-0005-0000-0000-000087000000}"/>
    <cellStyle name="Comma 2 2 5" xfId="137" xr:uid="{00000000-0005-0000-0000-000088000000}"/>
    <cellStyle name="Comma 2 2 6" xfId="138" xr:uid="{00000000-0005-0000-0000-000089000000}"/>
    <cellStyle name="Comma 2 2 6 2" xfId="139" xr:uid="{00000000-0005-0000-0000-00008A000000}"/>
    <cellStyle name="Comma 2 2 6 3" xfId="955" xr:uid="{7EF8F1E8-10D1-4DDD-89E1-4A9182BC9F85}"/>
    <cellStyle name="Comma 2 2 6 4" xfId="958" xr:uid="{98EE6B6A-2CBC-4A53-9D9A-8956EC65803F}"/>
    <cellStyle name="Comma 2 2 7" xfId="140" xr:uid="{00000000-0005-0000-0000-00008B000000}"/>
    <cellStyle name="Comma 2 2 8" xfId="141" xr:uid="{00000000-0005-0000-0000-00008C000000}"/>
    <cellStyle name="Comma 2 2 9" xfId="142" xr:uid="{00000000-0005-0000-0000-00008D000000}"/>
    <cellStyle name="Comma 2 3" xfId="143" xr:uid="{00000000-0005-0000-0000-00008E000000}"/>
    <cellStyle name="Comma 2 3 2" xfId="144" xr:uid="{00000000-0005-0000-0000-00008F000000}"/>
    <cellStyle name="Comma 2 3 3" xfId="145" xr:uid="{00000000-0005-0000-0000-000090000000}"/>
    <cellStyle name="Comma 2 3 4" xfId="146" xr:uid="{00000000-0005-0000-0000-000091000000}"/>
    <cellStyle name="Comma 2 3 4 2" xfId="147" xr:uid="{00000000-0005-0000-0000-000092000000}"/>
    <cellStyle name="Comma 2 3 4 2 2" xfId="148" xr:uid="{00000000-0005-0000-0000-000093000000}"/>
    <cellStyle name="Comma 2 3 4 3" xfId="149" xr:uid="{00000000-0005-0000-0000-000094000000}"/>
    <cellStyle name="Comma 2 3 4 4" xfId="150" xr:uid="{00000000-0005-0000-0000-000095000000}"/>
    <cellStyle name="Comma 2 3 4 5" xfId="151" xr:uid="{00000000-0005-0000-0000-000096000000}"/>
    <cellStyle name="Comma 2 3 4 5 2" xfId="152" xr:uid="{00000000-0005-0000-0000-000097000000}"/>
    <cellStyle name="Comma 2 3 5" xfId="153" xr:uid="{00000000-0005-0000-0000-000098000000}"/>
    <cellStyle name="Comma 2 4" xfId="154" xr:uid="{00000000-0005-0000-0000-000099000000}"/>
    <cellStyle name="Comma 2 5" xfId="155" xr:uid="{00000000-0005-0000-0000-00009A000000}"/>
    <cellStyle name="Comma 2 6" xfId="967" xr:uid="{BD1B61DA-87BB-463E-A7A8-36703A25577F}"/>
    <cellStyle name="Comma 20" xfId="156" xr:uid="{00000000-0005-0000-0000-00009B000000}"/>
    <cellStyle name="Comma 20 2" xfId="157" xr:uid="{00000000-0005-0000-0000-00009C000000}"/>
    <cellStyle name="Comma 20 3" xfId="158" xr:uid="{00000000-0005-0000-0000-00009D000000}"/>
    <cellStyle name="Comma 20 3 2" xfId="159" xr:uid="{00000000-0005-0000-0000-00009E000000}"/>
    <cellStyle name="Comma 21" xfId="160" xr:uid="{00000000-0005-0000-0000-00009F000000}"/>
    <cellStyle name="Comma 21 2" xfId="161" xr:uid="{00000000-0005-0000-0000-0000A0000000}"/>
    <cellStyle name="Comma 21 3" xfId="162" xr:uid="{00000000-0005-0000-0000-0000A1000000}"/>
    <cellStyle name="Comma 21 3 2" xfId="163" xr:uid="{00000000-0005-0000-0000-0000A2000000}"/>
    <cellStyle name="Comma 22" xfId="164" xr:uid="{00000000-0005-0000-0000-0000A3000000}"/>
    <cellStyle name="Comma 22 2" xfId="165" xr:uid="{00000000-0005-0000-0000-0000A4000000}"/>
    <cellStyle name="Comma 22 3" xfId="166" xr:uid="{00000000-0005-0000-0000-0000A5000000}"/>
    <cellStyle name="Comma 22 3 2" xfId="167" xr:uid="{00000000-0005-0000-0000-0000A6000000}"/>
    <cellStyle name="Comma 23" xfId="168" xr:uid="{00000000-0005-0000-0000-0000A7000000}"/>
    <cellStyle name="Comma 23 2" xfId="169" xr:uid="{00000000-0005-0000-0000-0000A8000000}"/>
    <cellStyle name="Comma 23 3" xfId="170" xr:uid="{00000000-0005-0000-0000-0000A9000000}"/>
    <cellStyle name="Comma 23 3 2" xfId="171" xr:uid="{00000000-0005-0000-0000-0000AA000000}"/>
    <cellStyle name="Comma 24" xfId="172" xr:uid="{00000000-0005-0000-0000-0000AB000000}"/>
    <cellStyle name="Comma 24 2" xfId="173" xr:uid="{00000000-0005-0000-0000-0000AC000000}"/>
    <cellStyle name="Comma 24 3" xfId="174" xr:uid="{00000000-0005-0000-0000-0000AD000000}"/>
    <cellStyle name="Comma 24 3 2" xfId="175" xr:uid="{00000000-0005-0000-0000-0000AE000000}"/>
    <cellStyle name="Comma 25" xfId="176" xr:uid="{00000000-0005-0000-0000-0000AF000000}"/>
    <cellStyle name="Comma 25 2" xfId="177" xr:uid="{00000000-0005-0000-0000-0000B0000000}"/>
    <cellStyle name="Comma 25 3" xfId="178" xr:uid="{00000000-0005-0000-0000-0000B1000000}"/>
    <cellStyle name="Comma 25 3 2" xfId="179" xr:uid="{00000000-0005-0000-0000-0000B2000000}"/>
    <cellStyle name="Comma 26" xfId="180" xr:uid="{00000000-0005-0000-0000-0000B3000000}"/>
    <cellStyle name="Comma 26 2" xfId="181" xr:uid="{00000000-0005-0000-0000-0000B4000000}"/>
    <cellStyle name="Comma 26 3" xfId="182" xr:uid="{00000000-0005-0000-0000-0000B5000000}"/>
    <cellStyle name="Comma 26 3 2" xfId="183" xr:uid="{00000000-0005-0000-0000-0000B6000000}"/>
    <cellStyle name="Comma 27" xfId="184" xr:uid="{00000000-0005-0000-0000-0000B7000000}"/>
    <cellStyle name="Comma 27 2" xfId="185" xr:uid="{00000000-0005-0000-0000-0000B8000000}"/>
    <cellStyle name="Comma 27 3" xfId="186" xr:uid="{00000000-0005-0000-0000-0000B9000000}"/>
    <cellStyle name="Comma 27 3 2" xfId="187" xr:uid="{00000000-0005-0000-0000-0000BA000000}"/>
    <cellStyle name="Comma 28" xfId="188" xr:uid="{00000000-0005-0000-0000-0000BB000000}"/>
    <cellStyle name="Comma 28 2" xfId="189" xr:uid="{00000000-0005-0000-0000-0000BC000000}"/>
    <cellStyle name="Comma 29" xfId="190" xr:uid="{00000000-0005-0000-0000-0000BD000000}"/>
    <cellStyle name="Comma 29 2" xfId="191" xr:uid="{00000000-0005-0000-0000-0000BE000000}"/>
    <cellStyle name="Comma 3" xfId="192" xr:uid="{00000000-0005-0000-0000-0000BF000000}"/>
    <cellStyle name="Comma 3 2" xfId="193" xr:uid="{00000000-0005-0000-0000-0000C0000000}"/>
    <cellStyle name="Comma 3 3" xfId="194" xr:uid="{00000000-0005-0000-0000-0000C1000000}"/>
    <cellStyle name="Comma 3 3 2" xfId="195" xr:uid="{00000000-0005-0000-0000-0000C2000000}"/>
    <cellStyle name="Comma 3 3 2 2" xfId="196" xr:uid="{00000000-0005-0000-0000-0000C3000000}"/>
    <cellStyle name="Comma 3 3 3" xfId="197" xr:uid="{00000000-0005-0000-0000-0000C4000000}"/>
    <cellStyle name="Comma 3 3 4" xfId="198" xr:uid="{00000000-0005-0000-0000-0000C5000000}"/>
    <cellStyle name="Comma 3 3 5" xfId="199" xr:uid="{00000000-0005-0000-0000-0000C6000000}"/>
    <cellStyle name="Comma 3 4" xfId="200" xr:uid="{00000000-0005-0000-0000-0000C7000000}"/>
    <cellStyle name="Comma 3 5" xfId="201" xr:uid="{00000000-0005-0000-0000-0000C8000000}"/>
    <cellStyle name="Comma 3 5 2" xfId="202" xr:uid="{00000000-0005-0000-0000-0000C9000000}"/>
    <cellStyle name="Comma 3 6" xfId="203" xr:uid="{00000000-0005-0000-0000-0000CA000000}"/>
    <cellStyle name="Comma 3 7" xfId="204" xr:uid="{00000000-0005-0000-0000-0000CB000000}"/>
    <cellStyle name="Comma 3 8" xfId="205" xr:uid="{00000000-0005-0000-0000-0000CC000000}"/>
    <cellStyle name="Comma 3 9" xfId="206" xr:uid="{00000000-0005-0000-0000-0000CD000000}"/>
    <cellStyle name="Comma 30" xfId="207" xr:uid="{00000000-0005-0000-0000-0000CE000000}"/>
    <cellStyle name="Comma 31" xfId="208" xr:uid="{00000000-0005-0000-0000-0000CF000000}"/>
    <cellStyle name="Comma 31 2" xfId="209" xr:uid="{00000000-0005-0000-0000-0000D0000000}"/>
    <cellStyle name="Comma 31 3" xfId="210" xr:uid="{00000000-0005-0000-0000-0000D1000000}"/>
    <cellStyle name="Comma 31 3 2" xfId="211" xr:uid="{00000000-0005-0000-0000-0000D2000000}"/>
    <cellStyle name="Comma 32" xfId="212" xr:uid="{00000000-0005-0000-0000-0000D3000000}"/>
    <cellStyle name="Comma 32 2" xfId="213" xr:uid="{00000000-0005-0000-0000-0000D4000000}"/>
    <cellStyle name="Comma 32 2 2" xfId="214" xr:uid="{00000000-0005-0000-0000-0000D5000000}"/>
    <cellStyle name="Comma 32 3" xfId="215" xr:uid="{00000000-0005-0000-0000-0000D6000000}"/>
    <cellStyle name="Comma 32 4" xfId="216" xr:uid="{00000000-0005-0000-0000-0000D7000000}"/>
    <cellStyle name="Comma 32 4 2" xfId="217" xr:uid="{00000000-0005-0000-0000-0000D8000000}"/>
    <cellStyle name="Comma 33" xfId="218" xr:uid="{00000000-0005-0000-0000-0000D9000000}"/>
    <cellStyle name="Comma 33 2" xfId="219" xr:uid="{00000000-0005-0000-0000-0000DA000000}"/>
    <cellStyle name="Comma 33 3" xfId="220" xr:uid="{00000000-0005-0000-0000-0000DB000000}"/>
    <cellStyle name="Comma 33 3 2" xfId="221" xr:uid="{00000000-0005-0000-0000-0000DC000000}"/>
    <cellStyle name="Comma 34" xfId="222" xr:uid="{00000000-0005-0000-0000-0000DD000000}"/>
    <cellStyle name="Comma 35" xfId="223" xr:uid="{00000000-0005-0000-0000-0000DE000000}"/>
    <cellStyle name="Comma 35 2" xfId="224" xr:uid="{00000000-0005-0000-0000-0000DF000000}"/>
    <cellStyle name="Comma 36" xfId="225" xr:uid="{00000000-0005-0000-0000-0000E0000000}"/>
    <cellStyle name="Comma 36 2" xfId="226" xr:uid="{00000000-0005-0000-0000-0000E1000000}"/>
    <cellStyle name="Comma 37" xfId="227" xr:uid="{00000000-0005-0000-0000-0000E2000000}"/>
    <cellStyle name="Comma 37 2" xfId="228" xr:uid="{00000000-0005-0000-0000-0000E3000000}"/>
    <cellStyle name="Comma 38" xfId="229" xr:uid="{00000000-0005-0000-0000-0000E4000000}"/>
    <cellStyle name="Comma 38 2" xfId="230" xr:uid="{00000000-0005-0000-0000-0000E5000000}"/>
    <cellStyle name="Comma 39" xfId="231" xr:uid="{00000000-0005-0000-0000-0000E6000000}"/>
    <cellStyle name="Comma 39 2" xfId="232" xr:uid="{00000000-0005-0000-0000-0000E7000000}"/>
    <cellStyle name="Comma 39 3" xfId="233" xr:uid="{00000000-0005-0000-0000-0000E8000000}"/>
    <cellStyle name="Comma 4" xfId="234" xr:uid="{00000000-0005-0000-0000-0000E9000000}"/>
    <cellStyle name="Comma 4 2" xfId="235" xr:uid="{00000000-0005-0000-0000-0000EA000000}"/>
    <cellStyle name="Comma 4 3" xfId="236" xr:uid="{00000000-0005-0000-0000-0000EB000000}"/>
    <cellStyle name="Comma 4 4" xfId="237" xr:uid="{00000000-0005-0000-0000-0000EC000000}"/>
    <cellStyle name="Comma 4 5" xfId="238" xr:uid="{00000000-0005-0000-0000-0000ED000000}"/>
    <cellStyle name="Comma 4 6" xfId="239" xr:uid="{00000000-0005-0000-0000-0000EE000000}"/>
    <cellStyle name="Comma 40" xfId="240" xr:uid="{00000000-0005-0000-0000-0000EF000000}"/>
    <cellStyle name="Comma 40 2" xfId="241" xr:uid="{00000000-0005-0000-0000-0000F0000000}"/>
    <cellStyle name="Comma 41" xfId="242" xr:uid="{00000000-0005-0000-0000-0000F1000000}"/>
    <cellStyle name="Comma 41 2" xfId="243" xr:uid="{00000000-0005-0000-0000-0000F2000000}"/>
    <cellStyle name="Comma 42" xfId="244" xr:uid="{00000000-0005-0000-0000-0000F3000000}"/>
    <cellStyle name="Comma 43" xfId="245" xr:uid="{00000000-0005-0000-0000-0000F4000000}"/>
    <cellStyle name="Comma 43 2" xfId="246" xr:uid="{00000000-0005-0000-0000-0000F5000000}"/>
    <cellStyle name="Comma 44" xfId="247" xr:uid="{00000000-0005-0000-0000-0000F6000000}"/>
    <cellStyle name="Comma 44 2" xfId="956" xr:uid="{21F6B126-0807-4324-B348-C82904062B06}"/>
    <cellStyle name="Comma 45" xfId="959" xr:uid="{D11CA74D-6BC5-4E2B-9E82-C61E838FF995}"/>
    <cellStyle name="Comma 46" xfId="961" xr:uid="{689238E8-31AC-4F88-979B-BFFED5487892}"/>
    <cellStyle name="Comma 47" xfId="965" xr:uid="{709AF06F-4D8A-4DC2-BE98-94428048F20C}"/>
    <cellStyle name="Comma 5" xfId="248" xr:uid="{00000000-0005-0000-0000-0000F7000000}"/>
    <cellStyle name="Comma 5 2" xfId="249" xr:uid="{00000000-0005-0000-0000-0000F8000000}"/>
    <cellStyle name="Comma 5 3" xfId="250" xr:uid="{00000000-0005-0000-0000-0000F9000000}"/>
    <cellStyle name="Comma 5 4" xfId="251" xr:uid="{00000000-0005-0000-0000-0000FA000000}"/>
    <cellStyle name="Comma 5 5" xfId="252" xr:uid="{00000000-0005-0000-0000-0000FB000000}"/>
    <cellStyle name="Comma 5 6" xfId="253" xr:uid="{00000000-0005-0000-0000-0000FC000000}"/>
    <cellStyle name="Comma 5 7" xfId="254" xr:uid="{00000000-0005-0000-0000-0000FD000000}"/>
    <cellStyle name="Comma 6" xfId="255" xr:uid="{00000000-0005-0000-0000-0000FE000000}"/>
    <cellStyle name="Comma 6 2" xfId="256" xr:uid="{00000000-0005-0000-0000-0000FF000000}"/>
    <cellStyle name="Comma 6 3" xfId="257" xr:uid="{00000000-0005-0000-0000-000000010000}"/>
    <cellStyle name="Comma 6 4" xfId="258" xr:uid="{00000000-0005-0000-0000-000001010000}"/>
    <cellStyle name="Comma 6 4 2" xfId="259" xr:uid="{00000000-0005-0000-0000-000002010000}"/>
    <cellStyle name="Comma 6 4 2 2" xfId="260" xr:uid="{00000000-0005-0000-0000-000003010000}"/>
    <cellStyle name="Comma 6 4 3" xfId="261" xr:uid="{00000000-0005-0000-0000-000004010000}"/>
    <cellStyle name="Comma 6 4 4" xfId="262" xr:uid="{00000000-0005-0000-0000-000005010000}"/>
    <cellStyle name="Comma 6 4 5" xfId="263" xr:uid="{00000000-0005-0000-0000-000006010000}"/>
    <cellStyle name="Comma 6 4 5 2" xfId="264" xr:uid="{00000000-0005-0000-0000-000007010000}"/>
    <cellStyle name="Comma 6 5" xfId="265" xr:uid="{00000000-0005-0000-0000-000008010000}"/>
    <cellStyle name="Comma 7" xfId="266" xr:uid="{00000000-0005-0000-0000-000009010000}"/>
    <cellStyle name="Comma 7 2" xfId="267" xr:uid="{00000000-0005-0000-0000-00000A010000}"/>
    <cellStyle name="Comma 7 2 2" xfId="268" xr:uid="{00000000-0005-0000-0000-00000B010000}"/>
    <cellStyle name="Comma 7 2 2 2" xfId="269" xr:uid="{00000000-0005-0000-0000-00000C010000}"/>
    <cellStyle name="Comma 7 2 2 2 2" xfId="270" xr:uid="{00000000-0005-0000-0000-00000D010000}"/>
    <cellStyle name="Comma 7 2 2 3" xfId="271" xr:uid="{00000000-0005-0000-0000-00000E010000}"/>
    <cellStyle name="Comma 7 2 2 3 2" xfId="272" xr:uid="{00000000-0005-0000-0000-00000F010000}"/>
    <cellStyle name="Comma 7 2 2 3 2 2" xfId="273" xr:uid="{00000000-0005-0000-0000-000010010000}"/>
    <cellStyle name="Comma 7 2 2 3 3" xfId="274" xr:uid="{00000000-0005-0000-0000-000011010000}"/>
    <cellStyle name="Comma 7 2 2 4" xfId="275" xr:uid="{00000000-0005-0000-0000-000012010000}"/>
    <cellStyle name="Comma 7 2 3" xfId="276" xr:uid="{00000000-0005-0000-0000-000013010000}"/>
    <cellStyle name="Comma 7 3" xfId="277" xr:uid="{00000000-0005-0000-0000-000014010000}"/>
    <cellStyle name="Comma 7 3 2" xfId="278" xr:uid="{00000000-0005-0000-0000-000015010000}"/>
    <cellStyle name="Comma 7 3 2 2" xfId="279" xr:uid="{00000000-0005-0000-0000-000016010000}"/>
    <cellStyle name="Comma 7 3 3" xfId="280" xr:uid="{00000000-0005-0000-0000-000017010000}"/>
    <cellStyle name="Comma 7 3 3 2" xfId="281" xr:uid="{00000000-0005-0000-0000-000018010000}"/>
    <cellStyle name="Comma 7 3 3 2 2" xfId="282" xr:uid="{00000000-0005-0000-0000-000019010000}"/>
    <cellStyle name="Comma 7 3 3 3" xfId="283" xr:uid="{00000000-0005-0000-0000-00001A010000}"/>
    <cellStyle name="Comma 7 3 4" xfId="284" xr:uid="{00000000-0005-0000-0000-00001B010000}"/>
    <cellStyle name="Comma 7 4" xfId="285" xr:uid="{00000000-0005-0000-0000-00001C010000}"/>
    <cellStyle name="Comma 7 4 2" xfId="286" xr:uid="{00000000-0005-0000-0000-00001D010000}"/>
    <cellStyle name="Comma 7 5" xfId="287" xr:uid="{00000000-0005-0000-0000-00001E010000}"/>
    <cellStyle name="Comma 7 5 2" xfId="288" xr:uid="{00000000-0005-0000-0000-00001F010000}"/>
    <cellStyle name="Comma 7 5 2 2" xfId="289" xr:uid="{00000000-0005-0000-0000-000020010000}"/>
    <cellStyle name="Comma 7 5 3" xfId="290" xr:uid="{00000000-0005-0000-0000-000021010000}"/>
    <cellStyle name="Comma 7 6" xfId="291" xr:uid="{00000000-0005-0000-0000-000022010000}"/>
    <cellStyle name="Comma 8" xfId="292" xr:uid="{00000000-0005-0000-0000-000023010000}"/>
    <cellStyle name="Comma 8 2" xfId="293" xr:uid="{00000000-0005-0000-0000-000024010000}"/>
    <cellStyle name="Comma 8 2 2" xfId="294" xr:uid="{00000000-0005-0000-0000-000025010000}"/>
    <cellStyle name="Comma 8 2 3" xfId="295" xr:uid="{00000000-0005-0000-0000-000026010000}"/>
    <cellStyle name="Comma 8 2 4" xfId="296" xr:uid="{00000000-0005-0000-0000-000027010000}"/>
    <cellStyle name="Comma 8 2 4 10" xfId="297" xr:uid="{00000000-0005-0000-0000-000028010000}"/>
    <cellStyle name="Comma 8 2 4 11" xfId="298" xr:uid="{00000000-0005-0000-0000-000029010000}"/>
    <cellStyle name="Comma 8 2 4 11 2" xfId="299" xr:uid="{00000000-0005-0000-0000-00002A010000}"/>
    <cellStyle name="Comma 8 2 4 11 2 2" xfId="300" xr:uid="{00000000-0005-0000-0000-00002B010000}"/>
    <cellStyle name="Comma 8 2 4 11 2 3" xfId="301" xr:uid="{00000000-0005-0000-0000-00002C010000}"/>
    <cellStyle name="Comma 8 2 4 11 2 3 2" xfId="302" xr:uid="{00000000-0005-0000-0000-00002D010000}"/>
    <cellStyle name="Comma 8 2 4 2" xfId="303" xr:uid="{00000000-0005-0000-0000-00002E010000}"/>
    <cellStyle name="Comma 8 2 4 3" xfId="304" xr:uid="{00000000-0005-0000-0000-00002F010000}"/>
    <cellStyle name="Comma 8 2 4 4" xfId="305" xr:uid="{00000000-0005-0000-0000-000030010000}"/>
    <cellStyle name="Comma 8 2 4 5" xfId="306" xr:uid="{00000000-0005-0000-0000-000031010000}"/>
    <cellStyle name="Comma 8 2 4 5 2" xfId="307" xr:uid="{00000000-0005-0000-0000-000032010000}"/>
    <cellStyle name="Comma 8 2 4 5 2 2" xfId="308" xr:uid="{00000000-0005-0000-0000-000033010000}"/>
    <cellStyle name="Comma 8 2 4 5 2 3" xfId="309" xr:uid="{00000000-0005-0000-0000-000034010000}"/>
    <cellStyle name="Comma 8 2 4 6" xfId="310" xr:uid="{00000000-0005-0000-0000-000035010000}"/>
    <cellStyle name="Comma 8 2 4 7" xfId="311" xr:uid="{00000000-0005-0000-0000-000036010000}"/>
    <cellStyle name="Comma 8 2 4 8" xfId="312" xr:uid="{00000000-0005-0000-0000-000037010000}"/>
    <cellStyle name="Comma 8 2 4 9" xfId="313" xr:uid="{00000000-0005-0000-0000-000038010000}"/>
    <cellStyle name="Comma 8 2 4 9 2" xfId="314" xr:uid="{00000000-0005-0000-0000-000039010000}"/>
    <cellStyle name="Comma 8 2 4 9 2 2" xfId="315" xr:uid="{00000000-0005-0000-0000-00003A010000}"/>
    <cellStyle name="Comma 8 2 4 9 2 3" xfId="316" xr:uid="{00000000-0005-0000-0000-00003B010000}"/>
    <cellStyle name="Comma 8 2 4 9 2 3 2" xfId="317" xr:uid="{00000000-0005-0000-0000-00003C010000}"/>
    <cellStyle name="Comma 8 2 5" xfId="318" xr:uid="{00000000-0005-0000-0000-00003D010000}"/>
    <cellStyle name="Comma 8 2 5 2" xfId="319" xr:uid="{00000000-0005-0000-0000-00003E010000}"/>
    <cellStyle name="Comma 8 2 5 3" xfId="320" xr:uid="{00000000-0005-0000-0000-00003F010000}"/>
    <cellStyle name="Comma 8 2 5 4" xfId="321" xr:uid="{00000000-0005-0000-0000-000040010000}"/>
    <cellStyle name="Comma 8 2 6" xfId="322" xr:uid="{00000000-0005-0000-0000-000041010000}"/>
    <cellStyle name="Comma 8 2 6 2" xfId="323" xr:uid="{00000000-0005-0000-0000-000042010000}"/>
    <cellStyle name="Comma 8 2 6 2 2" xfId="324" xr:uid="{00000000-0005-0000-0000-000043010000}"/>
    <cellStyle name="Comma 8 2 6 2 3" xfId="325" xr:uid="{00000000-0005-0000-0000-000044010000}"/>
    <cellStyle name="Comma 8 2 6 2 3 2" xfId="326" xr:uid="{00000000-0005-0000-0000-000045010000}"/>
    <cellStyle name="Comma 8 2 6 3" xfId="327" xr:uid="{00000000-0005-0000-0000-000046010000}"/>
    <cellStyle name="Comma 8 2 7" xfId="328" xr:uid="{00000000-0005-0000-0000-000047010000}"/>
    <cellStyle name="Comma 8 2 7 2" xfId="329" xr:uid="{00000000-0005-0000-0000-000048010000}"/>
    <cellStyle name="Comma 8 2 7 3" xfId="330" xr:uid="{00000000-0005-0000-0000-000049010000}"/>
    <cellStyle name="Comma 8 2 7 3 2" xfId="331" xr:uid="{00000000-0005-0000-0000-00004A010000}"/>
    <cellStyle name="Comma 8 2 8" xfId="332" xr:uid="{00000000-0005-0000-0000-00004B010000}"/>
    <cellStyle name="Comma 8 2 9" xfId="333" xr:uid="{00000000-0005-0000-0000-00004C010000}"/>
    <cellStyle name="Comma 8 2 9 2" xfId="334" xr:uid="{00000000-0005-0000-0000-00004D010000}"/>
    <cellStyle name="Comma 8 3" xfId="335" xr:uid="{00000000-0005-0000-0000-00004E010000}"/>
    <cellStyle name="Comma 8 4" xfId="336" xr:uid="{00000000-0005-0000-0000-00004F010000}"/>
    <cellStyle name="Comma 8 5" xfId="337" xr:uid="{00000000-0005-0000-0000-000050010000}"/>
    <cellStyle name="Comma 8 5 2" xfId="338" xr:uid="{00000000-0005-0000-0000-000051010000}"/>
    <cellStyle name="Comma 8 6" xfId="339" xr:uid="{00000000-0005-0000-0000-000052010000}"/>
    <cellStyle name="Comma 8 6 2" xfId="340" xr:uid="{00000000-0005-0000-0000-000053010000}"/>
    <cellStyle name="Comma 9" xfId="341" xr:uid="{00000000-0005-0000-0000-000054010000}"/>
    <cellStyle name="Comma 9 2" xfId="342" xr:uid="{00000000-0005-0000-0000-000055010000}"/>
    <cellStyle name="Comma 9 2 2" xfId="343" xr:uid="{00000000-0005-0000-0000-000056010000}"/>
    <cellStyle name="Comma 9 2 3" xfId="344" xr:uid="{00000000-0005-0000-0000-000057010000}"/>
    <cellStyle name="Comma 9 2 3 2" xfId="345" xr:uid="{00000000-0005-0000-0000-000058010000}"/>
    <cellStyle name="Comma 9 2 3 3" xfId="346" xr:uid="{00000000-0005-0000-0000-000059010000}"/>
    <cellStyle name="Comma 9 2 3 4" xfId="347" xr:uid="{00000000-0005-0000-0000-00005A010000}"/>
    <cellStyle name="Comma 9 2 4" xfId="348" xr:uid="{00000000-0005-0000-0000-00005B010000}"/>
    <cellStyle name="Comma 9 2 4 2" xfId="349" xr:uid="{00000000-0005-0000-0000-00005C010000}"/>
    <cellStyle name="Comma 9 2 4 2 2" xfId="350" xr:uid="{00000000-0005-0000-0000-00005D010000}"/>
    <cellStyle name="Comma 9 2 4 2 3" xfId="351" xr:uid="{00000000-0005-0000-0000-00005E010000}"/>
    <cellStyle name="Comma 9 2 4 2 3 2" xfId="352" xr:uid="{00000000-0005-0000-0000-00005F010000}"/>
    <cellStyle name="Comma 9 2 4 3" xfId="353" xr:uid="{00000000-0005-0000-0000-000060010000}"/>
    <cellStyle name="Comma 9 2 5" xfId="354" xr:uid="{00000000-0005-0000-0000-000061010000}"/>
    <cellStyle name="Comma 9 2 5 2" xfId="355" xr:uid="{00000000-0005-0000-0000-000062010000}"/>
    <cellStyle name="Comma 9 2 5 3" xfId="356" xr:uid="{00000000-0005-0000-0000-000063010000}"/>
    <cellStyle name="Comma 9 2 5 3 2" xfId="357" xr:uid="{00000000-0005-0000-0000-000064010000}"/>
    <cellStyle name="Comma 9 2 6" xfId="358" xr:uid="{00000000-0005-0000-0000-000065010000}"/>
    <cellStyle name="Comma 9 2 7" xfId="359" xr:uid="{00000000-0005-0000-0000-000066010000}"/>
    <cellStyle name="Comma 9 2 7 2" xfId="360" xr:uid="{00000000-0005-0000-0000-000067010000}"/>
    <cellStyle name="Comma 9 3" xfId="361" xr:uid="{00000000-0005-0000-0000-000068010000}"/>
    <cellStyle name="Comma 9 4" xfId="362" xr:uid="{00000000-0005-0000-0000-000069010000}"/>
    <cellStyle name="Comma 9 5" xfId="363" xr:uid="{00000000-0005-0000-0000-00006A010000}"/>
    <cellStyle name="Comma 9 6" xfId="364" xr:uid="{00000000-0005-0000-0000-00006B010000}"/>
    <cellStyle name="Comma 9 6 10" xfId="365" xr:uid="{00000000-0005-0000-0000-00006C010000}"/>
    <cellStyle name="Comma 9 6 11" xfId="366" xr:uid="{00000000-0005-0000-0000-00006D010000}"/>
    <cellStyle name="Comma 9 6 11 2" xfId="367" xr:uid="{00000000-0005-0000-0000-00006E010000}"/>
    <cellStyle name="Comma 9 6 11 2 2" xfId="368" xr:uid="{00000000-0005-0000-0000-00006F010000}"/>
    <cellStyle name="Comma 9 6 11 2 3" xfId="369" xr:uid="{00000000-0005-0000-0000-000070010000}"/>
    <cellStyle name="Comma 9 6 11 2 3 2" xfId="370" xr:uid="{00000000-0005-0000-0000-000071010000}"/>
    <cellStyle name="Comma 9 6 2" xfId="371" xr:uid="{00000000-0005-0000-0000-000072010000}"/>
    <cellStyle name="Comma 9 6 3" xfId="372" xr:uid="{00000000-0005-0000-0000-000073010000}"/>
    <cellStyle name="Comma 9 6 4" xfId="373" xr:uid="{00000000-0005-0000-0000-000074010000}"/>
    <cellStyle name="Comma 9 6 5" xfId="374" xr:uid="{00000000-0005-0000-0000-000075010000}"/>
    <cellStyle name="Comma 9 6 5 2" xfId="375" xr:uid="{00000000-0005-0000-0000-000076010000}"/>
    <cellStyle name="Comma 9 6 5 2 2" xfId="376" xr:uid="{00000000-0005-0000-0000-000077010000}"/>
    <cellStyle name="Comma 9 6 5 2 3" xfId="377" xr:uid="{00000000-0005-0000-0000-000078010000}"/>
    <cellStyle name="Comma 9 6 6" xfId="378" xr:uid="{00000000-0005-0000-0000-000079010000}"/>
    <cellStyle name="Comma 9 6 7" xfId="379" xr:uid="{00000000-0005-0000-0000-00007A010000}"/>
    <cellStyle name="Comma 9 6 8" xfId="380" xr:uid="{00000000-0005-0000-0000-00007B010000}"/>
    <cellStyle name="Comma 9 6 9" xfId="381" xr:uid="{00000000-0005-0000-0000-00007C010000}"/>
    <cellStyle name="Comma 9 6 9 2" xfId="382" xr:uid="{00000000-0005-0000-0000-00007D010000}"/>
    <cellStyle name="Comma 9 6 9 2 2" xfId="383" xr:uid="{00000000-0005-0000-0000-00007E010000}"/>
    <cellStyle name="Comma 9 6 9 2 3" xfId="384" xr:uid="{00000000-0005-0000-0000-00007F010000}"/>
    <cellStyle name="Comma 9 6 9 2 3 2" xfId="385" xr:uid="{00000000-0005-0000-0000-000080010000}"/>
    <cellStyle name="Currency" xfId="386" builtinId="4"/>
    <cellStyle name="Currency 10" xfId="387" xr:uid="{00000000-0005-0000-0000-000082010000}"/>
    <cellStyle name="Currency 11" xfId="388" xr:uid="{00000000-0005-0000-0000-000083010000}"/>
    <cellStyle name="Currency 12" xfId="389" xr:uid="{00000000-0005-0000-0000-000084010000}"/>
    <cellStyle name="Currency 13" xfId="966" xr:uid="{B1BDFFF9-777E-4FBC-A35C-43FB3BEA93ED}"/>
    <cellStyle name="Currency 2" xfId="390" xr:uid="{00000000-0005-0000-0000-000085010000}"/>
    <cellStyle name="Currency 2 2" xfId="391" xr:uid="{00000000-0005-0000-0000-000086010000}"/>
    <cellStyle name="Currency 3" xfId="392" xr:uid="{00000000-0005-0000-0000-000087010000}"/>
    <cellStyle name="Currency 3 2" xfId="393" xr:uid="{00000000-0005-0000-0000-000088010000}"/>
    <cellStyle name="Currency 3 2 2" xfId="394" xr:uid="{00000000-0005-0000-0000-000089010000}"/>
    <cellStyle name="Currency 3 3" xfId="395" xr:uid="{00000000-0005-0000-0000-00008A010000}"/>
    <cellStyle name="Currency 3 4" xfId="396" xr:uid="{00000000-0005-0000-0000-00008B010000}"/>
    <cellStyle name="Currency 3 5" xfId="397" xr:uid="{00000000-0005-0000-0000-00008C010000}"/>
    <cellStyle name="Currency 4" xfId="398" xr:uid="{00000000-0005-0000-0000-00008D010000}"/>
    <cellStyle name="Currency 4 2" xfId="399" xr:uid="{00000000-0005-0000-0000-00008E010000}"/>
    <cellStyle name="Currency 4 3" xfId="400" xr:uid="{00000000-0005-0000-0000-00008F010000}"/>
    <cellStyle name="Currency 4 3 2" xfId="401" xr:uid="{00000000-0005-0000-0000-000090010000}"/>
    <cellStyle name="Currency 4 4" xfId="962" xr:uid="{2099274F-4548-4157-B6F0-DBE2594A9D92}"/>
    <cellStyle name="Currency 5" xfId="402" xr:uid="{00000000-0005-0000-0000-000091010000}"/>
    <cellStyle name="Currency 5 2" xfId="403" xr:uid="{00000000-0005-0000-0000-000092010000}"/>
    <cellStyle name="Currency 5 3" xfId="404" xr:uid="{00000000-0005-0000-0000-000093010000}"/>
    <cellStyle name="Currency 5 3 2" xfId="405" xr:uid="{00000000-0005-0000-0000-000094010000}"/>
    <cellStyle name="Currency 6" xfId="406" xr:uid="{00000000-0005-0000-0000-000095010000}"/>
    <cellStyle name="Currency 7" xfId="407" xr:uid="{00000000-0005-0000-0000-000096010000}"/>
    <cellStyle name="Currency 7 2" xfId="408" xr:uid="{00000000-0005-0000-0000-000097010000}"/>
    <cellStyle name="Currency 8" xfId="409" xr:uid="{00000000-0005-0000-0000-000098010000}"/>
    <cellStyle name="Currency 8 2" xfId="410" xr:uid="{00000000-0005-0000-0000-000099010000}"/>
    <cellStyle name="Currency 8 3" xfId="411" xr:uid="{00000000-0005-0000-0000-00009A010000}"/>
    <cellStyle name="Currency 9" xfId="412" xr:uid="{00000000-0005-0000-0000-00009B010000}"/>
    <cellStyle name="Currency 9 2" xfId="413" xr:uid="{00000000-0005-0000-0000-00009C010000}"/>
    <cellStyle name="Explanatory Text 2" xfId="414" xr:uid="{00000000-0005-0000-0000-00009D010000}"/>
    <cellStyle name="Good 2" xfId="415" xr:uid="{00000000-0005-0000-0000-00009E010000}"/>
    <cellStyle name="Heading 1 2" xfId="416" xr:uid="{00000000-0005-0000-0000-00009F010000}"/>
    <cellStyle name="Heading 2 2" xfId="417" xr:uid="{00000000-0005-0000-0000-0000A0010000}"/>
    <cellStyle name="Heading 3 2" xfId="418" xr:uid="{00000000-0005-0000-0000-0000A1010000}"/>
    <cellStyle name="Heading 4 2" xfId="419" xr:uid="{00000000-0005-0000-0000-0000A2010000}"/>
    <cellStyle name="Input 2" xfId="420" xr:uid="{00000000-0005-0000-0000-0000A3010000}"/>
    <cellStyle name="Linked Cell 2" xfId="421" xr:uid="{00000000-0005-0000-0000-0000A4010000}"/>
    <cellStyle name="Neutral 2" xfId="422" xr:uid="{00000000-0005-0000-0000-0000A5010000}"/>
    <cellStyle name="Normal" xfId="0" builtinId="0"/>
    <cellStyle name="Normal 10" xfId="423" xr:uid="{00000000-0005-0000-0000-0000A7010000}"/>
    <cellStyle name="Normal 10 2" xfId="424" xr:uid="{00000000-0005-0000-0000-0000A8010000}"/>
    <cellStyle name="Normal 105" xfId="425" xr:uid="{00000000-0005-0000-0000-0000A9010000}"/>
    <cellStyle name="Normal 105 2" xfId="953" xr:uid="{0216B7B4-EC26-412D-AD66-4593223BA73A}"/>
    <cellStyle name="Normal 11" xfId="426" xr:uid="{00000000-0005-0000-0000-0000AA010000}"/>
    <cellStyle name="Normal 11 2" xfId="427" xr:uid="{00000000-0005-0000-0000-0000AB010000}"/>
    <cellStyle name="Normal 11 3" xfId="428" xr:uid="{00000000-0005-0000-0000-0000AC010000}"/>
    <cellStyle name="Normal 111" xfId="429" xr:uid="{00000000-0005-0000-0000-0000AD010000}"/>
    <cellStyle name="Normal 12" xfId="430" xr:uid="{00000000-0005-0000-0000-0000AE010000}"/>
    <cellStyle name="Normal 12 2" xfId="431" xr:uid="{00000000-0005-0000-0000-0000AF010000}"/>
    <cellStyle name="Normal 12 3" xfId="432" xr:uid="{00000000-0005-0000-0000-0000B0010000}"/>
    <cellStyle name="Normal 121" xfId="433" xr:uid="{00000000-0005-0000-0000-0000B1010000}"/>
    <cellStyle name="Normal 13" xfId="434" xr:uid="{00000000-0005-0000-0000-0000B2010000}"/>
    <cellStyle name="Normal 13 2" xfId="435" xr:uid="{00000000-0005-0000-0000-0000B3010000}"/>
    <cellStyle name="Normal 13 3" xfId="436" xr:uid="{00000000-0005-0000-0000-0000B4010000}"/>
    <cellStyle name="Normal 14" xfId="437" xr:uid="{00000000-0005-0000-0000-0000B5010000}"/>
    <cellStyle name="Normal 14 2" xfId="438" xr:uid="{00000000-0005-0000-0000-0000B6010000}"/>
    <cellStyle name="Normal 14 3" xfId="439" xr:uid="{00000000-0005-0000-0000-0000B7010000}"/>
    <cellStyle name="Normal 15" xfId="440" xr:uid="{00000000-0005-0000-0000-0000B8010000}"/>
    <cellStyle name="Normal 15 2" xfId="441" xr:uid="{00000000-0005-0000-0000-0000B9010000}"/>
    <cellStyle name="Normal 15 2 2" xfId="442" xr:uid="{00000000-0005-0000-0000-0000BA010000}"/>
    <cellStyle name="Normal 15 2 2 2" xfId="950" xr:uid="{A6B29BEF-298E-4EC5-A222-821E7ADD150A}"/>
    <cellStyle name="Normal 15 3" xfId="443" xr:uid="{00000000-0005-0000-0000-0000BB010000}"/>
    <cellStyle name="Normal 16" xfId="444" xr:uid="{00000000-0005-0000-0000-0000BC010000}"/>
    <cellStyle name="Normal 17" xfId="445" xr:uid="{00000000-0005-0000-0000-0000BD010000}"/>
    <cellStyle name="Normal 18" xfId="446" xr:uid="{00000000-0005-0000-0000-0000BE010000}"/>
    <cellStyle name="Normal 19" xfId="447" xr:uid="{00000000-0005-0000-0000-0000BF010000}"/>
    <cellStyle name="Normal 19 2" xfId="448" xr:uid="{00000000-0005-0000-0000-0000C0010000}"/>
    <cellStyle name="Normal 19 2 2" xfId="449" xr:uid="{00000000-0005-0000-0000-0000C1010000}"/>
    <cellStyle name="Normal 19 3" xfId="450" xr:uid="{00000000-0005-0000-0000-0000C2010000}"/>
    <cellStyle name="Normal 2" xfId="451" xr:uid="{00000000-0005-0000-0000-0000C3010000}"/>
    <cellStyle name="Normal 2 2" xfId="452" xr:uid="{00000000-0005-0000-0000-0000C4010000}"/>
    <cellStyle name="Normal 2 2 2" xfId="453" xr:uid="{00000000-0005-0000-0000-0000C5010000}"/>
    <cellStyle name="Normal 2 2 2 2" xfId="949" xr:uid="{64229576-F548-40D1-9E86-2A18457B0701}"/>
    <cellStyle name="Normal 2 2 3" xfId="454" xr:uid="{00000000-0005-0000-0000-0000C6010000}"/>
    <cellStyle name="Normal 2 2 4" xfId="455" xr:uid="{00000000-0005-0000-0000-0000C7010000}"/>
    <cellStyle name="Normal 2 2 4 2" xfId="456" xr:uid="{00000000-0005-0000-0000-0000C8010000}"/>
    <cellStyle name="Normal 2 2 4 2 2" xfId="457" xr:uid="{00000000-0005-0000-0000-0000C9010000}"/>
    <cellStyle name="Normal 2 2 4 3" xfId="458" xr:uid="{00000000-0005-0000-0000-0000CA010000}"/>
    <cellStyle name="Normal 2 2 4 4" xfId="459" xr:uid="{00000000-0005-0000-0000-0000CB010000}"/>
    <cellStyle name="Normal 2 2 4 5" xfId="460" xr:uid="{00000000-0005-0000-0000-0000CC010000}"/>
    <cellStyle name="Normal 2 2 4 5 2" xfId="461" xr:uid="{00000000-0005-0000-0000-0000CD010000}"/>
    <cellStyle name="Normal 2 2 5" xfId="462" xr:uid="{00000000-0005-0000-0000-0000CE010000}"/>
    <cellStyle name="Normal 2 2 6" xfId="463" xr:uid="{00000000-0005-0000-0000-0000CF010000}"/>
    <cellStyle name="Normal 2 2 6 2" xfId="464" xr:uid="{00000000-0005-0000-0000-0000D0010000}"/>
    <cellStyle name="Normal 2 2 6 2 2" xfId="465" xr:uid="{00000000-0005-0000-0000-0000D1010000}"/>
    <cellStyle name="Normal 2 2 6 3" xfId="466" xr:uid="{00000000-0005-0000-0000-0000D2010000}"/>
    <cellStyle name="Normal 2 2 6 4" xfId="951" xr:uid="{26E603C8-2E2B-42ED-B976-EFF8FF3CF8A4}"/>
    <cellStyle name="Normal 2 2 7" xfId="467" xr:uid="{00000000-0005-0000-0000-0000D3010000}"/>
    <cellStyle name="Normal 2 3" xfId="468" xr:uid="{00000000-0005-0000-0000-0000D4010000}"/>
    <cellStyle name="Normal 2 3 2" xfId="469" xr:uid="{00000000-0005-0000-0000-0000D5010000}"/>
    <cellStyle name="Normal 2 3 2 2" xfId="470" xr:uid="{00000000-0005-0000-0000-0000D6010000}"/>
    <cellStyle name="Normal 2 3 3" xfId="471" xr:uid="{00000000-0005-0000-0000-0000D7010000}"/>
    <cellStyle name="Normal 2 3 4" xfId="952" xr:uid="{CA71D86B-712D-4CCF-816F-BC7342764FDC}"/>
    <cellStyle name="Normal 2 4" xfId="472" xr:uid="{00000000-0005-0000-0000-0000D8010000}"/>
    <cellStyle name="Normal 2 4 2" xfId="473" xr:uid="{00000000-0005-0000-0000-0000D9010000}"/>
    <cellStyle name="Normal 2 5" xfId="474" xr:uid="{00000000-0005-0000-0000-0000DA010000}"/>
    <cellStyle name="Normal 20" xfId="475" xr:uid="{00000000-0005-0000-0000-0000DB010000}"/>
    <cellStyle name="Normal 21" xfId="476" xr:uid="{00000000-0005-0000-0000-0000DC010000}"/>
    <cellStyle name="Normal 22" xfId="477" xr:uid="{00000000-0005-0000-0000-0000DD010000}"/>
    <cellStyle name="Normal 23" xfId="946" xr:uid="{04194E42-4FCE-4DA0-8A2E-F65A824FD55E}"/>
    <cellStyle name="Normal 24" xfId="960" xr:uid="{C78548C5-F2E2-42D4-8A20-CE5AE53BE218}"/>
    <cellStyle name="Normal 25" xfId="964" xr:uid="{01534CF1-60A2-4306-BEC6-2F3F898ADA1F}"/>
    <cellStyle name="Normal 3" xfId="478" xr:uid="{00000000-0005-0000-0000-0000DE010000}"/>
    <cellStyle name="Normal 3 2" xfId="479" xr:uid="{00000000-0005-0000-0000-0000DF010000}"/>
    <cellStyle name="Normal 3 2 2" xfId="480" xr:uid="{00000000-0005-0000-0000-0000E0010000}"/>
    <cellStyle name="Normal 3 3" xfId="481" xr:uid="{00000000-0005-0000-0000-0000E1010000}"/>
    <cellStyle name="Normal 3 3 2" xfId="482" xr:uid="{00000000-0005-0000-0000-0000E2010000}"/>
    <cellStyle name="Normal 3 4" xfId="483" xr:uid="{00000000-0005-0000-0000-0000E3010000}"/>
    <cellStyle name="Normal 3 4 2" xfId="484" xr:uid="{00000000-0005-0000-0000-0000E4010000}"/>
    <cellStyle name="Normal 3 4 2 2" xfId="485" xr:uid="{00000000-0005-0000-0000-0000E5010000}"/>
    <cellStyle name="Normal 3 4 3" xfId="486" xr:uid="{00000000-0005-0000-0000-0000E6010000}"/>
    <cellStyle name="Normal 3 5" xfId="487" xr:uid="{00000000-0005-0000-0000-0000E7010000}"/>
    <cellStyle name="Normal 4" xfId="488" xr:uid="{00000000-0005-0000-0000-0000E8010000}"/>
    <cellStyle name="Normal 4 2" xfId="489" xr:uid="{00000000-0005-0000-0000-0000E9010000}"/>
    <cellStyle name="Normal 4 3" xfId="490" xr:uid="{00000000-0005-0000-0000-0000EA010000}"/>
    <cellStyle name="Normal 4 3 2" xfId="491" xr:uid="{00000000-0005-0000-0000-0000EB010000}"/>
    <cellStyle name="Normal 4 3 2 2" xfId="492" xr:uid="{00000000-0005-0000-0000-0000EC010000}"/>
    <cellStyle name="Normal 4 3 2 2 2" xfId="493" xr:uid="{00000000-0005-0000-0000-0000ED010000}"/>
    <cellStyle name="Normal 4 3 2 3" xfId="494" xr:uid="{00000000-0005-0000-0000-0000EE010000}"/>
    <cellStyle name="Normal 4 3 3" xfId="495" xr:uid="{00000000-0005-0000-0000-0000EF010000}"/>
    <cellStyle name="Normal 4 4" xfId="496" xr:uid="{00000000-0005-0000-0000-0000F0010000}"/>
    <cellStyle name="Normal 4 4 2" xfId="497" xr:uid="{00000000-0005-0000-0000-0000F1010000}"/>
    <cellStyle name="Normal 4 4 3" xfId="498" xr:uid="{00000000-0005-0000-0000-0000F2010000}"/>
    <cellStyle name="Normal 4 4 4" xfId="499" xr:uid="{00000000-0005-0000-0000-0000F3010000}"/>
    <cellStyle name="Normal 4 5" xfId="500" xr:uid="{00000000-0005-0000-0000-0000F4010000}"/>
    <cellStyle name="Normal 5" xfId="501" xr:uid="{00000000-0005-0000-0000-0000F5010000}"/>
    <cellStyle name="Normal 5 2" xfId="502" xr:uid="{00000000-0005-0000-0000-0000F6010000}"/>
    <cellStyle name="Normal 5 2 2" xfId="503" xr:uid="{00000000-0005-0000-0000-0000F7010000}"/>
    <cellStyle name="Normal 5 2 3" xfId="504" xr:uid="{00000000-0005-0000-0000-0000F8010000}"/>
    <cellStyle name="Normal 5 2 3 2" xfId="505" xr:uid="{00000000-0005-0000-0000-0000F9010000}"/>
    <cellStyle name="Normal 5 3" xfId="506" xr:uid="{00000000-0005-0000-0000-0000FA010000}"/>
    <cellStyle name="Normal 5 4" xfId="507" xr:uid="{00000000-0005-0000-0000-0000FB010000}"/>
    <cellStyle name="Normal 5 5" xfId="508" xr:uid="{00000000-0005-0000-0000-0000FC010000}"/>
    <cellStyle name="Normal 6" xfId="509" xr:uid="{00000000-0005-0000-0000-0000FD010000}"/>
    <cellStyle name="Normal 6 2" xfId="510" xr:uid="{00000000-0005-0000-0000-0000FE010000}"/>
    <cellStyle name="Normal 6 3" xfId="511" xr:uid="{00000000-0005-0000-0000-0000FF010000}"/>
    <cellStyle name="Normal 7" xfId="512" xr:uid="{00000000-0005-0000-0000-000000020000}"/>
    <cellStyle name="Normal 7 2" xfId="513" xr:uid="{00000000-0005-0000-0000-000001020000}"/>
    <cellStyle name="Normal 7 3" xfId="514" xr:uid="{00000000-0005-0000-0000-000002020000}"/>
    <cellStyle name="Normal 7 3 2" xfId="515" xr:uid="{00000000-0005-0000-0000-000003020000}"/>
    <cellStyle name="Normal 7 4" xfId="516" xr:uid="{00000000-0005-0000-0000-000004020000}"/>
    <cellStyle name="Normal 7 4 2" xfId="517" xr:uid="{00000000-0005-0000-0000-000005020000}"/>
    <cellStyle name="Normal 7 5" xfId="518" xr:uid="{00000000-0005-0000-0000-000006020000}"/>
    <cellStyle name="Normal 7 6" xfId="519" xr:uid="{00000000-0005-0000-0000-000007020000}"/>
    <cellStyle name="Normal 8" xfId="520" xr:uid="{00000000-0005-0000-0000-000008020000}"/>
    <cellStyle name="Normal 8 2" xfId="521" xr:uid="{00000000-0005-0000-0000-000009020000}"/>
    <cellStyle name="Normal 9" xfId="522" xr:uid="{00000000-0005-0000-0000-00000A020000}"/>
    <cellStyle name="Normal 9 2" xfId="523" xr:uid="{00000000-0005-0000-0000-00000B020000}"/>
    <cellStyle name="Normal 9 3" xfId="524" xr:uid="{00000000-0005-0000-0000-00000C020000}"/>
    <cellStyle name="Note 2" xfId="525" xr:uid="{00000000-0005-0000-0000-00000D020000}"/>
    <cellStyle name="Output 2" xfId="526" xr:uid="{00000000-0005-0000-0000-00000E020000}"/>
    <cellStyle name="Percent" xfId="527" builtinId="5"/>
    <cellStyle name="Percent 10" xfId="528" xr:uid="{00000000-0005-0000-0000-000010020000}"/>
    <cellStyle name="Percent 10 2" xfId="529" xr:uid="{00000000-0005-0000-0000-000011020000}"/>
    <cellStyle name="Percent 10 3" xfId="530" xr:uid="{00000000-0005-0000-0000-000012020000}"/>
    <cellStyle name="Percent 10 3 2" xfId="531" xr:uid="{00000000-0005-0000-0000-000013020000}"/>
    <cellStyle name="Percent 10 3 3" xfId="532" xr:uid="{00000000-0005-0000-0000-000014020000}"/>
    <cellStyle name="Percent 10 3 3 2" xfId="533" xr:uid="{00000000-0005-0000-0000-000015020000}"/>
    <cellStyle name="Percent 10 4" xfId="948" xr:uid="{523DA289-0C64-47D2-A4E0-0A74701EE4D3}"/>
    <cellStyle name="Percent 11" xfId="534" xr:uid="{00000000-0005-0000-0000-000016020000}"/>
    <cellStyle name="Percent 11 2" xfId="535" xr:uid="{00000000-0005-0000-0000-000017020000}"/>
    <cellStyle name="Percent 11 3" xfId="536" xr:uid="{00000000-0005-0000-0000-000018020000}"/>
    <cellStyle name="Percent 11 3 2" xfId="537" xr:uid="{00000000-0005-0000-0000-000019020000}"/>
    <cellStyle name="Percent 12" xfId="538" xr:uid="{00000000-0005-0000-0000-00001A020000}"/>
    <cellStyle name="Percent 12 2" xfId="539" xr:uid="{00000000-0005-0000-0000-00001B020000}"/>
    <cellStyle name="Percent 12 3" xfId="540" xr:uid="{00000000-0005-0000-0000-00001C020000}"/>
    <cellStyle name="Percent 12 3 2" xfId="541" xr:uid="{00000000-0005-0000-0000-00001D020000}"/>
    <cellStyle name="Percent 13" xfId="542" xr:uid="{00000000-0005-0000-0000-00001E020000}"/>
    <cellStyle name="Percent 13 2" xfId="543" xr:uid="{00000000-0005-0000-0000-00001F020000}"/>
    <cellStyle name="Percent 13 3" xfId="544" xr:uid="{00000000-0005-0000-0000-000020020000}"/>
    <cellStyle name="Percent 13 3 2" xfId="545" xr:uid="{00000000-0005-0000-0000-000021020000}"/>
    <cellStyle name="Percent 14" xfId="546" xr:uid="{00000000-0005-0000-0000-000022020000}"/>
    <cellStyle name="Percent 14 2" xfId="547" xr:uid="{00000000-0005-0000-0000-000023020000}"/>
    <cellStyle name="Percent 14 3" xfId="548" xr:uid="{00000000-0005-0000-0000-000024020000}"/>
    <cellStyle name="Percent 14 3 2" xfId="549" xr:uid="{00000000-0005-0000-0000-000025020000}"/>
    <cellStyle name="Percent 15" xfId="550" xr:uid="{00000000-0005-0000-0000-000026020000}"/>
    <cellStyle name="Percent 15 2" xfId="551" xr:uid="{00000000-0005-0000-0000-000027020000}"/>
    <cellStyle name="Percent 15 3" xfId="552" xr:uid="{00000000-0005-0000-0000-000028020000}"/>
    <cellStyle name="Percent 15 3 2" xfId="553" xr:uid="{00000000-0005-0000-0000-000029020000}"/>
    <cellStyle name="Percent 16" xfId="554" xr:uid="{00000000-0005-0000-0000-00002A020000}"/>
    <cellStyle name="Percent 16 2" xfId="555" xr:uid="{00000000-0005-0000-0000-00002B020000}"/>
    <cellStyle name="Percent 16 3" xfId="556" xr:uid="{00000000-0005-0000-0000-00002C020000}"/>
    <cellStyle name="Percent 16 3 2" xfId="557" xr:uid="{00000000-0005-0000-0000-00002D020000}"/>
    <cellStyle name="Percent 17" xfId="558" xr:uid="{00000000-0005-0000-0000-00002E020000}"/>
    <cellStyle name="Percent 17 2" xfId="559" xr:uid="{00000000-0005-0000-0000-00002F020000}"/>
    <cellStyle name="Percent 17 3" xfId="560" xr:uid="{00000000-0005-0000-0000-000030020000}"/>
    <cellStyle name="Percent 17 3 2" xfId="561" xr:uid="{00000000-0005-0000-0000-000031020000}"/>
    <cellStyle name="Percent 18" xfId="562" xr:uid="{00000000-0005-0000-0000-000032020000}"/>
    <cellStyle name="Percent 18 2" xfId="563" xr:uid="{00000000-0005-0000-0000-000033020000}"/>
    <cellStyle name="Percent 18 3" xfId="564" xr:uid="{00000000-0005-0000-0000-000034020000}"/>
    <cellStyle name="Percent 18 3 2" xfId="565" xr:uid="{00000000-0005-0000-0000-000035020000}"/>
    <cellStyle name="Percent 19" xfId="566" xr:uid="{00000000-0005-0000-0000-000036020000}"/>
    <cellStyle name="Percent 19 2" xfId="567" xr:uid="{00000000-0005-0000-0000-000037020000}"/>
    <cellStyle name="Percent 19 3" xfId="568" xr:uid="{00000000-0005-0000-0000-000038020000}"/>
    <cellStyle name="Percent 19 3 2" xfId="569" xr:uid="{00000000-0005-0000-0000-000039020000}"/>
    <cellStyle name="Percent 2" xfId="570" xr:uid="{00000000-0005-0000-0000-00003A020000}"/>
    <cellStyle name="Percent 2 2" xfId="571" xr:uid="{00000000-0005-0000-0000-00003B020000}"/>
    <cellStyle name="Percent 2 2 2" xfId="572" xr:uid="{00000000-0005-0000-0000-00003C020000}"/>
    <cellStyle name="Percent 2 2 2 2" xfId="573" xr:uid="{00000000-0005-0000-0000-00003D020000}"/>
    <cellStyle name="Percent 2 2 2 3" xfId="574" xr:uid="{00000000-0005-0000-0000-00003E020000}"/>
    <cellStyle name="Percent 2 2 2 3 2" xfId="575" xr:uid="{00000000-0005-0000-0000-00003F020000}"/>
    <cellStyle name="Percent 2 2 2 3 3" xfId="576" xr:uid="{00000000-0005-0000-0000-000040020000}"/>
    <cellStyle name="Percent 2 2 2 3 3 2" xfId="577" xr:uid="{00000000-0005-0000-0000-000041020000}"/>
    <cellStyle name="Percent 2 2 2 3 3 3" xfId="578" xr:uid="{00000000-0005-0000-0000-000042020000}"/>
    <cellStyle name="Percent 2 2 2 3 3 4" xfId="579" xr:uid="{00000000-0005-0000-0000-000043020000}"/>
    <cellStyle name="Percent 2 2 2 3 4" xfId="580" xr:uid="{00000000-0005-0000-0000-000044020000}"/>
    <cellStyle name="Percent 2 2 2 3 4 2" xfId="581" xr:uid="{00000000-0005-0000-0000-000045020000}"/>
    <cellStyle name="Percent 2 2 2 3 4 2 2" xfId="582" xr:uid="{00000000-0005-0000-0000-000046020000}"/>
    <cellStyle name="Percent 2 2 2 3 4 2 3" xfId="583" xr:uid="{00000000-0005-0000-0000-000047020000}"/>
    <cellStyle name="Percent 2 2 2 3 4 2 3 2" xfId="584" xr:uid="{00000000-0005-0000-0000-000048020000}"/>
    <cellStyle name="Percent 2 2 2 3 4 3" xfId="585" xr:uid="{00000000-0005-0000-0000-000049020000}"/>
    <cellStyle name="Percent 2 2 2 3 5" xfId="586" xr:uid="{00000000-0005-0000-0000-00004A020000}"/>
    <cellStyle name="Percent 2 2 2 3 5 2" xfId="587" xr:uid="{00000000-0005-0000-0000-00004B020000}"/>
    <cellStyle name="Percent 2 2 2 3 5 3" xfId="588" xr:uid="{00000000-0005-0000-0000-00004C020000}"/>
    <cellStyle name="Percent 2 2 2 3 5 3 2" xfId="589" xr:uid="{00000000-0005-0000-0000-00004D020000}"/>
    <cellStyle name="Percent 2 2 2 3 6" xfId="590" xr:uid="{00000000-0005-0000-0000-00004E020000}"/>
    <cellStyle name="Percent 2 2 2 3 7" xfId="591" xr:uid="{00000000-0005-0000-0000-00004F020000}"/>
    <cellStyle name="Percent 2 2 2 3 7 2" xfId="592" xr:uid="{00000000-0005-0000-0000-000050020000}"/>
    <cellStyle name="Percent 2 2 2 4" xfId="593" xr:uid="{00000000-0005-0000-0000-000051020000}"/>
    <cellStyle name="Percent 2 2 2 4 2" xfId="594" xr:uid="{00000000-0005-0000-0000-000052020000}"/>
    <cellStyle name="Percent 2 2 2 4 2 2" xfId="595" xr:uid="{00000000-0005-0000-0000-000053020000}"/>
    <cellStyle name="Percent 2 2 2 4 2 3" xfId="596" xr:uid="{00000000-0005-0000-0000-000054020000}"/>
    <cellStyle name="Percent 2 2 2 4 2 3 2" xfId="597" xr:uid="{00000000-0005-0000-0000-000055020000}"/>
    <cellStyle name="Percent 2 2 2 4 3" xfId="598" xr:uid="{00000000-0005-0000-0000-000056020000}"/>
    <cellStyle name="Percent 2 2 2 5" xfId="599" xr:uid="{00000000-0005-0000-0000-000057020000}"/>
    <cellStyle name="Percent 2 2 2 5 2" xfId="600" xr:uid="{00000000-0005-0000-0000-000058020000}"/>
    <cellStyle name="Percent 2 2 2 5 3" xfId="601" xr:uid="{00000000-0005-0000-0000-000059020000}"/>
    <cellStyle name="Percent 2 2 2 5 3 2" xfId="602" xr:uid="{00000000-0005-0000-0000-00005A020000}"/>
    <cellStyle name="Percent 2 2 2 6" xfId="603" xr:uid="{00000000-0005-0000-0000-00005B020000}"/>
    <cellStyle name="Percent 2 2 2 6 2" xfId="604" xr:uid="{00000000-0005-0000-0000-00005C020000}"/>
    <cellStyle name="Percent 2 2 3" xfId="605" xr:uid="{00000000-0005-0000-0000-00005D020000}"/>
    <cellStyle name="Percent 2 2 3 2" xfId="606" xr:uid="{00000000-0005-0000-0000-00005E020000}"/>
    <cellStyle name="Percent 2 2 3 3" xfId="607" xr:uid="{00000000-0005-0000-0000-00005F020000}"/>
    <cellStyle name="Percent 2 2 3 4" xfId="608" xr:uid="{00000000-0005-0000-0000-000060020000}"/>
    <cellStyle name="Percent 2 3" xfId="609" xr:uid="{00000000-0005-0000-0000-000061020000}"/>
    <cellStyle name="Percent 2 4" xfId="610" xr:uid="{00000000-0005-0000-0000-000062020000}"/>
    <cellStyle name="Percent 2 4 10" xfId="611" xr:uid="{00000000-0005-0000-0000-000063020000}"/>
    <cellStyle name="Percent 2 4 11" xfId="612" xr:uid="{00000000-0005-0000-0000-000064020000}"/>
    <cellStyle name="Percent 2 4 11 2" xfId="613" xr:uid="{00000000-0005-0000-0000-000065020000}"/>
    <cellStyle name="Percent 2 4 11 2 2" xfId="614" xr:uid="{00000000-0005-0000-0000-000066020000}"/>
    <cellStyle name="Percent 2 4 11 2 3" xfId="615" xr:uid="{00000000-0005-0000-0000-000067020000}"/>
    <cellStyle name="Percent 2 4 11 2 3 2" xfId="616" xr:uid="{00000000-0005-0000-0000-000068020000}"/>
    <cellStyle name="Percent 2 4 2" xfId="617" xr:uid="{00000000-0005-0000-0000-000069020000}"/>
    <cellStyle name="Percent 2 4 3" xfId="618" xr:uid="{00000000-0005-0000-0000-00006A020000}"/>
    <cellStyle name="Percent 2 4 4" xfId="619" xr:uid="{00000000-0005-0000-0000-00006B020000}"/>
    <cellStyle name="Percent 2 4 5" xfId="620" xr:uid="{00000000-0005-0000-0000-00006C020000}"/>
    <cellStyle name="Percent 2 4 5 2" xfId="621" xr:uid="{00000000-0005-0000-0000-00006D020000}"/>
    <cellStyle name="Percent 2 4 5 2 2" xfId="622" xr:uid="{00000000-0005-0000-0000-00006E020000}"/>
    <cellStyle name="Percent 2 4 5 2 3" xfId="623" xr:uid="{00000000-0005-0000-0000-00006F020000}"/>
    <cellStyle name="Percent 2 4 6" xfId="624" xr:uid="{00000000-0005-0000-0000-000070020000}"/>
    <cellStyle name="Percent 2 4 7" xfId="625" xr:uid="{00000000-0005-0000-0000-000071020000}"/>
    <cellStyle name="Percent 2 4 8" xfId="626" xr:uid="{00000000-0005-0000-0000-000072020000}"/>
    <cellStyle name="Percent 2 4 9" xfId="627" xr:uid="{00000000-0005-0000-0000-000073020000}"/>
    <cellStyle name="Percent 2 4 9 2" xfId="628" xr:uid="{00000000-0005-0000-0000-000074020000}"/>
    <cellStyle name="Percent 2 4 9 2 2" xfId="629" xr:uid="{00000000-0005-0000-0000-000075020000}"/>
    <cellStyle name="Percent 2 4 9 2 3" xfId="630" xr:uid="{00000000-0005-0000-0000-000076020000}"/>
    <cellStyle name="Percent 2 4 9 2 3 2" xfId="631" xr:uid="{00000000-0005-0000-0000-000077020000}"/>
    <cellStyle name="Percent 2 5" xfId="632" xr:uid="{00000000-0005-0000-0000-000078020000}"/>
    <cellStyle name="Percent 2 5 2" xfId="633" xr:uid="{00000000-0005-0000-0000-000079020000}"/>
    <cellStyle name="Percent 2 5 2 2" xfId="634" xr:uid="{00000000-0005-0000-0000-00007A020000}"/>
    <cellStyle name="Percent 2 5 3" xfId="635" xr:uid="{00000000-0005-0000-0000-00007B020000}"/>
    <cellStyle name="Percent 2 5 4" xfId="636" xr:uid="{00000000-0005-0000-0000-00007C020000}"/>
    <cellStyle name="Percent 2 5 5" xfId="637" xr:uid="{00000000-0005-0000-0000-00007D020000}"/>
    <cellStyle name="Percent 2 6" xfId="638" xr:uid="{00000000-0005-0000-0000-00007E020000}"/>
    <cellStyle name="Percent 20" xfId="639" xr:uid="{00000000-0005-0000-0000-00007F020000}"/>
    <cellStyle name="Percent 20 2" xfId="640" xr:uid="{00000000-0005-0000-0000-000080020000}"/>
    <cellStyle name="Percent 20 3" xfId="641" xr:uid="{00000000-0005-0000-0000-000081020000}"/>
    <cellStyle name="Percent 20 3 2" xfId="642" xr:uid="{00000000-0005-0000-0000-000082020000}"/>
    <cellStyle name="Percent 21" xfId="643" xr:uid="{00000000-0005-0000-0000-000083020000}"/>
    <cellStyle name="Percent 21 2" xfId="644" xr:uid="{00000000-0005-0000-0000-000084020000}"/>
    <cellStyle name="Percent 21 3" xfId="645" xr:uid="{00000000-0005-0000-0000-000085020000}"/>
    <cellStyle name="Percent 21 3 2" xfId="646" xr:uid="{00000000-0005-0000-0000-000086020000}"/>
    <cellStyle name="Percent 22" xfId="647" xr:uid="{00000000-0005-0000-0000-000087020000}"/>
    <cellStyle name="Percent 22 2" xfId="648" xr:uid="{00000000-0005-0000-0000-000088020000}"/>
    <cellStyle name="Percent 23" xfId="649" xr:uid="{00000000-0005-0000-0000-000089020000}"/>
    <cellStyle name="Percent 23 2" xfId="650" xr:uid="{00000000-0005-0000-0000-00008A020000}"/>
    <cellStyle name="Percent 24" xfId="651" xr:uid="{00000000-0005-0000-0000-00008B020000}"/>
    <cellStyle name="Percent 25" xfId="652" xr:uid="{00000000-0005-0000-0000-00008C020000}"/>
    <cellStyle name="Percent 25 2" xfId="653" xr:uid="{00000000-0005-0000-0000-00008D020000}"/>
    <cellStyle name="Percent 25 3" xfId="654" xr:uid="{00000000-0005-0000-0000-00008E020000}"/>
    <cellStyle name="Percent 25 3 2" xfId="655" xr:uid="{00000000-0005-0000-0000-00008F020000}"/>
    <cellStyle name="Percent 26" xfId="656" xr:uid="{00000000-0005-0000-0000-000090020000}"/>
    <cellStyle name="Percent 27" xfId="657" xr:uid="{00000000-0005-0000-0000-000091020000}"/>
    <cellStyle name="Percent 27 2" xfId="658" xr:uid="{00000000-0005-0000-0000-000092020000}"/>
    <cellStyle name="Percent 28" xfId="659" xr:uid="{00000000-0005-0000-0000-000093020000}"/>
    <cellStyle name="Percent 28 2" xfId="660" xr:uid="{00000000-0005-0000-0000-000094020000}"/>
    <cellStyle name="Percent 28 3" xfId="661" xr:uid="{00000000-0005-0000-0000-000095020000}"/>
    <cellStyle name="Percent 28 4" xfId="662" xr:uid="{00000000-0005-0000-0000-000096020000}"/>
    <cellStyle name="Percent 29" xfId="663" xr:uid="{00000000-0005-0000-0000-000097020000}"/>
    <cellStyle name="Percent 29 2" xfId="664" xr:uid="{00000000-0005-0000-0000-000098020000}"/>
    <cellStyle name="Percent 3" xfId="665" xr:uid="{00000000-0005-0000-0000-000099020000}"/>
    <cellStyle name="Percent 3 2" xfId="666" xr:uid="{00000000-0005-0000-0000-00009A020000}"/>
    <cellStyle name="Percent 3 2 2" xfId="667" xr:uid="{00000000-0005-0000-0000-00009B020000}"/>
    <cellStyle name="Percent 3 2 3" xfId="668" xr:uid="{00000000-0005-0000-0000-00009C020000}"/>
    <cellStyle name="Percent 3 2 3 2" xfId="669" xr:uid="{00000000-0005-0000-0000-00009D020000}"/>
    <cellStyle name="Percent 3 2 3 3" xfId="670" xr:uid="{00000000-0005-0000-0000-00009E020000}"/>
    <cellStyle name="Percent 3 2 3 4" xfId="671" xr:uid="{00000000-0005-0000-0000-00009F020000}"/>
    <cellStyle name="Percent 3 2 4" xfId="672" xr:uid="{00000000-0005-0000-0000-0000A0020000}"/>
    <cellStyle name="Percent 3 2 4 2" xfId="673" xr:uid="{00000000-0005-0000-0000-0000A1020000}"/>
    <cellStyle name="Percent 3 2 4 2 2" xfId="674" xr:uid="{00000000-0005-0000-0000-0000A2020000}"/>
    <cellStyle name="Percent 3 2 4 2 3" xfId="675" xr:uid="{00000000-0005-0000-0000-0000A3020000}"/>
    <cellStyle name="Percent 3 2 4 2 3 2" xfId="676" xr:uid="{00000000-0005-0000-0000-0000A4020000}"/>
    <cellStyle name="Percent 3 2 4 3" xfId="677" xr:uid="{00000000-0005-0000-0000-0000A5020000}"/>
    <cellStyle name="Percent 3 2 5" xfId="678" xr:uid="{00000000-0005-0000-0000-0000A6020000}"/>
    <cellStyle name="Percent 3 2 5 2" xfId="679" xr:uid="{00000000-0005-0000-0000-0000A7020000}"/>
    <cellStyle name="Percent 3 2 5 3" xfId="680" xr:uid="{00000000-0005-0000-0000-0000A8020000}"/>
    <cellStyle name="Percent 3 2 5 3 2" xfId="681" xr:uid="{00000000-0005-0000-0000-0000A9020000}"/>
    <cellStyle name="Percent 3 2 6" xfId="682" xr:uid="{00000000-0005-0000-0000-0000AA020000}"/>
    <cellStyle name="Percent 3 2 7" xfId="683" xr:uid="{00000000-0005-0000-0000-0000AB020000}"/>
    <cellStyle name="Percent 3 2 7 2" xfId="684" xr:uid="{00000000-0005-0000-0000-0000AC020000}"/>
    <cellStyle name="Percent 3 3" xfId="685" xr:uid="{00000000-0005-0000-0000-0000AD020000}"/>
    <cellStyle name="Percent 3 4" xfId="686" xr:uid="{00000000-0005-0000-0000-0000AE020000}"/>
    <cellStyle name="Percent 3 5" xfId="687" xr:uid="{00000000-0005-0000-0000-0000AF020000}"/>
    <cellStyle name="Percent 3 5 2" xfId="688" xr:uid="{00000000-0005-0000-0000-0000B0020000}"/>
    <cellStyle name="Percent 3 5 3" xfId="689" xr:uid="{00000000-0005-0000-0000-0000B1020000}"/>
    <cellStyle name="Percent 3 5 4" xfId="690" xr:uid="{00000000-0005-0000-0000-0000B2020000}"/>
    <cellStyle name="Percent 3 6" xfId="691" xr:uid="{00000000-0005-0000-0000-0000B3020000}"/>
    <cellStyle name="Percent 3 6 2" xfId="692" xr:uid="{00000000-0005-0000-0000-0000B4020000}"/>
    <cellStyle name="Percent 3 7" xfId="693" xr:uid="{00000000-0005-0000-0000-0000B5020000}"/>
    <cellStyle name="Percent 3 8" xfId="694" xr:uid="{00000000-0005-0000-0000-0000B6020000}"/>
    <cellStyle name="Percent 3 9" xfId="695" xr:uid="{00000000-0005-0000-0000-0000B7020000}"/>
    <cellStyle name="Percent 30" xfId="696" xr:uid="{00000000-0005-0000-0000-0000B8020000}"/>
    <cellStyle name="Percent 31" xfId="957" xr:uid="{B3A561EA-B2BD-4029-9482-D3164EC26546}"/>
    <cellStyle name="Percent 32" xfId="963" xr:uid="{5E6ACE7B-4016-4F04-AAD0-C2CDA81E0827}"/>
    <cellStyle name="Percent 4" xfId="697" xr:uid="{00000000-0005-0000-0000-0000B9020000}"/>
    <cellStyle name="Percent 4 2" xfId="698" xr:uid="{00000000-0005-0000-0000-0000BA020000}"/>
    <cellStyle name="Percent 4 3" xfId="699" xr:uid="{00000000-0005-0000-0000-0000BB020000}"/>
    <cellStyle name="Percent 4 3 2" xfId="700" xr:uid="{00000000-0005-0000-0000-0000BC020000}"/>
    <cellStyle name="Percent 4 3 3" xfId="701" xr:uid="{00000000-0005-0000-0000-0000BD020000}"/>
    <cellStyle name="Percent 4 3 4" xfId="702" xr:uid="{00000000-0005-0000-0000-0000BE020000}"/>
    <cellStyle name="Percent 4 4" xfId="703" xr:uid="{00000000-0005-0000-0000-0000BF020000}"/>
    <cellStyle name="Percent 4 4 2" xfId="704" xr:uid="{00000000-0005-0000-0000-0000C0020000}"/>
    <cellStyle name="Percent 4 4 2 2" xfId="705" xr:uid="{00000000-0005-0000-0000-0000C1020000}"/>
    <cellStyle name="Percent 4 4 2 3" xfId="706" xr:uid="{00000000-0005-0000-0000-0000C2020000}"/>
    <cellStyle name="Percent 4 4 2 3 2" xfId="707" xr:uid="{00000000-0005-0000-0000-0000C3020000}"/>
    <cellStyle name="Percent 4 4 3" xfId="708" xr:uid="{00000000-0005-0000-0000-0000C4020000}"/>
    <cellStyle name="Percent 4 5" xfId="709" xr:uid="{00000000-0005-0000-0000-0000C5020000}"/>
    <cellStyle name="Percent 4 5 2" xfId="710" xr:uid="{00000000-0005-0000-0000-0000C6020000}"/>
    <cellStyle name="Percent 4 5 3" xfId="711" xr:uid="{00000000-0005-0000-0000-0000C7020000}"/>
    <cellStyle name="Percent 4 5 3 2" xfId="712" xr:uid="{00000000-0005-0000-0000-0000C8020000}"/>
    <cellStyle name="Percent 4 6" xfId="713" xr:uid="{00000000-0005-0000-0000-0000C9020000}"/>
    <cellStyle name="Percent 4 7" xfId="714" xr:uid="{00000000-0005-0000-0000-0000CA020000}"/>
    <cellStyle name="Percent 4 7 2" xfId="715" xr:uid="{00000000-0005-0000-0000-0000CB020000}"/>
    <cellStyle name="Percent 5" xfId="716" xr:uid="{00000000-0005-0000-0000-0000CC020000}"/>
    <cellStyle name="Percent 5 2" xfId="717" xr:uid="{00000000-0005-0000-0000-0000CD020000}"/>
    <cellStyle name="Percent 5 3" xfId="718" xr:uid="{00000000-0005-0000-0000-0000CE020000}"/>
    <cellStyle name="Percent 5 3 2" xfId="719" xr:uid="{00000000-0005-0000-0000-0000CF020000}"/>
    <cellStyle name="Percent 5 3 3" xfId="720" xr:uid="{00000000-0005-0000-0000-0000D0020000}"/>
    <cellStyle name="Percent 5 4" xfId="721" xr:uid="{00000000-0005-0000-0000-0000D1020000}"/>
    <cellStyle name="Percent 5 4 2" xfId="722" xr:uid="{00000000-0005-0000-0000-0000D2020000}"/>
    <cellStyle name="Percent 5 4 3" xfId="723" xr:uid="{00000000-0005-0000-0000-0000D3020000}"/>
    <cellStyle name="Percent 5 4 4" xfId="724" xr:uid="{00000000-0005-0000-0000-0000D4020000}"/>
    <cellStyle name="Percent 5 5" xfId="725" xr:uid="{00000000-0005-0000-0000-0000D5020000}"/>
    <cellStyle name="Percent 5 5 2" xfId="726" xr:uid="{00000000-0005-0000-0000-0000D6020000}"/>
    <cellStyle name="Percent 5 5 2 2" xfId="727" xr:uid="{00000000-0005-0000-0000-0000D7020000}"/>
    <cellStyle name="Percent 5 5 2 3" xfId="728" xr:uid="{00000000-0005-0000-0000-0000D8020000}"/>
    <cellStyle name="Percent 5 5 2 3 2" xfId="729" xr:uid="{00000000-0005-0000-0000-0000D9020000}"/>
    <cellStyle name="Percent 5 5 3" xfId="730" xr:uid="{00000000-0005-0000-0000-0000DA020000}"/>
    <cellStyle name="Percent 5 6" xfId="731" xr:uid="{00000000-0005-0000-0000-0000DB020000}"/>
    <cellStyle name="Percent 5 6 2" xfId="732" xr:uid="{00000000-0005-0000-0000-0000DC020000}"/>
    <cellStyle name="Percent 5 6 3" xfId="733" xr:uid="{00000000-0005-0000-0000-0000DD020000}"/>
    <cellStyle name="Percent 5 6 3 2" xfId="734" xr:uid="{00000000-0005-0000-0000-0000DE020000}"/>
    <cellStyle name="Percent 5 7" xfId="735" xr:uid="{00000000-0005-0000-0000-0000DF020000}"/>
    <cellStyle name="Percent 5 8" xfId="736" xr:uid="{00000000-0005-0000-0000-0000E0020000}"/>
    <cellStyle name="Percent 5 8 2" xfId="737" xr:uid="{00000000-0005-0000-0000-0000E1020000}"/>
    <cellStyle name="Percent 5 9" xfId="738" xr:uid="{00000000-0005-0000-0000-0000E2020000}"/>
    <cellStyle name="Percent 5 9 2" xfId="739" xr:uid="{00000000-0005-0000-0000-0000E3020000}"/>
    <cellStyle name="Percent 5 9 3" xfId="740" xr:uid="{00000000-0005-0000-0000-0000E4020000}"/>
    <cellStyle name="Percent 5 9 3 2" xfId="741" xr:uid="{00000000-0005-0000-0000-0000E5020000}"/>
    <cellStyle name="Percent 6" xfId="742" xr:uid="{00000000-0005-0000-0000-0000E6020000}"/>
    <cellStyle name="Percent 6 10" xfId="743" xr:uid="{00000000-0005-0000-0000-0000E7020000}"/>
    <cellStyle name="Percent 6 11" xfId="744" xr:uid="{00000000-0005-0000-0000-0000E8020000}"/>
    <cellStyle name="Percent 6 11 2" xfId="745" xr:uid="{00000000-0005-0000-0000-0000E9020000}"/>
    <cellStyle name="Percent 6 11 2 2" xfId="746" xr:uid="{00000000-0005-0000-0000-0000EA020000}"/>
    <cellStyle name="Percent 6 11 2 3" xfId="747" xr:uid="{00000000-0005-0000-0000-0000EB020000}"/>
    <cellStyle name="Percent 6 11 2 3 2" xfId="748" xr:uid="{00000000-0005-0000-0000-0000EC020000}"/>
    <cellStyle name="Percent 6 12" xfId="749" xr:uid="{00000000-0005-0000-0000-0000ED020000}"/>
    <cellStyle name="Percent 6 13" xfId="750" xr:uid="{00000000-0005-0000-0000-0000EE020000}"/>
    <cellStyle name="Percent 6 13 2" xfId="751" xr:uid="{00000000-0005-0000-0000-0000EF020000}"/>
    <cellStyle name="Percent 6 13 2 2" xfId="752" xr:uid="{00000000-0005-0000-0000-0000F0020000}"/>
    <cellStyle name="Percent 6 13 2 3" xfId="753" xr:uid="{00000000-0005-0000-0000-0000F1020000}"/>
    <cellStyle name="Percent 6 13 2 3 2" xfId="754" xr:uid="{00000000-0005-0000-0000-0000F2020000}"/>
    <cellStyle name="Percent 6 14" xfId="755" xr:uid="{00000000-0005-0000-0000-0000F3020000}"/>
    <cellStyle name="Percent 6 14 2" xfId="756" xr:uid="{00000000-0005-0000-0000-0000F4020000}"/>
    <cellStyle name="Percent 6 15" xfId="757" xr:uid="{00000000-0005-0000-0000-0000F5020000}"/>
    <cellStyle name="Percent 6 16" xfId="758" xr:uid="{00000000-0005-0000-0000-0000F6020000}"/>
    <cellStyle name="Percent 6 16 2" xfId="759" xr:uid="{00000000-0005-0000-0000-0000F7020000}"/>
    <cellStyle name="Percent 6 2" xfId="760" xr:uid="{00000000-0005-0000-0000-0000F8020000}"/>
    <cellStyle name="Percent 6 3" xfId="761" xr:uid="{00000000-0005-0000-0000-0000F9020000}"/>
    <cellStyle name="Percent 6 4" xfId="762" xr:uid="{00000000-0005-0000-0000-0000FA020000}"/>
    <cellStyle name="Percent 6 5" xfId="763" xr:uid="{00000000-0005-0000-0000-0000FB020000}"/>
    <cellStyle name="Percent 6 6" xfId="764" xr:uid="{00000000-0005-0000-0000-0000FC020000}"/>
    <cellStyle name="Percent 6 7" xfId="765" xr:uid="{00000000-0005-0000-0000-0000FD020000}"/>
    <cellStyle name="Percent 6 7 2" xfId="766" xr:uid="{00000000-0005-0000-0000-0000FE020000}"/>
    <cellStyle name="Percent 6 7 2 2" xfId="767" xr:uid="{00000000-0005-0000-0000-0000FF020000}"/>
    <cellStyle name="Percent 6 7 2 3" xfId="768" xr:uid="{00000000-0005-0000-0000-000000030000}"/>
    <cellStyle name="Percent 6 8" xfId="769" xr:uid="{00000000-0005-0000-0000-000001030000}"/>
    <cellStyle name="Percent 6 9" xfId="770" xr:uid="{00000000-0005-0000-0000-000002030000}"/>
    <cellStyle name="Percent 7" xfId="771" xr:uid="{00000000-0005-0000-0000-000003030000}"/>
    <cellStyle name="Percent 7 10" xfId="772" xr:uid="{00000000-0005-0000-0000-000004030000}"/>
    <cellStyle name="Percent 7 11" xfId="773" xr:uid="{00000000-0005-0000-0000-000005030000}"/>
    <cellStyle name="Percent 7 11 2" xfId="774" xr:uid="{00000000-0005-0000-0000-000006030000}"/>
    <cellStyle name="Percent 7 11 2 2" xfId="775" xr:uid="{00000000-0005-0000-0000-000007030000}"/>
    <cellStyle name="Percent 7 11 2 3" xfId="776" xr:uid="{00000000-0005-0000-0000-000008030000}"/>
    <cellStyle name="Percent 7 11 2 3 2" xfId="777" xr:uid="{00000000-0005-0000-0000-000009030000}"/>
    <cellStyle name="Percent 7 12" xfId="778" xr:uid="{00000000-0005-0000-0000-00000A030000}"/>
    <cellStyle name="Percent 7 12 2" xfId="779" xr:uid="{00000000-0005-0000-0000-00000B030000}"/>
    <cellStyle name="Percent 7 13" xfId="780" xr:uid="{00000000-0005-0000-0000-00000C030000}"/>
    <cellStyle name="Percent 7 14" xfId="781" xr:uid="{00000000-0005-0000-0000-00000D030000}"/>
    <cellStyle name="Percent 7 14 2" xfId="782" xr:uid="{00000000-0005-0000-0000-00000E030000}"/>
    <cellStyle name="Percent 7 2" xfId="783" xr:uid="{00000000-0005-0000-0000-00000F030000}"/>
    <cellStyle name="Percent 7 3" xfId="784" xr:uid="{00000000-0005-0000-0000-000010030000}"/>
    <cellStyle name="Percent 7 4" xfId="785" xr:uid="{00000000-0005-0000-0000-000011030000}"/>
    <cellStyle name="Percent 7 5" xfId="786" xr:uid="{00000000-0005-0000-0000-000012030000}"/>
    <cellStyle name="Percent 7 5 2" xfId="787" xr:uid="{00000000-0005-0000-0000-000013030000}"/>
    <cellStyle name="Percent 7 5 2 2" xfId="788" xr:uid="{00000000-0005-0000-0000-000014030000}"/>
    <cellStyle name="Percent 7 5 2 3" xfId="789" xr:uid="{00000000-0005-0000-0000-000015030000}"/>
    <cellStyle name="Percent 7 5 2 4" xfId="790" xr:uid="{00000000-0005-0000-0000-000016030000}"/>
    <cellStyle name="Percent 7 6" xfId="791" xr:uid="{00000000-0005-0000-0000-000017030000}"/>
    <cellStyle name="Percent 7 7" xfId="792" xr:uid="{00000000-0005-0000-0000-000018030000}"/>
    <cellStyle name="Percent 7 8" xfId="793" xr:uid="{00000000-0005-0000-0000-000019030000}"/>
    <cellStyle name="Percent 7 9" xfId="794" xr:uid="{00000000-0005-0000-0000-00001A030000}"/>
    <cellStyle name="Percent 7 9 2" xfId="795" xr:uid="{00000000-0005-0000-0000-00001B030000}"/>
    <cellStyle name="Percent 7 9 2 2" xfId="796" xr:uid="{00000000-0005-0000-0000-00001C030000}"/>
    <cellStyle name="Percent 7 9 2 3" xfId="797" xr:uid="{00000000-0005-0000-0000-00001D030000}"/>
    <cellStyle name="Percent 7 9 2 3 2" xfId="798" xr:uid="{00000000-0005-0000-0000-00001E030000}"/>
    <cellStyle name="Percent 8" xfId="799" xr:uid="{00000000-0005-0000-0000-00001F030000}"/>
    <cellStyle name="Percent 8 2" xfId="800" xr:uid="{00000000-0005-0000-0000-000020030000}"/>
    <cellStyle name="Percent 8 3" xfId="801" xr:uid="{00000000-0005-0000-0000-000021030000}"/>
    <cellStyle name="Percent 8 4" xfId="802" xr:uid="{00000000-0005-0000-0000-000022030000}"/>
    <cellStyle name="Percent 8 5" xfId="803" xr:uid="{00000000-0005-0000-0000-000023030000}"/>
    <cellStyle name="Percent 9" xfId="804" xr:uid="{00000000-0005-0000-0000-000024030000}"/>
    <cellStyle name="Percent 9 2" xfId="805" xr:uid="{00000000-0005-0000-0000-000025030000}"/>
    <cellStyle name="Percent 9 3" xfId="806" xr:uid="{00000000-0005-0000-0000-000026030000}"/>
    <cellStyle name="Percent 9 4" xfId="807" xr:uid="{00000000-0005-0000-0000-000027030000}"/>
    <cellStyle name="Percent 9 5" xfId="808" xr:uid="{00000000-0005-0000-0000-000028030000}"/>
    <cellStyle name="PSChar" xfId="809" xr:uid="{00000000-0005-0000-0000-000029030000}"/>
    <cellStyle name="PSChar 10" xfId="810" xr:uid="{00000000-0005-0000-0000-00002A030000}"/>
    <cellStyle name="PSChar 10 2" xfId="811" xr:uid="{00000000-0005-0000-0000-00002B030000}"/>
    <cellStyle name="PSChar 10 2 2" xfId="812" xr:uid="{00000000-0005-0000-0000-00002C030000}"/>
    <cellStyle name="PSChar 10 3" xfId="813" xr:uid="{00000000-0005-0000-0000-00002D030000}"/>
    <cellStyle name="PSChar 11" xfId="814" xr:uid="{00000000-0005-0000-0000-00002E030000}"/>
    <cellStyle name="PSChar 2" xfId="815" xr:uid="{00000000-0005-0000-0000-00002F030000}"/>
    <cellStyle name="PSChar 2 2" xfId="816" xr:uid="{00000000-0005-0000-0000-000030030000}"/>
    <cellStyle name="PSChar 2 2 2" xfId="817" xr:uid="{00000000-0005-0000-0000-000031030000}"/>
    <cellStyle name="PSChar 3" xfId="818" xr:uid="{00000000-0005-0000-0000-000032030000}"/>
    <cellStyle name="PSChar 3 2" xfId="819" xr:uid="{00000000-0005-0000-0000-000033030000}"/>
    <cellStyle name="PSChar 4" xfId="820" xr:uid="{00000000-0005-0000-0000-000034030000}"/>
    <cellStyle name="PSChar 4 2" xfId="821" xr:uid="{00000000-0005-0000-0000-000035030000}"/>
    <cellStyle name="PSChar 5" xfId="822" xr:uid="{00000000-0005-0000-0000-000036030000}"/>
    <cellStyle name="PSChar 5 2" xfId="823" xr:uid="{00000000-0005-0000-0000-000037030000}"/>
    <cellStyle name="PSChar 5 3" xfId="824" xr:uid="{00000000-0005-0000-0000-000038030000}"/>
    <cellStyle name="PSChar 5 3 2" xfId="825" xr:uid="{00000000-0005-0000-0000-000039030000}"/>
    <cellStyle name="PSChar 6" xfId="826" xr:uid="{00000000-0005-0000-0000-00003A030000}"/>
    <cellStyle name="PSChar 6 2" xfId="827" xr:uid="{00000000-0005-0000-0000-00003B030000}"/>
    <cellStyle name="PSChar 7" xfId="828" xr:uid="{00000000-0005-0000-0000-00003C030000}"/>
    <cellStyle name="PSChar 8" xfId="829" xr:uid="{00000000-0005-0000-0000-00003D030000}"/>
    <cellStyle name="PSChar 8 2" xfId="830" xr:uid="{00000000-0005-0000-0000-00003E030000}"/>
    <cellStyle name="PSChar 9" xfId="831" xr:uid="{00000000-0005-0000-0000-00003F030000}"/>
    <cellStyle name="PSChar 9 2" xfId="832" xr:uid="{00000000-0005-0000-0000-000040030000}"/>
    <cellStyle name="PSDate" xfId="833" xr:uid="{00000000-0005-0000-0000-000041030000}"/>
    <cellStyle name="PSDate 10" xfId="834" xr:uid="{00000000-0005-0000-0000-000042030000}"/>
    <cellStyle name="PSDate 2" xfId="835" xr:uid="{00000000-0005-0000-0000-000043030000}"/>
    <cellStyle name="PSDate 2 2" xfId="836" xr:uid="{00000000-0005-0000-0000-000044030000}"/>
    <cellStyle name="PSDate 2 2 2" xfId="837" xr:uid="{00000000-0005-0000-0000-000045030000}"/>
    <cellStyle name="PSDate 3" xfId="838" xr:uid="{00000000-0005-0000-0000-000046030000}"/>
    <cellStyle name="PSDate 3 2" xfId="839" xr:uid="{00000000-0005-0000-0000-000047030000}"/>
    <cellStyle name="PSDate 4" xfId="840" xr:uid="{00000000-0005-0000-0000-000048030000}"/>
    <cellStyle name="PSDate 4 2" xfId="841" xr:uid="{00000000-0005-0000-0000-000049030000}"/>
    <cellStyle name="PSDate 5" xfId="842" xr:uid="{00000000-0005-0000-0000-00004A030000}"/>
    <cellStyle name="PSDate 5 2" xfId="843" xr:uid="{00000000-0005-0000-0000-00004B030000}"/>
    <cellStyle name="PSDate 5 3" xfId="844" xr:uid="{00000000-0005-0000-0000-00004C030000}"/>
    <cellStyle name="PSDate 5 3 2" xfId="845" xr:uid="{00000000-0005-0000-0000-00004D030000}"/>
    <cellStyle name="PSDate 6" xfId="846" xr:uid="{00000000-0005-0000-0000-00004E030000}"/>
    <cellStyle name="PSDate 6 2" xfId="847" xr:uid="{00000000-0005-0000-0000-00004F030000}"/>
    <cellStyle name="PSDate 7" xfId="848" xr:uid="{00000000-0005-0000-0000-000050030000}"/>
    <cellStyle name="PSDate 8" xfId="849" xr:uid="{00000000-0005-0000-0000-000051030000}"/>
    <cellStyle name="PSDate 8 2" xfId="850" xr:uid="{00000000-0005-0000-0000-000052030000}"/>
    <cellStyle name="PSDate 9" xfId="851" xr:uid="{00000000-0005-0000-0000-000053030000}"/>
    <cellStyle name="PSDate 9 2" xfId="852" xr:uid="{00000000-0005-0000-0000-000054030000}"/>
    <cellStyle name="PSDate 9 2 2" xfId="853" xr:uid="{00000000-0005-0000-0000-000055030000}"/>
    <cellStyle name="PSDate 9 3" xfId="854" xr:uid="{00000000-0005-0000-0000-000056030000}"/>
    <cellStyle name="PSDec" xfId="855" xr:uid="{00000000-0005-0000-0000-000057030000}"/>
    <cellStyle name="PSDec 10" xfId="856" xr:uid="{00000000-0005-0000-0000-000058030000}"/>
    <cellStyle name="PSDec 10 2" xfId="857" xr:uid="{00000000-0005-0000-0000-000059030000}"/>
    <cellStyle name="PSDec 10 2 2" xfId="858" xr:uid="{00000000-0005-0000-0000-00005A030000}"/>
    <cellStyle name="PSDec 10 3" xfId="859" xr:uid="{00000000-0005-0000-0000-00005B030000}"/>
    <cellStyle name="PSDec 11" xfId="860" xr:uid="{00000000-0005-0000-0000-00005C030000}"/>
    <cellStyle name="PSDec 2" xfId="861" xr:uid="{00000000-0005-0000-0000-00005D030000}"/>
    <cellStyle name="PSDec 2 2" xfId="862" xr:uid="{00000000-0005-0000-0000-00005E030000}"/>
    <cellStyle name="PSDec 2 2 2" xfId="863" xr:uid="{00000000-0005-0000-0000-00005F030000}"/>
    <cellStyle name="PSDec 3" xfId="864" xr:uid="{00000000-0005-0000-0000-000060030000}"/>
    <cellStyle name="PSDec 3 2" xfId="865" xr:uid="{00000000-0005-0000-0000-000061030000}"/>
    <cellStyle name="PSDec 4" xfId="866" xr:uid="{00000000-0005-0000-0000-000062030000}"/>
    <cellStyle name="PSDec 4 2" xfId="867" xr:uid="{00000000-0005-0000-0000-000063030000}"/>
    <cellStyle name="PSDec 5" xfId="868" xr:uid="{00000000-0005-0000-0000-000064030000}"/>
    <cellStyle name="PSDec 5 2" xfId="869" xr:uid="{00000000-0005-0000-0000-000065030000}"/>
    <cellStyle name="PSDec 5 3" xfId="870" xr:uid="{00000000-0005-0000-0000-000066030000}"/>
    <cellStyle name="PSDec 5 3 2" xfId="871" xr:uid="{00000000-0005-0000-0000-000067030000}"/>
    <cellStyle name="PSDec 6" xfId="872" xr:uid="{00000000-0005-0000-0000-000068030000}"/>
    <cellStyle name="PSDec 6 2" xfId="873" xr:uid="{00000000-0005-0000-0000-000069030000}"/>
    <cellStyle name="PSDec 7" xfId="874" xr:uid="{00000000-0005-0000-0000-00006A030000}"/>
    <cellStyle name="PSDec 8" xfId="875" xr:uid="{00000000-0005-0000-0000-00006B030000}"/>
    <cellStyle name="PSDec 8 2" xfId="876" xr:uid="{00000000-0005-0000-0000-00006C030000}"/>
    <cellStyle name="PSDec 9" xfId="877" xr:uid="{00000000-0005-0000-0000-00006D030000}"/>
    <cellStyle name="PSDec 9 2" xfId="878" xr:uid="{00000000-0005-0000-0000-00006E030000}"/>
    <cellStyle name="PSHeading" xfId="879" xr:uid="{00000000-0005-0000-0000-00006F030000}"/>
    <cellStyle name="PSHeading 2" xfId="880" xr:uid="{00000000-0005-0000-0000-000070030000}"/>
    <cellStyle name="PSHeading 2 2" xfId="881" xr:uid="{00000000-0005-0000-0000-000071030000}"/>
    <cellStyle name="PSHeading 2 2 2" xfId="882" xr:uid="{00000000-0005-0000-0000-000072030000}"/>
    <cellStyle name="PSHeading 2 2 3" xfId="883" xr:uid="{00000000-0005-0000-0000-000073030000}"/>
    <cellStyle name="PSHeading 2 2 3 2" xfId="884" xr:uid="{00000000-0005-0000-0000-000074030000}"/>
    <cellStyle name="PSHeading 3" xfId="885" xr:uid="{00000000-0005-0000-0000-000075030000}"/>
    <cellStyle name="PSHeading 3 2" xfId="886" xr:uid="{00000000-0005-0000-0000-000076030000}"/>
    <cellStyle name="PSHeading 3 3" xfId="887" xr:uid="{00000000-0005-0000-0000-000077030000}"/>
    <cellStyle name="PSHeading 3 3 2" xfId="888" xr:uid="{00000000-0005-0000-0000-000078030000}"/>
    <cellStyle name="PSHeading 4" xfId="889" xr:uid="{00000000-0005-0000-0000-000079030000}"/>
    <cellStyle name="PSHeading 4 2" xfId="890" xr:uid="{00000000-0005-0000-0000-00007A030000}"/>
    <cellStyle name="PSHeading 5" xfId="891" xr:uid="{00000000-0005-0000-0000-00007B030000}"/>
    <cellStyle name="PSHeading 5 2" xfId="892" xr:uid="{00000000-0005-0000-0000-00007C030000}"/>
    <cellStyle name="PSHeading 6" xfId="893" xr:uid="{00000000-0005-0000-0000-00007D030000}"/>
    <cellStyle name="PSHeading 6 2" xfId="894" xr:uid="{00000000-0005-0000-0000-00007E030000}"/>
    <cellStyle name="PSHeading 6 2 2" xfId="895" xr:uid="{00000000-0005-0000-0000-00007F030000}"/>
    <cellStyle name="PSHeading 6 3" xfId="896" xr:uid="{00000000-0005-0000-0000-000080030000}"/>
    <cellStyle name="PSHeading 7" xfId="897" xr:uid="{00000000-0005-0000-0000-000081030000}"/>
    <cellStyle name="PSInt" xfId="898" xr:uid="{00000000-0005-0000-0000-000082030000}"/>
    <cellStyle name="PSInt 10" xfId="899" xr:uid="{00000000-0005-0000-0000-000083030000}"/>
    <cellStyle name="PSInt 10 2" xfId="900" xr:uid="{00000000-0005-0000-0000-000084030000}"/>
    <cellStyle name="PSInt 10 2 2" xfId="901" xr:uid="{00000000-0005-0000-0000-000085030000}"/>
    <cellStyle name="PSInt 10 3" xfId="902" xr:uid="{00000000-0005-0000-0000-000086030000}"/>
    <cellStyle name="PSInt 11" xfId="903" xr:uid="{00000000-0005-0000-0000-000087030000}"/>
    <cellStyle name="PSInt 2" xfId="904" xr:uid="{00000000-0005-0000-0000-000088030000}"/>
    <cellStyle name="PSInt 2 2" xfId="905" xr:uid="{00000000-0005-0000-0000-000089030000}"/>
    <cellStyle name="PSInt 2 2 2" xfId="906" xr:uid="{00000000-0005-0000-0000-00008A030000}"/>
    <cellStyle name="PSInt 3" xfId="907" xr:uid="{00000000-0005-0000-0000-00008B030000}"/>
    <cellStyle name="PSInt 3 2" xfId="908" xr:uid="{00000000-0005-0000-0000-00008C030000}"/>
    <cellStyle name="PSInt 4" xfId="909" xr:uid="{00000000-0005-0000-0000-00008D030000}"/>
    <cellStyle name="PSInt 4 2" xfId="910" xr:uid="{00000000-0005-0000-0000-00008E030000}"/>
    <cellStyle name="PSInt 5" xfId="911" xr:uid="{00000000-0005-0000-0000-00008F030000}"/>
    <cellStyle name="PSInt 5 2" xfId="912" xr:uid="{00000000-0005-0000-0000-000090030000}"/>
    <cellStyle name="PSInt 5 3" xfId="913" xr:uid="{00000000-0005-0000-0000-000091030000}"/>
    <cellStyle name="PSInt 5 3 2" xfId="914" xr:uid="{00000000-0005-0000-0000-000092030000}"/>
    <cellStyle name="PSInt 6" xfId="915" xr:uid="{00000000-0005-0000-0000-000093030000}"/>
    <cellStyle name="PSInt 6 2" xfId="916" xr:uid="{00000000-0005-0000-0000-000094030000}"/>
    <cellStyle name="PSInt 7" xfId="917" xr:uid="{00000000-0005-0000-0000-000095030000}"/>
    <cellStyle name="PSInt 8" xfId="918" xr:uid="{00000000-0005-0000-0000-000096030000}"/>
    <cellStyle name="PSInt 8 2" xfId="919" xr:uid="{00000000-0005-0000-0000-000097030000}"/>
    <cellStyle name="PSInt 9" xfId="920" xr:uid="{00000000-0005-0000-0000-000098030000}"/>
    <cellStyle name="PSInt 9 2" xfId="921" xr:uid="{00000000-0005-0000-0000-000099030000}"/>
    <cellStyle name="PSSpacer" xfId="922" xr:uid="{00000000-0005-0000-0000-00009A030000}"/>
    <cellStyle name="PSSpacer 10" xfId="923" xr:uid="{00000000-0005-0000-0000-00009B030000}"/>
    <cellStyle name="PSSpacer 2" xfId="924" xr:uid="{00000000-0005-0000-0000-00009C030000}"/>
    <cellStyle name="PSSpacer 2 2" xfId="925" xr:uid="{00000000-0005-0000-0000-00009D030000}"/>
    <cellStyle name="PSSpacer 3" xfId="926" xr:uid="{00000000-0005-0000-0000-00009E030000}"/>
    <cellStyle name="PSSpacer 3 2" xfId="927" xr:uid="{00000000-0005-0000-0000-00009F030000}"/>
    <cellStyle name="PSSpacer 4" xfId="928" xr:uid="{00000000-0005-0000-0000-0000A0030000}"/>
    <cellStyle name="PSSpacer 4 2" xfId="929" xr:uid="{00000000-0005-0000-0000-0000A1030000}"/>
    <cellStyle name="PSSpacer 5" xfId="930" xr:uid="{00000000-0005-0000-0000-0000A2030000}"/>
    <cellStyle name="PSSpacer 5 2" xfId="931" xr:uid="{00000000-0005-0000-0000-0000A3030000}"/>
    <cellStyle name="PSSpacer 5 3" xfId="932" xr:uid="{00000000-0005-0000-0000-0000A4030000}"/>
    <cellStyle name="PSSpacer 5 3 2" xfId="933" xr:uid="{00000000-0005-0000-0000-0000A5030000}"/>
    <cellStyle name="PSSpacer 6" xfId="934" xr:uid="{00000000-0005-0000-0000-0000A6030000}"/>
    <cellStyle name="PSSpacer 6 2" xfId="935" xr:uid="{00000000-0005-0000-0000-0000A7030000}"/>
    <cellStyle name="PSSpacer 7" xfId="936" xr:uid="{00000000-0005-0000-0000-0000A8030000}"/>
    <cellStyle name="PSSpacer 8" xfId="937" xr:uid="{00000000-0005-0000-0000-0000A9030000}"/>
    <cellStyle name="PSSpacer 8 2" xfId="938" xr:uid="{00000000-0005-0000-0000-0000AA030000}"/>
    <cellStyle name="PSSpacer 9" xfId="939" xr:uid="{00000000-0005-0000-0000-0000AB030000}"/>
    <cellStyle name="PSSpacer 9 2" xfId="940" xr:uid="{00000000-0005-0000-0000-0000AC030000}"/>
    <cellStyle name="PSSpacer 9 2 2" xfId="941" xr:uid="{00000000-0005-0000-0000-0000AD030000}"/>
    <cellStyle name="PSSpacer 9 3" xfId="942" xr:uid="{00000000-0005-0000-0000-0000AE030000}"/>
    <cellStyle name="Title 2" xfId="943" xr:uid="{00000000-0005-0000-0000-0000AF030000}"/>
    <cellStyle name="Total 2" xfId="944" xr:uid="{00000000-0005-0000-0000-0000B0030000}"/>
    <cellStyle name="Warning Text 2" xfId="945" xr:uid="{00000000-0005-0000-0000-0000B1030000}"/>
  </cellStyles>
  <dxfs count="0"/>
  <tableStyles count="0" defaultTableStyle="TableStyleMedium2" defaultPivotStyle="PivotStyleLight16"/>
  <colors>
    <mruColors>
      <color rgb="FFFFCCFF"/>
      <color rgb="FFFFFFCC"/>
      <color rgb="FFB8E3FE"/>
      <color rgb="FFF8A2CF"/>
      <color rgb="FFCCCCFF"/>
      <color rgb="FFCCFFCC"/>
      <color rgb="FFFF99CC"/>
      <color rgb="FFFFFFFF"/>
      <color rgb="FF00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15</xdr:col>
      <xdr:colOff>247650</xdr:colOff>
      <xdr:row>34</xdr:row>
      <xdr:rowOff>142875</xdr:rowOff>
    </xdr:to>
    <xdr:pic>
      <xdr:nvPicPr>
        <xdr:cNvPr id="214040" name="Picture 2">
          <a:extLst>
            <a:ext uri="{FF2B5EF4-FFF2-40B4-BE49-F238E27FC236}">
              <a16:creationId xmlns:a16="http://schemas.microsoft.com/office/drawing/2014/main" id="{9BF385B8-6DC8-A53C-80DB-651828973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9391650" cy="544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FD23-9D8B-421F-B341-0112FBAB256B}">
  <sheetPr>
    <tabColor rgb="FF92D050"/>
  </sheetPr>
  <dimension ref="A1:Q43"/>
  <sheetViews>
    <sheetView showGridLines="0" tabSelected="1" zoomScale="60" zoomScaleNormal="60" workbookViewId="0">
      <selection activeCell="C60" sqref="C60"/>
    </sheetView>
  </sheetViews>
  <sheetFormatPr defaultColWidth="9.1796875" defaultRowHeight="14"/>
  <cols>
    <col min="1" max="1" width="2.54296875" style="31" customWidth="1"/>
    <col min="2" max="2" width="30.54296875" style="31" customWidth="1"/>
    <col min="3" max="3" width="23.26953125" style="31" customWidth="1"/>
    <col min="4" max="4" width="19.453125" style="31" bestFit="1" customWidth="1"/>
    <col min="5" max="5" width="17.1796875" style="31" bestFit="1" customWidth="1"/>
    <col min="6" max="6" width="16.81640625" style="31" customWidth="1"/>
    <col min="7" max="7" width="21.81640625" style="31" customWidth="1"/>
    <col min="8" max="8" width="20.453125" style="31" bestFit="1" customWidth="1"/>
    <col min="9" max="9" width="18" style="31" bestFit="1" customWidth="1"/>
    <col min="10" max="10" width="2.26953125" style="31" bestFit="1" customWidth="1"/>
    <col min="11" max="11" width="15.26953125" style="31" customWidth="1"/>
    <col min="12" max="12" width="2.54296875" style="31" bestFit="1" customWidth="1"/>
    <col min="13" max="13" width="22.81640625" style="31" bestFit="1" customWidth="1"/>
    <col min="14" max="14" width="18.26953125" style="31" customWidth="1"/>
    <col min="15" max="15" width="18.7265625" style="31" bestFit="1" customWidth="1"/>
    <col min="16" max="16" width="12.54296875" style="31" bestFit="1" customWidth="1"/>
    <col min="17" max="17" width="15.81640625" style="31" bestFit="1" customWidth="1"/>
    <col min="18" max="16384" width="9.1796875" style="31"/>
  </cols>
  <sheetData>
    <row r="1" spans="2:17" ht="17.5">
      <c r="B1" s="126" t="s">
        <v>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2:17" ht="17.5">
      <c r="B2" s="126" t="s">
        <v>71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2:17" ht="20.5" customHeight="1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32"/>
    </row>
    <row r="4" spans="2:17" ht="15.65" customHeight="1">
      <c r="N4" s="33" t="s">
        <v>70</v>
      </c>
    </row>
    <row r="5" spans="2:17" s="34" customFormat="1" ht="15.5"/>
    <row r="6" spans="2:17" s="34" customFormat="1" ht="16" thickBot="1"/>
    <row r="7" spans="2:17" s="35" customFormat="1" ht="18">
      <c r="E7" s="36"/>
      <c r="F7" s="37"/>
      <c r="G7" s="38" t="s">
        <v>33</v>
      </c>
      <c r="H7" s="38" t="s">
        <v>34</v>
      </c>
      <c r="I7" s="38" t="s">
        <v>35</v>
      </c>
      <c r="J7" s="39"/>
    </row>
    <row r="8" spans="2:17" s="35" customFormat="1" ht="18">
      <c r="E8" s="40" t="s">
        <v>36</v>
      </c>
      <c r="G8" s="41"/>
      <c r="H8" s="41"/>
      <c r="I8" s="41"/>
      <c r="J8" s="42"/>
    </row>
    <row r="9" spans="2:17" s="35" customFormat="1" ht="19" thickBot="1">
      <c r="E9" s="43" t="s">
        <v>69</v>
      </c>
      <c r="F9" s="44"/>
      <c r="G9" s="45">
        <v>1079118.5174094164</v>
      </c>
      <c r="H9" s="45">
        <v>0</v>
      </c>
      <c r="I9" s="45">
        <f>G9+H9</f>
        <v>1079118.5174094164</v>
      </c>
      <c r="J9" s="46"/>
      <c r="K9" s="47"/>
    </row>
    <row r="10" spans="2:17" s="35" customFormat="1" ht="18">
      <c r="F10" s="48"/>
      <c r="G10" s="48"/>
      <c r="H10" s="48"/>
    </row>
    <row r="11" spans="2:17" s="35" customFormat="1" ht="18"/>
    <row r="12" spans="2:17" s="35" customFormat="1" ht="18"/>
    <row r="13" spans="2:17" s="35" customFormat="1" ht="18">
      <c r="B13" s="49"/>
      <c r="E13" s="49"/>
      <c r="F13" s="49" t="s">
        <v>37</v>
      </c>
      <c r="G13" s="49" t="s">
        <v>38</v>
      </c>
      <c r="H13" s="49" t="s">
        <v>38</v>
      </c>
      <c r="K13" s="49"/>
      <c r="L13" s="49"/>
    </row>
    <row r="14" spans="2:17" s="35" customFormat="1" ht="18">
      <c r="B14" s="49"/>
      <c r="C14" s="49"/>
      <c r="D14" s="49"/>
      <c r="E14" s="49" t="s">
        <v>39</v>
      </c>
      <c r="F14" s="49" t="s">
        <v>33</v>
      </c>
      <c r="G14" s="49" t="s">
        <v>33</v>
      </c>
      <c r="H14" s="49" t="s">
        <v>34</v>
      </c>
      <c r="K14" s="49"/>
      <c r="L14" s="49"/>
      <c r="Q14" s="49" t="s">
        <v>166</v>
      </c>
    </row>
    <row r="15" spans="2:17" s="35" customFormat="1" ht="18">
      <c r="B15" s="49"/>
      <c r="C15" s="49" t="s">
        <v>40</v>
      </c>
      <c r="D15" s="49" t="s">
        <v>40</v>
      </c>
      <c r="E15" s="49" t="s">
        <v>41</v>
      </c>
      <c r="F15" s="49" t="s">
        <v>42</v>
      </c>
      <c r="G15" s="49" t="s">
        <v>43</v>
      </c>
      <c r="H15" s="49" t="s">
        <v>43</v>
      </c>
      <c r="I15" s="49" t="s">
        <v>44</v>
      </c>
      <c r="J15" s="49"/>
      <c r="K15" s="49" t="s">
        <v>45</v>
      </c>
      <c r="L15" s="49"/>
      <c r="M15" s="49" t="s">
        <v>46</v>
      </c>
      <c r="O15" s="49" t="s">
        <v>164</v>
      </c>
      <c r="Q15" s="35" t="s">
        <v>163</v>
      </c>
    </row>
    <row r="16" spans="2:17" s="35" customFormat="1" ht="18">
      <c r="B16" s="41" t="s">
        <v>47</v>
      </c>
      <c r="C16" s="41" t="s">
        <v>167</v>
      </c>
      <c r="D16" s="41" t="s">
        <v>168</v>
      </c>
      <c r="E16" s="41" t="s">
        <v>48</v>
      </c>
      <c r="F16" s="41" t="s">
        <v>49</v>
      </c>
      <c r="G16" s="41" t="s">
        <v>50</v>
      </c>
      <c r="H16" s="41" t="s">
        <v>50</v>
      </c>
      <c r="I16" s="41" t="s">
        <v>51</v>
      </c>
      <c r="J16" s="41"/>
      <c r="K16" s="41" t="s">
        <v>51</v>
      </c>
      <c r="L16" s="41"/>
      <c r="M16" s="41" t="s">
        <v>52</v>
      </c>
      <c r="N16" s="41" t="s">
        <v>53</v>
      </c>
      <c r="O16" s="41" t="s">
        <v>165</v>
      </c>
      <c r="P16" s="41" t="s">
        <v>160</v>
      </c>
      <c r="Q16" s="41">
        <v>2026</v>
      </c>
    </row>
    <row r="17" spans="2:17" s="35" customFormat="1" ht="18">
      <c r="B17" s="50">
        <v>-1</v>
      </c>
      <c r="C17" s="50">
        <v>-2</v>
      </c>
      <c r="D17" s="50">
        <v>-3</v>
      </c>
      <c r="E17" s="51">
        <v>-4</v>
      </c>
      <c r="F17" s="51" t="s">
        <v>54</v>
      </c>
      <c r="G17" s="50">
        <v>-6</v>
      </c>
      <c r="H17" s="50">
        <v>-7</v>
      </c>
      <c r="I17" s="51" t="s">
        <v>55</v>
      </c>
      <c r="J17" s="51"/>
      <c r="K17" s="51" t="s">
        <v>56</v>
      </c>
      <c r="L17" s="50"/>
      <c r="M17" s="50">
        <v>-10</v>
      </c>
      <c r="N17" s="51" t="s">
        <v>57</v>
      </c>
      <c r="O17" s="50">
        <v>-12</v>
      </c>
      <c r="P17" s="51" t="s">
        <v>161</v>
      </c>
    </row>
    <row r="18" spans="2:17" s="35" customFormat="1" ht="18">
      <c r="C18" s="50"/>
      <c r="D18" s="50"/>
      <c r="E18" s="51"/>
      <c r="G18" s="50" t="s">
        <v>58</v>
      </c>
      <c r="H18" s="50" t="s">
        <v>59</v>
      </c>
      <c r="K18" s="50"/>
      <c r="L18" s="50"/>
      <c r="N18" s="51" t="s">
        <v>60</v>
      </c>
      <c r="P18" s="51" t="s">
        <v>162</v>
      </c>
    </row>
    <row r="19" spans="2:17" s="35" customFormat="1" ht="18" customHeight="1"/>
    <row r="20" spans="2:17" s="35" customFormat="1" ht="22.5" customHeight="1">
      <c r="B20" s="35" t="s">
        <v>61</v>
      </c>
      <c r="C20" s="123">
        <v>1889849938.5032814</v>
      </c>
      <c r="D20" s="123"/>
      <c r="E20" s="124">
        <v>2.2273507647450086E-4</v>
      </c>
      <c r="F20" s="52">
        <f>ROUND(C20*E20,0)</f>
        <v>420936</v>
      </c>
      <c r="G20" s="53">
        <f>ROUND(G$9*(F20/F$29),0)</f>
        <v>521033</v>
      </c>
      <c r="H20" s="53">
        <f>ROUND(H$9*(C20/C$29),0)</f>
        <v>0</v>
      </c>
      <c r="I20" s="54">
        <f>ROUND(IF(D20&gt;0,G20/D20,0),2)</f>
        <v>0</v>
      </c>
      <c r="J20" s="52"/>
      <c r="K20" s="55">
        <f>ROUND(IF(D20&gt;0,H20/C20,(G20+H20)/C20),5)-0.00001</f>
        <v>2.6999999999999995E-4</v>
      </c>
      <c r="L20" s="125">
        <v>3</v>
      </c>
      <c r="M20" s="53">
        <f>(C20*K20)+(D20*I20)</f>
        <v>510259.48339588585</v>
      </c>
      <c r="N20" s="57">
        <f>M20-H20-G20</f>
        <v>-10773.516604114149</v>
      </c>
      <c r="O20" s="120">
        <f>'12mos BA'!C16</f>
        <v>310878376.53999996</v>
      </c>
      <c r="P20" s="121">
        <f>M20/O20</f>
        <v>1.6413476198471849E-3</v>
      </c>
      <c r="Q20" s="58">
        <f>K20*'12mos BA'!H16</f>
        <v>0.32561999999999997</v>
      </c>
    </row>
    <row r="21" spans="2:17" s="35" customFormat="1" ht="19.899999999999999" customHeight="1">
      <c r="B21" s="35" t="s">
        <v>62</v>
      </c>
      <c r="C21" s="123">
        <v>616305296.54697454</v>
      </c>
      <c r="D21" s="123"/>
      <c r="E21" s="124">
        <v>1.7460551523618281E-4</v>
      </c>
      <c r="F21" s="52">
        <f>ROUND(C21*E21,0)</f>
        <v>107610</v>
      </c>
      <c r="G21" s="59">
        <f t="shared" ref="G21:G27" si="0">ROUND(G$9*(F21/F$29),0)</f>
        <v>133199</v>
      </c>
      <c r="H21" s="59">
        <f t="shared" ref="H21:H27" si="1">ROUND(H$9*(C21/C$29),0)</f>
        <v>0</v>
      </c>
      <c r="I21" s="54">
        <f t="shared" ref="I21:I27" si="2">ROUND(IF(D21&gt;0,G21/D21,0),2)</f>
        <v>0</v>
      </c>
      <c r="J21" s="52"/>
      <c r="K21" s="55">
        <f>ROUND(IF(D21&gt;0,H21/C21,(G21+H21)/C21),5)</f>
        <v>2.2000000000000001E-4</v>
      </c>
      <c r="L21" s="60"/>
      <c r="M21" s="59">
        <f>(C21*K21)+(D21*I21)</f>
        <v>135587.16524033441</v>
      </c>
      <c r="N21" s="57">
        <f>M21-H21-G21</f>
        <v>2388.1652403344051</v>
      </c>
      <c r="O21" s="120">
        <f>'12mos BA'!C59</f>
        <v>108695473.52000001</v>
      </c>
      <c r="P21" s="121">
        <f t="shared" ref="P21:P29" si="3">M21/O21</f>
        <v>1.2474039704642008E-3</v>
      </c>
    </row>
    <row r="22" spans="2:17" s="35" customFormat="1" ht="19.899999999999999" customHeight="1">
      <c r="B22" s="35" t="s">
        <v>63</v>
      </c>
      <c r="C22" s="123">
        <v>469816215.38408518</v>
      </c>
      <c r="D22" s="123">
        <v>1443014.3246290712</v>
      </c>
      <c r="E22" s="124">
        <v>1.515718152561873E-4</v>
      </c>
      <c r="F22" s="52">
        <f>ROUND(C22*E22,0)</f>
        <v>71211</v>
      </c>
      <c r="G22" s="59">
        <f t="shared" si="0"/>
        <v>88145</v>
      </c>
      <c r="H22" s="59">
        <f t="shared" si="1"/>
        <v>0</v>
      </c>
      <c r="I22" s="54">
        <f>ROUND(IF(D22&gt;0,G22/D22,0),2)</f>
        <v>0.06</v>
      </c>
      <c r="J22" s="52"/>
      <c r="K22" s="55">
        <f>ROUND(IF(D22&gt;0,H22/C22,(G22+H22)/C22),5)</f>
        <v>0</v>
      </c>
      <c r="L22" s="56"/>
      <c r="M22" s="59">
        <f t="shared" ref="M22:M27" si="4">(C22*K22)+(D22*I22)</f>
        <v>86580.859477744263</v>
      </c>
      <c r="N22" s="57">
        <f>M22-H22-G22</f>
        <v>-1564.1405222557369</v>
      </c>
      <c r="O22" s="120">
        <f>'12mos BA'!C71-'12mos BA'!C66</f>
        <v>71055286.290000007</v>
      </c>
      <c r="P22" s="121">
        <f t="shared" si="3"/>
        <v>1.2184999033622817E-3</v>
      </c>
    </row>
    <row r="23" spans="2:17" s="35" customFormat="1" ht="18">
      <c r="B23" s="35" t="s">
        <v>64</v>
      </c>
      <c r="C23" s="123">
        <v>878955.24659644801</v>
      </c>
      <c r="D23" s="123"/>
      <c r="E23" s="124">
        <f>E22</f>
        <v>1.515718152561873E-4</v>
      </c>
      <c r="F23" s="52">
        <f t="shared" ref="F23:F27" si="5">ROUND(C23*E23,0)</f>
        <v>133</v>
      </c>
      <c r="G23" s="59">
        <f t="shared" si="0"/>
        <v>165</v>
      </c>
      <c r="H23" s="59">
        <f t="shared" si="1"/>
        <v>0</v>
      </c>
      <c r="I23" s="54">
        <f t="shared" si="2"/>
        <v>0</v>
      </c>
      <c r="J23" s="52"/>
      <c r="K23" s="55">
        <f t="shared" ref="K23:K27" si="6">ROUND(IF(D23&gt;0,H23/C23,(G23+H23)/C23),5)</f>
        <v>1.9000000000000001E-4</v>
      </c>
      <c r="L23" s="60"/>
      <c r="M23" s="59">
        <f t="shared" si="4"/>
        <v>167.00149685332514</v>
      </c>
      <c r="N23" s="57">
        <f t="shared" ref="N23:N27" si="7">M23-H23-G23</f>
        <v>2.0014968533251363</v>
      </c>
      <c r="O23" s="120">
        <f>'12mos BA'!C66</f>
        <v>142216.72</v>
      </c>
      <c r="P23" s="121">
        <f t="shared" si="3"/>
        <v>1.1742747045025727E-3</v>
      </c>
    </row>
    <row r="24" spans="2:17" s="35" customFormat="1" ht="20">
      <c r="B24" s="35" t="s">
        <v>65</v>
      </c>
      <c r="C24" s="123">
        <v>2293390283.1014886</v>
      </c>
      <c r="D24" s="123">
        <v>3851548.8758610585</v>
      </c>
      <c r="E24" s="124">
        <v>1.1786538035569553E-4</v>
      </c>
      <c r="F24" s="52">
        <f t="shared" si="5"/>
        <v>270311</v>
      </c>
      <c r="G24" s="59">
        <f>ROUND(G$9*(F24/F$29),0)</f>
        <v>334590</v>
      </c>
      <c r="H24" s="59">
        <f t="shared" si="1"/>
        <v>0</v>
      </c>
      <c r="I24" s="54">
        <f>ROUND(IF(D24&gt;0,G24/D24,0),2)-0.0006</f>
        <v>8.9399999999999993E-2</v>
      </c>
      <c r="J24" s="125">
        <v>3</v>
      </c>
      <c r="K24" s="55">
        <f>ROUND(IF(D24&gt;0,H24/C24,(G24+H24)/C24),5)</f>
        <v>0</v>
      </c>
      <c r="L24" s="56"/>
      <c r="M24" s="59">
        <f t="shared" si="4"/>
        <v>344328.4695019786</v>
      </c>
      <c r="N24" s="57">
        <f>M24-H24-G24</f>
        <v>9738.4695019786013</v>
      </c>
      <c r="O24" s="120">
        <f>'12mos BA'!C83</f>
        <v>188289639.19999999</v>
      </c>
      <c r="P24" s="121">
        <f t="shared" si="3"/>
        <v>1.8287170285362076E-3</v>
      </c>
    </row>
    <row r="25" spans="2:17" s="35" customFormat="1" ht="18">
      <c r="B25" s="35" t="s">
        <v>66</v>
      </c>
      <c r="C25" s="123">
        <v>1831693.9999999998</v>
      </c>
      <c r="D25" s="123"/>
      <c r="E25" s="124">
        <v>1.1468406256110247E-4</v>
      </c>
      <c r="F25" s="52">
        <f t="shared" si="5"/>
        <v>210</v>
      </c>
      <c r="G25" s="59">
        <f t="shared" si="0"/>
        <v>260</v>
      </c>
      <c r="H25" s="59">
        <f t="shared" si="1"/>
        <v>0</v>
      </c>
      <c r="I25" s="54">
        <f t="shared" si="2"/>
        <v>0</v>
      </c>
      <c r="J25" s="52"/>
      <c r="K25" s="55">
        <f t="shared" si="6"/>
        <v>1.3999999999999999E-4</v>
      </c>
      <c r="L25" s="60"/>
      <c r="M25" s="59">
        <f t="shared" si="4"/>
        <v>256.43715999999995</v>
      </c>
      <c r="N25" s="57">
        <f t="shared" si="7"/>
        <v>-3.5628400000000511</v>
      </c>
      <c r="O25" s="120">
        <f>'12mos BA'!C87</f>
        <v>250812.97</v>
      </c>
      <c r="P25" s="121">
        <f t="shared" si="3"/>
        <v>1.0224238403620035E-3</v>
      </c>
    </row>
    <row r="26" spans="2:17" s="35" customFormat="1" ht="18">
      <c r="B26" s="35" t="s">
        <v>67</v>
      </c>
      <c r="C26" s="123">
        <v>30809971.363413889</v>
      </c>
      <c r="D26" s="123"/>
      <c r="E26" s="124">
        <v>3.6138531509521358E-5</v>
      </c>
      <c r="F26" s="52">
        <f t="shared" si="5"/>
        <v>1113</v>
      </c>
      <c r="G26" s="59">
        <f t="shared" si="0"/>
        <v>1378</v>
      </c>
      <c r="H26" s="59">
        <f t="shared" si="1"/>
        <v>0</v>
      </c>
      <c r="I26" s="54">
        <f t="shared" si="2"/>
        <v>0</v>
      </c>
      <c r="J26" s="52"/>
      <c r="K26" s="55">
        <f t="shared" si="6"/>
        <v>4.0000000000000003E-5</v>
      </c>
      <c r="L26" s="60"/>
      <c r="M26" s="59">
        <f t="shared" si="4"/>
        <v>1232.3988545365557</v>
      </c>
      <c r="N26" s="57">
        <f t="shared" si="7"/>
        <v>-145.60114546344425</v>
      </c>
      <c r="O26" s="120">
        <f>'12mos BA'!C43</f>
        <v>9617965.8599999975</v>
      </c>
      <c r="P26" s="121">
        <f t="shared" si="3"/>
        <v>1.281350830805045E-4</v>
      </c>
    </row>
    <row r="27" spans="2:17" s="35" customFormat="1" ht="18">
      <c r="B27" s="35" t="s">
        <v>68</v>
      </c>
      <c r="C27" s="123">
        <v>7836986</v>
      </c>
      <c r="D27" s="123"/>
      <c r="E27" s="124">
        <v>3.5948185418088756E-5</v>
      </c>
      <c r="F27" s="52">
        <f t="shared" si="5"/>
        <v>282</v>
      </c>
      <c r="G27" s="59">
        <f t="shared" si="0"/>
        <v>349</v>
      </c>
      <c r="H27" s="59">
        <f t="shared" si="1"/>
        <v>0</v>
      </c>
      <c r="I27" s="54">
        <f t="shared" si="2"/>
        <v>0</v>
      </c>
      <c r="J27" s="52"/>
      <c r="K27" s="55">
        <f t="shared" si="6"/>
        <v>4.0000000000000003E-5</v>
      </c>
      <c r="L27" s="60"/>
      <c r="M27" s="59">
        <f t="shared" si="4"/>
        <v>313.47944000000001</v>
      </c>
      <c r="N27" s="57">
        <f t="shared" si="7"/>
        <v>-35.520559999999989</v>
      </c>
      <c r="O27" s="120">
        <f>'12mos BA'!C85</f>
        <v>1853212.09</v>
      </c>
      <c r="P27" s="121">
        <f t="shared" si="3"/>
        <v>1.6915464867272692E-4</v>
      </c>
    </row>
    <row r="28" spans="2:17" s="35" customFormat="1" ht="18">
      <c r="C28" s="52"/>
      <c r="D28" s="52"/>
      <c r="E28" s="61"/>
      <c r="F28" s="52"/>
      <c r="G28" s="52"/>
      <c r="H28" s="52"/>
      <c r="I28" s="52"/>
      <c r="J28" s="52"/>
      <c r="M28" s="52"/>
      <c r="N28" s="52"/>
    </row>
    <row r="29" spans="2:17" s="35" customFormat="1" ht="18">
      <c r="B29" s="62" t="s">
        <v>35</v>
      </c>
      <c r="C29" s="63">
        <f>SUM(C20:C27)</f>
        <v>5310719340.1458397</v>
      </c>
      <c r="D29" s="63">
        <f>SUM(D20:D27)</f>
        <v>5294563.2004901301</v>
      </c>
      <c r="E29" s="64"/>
      <c r="F29" s="63">
        <f>SUM(F20:F27)</f>
        <v>871806</v>
      </c>
      <c r="G29" s="65">
        <f>SUM(G20:G27)</f>
        <v>1079119</v>
      </c>
      <c r="H29" s="65">
        <f>SUM(H20:H27)</f>
        <v>0</v>
      </c>
      <c r="I29" s="65"/>
      <c r="J29" s="65"/>
      <c r="K29" s="62"/>
      <c r="L29" s="62"/>
      <c r="M29" s="65">
        <f>SUM(M20:M27)</f>
        <v>1078725.2945673328</v>
      </c>
      <c r="N29" s="65">
        <f>SUM(N20:N27)</f>
        <v>-393.70543266699889</v>
      </c>
      <c r="O29" s="65">
        <f>SUM(O20:O27)</f>
        <v>690782983.19000006</v>
      </c>
      <c r="P29" s="122">
        <f t="shared" si="3"/>
        <v>1.5615979559685089E-3</v>
      </c>
    </row>
    <row r="30" spans="2:17" s="34" customFormat="1" ht="15.5">
      <c r="C30" s="66"/>
      <c r="D30" s="66"/>
      <c r="M30" s="67"/>
      <c r="N30" s="67"/>
    </row>
    <row r="31" spans="2:17" s="34" customFormat="1" ht="15.5">
      <c r="M31" s="68"/>
    </row>
    <row r="32" spans="2:17" s="69" customFormat="1" ht="13">
      <c r="N32" s="70"/>
    </row>
    <row r="33" spans="1:13" s="69" customFormat="1" ht="15.5">
      <c r="A33" s="71"/>
      <c r="H33" s="72"/>
    </row>
    <row r="34" spans="1:13" s="69" customFormat="1" ht="15.5">
      <c r="A34" s="73"/>
      <c r="B34" s="69" t="s">
        <v>170</v>
      </c>
      <c r="M34" s="74"/>
    </row>
    <row r="35" spans="1:13" s="34" customFormat="1" ht="15.5">
      <c r="B35" s="69" t="s">
        <v>169</v>
      </c>
    </row>
    <row r="36" spans="1:13" s="34" customFormat="1" ht="15.5">
      <c r="B36" s="69" t="s">
        <v>171</v>
      </c>
    </row>
    <row r="37" spans="1:13" s="34" customFormat="1" ht="15.5"/>
    <row r="41" spans="1:13">
      <c r="C41" s="75"/>
      <c r="D41" s="75"/>
    </row>
    <row r="43" spans="1:13">
      <c r="C43" s="76"/>
    </row>
  </sheetData>
  <mergeCells count="3">
    <mergeCell ref="B1:N1"/>
    <mergeCell ref="B2:N2"/>
    <mergeCell ref="B3:N3"/>
  </mergeCells>
  <printOptions horizontalCentered="1"/>
  <pageMargins left="0.7" right="0.7" top="0.75" bottom="0.75" header="0.3" footer="0.3"/>
  <pageSetup orientation="landscape" r:id="rId1"/>
  <headerFooter>
    <oddHeader>&amp;RCase No. 2026-00001
KPSC 1-11 Attachment 1
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0">
    <pageSetUpPr autoPageBreaks="0"/>
  </sheetPr>
  <dimension ref="A1:A9"/>
  <sheetViews>
    <sheetView workbookViewId="0">
      <selection activeCell="C13" sqref="C13"/>
    </sheetView>
  </sheetViews>
  <sheetFormatPr defaultRowHeight="12.5"/>
  <sheetData>
    <row r="1" spans="1:1">
      <c r="A1" s="1" t="s">
        <v>24</v>
      </c>
    </row>
    <row r="3" spans="1:1">
      <c r="A3" s="1" t="s">
        <v>25</v>
      </c>
    </row>
    <row r="4" spans="1:1">
      <c r="A4" s="1" t="s">
        <v>26</v>
      </c>
    </row>
    <row r="5" spans="1:1">
      <c r="A5" s="1" t="s">
        <v>27</v>
      </c>
    </row>
    <row r="6" spans="1:1">
      <c r="A6" s="1" t="s">
        <v>28</v>
      </c>
    </row>
    <row r="7" spans="1:1">
      <c r="A7" s="1" t="s">
        <v>29</v>
      </c>
    </row>
    <row r="8" spans="1:1">
      <c r="A8" s="1" t="s">
        <v>30</v>
      </c>
    </row>
    <row r="9" spans="1:1">
      <c r="A9" s="1" t="s">
        <v>31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4949-1754-4A75-921D-49DC0C8BE9D1}">
  <sheetPr>
    <tabColor rgb="FF92D050"/>
  </sheetPr>
  <dimension ref="A1:Q43"/>
  <sheetViews>
    <sheetView showGridLines="0" topLeftCell="A14" zoomScale="60" zoomScaleNormal="60" workbookViewId="0">
      <selection activeCell="J24" sqref="J24"/>
    </sheetView>
  </sheetViews>
  <sheetFormatPr defaultColWidth="9.1796875" defaultRowHeight="14"/>
  <cols>
    <col min="1" max="1" width="2.54296875" style="31" customWidth="1"/>
    <col min="2" max="2" width="30.54296875" style="31" customWidth="1"/>
    <col min="3" max="3" width="23.26953125" style="31" customWidth="1"/>
    <col min="4" max="4" width="19.453125" style="31" bestFit="1" customWidth="1"/>
    <col min="5" max="5" width="17.1796875" style="31" bestFit="1" customWidth="1"/>
    <col min="6" max="6" width="16.81640625" style="31" customWidth="1"/>
    <col min="7" max="7" width="21.81640625" style="31" customWidth="1"/>
    <col min="8" max="8" width="20.453125" style="31" bestFit="1" customWidth="1"/>
    <col min="9" max="9" width="18" style="31" bestFit="1" customWidth="1"/>
    <col min="10" max="10" width="2.1796875" style="31" customWidth="1"/>
    <col min="11" max="11" width="15.26953125" style="31" customWidth="1"/>
    <col min="12" max="12" width="2.54296875" style="31" bestFit="1" customWidth="1"/>
    <col min="13" max="13" width="22.81640625" style="31" bestFit="1" customWidth="1"/>
    <col min="14" max="14" width="18.26953125" style="31" customWidth="1"/>
    <col min="15" max="15" width="18.7265625" style="31" bestFit="1" customWidth="1"/>
    <col min="16" max="16" width="12.54296875" style="31" bestFit="1" customWidth="1"/>
    <col min="17" max="17" width="15.81640625" style="31" bestFit="1" customWidth="1"/>
    <col min="18" max="16384" width="9.1796875" style="31"/>
  </cols>
  <sheetData>
    <row r="1" spans="2:17" ht="17.5">
      <c r="B1" s="126" t="s">
        <v>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2:17" ht="17.5">
      <c r="B2" s="126" t="s">
        <v>71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2:17" ht="20.5" customHeight="1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32"/>
    </row>
    <row r="4" spans="2:17" ht="15.65" customHeight="1">
      <c r="N4" s="33" t="s">
        <v>70</v>
      </c>
    </row>
    <row r="5" spans="2:17" s="34" customFormat="1" ht="15.5"/>
    <row r="6" spans="2:17" s="34" customFormat="1" ht="16" thickBot="1"/>
    <row r="7" spans="2:17" s="35" customFormat="1" ht="18">
      <c r="E7" s="36"/>
      <c r="F7" s="37"/>
      <c r="G7" s="38" t="s">
        <v>33</v>
      </c>
      <c r="H7" s="38" t="s">
        <v>34</v>
      </c>
      <c r="I7" s="38" t="s">
        <v>35</v>
      </c>
      <c r="J7" s="39"/>
    </row>
    <row r="8" spans="2:17" s="35" customFormat="1" ht="18">
      <c r="E8" s="40" t="s">
        <v>36</v>
      </c>
      <c r="G8" s="41"/>
      <c r="H8" s="41"/>
      <c r="I8" s="41"/>
      <c r="J8" s="42"/>
    </row>
    <row r="9" spans="2:17" s="35" customFormat="1" ht="19" thickBot="1">
      <c r="E9" s="43" t="s">
        <v>69</v>
      </c>
      <c r="F9" s="44"/>
      <c r="G9" s="45">
        <v>5366548.2444321718</v>
      </c>
      <c r="H9" s="45">
        <v>0</v>
      </c>
      <c r="I9" s="45">
        <f>G9+H9</f>
        <v>5366548.2444321718</v>
      </c>
      <c r="J9" s="46"/>
      <c r="K9" s="47"/>
    </row>
    <row r="10" spans="2:17" s="35" customFormat="1" ht="18">
      <c r="F10" s="48"/>
      <c r="G10" s="48"/>
      <c r="H10" s="48"/>
    </row>
    <row r="11" spans="2:17" s="35" customFormat="1" ht="18"/>
    <row r="12" spans="2:17" s="35" customFormat="1" ht="18"/>
    <row r="13" spans="2:17" s="35" customFormat="1" ht="18">
      <c r="B13" s="49"/>
      <c r="E13" s="49"/>
      <c r="F13" s="49" t="s">
        <v>37</v>
      </c>
      <c r="G13" s="49" t="s">
        <v>38</v>
      </c>
      <c r="H13" s="49" t="s">
        <v>38</v>
      </c>
      <c r="K13" s="49"/>
      <c r="L13" s="49"/>
    </row>
    <row r="14" spans="2:17" s="35" customFormat="1" ht="18">
      <c r="B14" s="49"/>
      <c r="C14" s="49"/>
      <c r="D14" s="49"/>
      <c r="E14" s="49" t="s">
        <v>39</v>
      </c>
      <c r="F14" s="49" t="s">
        <v>33</v>
      </c>
      <c r="G14" s="49" t="s">
        <v>33</v>
      </c>
      <c r="H14" s="49" t="s">
        <v>34</v>
      </c>
      <c r="K14" s="49"/>
      <c r="L14" s="49"/>
      <c r="Q14" s="49" t="s">
        <v>166</v>
      </c>
    </row>
    <row r="15" spans="2:17" s="35" customFormat="1" ht="18">
      <c r="B15" s="49"/>
      <c r="C15" s="49" t="s">
        <v>40</v>
      </c>
      <c r="D15" s="49" t="s">
        <v>40</v>
      </c>
      <c r="E15" s="49" t="s">
        <v>41</v>
      </c>
      <c r="F15" s="49" t="s">
        <v>42</v>
      </c>
      <c r="G15" s="49" t="s">
        <v>43</v>
      </c>
      <c r="H15" s="49" t="s">
        <v>43</v>
      </c>
      <c r="I15" s="49" t="s">
        <v>44</v>
      </c>
      <c r="J15" s="49"/>
      <c r="K15" s="49" t="s">
        <v>45</v>
      </c>
      <c r="L15" s="49"/>
      <c r="M15" s="49" t="s">
        <v>46</v>
      </c>
      <c r="O15" s="49" t="s">
        <v>164</v>
      </c>
      <c r="Q15" s="35" t="s">
        <v>163</v>
      </c>
    </row>
    <row r="16" spans="2:17" s="35" customFormat="1" ht="18">
      <c r="B16" s="41" t="s">
        <v>47</v>
      </c>
      <c r="C16" s="41" t="s">
        <v>167</v>
      </c>
      <c r="D16" s="41" t="s">
        <v>168</v>
      </c>
      <c r="E16" s="41" t="s">
        <v>48</v>
      </c>
      <c r="F16" s="41" t="s">
        <v>49</v>
      </c>
      <c r="G16" s="41" t="s">
        <v>50</v>
      </c>
      <c r="H16" s="41" t="s">
        <v>50</v>
      </c>
      <c r="I16" s="41" t="s">
        <v>51</v>
      </c>
      <c r="J16" s="41"/>
      <c r="K16" s="41" t="s">
        <v>51</v>
      </c>
      <c r="L16" s="41"/>
      <c r="M16" s="41" t="s">
        <v>52</v>
      </c>
      <c r="N16" s="41" t="s">
        <v>53</v>
      </c>
      <c r="O16" s="41" t="s">
        <v>165</v>
      </c>
      <c r="P16" s="41" t="s">
        <v>160</v>
      </c>
      <c r="Q16" s="41">
        <v>2027</v>
      </c>
    </row>
    <row r="17" spans="2:17" s="35" customFormat="1" ht="18">
      <c r="B17" s="50">
        <v>-1</v>
      </c>
      <c r="C17" s="50">
        <v>-2</v>
      </c>
      <c r="D17" s="50">
        <v>-3</v>
      </c>
      <c r="E17" s="51">
        <v>-4</v>
      </c>
      <c r="F17" s="51" t="s">
        <v>54</v>
      </c>
      <c r="G17" s="50">
        <v>-6</v>
      </c>
      <c r="H17" s="50">
        <v>-7</v>
      </c>
      <c r="I17" s="51" t="s">
        <v>55</v>
      </c>
      <c r="J17" s="51"/>
      <c r="K17" s="51" t="s">
        <v>56</v>
      </c>
      <c r="L17" s="50"/>
      <c r="M17" s="50">
        <v>-10</v>
      </c>
      <c r="N17" s="51" t="s">
        <v>57</v>
      </c>
      <c r="O17" s="50">
        <v>-12</v>
      </c>
      <c r="P17" s="51" t="s">
        <v>161</v>
      </c>
    </row>
    <row r="18" spans="2:17" s="35" customFormat="1" ht="18">
      <c r="C18" s="50"/>
      <c r="D18" s="50"/>
      <c r="E18" s="51"/>
      <c r="G18" s="50" t="s">
        <v>58</v>
      </c>
      <c r="H18" s="50" t="s">
        <v>59</v>
      </c>
      <c r="K18" s="50"/>
      <c r="L18" s="50"/>
      <c r="N18" s="51" t="s">
        <v>60</v>
      </c>
      <c r="P18" s="51" t="s">
        <v>162</v>
      </c>
    </row>
    <row r="19" spans="2:17" s="35" customFormat="1" ht="18" customHeight="1"/>
    <row r="20" spans="2:17" s="35" customFormat="1" ht="22.5" customHeight="1">
      <c r="B20" s="35" t="s">
        <v>61</v>
      </c>
      <c r="C20" s="123">
        <v>1889849938.5032814</v>
      </c>
      <c r="D20" s="123"/>
      <c r="E20" s="124">
        <v>2.2273507647450086E-4</v>
      </c>
      <c r="F20" s="52">
        <f>ROUND(C20*E20,0)</f>
        <v>420936</v>
      </c>
      <c r="G20" s="53">
        <f>ROUND(G$9*(F20/F$29),0)</f>
        <v>2591142</v>
      </c>
      <c r="H20" s="53">
        <f>ROUND(H$9*(C20/C$29),0)</f>
        <v>0</v>
      </c>
      <c r="I20" s="54">
        <f>ROUND(IF(D20&gt;0,G20/D20,0),2)</f>
        <v>0</v>
      </c>
      <c r="J20" s="52"/>
      <c r="K20" s="55">
        <f>ROUND(IF(D20&gt;0,H20/C20,(G20+H20)/C20),5)</f>
        <v>1.3699999999999999E-3</v>
      </c>
      <c r="L20" s="56"/>
      <c r="M20" s="53">
        <f>(C20*K20)+(D20*I20)</f>
        <v>2589094.4157494954</v>
      </c>
      <c r="N20" s="57">
        <f>M20-H20-G20</f>
        <v>-2047.5842505046166</v>
      </c>
      <c r="O20" s="120">
        <f>'12mos BA'!C16</f>
        <v>310878376.53999996</v>
      </c>
      <c r="P20" s="121">
        <f>M20/O20</f>
        <v>8.3283194044097911E-3</v>
      </c>
      <c r="Q20" s="58">
        <f>K20*'12mos BA'!H16</f>
        <v>1.6522199999999998</v>
      </c>
    </row>
    <row r="21" spans="2:17" s="35" customFormat="1" ht="19.899999999999999" customHeight="1">
      <c r="B21" s="35" t="s">
        <v>62</v>
      </c>
      <c r="C21" s="123">
        <v>616305296.54697454</v>
      </c>
      <c r="D21" s="123"/>
      <c r="E21" s="124">
        <v>1.7460551523618281E-4</v>
      </c>
      <c r="F21" s="52">
        <f>ROUND(C21*E21,0)</f>
        <v>107610</v>
      </c>
      <c r="G21" s="59">
        <f t="shared" ref="G21:G27" si="0">ROUND(G$9*(F21/F$29),0)</f>
        <v>662411</v>
      </c>
      <c r="H21" s="59">
        <f t="shared" ref="H21:H27" si="1">ROUND(H$9*(C21/C$29),0)</f>
        <v>0</v>
      </c>
      <c r="I21" s="54">
        <f t="shared" ref="I21:I27" si="2">ROUND(IF(D21&gt;0,G21/D21,0),2)</f>
        <v>0</v>
      </c>
      <c r="J21" s="52"/>
      <c r="K21" s="55">
        <f>ROUND(IF(D21&gt;0,H21/C21,(G21+H21)/C21),5)</f>
        <v>1.07E-3</v>
      </c>
      <c r="L21" s="60"/>
      <c r="M21" s="59">
        <f>(C21*K21)+(D21*I21)</f>
        <v>659446.66730526276</v>
      </c>
      <c r="N21" s="57">
        <f>M21-H21-G21</f>
        <v>-2964.3326947372407</v>
      </c>
      <c r="O21" s="120">
        <f>'12mos BA'!C59</f>
        <v>108695473.52000001</v>
      </c>
      <c r="P21" s="121">
        <f t="shared" ref="P21:P29" si="3">M21/O21</f>
        <v>6.066919310894067E-3</v>
      </c>
    </row>
    <row r="22" spans="2:17" s="35" customFormat="1" ht="19.899999999999999" customHeight="1">
      <c r="B22" s="35" t="s">
        <v>63</v>
      </c>
      <c r="C22" s="123">
        <v>469816215.38408518</v>
      </c>
      <c r="D22" s="123">
        <v>1443014.3246290712</v>
      </c>
      <c r="E22" s="124">
        <v>1.515718152561873E-4</v>
      </c>
      <c r="F22" s="52">
        <f>ROUND(C22*E22,0)</f>
        <v>71211</v>
      </c>
      <c r="G22" s="59">
        <f t="shared" si="0"/>
        <v>438351</v>
      </c>
      <c r="H22" s="59">
        <f t="shared" si="1"/>
        <v>0</v>
      </c>
      <c r="I22" s="54">
        <f>ROUND(IF(D22&gt;0,G22/D22,0),2)+0.004</f>
        <v>0.30399999999999999</v>
      </c>
      <c r="J22" s="125">
        <v>3</v>
      </c>
      <c r="K22" s="55">
        <f>ROUND(IF(D22&gt;0,H22/C22,(G22+H22)/C22),5)</f>
        <v>0</v>
      </c>
      <c r="L22" s="56"/>
      <c r="M22" s="59">
        <f t="shared" ref="M22:M27" si="4">(C22*K22)+(D22*I22)</f>
        <v>438676.35468723765</v>
      </c>
      <c r="N22" s="57">
        <f>M22-H22-G22</f>
        <v>325.35468723764643</v>
      </c>
      <c r="O22" s="120">
        <f>'12mos BA'!C71-'12mos BA'!C66</f>
        <v>71055286.290000007</v>
      </c>
      <c r="P22" s="121">
        <f t="shared" si="3"/>
        <v>6.1737328437022274E-3</v>
      </c>
    </row>
    <row r="23" spans="2:17" s="35" customFormat="1" ht="18">
      <c r="B23" s="35" t="s">
        <v>64</v>
      </c>
      <c r="C23" s="123">
        <v>878955.24659644801</v>
      </c>
      <c r="D23" s="123"/>
      <c r="E23" s="124">
        <f>E22</f>
        <v>1.515718152561873E-4</v>
      </c>
      <c r="F23" s="52">
        <f t="shared" ref="F23:F27" si="5">ROUND(C23*E23,0)</f>
        <v>133</v>
      </c>
      <c r="G23" s="59">
        <f t="shared" si="0"/>
        <v>819</v>
      </c>
      <c r="H23" s="59">
        <f t="shared" si="1"/>
        <v>0</v>
      </c>
      <c r="I23" s="54">
        <f t="shared" si="2"/>
        <v>0</v>
      </c>
      <c r="J23" s="52"/>
      <c r="K23" s="55">
        <f t="shared" ref="K23:K27" si="6">ROUND(IF(D23&gt;0,H23/C23,(G23+H23)/C23),5)</f>
        <v>9.3000000000000005E-4</v>
      </c>
      <c r="L23" s="60"/>
      <c r="M23" s="59">
        <f t="shared" si="4"/>
        <v>817.42837933469673</v>
      </c>
      <c r="N23" s="57">
        <f t="shared" ref="N23:N27" si="7">M23-H23-G23</f>
        <v>-1.5716206653032714</v>
      </c>
      <c r="O23" s="120">
        <f>'12mos BA'!C66</f>
        <v>142216.72</v>
      </c>
      <c r="P23" s="121">
        <f t="shared" si="3"/>
        <v>5.7477656588810142E-3</v>
      </c>
    </row>
    <row r="24" spans="2:17" s="35" customFormat="1" ht="20">
      <c r="B24" s="35" t="s">
        <v>65</v>
      </c>
      <c r="C24" s="123">
        <v>2293390283.1014886</v>
      </c>
      <c r="D24" s="123">
        <v>3851548.8758610585</v>
      </c>
      <c r="E24" s="124">
        <v>1.1786538035569553E-4</v>
      </c>
      <c r="F24" s="52">
        <f t="shared" si="5"/>
        <v>270311</v>
      </c>
      <c r="G24" s="59">
        <f>ROUND(G$9*(F24/F$29),0)</f>
        <v>1663945</v>
      </c>
      <c r="H24" s="59">
        <f t="shared" si="1"/>
        <v>0</v>
      </c>
      <c r="I24" s="54">
        <f>ROUND(IF(D24&gt;0,G24/D24,0),2)+0.003</f>
        <v>0.433</v>
      </c>
      <c r="J24" s="125">
        <v>3</v>
      </c>
      <c r="K24" s="55">
        <f>ROUND(IF(D24&gt;0,H24/C24,(G24+H24)/C24),5)</f>
        <v>0</v>
      </c>
      <c r="L24" s="56"/>
      <c r="M24" s="59">
        <f t="shared" si="4"/>
        <v>1667720.6632478384</v>
      </c>
      <c r="N24" s="57">
        <f>M24-H24-G24</f>
        <v>3775.6632478383835</v>
      </c>
      <c r="O24" s="120">
        <f>'12mos BA'!C83</f>
        <v>188289639.19999999</v>
      </c>
      <c r="P24" s="121">
        <f t="shared" si="3"/>
        <v>8.8572088742301779E-3</v>
      </c>
    </row>
    <row r="25" spans="2:17" s="35" customFormat="1" ht="18">
      <c r="B25" s="35" t="s">
        <v>66</v>
      </c>
      <c r="C25" s="123">
        <v>1831693.9999999998</v>
      </c>
      <c r="D25" s="123"/>
      <c r="E25" s="124">
        <v>1.1468406256110247E-4</v>
      </c>
      <c r="F25" s="52">
        <f t="shared" si="5"/>
        <v>210</v>
      </c>
      <c r="G25" s="59">
        <f t="shared" si="0"/>
        <v>1293</v>
      </c>
      <c r="H25" s="59">
        <f t="shared" si="1"/>
        <v>0</v>
      </c>
      <c r="I25" s="54">
        <f t="shared" si="2"/>
        <v>0</v>
      </c>
      <c r="J25" s="52"/>
      <c r="K25" s="55">
        <f t="shared" si="6"/>
        <v>7.1000000000000002E-4</v>
      </c>
      <c r="L25" s="60"/>
      <c r="M25" s="59">
        <f t="shared" si="4"/>
        <v>1300.5027399999999</v>
      </c>
      <c r="N25" s="57">
        <f t="shared" si="7"/>
        <v>7.5027399999999034</v>
      </c>
      <c r="O25" s="120">
        <f>'12mos BA'!C87</f>
        <v>250812.97</v>
      </c>
      <c r="P25" s="121">
        <f t="shared" si="3"/>
        <v>5.1851494761215892E-3</v>
      </c>
    </row>
    <row r="26" spans="2:17" s="35" customFormat="1" ht="18">
      <c r="B26" s="35" t="s">
        <v>67</v>
      </c>
      <c r="C26" s="123">
        <v>30809971.363413889</v>
      </c>
      <c r="D26" s="123"/>
      <c r="E26" s="124">
        <v>3.6138531509521358E-5</v>
      </c>
      <c r="F26" s="52">
        <f t="shared" si="5"/>
        <v>1113</v>
      </c>
      <c r="G26" s="59">
        <f t="shared" si="0"/>
        <v>6851</v>
      </c>
      <c r="H26" s="59">
        <f t="shared" si="1"/>
        <v>0</v>
      </c>
      <c r="I26" s="54">
        <f t="shared" si="2"/>
        <v>0</v>
      </c>
      <c r="J26" s="52"/>
      <c r="K26" s="55">
        <f t="shared" si="6"/>
        <v>2.2000000000000001E-4</v>
      </c>
      <c r="L26" s="60"/>
      <c r="M26" s="59">
        <f t="shared" si="4"/>
        <v>6778.1936999510563</v>
      </c>
      <c r="N26" s="57">
        <f t="shared" si="7"/>
        <v>-72.80630004894374</v>
      </c>
      <c r="O26" s="120">
        <f>'12mos BA'!C43</f>
        <v>9617965.8599999975</v>
      </c>
      <c r="P26" s="121">
        <f t="shared" si="3"/>
        <v>7.0474295694277476E-4</v>
      </c>
    </row>
    <row r="27" spans="2:17" s="35" customFormat="1" ht="18">
      <c r="B27" s="35" t="s">
        <v>68</v>
      </c>
      <c r="C27" s="123">
        <v>7836986</v>
      </c>
      <c r="D27" s="123"/>
      <c r="E27" s="124">
        <v>3.5948185418088756E-5</v>
      </c>
      <c r="F27" s="52">
        <f t="shared" si="5"/>
        <v>282</v>
      </c>
      <c r="G27" s="59">
        <f t="shared" si="0"/>
        <v>1736</v>
      </c>
      <c r="H27" s="59">
        <f t="shared" si="1"/>
        <v>0</v>
      </c>
      <c r="I27" s="54">
        <f t="shared" si="2"/>
        <v>0</v>
      </c>
      <c r="J27" s="52"/>
      <c r="K27" s="55">
        <f t="shared" si="6"/>
        <v>2.2000000000000001E-4</v>
      </c>
      <c r="L27" s="60"/>
      <c r="M27" s="59">
        <f t="shared" si="4"/>
        <v>1724.1369200000001</v>
      </c>
      <c r="N27" s="57">
        <f t="shared" si="7"/>
        <v>-11.863079999999854</v>
      </c>
      <c r="O27" s="120">
        <f>'12mos BA'!C85</f>
        <v>1853212.09</v>
      </c>
      <c r="P27" s="121">
        <f t="shared" si="3"/>
        <v>9.3035056769999816E-4</v>
      </c>
    </row>
    <row r="28" spans="2:17" s="35" customFormat="1" ht="18">
      <c r="C28" s="52"/>
      <c r="D28" s="52"/>
      <c r="E28" s="61"/>
      <c r="F28" s="52"/>
      <c r="G28" s="52"/>
      <c r="H28" s="52"/>
      <c r="I28" s="52"/>
      <c r="J28" s="52"/>
      <c r="M28" s="52"/>
      <c r="N28" s="52"/>
    </row>
    <row r="29" spans="2:17" s="35" customFormat="1" ht="18">
      <c r="B29" s="62" t="s">
        <v>35</v>
      </c>
      <c r="C29" s="63">
        <f>SUM(C20:C27)</f>
        <v>5310719340.1458397</v>
      </c>
      <c r="D29" s="63">
        <f>SUM(D20:D27)</f>
        <v>5294563.2004901301</v>
      </c>
      <c r="E29" s="64"/>
      <c r="F29" s="63">
        <f>SUM(F20:F27)</f>
        <v>871806</v>
      </c>
      <c r="G29" s="65">
        <f>SUM(G20:G27)</f>
        <v>5366548</v>
      </c>
      <c r="H29" s="65">
        <f>SUM(H20:H27)</f>
        <v>0</v>
      </c>
      <c r="I29" s="65"/>
      <c r="J29" s="65"/>
      <c r="K29" s="62"/>
      <c r="L29" s="62"/>
      <c r="M29" s="65">
        <f>SUM(M20:M27)</f>
        <v>5365558.362729121</v>
      </c>
      <c r="N29" s="65">
        <f>SUM(N20:N27)</f>
        <v>-989.63727088007431</v>
      </c>
      <c r="O29" s="65">
        <f>SUM(O20:O27)</f>
        <v>690782983.19000006</v>
      </c>
      <c r="P29" s="122">
        <f t="shared" si="3"/>
        <v>7.7673574672486147E-3</v>
      </c>
    </row>
    <row r="30" spans="2:17" s="34" customFormat="1" ht="15.5">
      <c r="C30" s="66"/>
      <c r="D30" s="66"/>
      <c r="M30" s="67"/>
      <c r="N30" s="67"/>
    </row>
    <row r="31" spans="2:17" s="34" customFormat="1" ht="15.5">
      <c r="M31" s="68"/>
    </row>
    <row r="32" spans="2:17" s="69" customFormat="1" ht="13">
      <c r="N32" s="70"/>
    </row>
    <row r="33" spans="1:13" s="69" customFormat="1" ht="15.5">
      <c r="A33" s="71"/>
      <c r="H33" s="72"/>
    </row>
    <row r="34" spans="1:13" s="69" customFormat="1" ht="15.5">
      <c r="A34" s="73"/>
      <c r="B34" s="69" t="s">
        <v>170</v>
      </c>
      <c r="M34" s="74"/>
    </row>
    <row r="35" spans="1:13" s="34" customFormat="1" ht="15.5">
      <c r="B35" s="69" t="s">
        <v>169</v>
      </c>
    </row>
    <row r="36" spans="1:13" s="34" customFormat="1" ht="15.5">
      <c r="B36" s="69" t="s">
        <v>171</v>
      </c>
    </row>
    <row r="37" spans="1:13" s="34" customFormat="1" ht="15.5"/>
    <row r="41" spans="1:13">
      <c r="C41" s="75"/>
      <c r="D41" s="75"/>
    </row>
    <row r="43" spans="1:13">
      <c r="C43" s="76"/>
    </row>
  </sheetData>
  <mergeCells count="3">
    <mergeCell ref="B1:N1"/>
    <mergeCell ref="B2:N2"/>
    <mergeCell ref="B3:N3"/>
  </mergeCells>
  <printOptions horizontalCentered="1"/>
  <pageMargins left="0.7" right="0.7" top="0.75" bottom="0.75" header="0.3" footer="0.3"/>
  <pageSetup orientation="landscape" r:id="rId1"/>
  <headerFooter>
    <oddHeader>&amp;RCase No. 2026-00001
KPSC 1-11 Attachment 1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BD37-1F9F-4723-AC5F-9262938AF19A}">
  <sheetPr>
    <tabColor rgb="FF92D050"/>
  </sheetPr>
  <dimension ref="A1:Q43"/>
  <sheetViews>
    <sheetView showGridLines="0" topLeftCell="A12" zoomScale="60" zoomScaleNormal="60" workbookViewId="0">
      <selection activeCell="J24" sqref="J24"/>
    </sheetView>
  </sheetViews>
  <sheetFormatPr defaultColWidth="9.1796875" defaultRowHeight="14"/>
  <cols>
    <col min="1" max="1" width="2.54296875" style="31" customWidth="1"/>
    <col min="2" max="2" width="30.54296875" style="31" customWidth="1"/>
    <col min="3" max="3" width="23.26953125" style="31" customWidth="1"/>
    <col min="4" max="4" width="19.453125" style="31" bestFit="1" customWidth="1"/>
    <col min="5" max="5" width="17.1796875" style="31" bestFit="1" customWidth="1"/>
    <col min="6" max="6" width="16.81640625" style="31" customWidth="1"/>
    <col min="7" max="7" width="21.81640625" style="31" customWidth="1"/>
    <col min="8" max="8" width="20.453125" style="31" bestFit="1" customWidth="1"/>
    <col min="9" max="9" width="18" style="31" bestFit="1" customWidth="1"/>
    <col min="10" max="10" width="2.26953125" style="31" customWidth="1"/>
    <col min="11" max="11" width="15.26953125" style="31" customWidth="1"/>
    <col min="12" max="12" width="2.54296875" style="31" bestFit="1" customWidth="1"/>
    <col min="13" max="13" width="22.81640625" style="31" bestFit="1" customWidth="1"/>
    <col min="14" max="14" width="18.26953125" style="31" customWidth="1"/>
    <col min="15" max="15" width="18.7265625" style="31" bestFit="1" customWidth="1"/>
    <col min="16" max="16" width="12.54296875" style="31" bestFit="1" customWidth="1"/>
    <col min="17" max="17" width="15.81640625" style="31" bestFit="1" customWidth="1"/>
    <col min="18" max="16384" width="9.1796875" style="31"/>
  </cols>
  <sheetData>
    <row r="1" spans="2:17" ht="17.5">
      <c r="B1" s="126" t="s">
        <v>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2:17" ht="17.5">
      <c r="B2" s="126" t="s">
        <v>71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2:17" ht="20.5" customHeight="1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32"/>
    </row>
    <row r="4" spans="2:17" ht="15.65" customHeight="1">
      <c r="N4" s="33" t="s">
        <v>70</v>
      </c>
    </row>
    <row r="5" spans="2:17" s="34" customFormat="1" ht="15.5"/>
    <row r="6" spans="2:17" s="34" customFormat="1" ht="16" thickBot="1"/>
    <row r="7" spans="2:17" s="35" customFormat="1" ht="18">
      <c r="E7" s="36"/>
      <c r="F7" s="37"/>
      <c r="G7" s="38" t="s">
        <v>33</v>
      </c>
      <c r="H7" s="38" t="s">
        <v>34</v>
      </c>
      <c r="I7" s="38" t="s">
        <v>35</v>
      </c>
      <c r="J7" s="39"/>
    </row>
    <row r="8" spans="2:17" s="35" customFormat="1" ht="18">
      <c r="E8" s="40" t="s">
        <v>36</v>
      </c>
      <c r="G8" s="41"/>
      <c r="H8" s="41"/>
      <c r="I8" s="41"/>
      <c r="J8" s="42"/>
    </row>
    <row r="9" spans="2:17" s="35" customFormat="1" ht="19" thickBot="1">
      <c r="E9" s="43" t="s">
        <v>69</v>
      </c>
      <c r="F9" s="44"/>
      <c r="G9" s="45">
        <v>6461482.9880180238</v>
      </c>
      <c r="H9" s="45">
        <v>0</v>
      </c>
      <c r="I9" s="45">
        <f>G9+H9</f>
        <v>6461482.9880180238</v>
      </c>
      <c r="J9" s="46"/>
      <c r="K9" s="47"/>
    </row>
    <row r="10" spans="2:17" s="35" customFormat="1" ht="18">
      <c r="F10" s="48"/>
      <c r="G10" s="48"/>
      <c r="H10" s="48"/>
    </row>
    <row r="11" spans="2:17" s="35" customFormat="1" ht="18"/>
    <row r="12" spans="2:17" s="35" customFormat="1" ht="18"/>
    <row r="13" spans="2:17" s="35" customFormat="1" ht="18">
      <c r="B13" s="49"/>
      <c r="E13" s="49"/>
      <c r="F13" s="49" t="s">
        <v>37</v>
      </c>
      <c r="G13" s="49" t="s">
        <v>38</v>
      </c>
      <c r="H13" s="49" t="s">
        <v>38</v>
      </c>
      <c r="K13" s="49"/>
      <c r="L13" s="49"/>
    </row>
    <row r="14" spans="2:17" s="35" customFormat="1" ht="18">
      <c r="B14" s="49"/>
      <c r="C14" s="49"/>
      <c r="D14" s="49"/>
      <c r="E14" s="49" t="s">
        <v>39</v>
      </c>
      <c r="F14" s="49" t="s">
        <v>33</v>
      </c>
      <c r="G14" s="49" t="s">
        <v>33</v>
      </c>
      <c r="H14" s="49" t="s">
        <v>34</v>
      </c>
      <c r="K14" s="49"/>
      <c r="L14" s="49"/>
      <c r="Q14" s="49" t="s">
        <v>166</v>
      </c>
    </row>
    <row r="15" spans="2:17" s="35" customFormat="1" ht="18">
      <c r="B15" s="49"/>
      <c r="C15" s="49" t="s">
        <v>40</v>
      </c>
      <c r="D15" s="49" t="s">
        <v>40</v>
      </c>
      <c r="E15" s="49" t="s">
        <v>41</v>
      </c>
      <c r="F15" s="49" t="s">
        <v>42</v>
      </c>
      <c r="G15" s="49" t="s">
        <v>43</v>
      </c>
      <c r="H15" s="49" t="s">
        <v>43</v>
      </c>
      <c r="I15" s="49" t="s">
        <v>44</v>
      </c>
      <c r="J15" s="49"/>
      <c r="K15" s="49" t="s">
        <v>45</v>
      </c>
      <c r="L15" s="49"/>
      <c r="M15" s="49" t="s">
        <v>46</v>
      </c>
      <c r="O15" s="49" t="s">
        <v>164</v>
      </c>
      <c r="Q15" s="35" t="s">
        <v>163</v>
      </c>
    </row>
    <row r="16" spans="2:17" s="35" customFormat="1" ht="18">
      <c r="B16" s="41" t="s">
        <v>47</v>
      </c>
      <c r="C16" s="41" t="s">
        <v>167</v>
      </c>
      <c r="D16" s="41" t="s">
        <v>168</v>
      </c>
      <c r="E16" s="41" t="s">
        <v>48</v>
      </c>
      <c r="F16" s="41" t="s">
        <v>49</v>
      </c>
      <c r="G16" s="41" t="s">
        <v>50</v>
      </c>
      <c r="H16" s="41" t="s">
        <v>50</v>
      </c>
      <c r="I16" s="41" t="s">
        <v>51</v>
      </c>
      <c r="J16" s="41"/>
      <c r="K16" s="41" t="s">
        <v>51</v>
      </c>
      <c r="L16" s="41"/>
      <c r="M16" s="41" t="s">
        <v>52</v>
      </c>
      <c r="N16" s="41" t="s">
        <v>53</v>
      </c>
      <c r="O16" s="41" t="s">
        <v>165</v>
      </c>
      <c r="P16" s="41" t="s">
        <v>160</v>
      </c>
      <c r="Q16" s="41">
        <v>2028</v>
      </c>
    </row>
    <row r="17" spans="2:17" s="35" customFormat="1" ht="18">
      <c r="B17" s="50">
        <v>-1</v>
      </c>
      <c r="C17" s="50">
        <v>-2</v>
      </c>
      <c r="D17" s="50">
        <v>-3</v>
      </c>
      <c r="E17" s="51">
        <v>-4</v>
      </c>
      <c r="F17" s="51" t="s">
        <v>54</v>
      </c>
      <c r="G17" s="50">
        <v>-6</v>
      </c>
      <c r="H17" s="50">
        <v>-7</v>
      </c>
      <c r="I17" s="51" t="s">
        <v>55</v>
      </c>
      <c r="J17" s="51"/>
      <c r="K17" s="51" t="s">
        <v>56</v>
      </c>
      <c r="L17" s="50"/>
      <c r="M17" s="50">
        <v>-10</v>
      </c>
      <c r="N17" s="51" t="s">
        <v>57</v>
      </c>
      <c r="O17" s="50">
        <v>-12</v>
      </c>
      <c r="P17" s="51" t="s">
        <v>161</v>
      </c>
    </row>
    <row r="18" spans="2:17" s="35" customFormat="1" ht="18">
      <c r="C18" s="50"/>
      <c r="D18" s="50"/>
      <c r="E18" s="51"/>
      <c r="G18" s="50" t="s">
        <v>58</v>
      </c>
      <c r="H18" s="50" t="s">
        <v>59</v>
      </c>
      <c r="K18" s="50"/>
      <c r="L18" s="50"/>
      <c r="N18" s="51" t="s">
        <v>60</v>
      </c>
      <c r="P18" s="51" t="s">
        <v>162</v>
      </c>
    </row>
    <row r="19" spans="2:17" s="35" customFormat="1" ht="18" customHeight="1"/>
    <row r="20" spans="2:17" s="35" customFormat="1" ht="22.5" customHeight="1">
      <c r="B20" s="35" t="s">
        <v>61</v>
      </c>
      <c r="C20" s="123">
        <v>1889849938.5032814</v>
      </c>
      <c r="D20" s="123"/>
      <c r="E20" s="124">
        <v>2.2273507647450086E-4</v>
      </c>
      <c r="F20" s="52">
        <f>ROUND(C20*E20,0)</f>
        <v>420936</v>
      </c>
      <c r="G20" s="53">
        <f>ROUND(G$9*(F20/F$29),0)</f>
        <v>3119812</v>
      </c>
      <c r="H20" s="53">
        <f>ROUND(H$9*(C20/C$29),0)</f>
        <v>0</v>
      </c>
      <c r="I20" s="54">
        <f>ROUND(IF(D20&gt;0,G20/D20,0),2)</f>
        <v>0</v>
      </c>
      <c r="J20" s="52"/>
      <c r="K20" s="55">
        <f>ROUND(IF(D20&gt;0,H20/C20,(G20+H20)/C20),5)</f>
        <v>1.65E-3</v>
      </c>
      <c r="L20" s="56"/>
      <c r="M20" s="53">
        <f>(C20*K20)+(D20*I20)</f>
        <v>3118252.3985304143</v>
      </c>
      <c r="N20" s="57">
        <f>M20-H20-G20</f>
        <v>-1559.601469585672</v>
      </c>
      <c r="O20" s="120">
        <f>'12mos BA'!C16</f>
        <v>310878376.53999996</v>
      </c>
      <c r="P20" s="121">
        <f>M20/O20</f>
        <v>1.003045767684391E-2</v>
      </c>
      <c r="Q20" s="58">
        <f>K20*'12mos BA'!H16</f>
        <v>1.9899</v>
      </c>
    </row>
    <row r="21" spans="2:17" s="35" customFormat="1" ht="19.899999999999999" customHeight="1">
      <c r="B21" s="35" t="s">
        <v>62</v>
      </c>
      <c r="C21" s="123">
        <v>616305296.54697454</v>
      </c>
      <c r="D21" s="123"/>
      <c r="E21" s="124">
        <v>1.7460551523618281E-4</v>
      </c>
      <c r="F21" s="52">
        <f>ROUND(C21*E21,0)</f>
        <v>107610</v>
      </c>
      <c r="G21" s="59">
        <f t="shared" ref="G21:G27" si="0">ROUND(G$9*(F21/F$29),0)</f>
        <v>797563</v>
      </c>
      <c r="H21" s="59">
        <f t="shared" ref="H21:H27" si="1">ROUND(H$9*(C21/C$29),0)</f>
        <v>0</v>
      </c>
      <c r="I21" s="54">
        <f t="shared" ref="I21:I27" si="2">ROUND(IF(D21&gt;0,G21/D21,0),2)</f>
        <v>0</v>
      </c>
      <c r="J21" s="52"/>
      <c r="K21" s="55">
        <f>ROUND(IF(D21&gt;0,H21/C21,(G21+H21)/C21),5)</f>
        <v>1.2899999999999999E-3</v>
      </c>
      <c r="L21" s="60"/>
      <c r="M21" s="59">
        <f>(C21*K21)+(D21*I21)</f>
        <v>795033.83254559711</v>
      </c>
      <c r="N21" s="57">
        <f>M21-H21-G21</f>
        <v>-2529.1674544028938</v>
      </c>
      <c r="O21" s="120">
        <f>'12mos BA'!C59</f>
        <v>108695473.52000001</v>
      </c>
      <c r="P21" s="121">
        <f t="shared" ref="P21:P29" si="3">M21/O21</f>
        <v>7.3143232813582667E-3</v>
      </c>
    </row>
    <row r="22" spans="2:17" s="35" customFormat="1" ht="19.899999999999999" customHeight="1">
      <c r="B22" s="35" t="s">
        <v>63</v>
      </c>
      <c r="C22" s="123">
        <v>469816215.38408518</v>
      </c>
      <c r="D22" s="123">
        <v>1443014.3246290712</v>
      </c>
      <c r="E22" s="124">
        <v>1.515718152561873E-4</v>
      </c>
      <c r="F22" s="52">
        <f>ROUND(C22*E22,0)</f>
        <v>71211</v>
      </c>
      <c r="G22" s="59">
        <f t="shared" si="0"/>
        <v>527788</v>
      </c>
      <c r="H22" s="59">
        <f t="shared" si="1"/>
        <v>0</v>
      </c>
      <c r="I22" s="54">
        <f>ROUND(IF(D22&gt;0,G22/D22,0),2)-0.001</f>
        <v>0.36899999999999999</v>
      </c>
      <c r="J22" s="125">
        <v>3</v>
      </c>
      <c r="K22" s="55">
        <f>ROUND(IF(D22&gt;0,H22/C22,(G22+H22)/C22),5)</f>
        <v>0</v>
      </c>
      <c r="L22" s="56"/>
      <c r="M22" s="59">
        <f t="shared" ref="M22:M27" si="4">(C22*K22)+(D22*I22)</f>
        <v>532472.28578812722</v>
      </c>
      <c r="N22" s="57">
        <f>M22-H22-G22</f>
        <v>4684.2857881272212</v>
      </c>
      <c r="O22" s="120">
        <f>'12mos BA'!C71-'12mos BA'!C66</f>
        <v>71055286.290000007</v>
      </c>
      <c r="P22" s="121">
        <f t="shared" si="3"/>
        <v>7.4937744056780319E-3</v>
      </c>
    </row>
    <row r="23" spans="2:17" s="35" customFormat="1" ht="18">
      <c r="B23" s="35" t="s">
        <v>64</v>
      </c>
      <c r="C23" s="123">
        <v>878955.24659644801</v>
      </c>
      <c r="D23" s="123"/>
      <c r="E23" s="124">
        <f>E22</f>
        <v>1.515718152561873E-4</v>
      </c>
      <c r="F23" s="52">
        <f t="shared" ref="F23:F27" si="5">ROUND(C23*E23,0)</f>
        <v>133</v>
      </c>
      <c r="G23" s="59">
        <f t="shared" si="0"/>
        <v>986</v>
      </c>
      <c r="H23" s="59">
        <f t="shared" si="1"/>
        <v>0</v>
      </c>
      <c r="I23" s="54">
        <f t="shared" si="2"/>
        <v>0</v>
      </c>
      <c r="J23" s="52"/>
      <c r="K23" s="55">
        <f t="shared" ref="K23:K27" si="6">ROUND(IF(D23&gt;0,H23/C23,(G23+H23)/C23),5)</f>
        <v>1.1199999999999999E-3</v>
      </c>
      <c r="L23" s="60"/>
      <c r="M23" s="59">
        <f t="shared" si="4"/>
        <v>984.42987618802169</v>
      </c>
      <c r="N23" s="57">
        <f t="shared" ref="N23:N27" si="7">M23-H23-G23</f>
        <v>-1.5701238119783056</v>
      </c>
      <c r="O23" s="120">
        <f>'12mos BA'!C66</f>
        <v>142216.72</v>
      </c>
      <c r="P23" s="121">
        <f t="shared" si="3"/>
        <v>6.9220403633835862E-3</v>
      </c>
    </row>
    <row r="24" spans="2:17" s="35" customFormat="1" ht="20">
      <c r="B24" s="35" t="s">
        <v>65</v>
      </c>
      <c r="C24" s="123">
        <v>2293390283.1014886</v>
      </c>
      <c r="D24" s="123">
        <v>3851548.8758610585</v>
      </c>
      <c r="E24" s="124">
        <v>1.1786538035569553E-4</v>
      </c>
      <c r="F24" s="52">
        <f t="shared" si="5"/>
        <v>270311</v>
      </c>
      <c r="G24" s="59">
        <f>ROUND(G$9*(F24/F$29),0)</f>
        <v>2003439</v>
      </c>
      <c r="H24" s="59">
        <f t="shared" si="1"/>
        <v>0</v>
      </c>
      <c r="I24" s="54">
        <f>ROUND(IF(D24&gt;0,G24/D24,0),2)</f>
        <v>0.52</v>
      </c>
      <c r="J24" s="52"/>
      <c r="K24" s="55">
        <f>ROUND(IF(D24&gt;0,H24/C24,(G24+H24)/C24),5)</f>
        <v>0</v>
      </c>
      <c r="L24" s="56"/>
      <c r="M24" s="59">
        <f t="shared" si="4"/>
        <v>2002805.4154477504</v>
      </c>
      <c r="N24" s="57">
        <f>M24-H24-G24</f>
        <v>-633.58455224963836</v>
      </c>
      <c r="O24" s="120">
        <f>'12mos BA'!C83</f>
        <v>188289639.19999999</v>
      </c>
      <c r="P24" s="121">
        <f t="shared" si="3"/>
        <v>1.0636832828174809E-2</v>
      </c>
    </row>
    <row r="25" spans="2:17" s="35" customFormat="1" ht="18">
      <c r="B25" s="35" t="s">
        <v>66</v>
      </c>
      <c r="C25" s="123">
        <v>1831693.9999999998</v>
      </c>
      <c r="D25" s="123"/>
      <c r="E25" s="124">
        <v>1.1468406256110247E-4</v>
      </c>
      <c r="F25" s="52">
        <f t="shared" si="5"/>
        <v>210</v>
      </c>
      <c r="G25" s="59">
        <f t="shared" si="0"/>
        <v>1556</v>
      </c>
      <c r="H25" s="59">
        <f t="shared" si="1"/>
        <v>0</v>
      </c>
      <c r="I25" s="54">
        <f t="shared" si="2"/>
        <v>0</v>
      </c>
      <c r="J25" s="52"/>
      <c r="K25" s="55">
        <f t="shared" si="6"/>
        <v>8.4999999999999995E-4</v>
      </c>
      <c r="L25" s="60"/>
      <c r="M25" s="59">
        <f t="shared" si="4"/>
        <v>1556.9398999999996</v>
      </c>
      <c r="N25" s="57">
        <f t="shared" si="7"/>
        <v>0.93989999999962492</v>
      </c>
      <c r="O25" s="120">
        <f>'12mos BA'!C87</f>
        <v>250812.97</v>
      </c>
      <c r="P25" s="121">
        <f t="shared" si="3"/>
        <v>6.207573316483592E-3</v>
      </c>
    </row>
    <row r="26" spans="2:17" s="35" customFormat="1" ht="18">
      <c r="B26" s="35" t="s">
        <v>67</v>
      </c>
      <c r="C26" s="123">
        <v>30809971.363413889</v>
      </c>
      <c r="D26" s="123"/>
      <c r="E26" s="124">
        <v>3.6138531509521358E-5</v>
      </c>
      <c r="F26" s="52">
        <f t="shared" si="5"/>
        <v>1113</v>
      </c>
      <c r="G26" s="59">
        <f t="shared" si="0"/>
        <v>8249</v>
      </c>
      <c r="H26" s="59">
        <f t="shared" si="1"/>
        <v>0</v>
      </c>
      <c r="I26" s="54">
        <f t="shared" si="2"/>
        <v>0</v>
      </c>
      <c r="J26" s="52"/>
      <c r="K26" s="55">
        <f t="shared" si="6"/>
        <v>2.7E-4</v>
      </c>
      <c r="L26" s="60"/>
      <c r="M26" s="59">
        <f t="shared" si="4"/>
        <v>8318.6922681217493</v>
      </c>
      <c r="N26" s="57">
        <f t="shared" si="7"/>
        <v>69.692268121749294</v>
      </c>
      <c r="O26" s="120">
        <f>'12mos BA'!C43</f>
        <v>9617965.8599999975</v>
      </c>
      <c r="P26" s="121">
        <f t="shared" si="3"/>
        <v>8.6491181079340529E-4</v>
      </c>
    </row>
    <row r="27" spans="2:17" s="35" customFormat="1" ht="18">
      <c r="B27" s="35" t="s">
        <v>68</v>
      </c>
      <c r="C27" s="123">
        <v>7836986</v>
      </c>
      <c r="D27" s="123"/>
      <c r="E27" s="124">
        <v>3.5948185418088756E-5</v>
      </c>
      <c r="F27" s="52">
        <f t="shared" si="5"/>
        <v>282</v>
      </c>
      <c r="G27" s="59">
        <f t="shared" si="0"/>
        <v>2090</v>
      </c>
      <c r="H27" s="59">
        <f t="shared" si="1"/>
        <v>0</v>
      </c>
      <c r="I27" s="54">
        <f t="shared" si="2"/>
        <v>0</v>
      </c>
      <c r="J27" s="52"/>
      <c r="K27" s="55">
        <f t="shared" si="6"/>
        <v>2.7E-4</v>
      </c>
      <c r="L27" s="60"/>
      <c r="M27" s="59">
        <f t="shared" si="4"/>
        <v>2115.9862200000002</v>
      </c>
      <c r="N27" s="57">
        <f t="shared" si="7"/>
        <v>25.98622000000023</v>
      </c>
      <c r="O27" s="120">
        <f>'12mos BA'!C85</f>
        <v>1853212.09</v>
      </c>
      <c r="P27" s="121">
        <f t="shared" si="3"/>
        <v>1.1417938785409068E-3</v>
      </c>
    </row>
    <row r="28" spans="2:17" s="35" customFormat="1" ht="18">
      <c r="C28" s="52"/>
      <c r="D28" s="52"/>
      <c r="E28" s="61"/>
      <c r="F28" s="52"/>
      <c r="G28" s="52"/>
      <c r="H28" s="52"/>
      <c r="I28" s="52"/>
      <c r="J28" s="52"/>
      <c r="M28" s="52"/>
      <c r="N28" s="52"/>
    </row>
    <row r="29" spans="2:17" s="35" customFormat="1" ht="18">
      <c r="B29" s="62" t="s">
        <v>35</v>
      </c>
      <c r="C29" s="63">
        <f>SUM(C20:C27)</f>
        <v>5310719340.1458397</v>
      </c>
      <c r="D29" s="63">
        <f>SUM(D20:D27)</f>
        <v>5294563.2004901301</v>
      </c>
      <c r="E29" s="64"/>
      <c r="F29" s="63">
        <f>SUM(F20:F27)</f>
        <v>871806</v>
      </c>
      <c r="G29" s="65">
        <f>SUM(G20:G27)</f>
        <v>6461483</v>
      </c>
      <c r="H29" s="65">
        <f>SUM(H20:H27)</f>
        <v>0</v>
      </c>
      <c r="I29" s="65"/>
      <c r="J29" s="65"/>
      <c r="K29" s="62"/>
      <c r="L29" s="62"/>
      <c r="M29" s="65">
        <f>SUM(M20:M27)</f>
        <v>6461539.9805761985</v>
      </c>
      <c r="N29" s="65">
        <f>SUM(N20:N27)</f>
        <v>56.980576198787844</v>
      </c>
      <c r="O29" s="65">
        <f>SUM(O20:O27)</f>
        <v>690782983.19000006</v>
      </c>
      <c r="P29" s="122">
        <f t="shared" si="3"/>
        <v>9.3539362402025907E-3</v>
      </c>
    </row>
    <row r="30" spans="2:17" s="34" customFormat="1" ht="15.5">
      <c r="C30" s="66"/>
      <c r="D30" s="66"/>
      <c r="M30" s="67"/>
      <c r="N30" s="67"/>
    </row>
    <row r="31" spans="2:17" s="34" customFormat="1" ht="15.5">
      <c r="M31" s="68"/>
    </row>
    <row r="32" spans="2:17" s="69" customFormat="1" ht="13">
      <c r="N32" s="70"/>
    </row>
    <row r="33" spans="1:13" s="69" customFormat="1" ht="15.5">
      <c r="A33" s="71"/>
      <c r="H33" s="72"/>
    </row>
    <row r="34" spans="1:13" s="69" customFormat="1" ht="15.5">
      <c r="A34" s="73"/>
      <c r="B34" s="69" t="s">
        <v>170</v>
      </c>
      <c r="M34" s="74"/>
    </row>
    <row r="35" spans="1:13" s="34" customFormat="1" ht="15.5">
      <c r="B35" s="69" t="s">
        <v>169</v>
      </c>
    </row>
    <row r="36" spans="1:13" s="34" customFormat="1" ht="15.5">
      <c r="B36" s="69" t="s">
        <v>171</v>
      </c>
    </row>
    <row r="37" spans="1:13" s="34" customFormat="1" ht="15.5"/>
    <row r="41" spans="1:13">
      <c r="C41" s="75"/>
      <c r="D41" s="75"/>
    </row>
    <row r="43" spans="1:13">
      <c r="C43" s="76"/>
    </row>
  </sheetData>
  <mergeCells count="3">
    <mergeCell ref="B1:N1"/>
    <mergeCell ref="B2:N2"/>
    <mergeCell ref="B3:N3"/>
  </mergeCells>
  <printOptions horizontalCentered="1"/>
  <pageMargins left="0.7" right="0.7" top="0.75" bottom="0.75" header="0.3" footer="0.3"/>
  <pageSetup orientation="landscape" r:id="rId1"/>
  <headerFooter>
    <oddHeader>&amp;RCase No. 2026-00001
KPSC 1-11 Attachment 1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4B45D-DB05-4B08-9FE3-3161DBEACFDC}">
  <sheetPr>
    <tabColor rgb="FF92D050"/>
  </sheetPr>
  <dimension ref="A1:Q43"/>
  <sheetViews>
    <sheetView showGridLines="0" topLeftCell="A12" zoomScale="60" zoomScaleNormal="60" workbookViewId="0">
      <selection activeCell="J24" sqref="J24"/>
    </sheetView>
  </sheetViews>
  <sheetFormatPr defaultColWidth="9.1796875" defaultRowHeight="14"/>
  <cols>
    <col min="1" max="1" width="2.54296875" style="31" customWidth="1"/>
    <col min="2" max="2" width="30.54296875" style="31" customWidth="1"/>
    <col min="3" max="3" width="23.26953125" style="31" customWidth="1"/>
    <col min="4" max="4" width="19.453125" style="31" bestFit="1" customWidth="1"/>
    <col min="5" max="5" width="17.1796875" style="31" bestFit="1" customWidth="1"/>
    <col min="6" max="6" width="16.81640625" style="31" customWidth="1"/>
    <col min="7" max="7" width="21.81640625" style="31" customWidth="1"/>
    <col min="8" max="8" width="20.453125" style="31" bestFit="1" customWidth="1"/>
    <col min="9" max="9" width="18" style="31" bestFit="1" customWidth="1"/>
    <col min="10" max="10" width="1.7265625" style="31" customWidth="1"/>
    <col min="11" max="11" width="15.26953125" style="31" customWidth="1"/>
    <col min="12" max="12" width="2.54296875" style="31" bestFit="1" customWidth="1"/>
    <col min="13" max="13" width="22.81640625" style="31" bestFit="1" customWidth="1"/>
    <col min="14" max="14" width="18.26953125" style="31" customWidth="1"/>
    <col min="15" max="15" width="18.7265625" style="31" bestFit="1" customWidth="1"/>
    <col min="16" max="16" width="12.54296875" style="31" bestFit="1" customWidth="1"/>
    <col min="17" max="17" width="15.81640625" style="31" bestFit="1" customWidth="1"/>
    <col min="18" max="16384" width="9.1796875" style="31"/>
  </cols>
  <sheetData>
    <row r="1" spans="2:17" ht="17.5">
      <c r="B1" s="126" t="s">
        <v>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2:17" ht="17.5">
      <c r="B2" s="126" t="s">
        <v>71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2:17" ht="20.5" customHeight="1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32"/>
    </row>
    <row r="4" spans="2:17" ht="15.65" customHeight="1">
      <c r="N4" s="33" t="s">
        <v>70</v>
      </c>
    </row>
    <row r="5" spans="2:17" s="34" customFormat="1" ht="15.5"/>
    <row r="6" spans="2:17" s="34" customFormat="1" ht="16" thickBot="1"/>
    <row r="7" spans="2:17" s="35" customFormat="1" ht="18">
      <c r="E7" s="36"/>
      <c r="F7" s="37"/>
      <c r="G7" s="38" t="s">
        <v>33</v>
      </c>
      <c r="H7" s="38" t="s">
        <v>34</v>
      </c>
      <c r="I7" s="38" t="s">
        <v>35</v>
      </c>
      <c r="J7" s="39"/>
    </row>
    <row r="8" spans="2:17" s="35" customFormat="1" ht="18">
      <c r="E8" s="40" t="s">
        <v>36</v>
      </c>
      <c r="G8" s="41"/>
      <c r="H8" s="41"/>
      <c r="I8" s="41"/>
      <c r="J8" s="42"/>
    </row>
    <row r="9" spans="2:17" s="35" customFormat="1" ht="19" thickBot="1">
      <c r="E9" s="43" t="s">
        <v>69</v>
      </c>
      <c r="F9" s="44"/>
      <c r="G9" s="45">
        <v>14901059.341997012</v>
      </c>
      <c r="H9" s="45">
        <v>0</v>
      </c>
      <c r="I9" s="45">
        <f>G9+H9</f>
        <v>14901059.341997012</v>
      </c>
      <c r="J9" s="46"/>
      <c r="K9" s="47"/>
    </row>
    <row r="10" spans="2:17" s="35" customFormat="1" ht="18">
      <c r="F10" s="48"/>
      <c r="G10" s="48"/>
      <c r="H10" s="48"/>
    </row>
    <row r="11" spans="2:17" s="35" customFormat="1" ht="18"/>
    <row r="12" spans="2:17" s="35" customFormat="1" ht="18"/>
    <row r="13" spans="2:17" s="35" customFormat="1" ht="18">
      <c r="B13" s="49"/>
      <c r="E13" s="49"/>
      <c r="F13" s="49" t="s">
        <v>37</v>
      </c>
      <c r="G13" s="49" t="s">
        <v>38</v>
      </c>
      <c r="H13" s="49" t="s">
        <v>38</v>
      </c>
      <c r="K13" s="49"/>
      <c r="L13" s="49"/>
    </row>
    <row r="14" spans="2:17" s="35" customFormat="1" ht="18">
      <c r="B14" s="49"/>
      <c r="C14" s="49"/>
      <c r="D14" s="49"/>
      <c r="E14" s="49" t="s">
        <v>39</v>
      </c>
      <c r="F14" s="49" t="s">
        <v>33</v>
      </c>
      <c r="G14" s="49" t="s">
        <v>33</v>
      </c>
      <c r="H14" s="49" t="s">
        <v>34</v>
      </c>
      <c r="K14" s="49"/>
      <c r="L14" s="49"/>
      <c r="Q14" s="49" t="s">
        <v>166</v>
      </c>
    </row>
    <row r="15" spans="2:17" s="35" customFormat="1" ht="18">
      <c r="B15" s="49"/>
      <c r="C15" s="49" t="s">
        <v>40</v>
      </c>
      <c r="D15" s="49" t="s">
        <v>40</v>
      </c>
      <c r="E15" s="49" t="s">
        <v>41</v>
      </c>
      <c r="F15" s="49" t="s">
        <v>42</v>
      </c>
      <c r="G15" s="49" t="s">
        <v>43</v>
      </c>
      <c r="H15" s="49" t="s">
        <v>43</v>
      </c>
      <c r="I15" s="49" t="s">
        <v>44</v>
      </c>
      <c r="J15" s="49"/>
      <c r="K15" s="49" t="s">
        <v>45</v>
      </c>
      <c r="L15" s="49"/>
      <c r="M15" s="49" t="s">
        <v>46</v>
      </c>
      <c r="O15" s="49" t="s">
        <v>164</v>
      </c>
      <c r="Q15" s="35" t="s">
        <v>163</v>
      </c>
    </row>
    <row r="16" spans="2:17" s="35" customFormat="1" ht="18">
      <c r="B16" s="41" t="s">
        <v>47</v>
      </c>
      <c r="C16" s="41" t="s">
        <v>167</v>
      </c>
      <c r="D16" s="41" t="s">
        <v>168</v>
      </c>
      <c r="E16" s="41" t="s">
        <v>48</v>
      </c>
      <c r="F16" s="41" t="s">
        <v>49</v>
      </c>
      <c r="G16" s="41" t="s">
        <v>50</v>
      </c>
      <c r="H16" s="41" t="s">
        <v>50</v>
      </c>
      <c r="I16" s="41" t="s">
        <v>51</v>
      </c>
      <c r="J16" s="41"/>
      <c r="K16" s="41" t="s">
        <v>51</v>
      </c>
      <c r="L16" s="41"/>
      <c r="M16" s="41" t="s">
        <v>52</v>
      </c>
      <c r="N16" s="41" t="s">
        <v>53</v>
      </c>
      <c r="O16" s="41" t="s">
        <v>165</v>
      </c>
      <c r="P16" s="41" t="s">
        <v>160</v>
      </c>
      <c r="Q16" s="41">
        <v>2029</v>
      </c>
    </row>
    <row r="17" spans="2:17" s="35" customFormat="1" ht="18">
      <c r="B17" s="50">
        <v>-1</v>
      </c>
      <c r="C17" s="50">
        <v>-2</v>
      </c>
      <c r="D17" s="50">
        <v>-3</v>
      </c>
      <c r="E17" s="51">
        <v>-4</v>
      </c>
      <c r="F17" s="51" t="s">
        <v>54</v>
      </c>
      <c r="G17" s="50">
        <v>-6</v>
      </c>
      <c r="H17" s="50">
        <v>-7</v>
      </c>
      <c r="I17" s="51" t="s">
        <v>55</v>
      </c>
      <c r="J17" s="51"/>
      <c r="K17" s="51" t="s">
        <v>56</v>
      </c>
      <c r="L17" s="50"/>
      <c r="M17" s="50">
        <v>-10</v>
      </c>
      <c r="N17" s="51" t="s">
        <v>57</v>
      </c>
      <c r="O17" s="50">
        <v>-12</v>
      </c>
      <c r="P17" s="51" t="s">
        <v>161</v>
      </c>
    </row>
    <row r="18" spans="2:17" s="35" customFormat="1" ht="18">
      <c r="C18" s="50"/>
      <c r="D18" s="50"/>
      <c r="E18" s="51"/>
      <c r="G18" s="50" t="s">
        <v>58</v>
      </c>
      <c r="H18" s="50" t="s">
        <v>59</v>
      </c>
      <c r="K18" s="50"/>
      <c r="L18" s="50"/>
      <c r="N18" s="51" t="s">
        <v>60</v>
      </c>
      <c r="P18" s="51" t="s">
        <v>162</v>
      </c>
    </row>
    <row r="19" spans="2:17" s="35" customFormat="1" ht="18" customHeight="1"/>
    <row r="20" spans="2:17" s="35" customFormat="1" ht="22.5" customHeight="1">
      <c r="B20" s="35" t="s">
        <v>61</v>
      </c>
      <c r="C20" s="123">
        <v>1889849938.5032814</v>
      </c>
      <c r="D20" s="123"/>
      <c r="E20" s="124">
        <v>2.2273507647450086E-4</v>
      </c>
      <c r="F20" s="52">
        <f>ROUND(C20*E20,0)</f>
        <v>420936</v>
      </c>
      <c r="G20" s="53">
        <f>ROUND(G$9*(F20/F$29),0)</f>
        <v>7194711</v>
      </c>
      <c r="H20" s="53">
        <f>ROUND(H$9*(C20/C$29),0)</f>
        <v>0</v>
      </c>
      <c r="I20" s="54">
        <f>ROUND(IF(D20&gt;0,G20/D20,0),2)</f>
        <v>0</v>
      </c>
      <c r="J20" s="52"/>
      <c r="K20" s="55">
        <f>ROUND(IF(D20&gt;0,H20/C20,(G20+H20)/C20),5)</f>
        <v>3.81E-3</v>
      </c>
      <c r="L20" s="56"/>
      <c r="M20" s="53">
        <f>(C20*K20)+(D20*I20)</f>
        <v>7200328.2656975016</v>
      </c>
      <c r="N20" s="57">
        <f>M20-H20-G20</f>
        <v>5617.2656975015998</v>
      </c>
      <c r="O20" s="120">
        <f>'12mos BA'!C16</f>
        <v>310878376.53999996</v>
      </c>
      <c r="P20" s="121">
        <f>M20/O20</f>
        <v>2.316123863562139E-2</v>
      </c>
      <c r="Q20" s="58">
        <f>K20*'12mos BA'!H16</f>
        <v>4.5948599999999997</v>
      </c>
    </row>
    <row r="21" spans="2:17" s="35" customFormat="1" ht="19.899999999999999" customHeight="1">
      <c r="B21" s="35" t="s">
        <v>62</v>
      </c>
      <c r="C21" s="123">
        <v>616305296.54697454</v>
      </c>
      <c r="D21" s="123"/>
      <c r="E21" s="124">
        <v>1.7460551523618281E-4</v>
      </c>
      <c r="F21" s="52">
        <f>ROUND(C21*E21,0)</f>
        <v>107610</v>
      </c>
      <c r="G21" s="59">
        <f t="shared" ref="G21:G27" si="0">ROUND(G$9*(F21/F$29),0)</f>
        <v>1839289</v>
      </c>
      <c r="H21" s="59">
        <f t="shared" ref="H21:H27" si="1">ROUND(H$9*(C21/C$29),0)</f>
        <v>0</v>
      </c>
      <c r="I21" s="54">
        <f t="shared" ref="I21:I27" si="2">ROUND(IF(D21&gt;0,G21/D21,0),2)</f>
        <v>0</v>
      </c>
      <c r="J21" s="52"/>
      <c r="K21" s="55">
        <f>ROUND(IF(D21&gt;0,H21/C21,(G21+H21)/C21),5)</f>
        <v>2.98E-3</v>
      </c>
      <c r="L21" s="60"/>
      <c r="M21" s="59">
        <f>(C21*K21)+(D21*I21)</f>
        <v>1836589.783709984</v>
      </c>
      <c r="N21" s="57">
        <f>M21-H21-G21</f>
        <v>-2699.2162900159601</v>
      </c>
      <c r="O21" s="120">
        <f>'12mos BA'!C59</f>
        <v>108695473.52000001</v>
      </c>
      <c r="P21" s="121">
        <f t="shared" ref="P21:P29" si="3">M21/O21</f>
        <v>1.6896653781742352E-2</v>
      </c>
    </row>
    <row r="22" spans="2:17" s="35" customFormat="1" ht="19.899999999999999" customHeight="1">
      <c r="B22" s="35" t="s">
        <v>63</v>
      </c>
      <c r="C22" s="123">
        <v>469816215.38408518</v>
      </c>
      <c r="D22" s="123">
        <v>1443014.3246290712</v>
      </c>
      <c r="E22" s="124">
        <v>1.515718152561873E-4</v>
      </c>
      <c r="F22" s="52">
        <f>ROUND(C22*E22,0)</f>
        <v>71211</v>
      </c>
      <c r="G22" s="59">
        <f t="shared" si="0"/>
        <v>1217151</v>
      </c>
      <c r="H22" s="59">
        <f t="shared" si="1"/>
        <v>0</v>
      </c>
      <c r="I22" s="54">
        <f>ROUND(IF(D22&gt;0,G22/D22,0),2)</f>
        <v>0.84</v>
      </c>
      <c r="J22" s="52"/>
      <c r="K22" s="55">
        <f>ROUND(IF(D22&gt;0,H22/C22,(G22+H22)/C22),5)</f>
        <v>0</v>
      </c>
      <c r="L22" s="56"/>
      <c r="M22" s="59">
        <f t="shared" ref="M22:M27" si="4">(C22*K22)+(D22*I22)</f>
        <v>1212132.0326884198</v>
      </c>
      <c r="N22" s="57">
        <f>M22-H22-G22</f>
        <v>-5018.9673115801997</v>
      </c>
      <c r="O22" s="120">
        <f>'12mos BA'!C71-'12mos BA'!C66</f>
        <v>71055286.290000007</v>
      </c>
      <c r="P22" s="121">
        <f t="shared" si="3"/>
        <v>1.7058998647071943E-2</v>
      </c>
    </row>
    <row r="23" spans="2:17" s="35" customFormat="1" ht="18">
      <c r="B23" s="35" t="s">
        <v>64</v>
      </c>
      <c r="C23" s="123">
        <v>878955.24659644801</v>
      </c>
      <c r="D23" s="123"/>
      <c r="E23" s="124">
        <f>E22</f>
        <v>1.515718152561873E-4</v>
      </c>
      <c r="F23" s="52">
        <f t="shared" ref="F23:F27" si="5">ROUND(C23*E23,0)</f>
        <v>133</v>
      </c>
      <c r="G23" s="59">
        <f t="shared" si="0"/>
        <v>2273</v>
      </c>
      <c r="H23" s="59">
        <f t="shared" si="1"/>
        <v>0</v>
      </c>
      <c r="I23" s="54">
        <f t="shared" si="2"/>
        <v>0</v>
      </c>
      <c r="J23" s="52"/>
      <c r="K23" s="55">
        <f t="shared" ref="K23:K27" si="6">ROUND(IF(D23&gt;0,H23/C23,(G23+H23)/C23),5)</f>
        <v>2.5899999999999999E-3</v>
      </c>
      <c r="L23" s="60"/>
      <c r="M23" s="59">
        <f t="shared" si="4"/>
        <v>2276.4940886848003</v>
      </c>
      <c r="N23" s="57">
        <f t="shared" ref="N23:N27" si="7">M23-H23-G23</f>
        <v>3.4940886848003174</v>
      </c>
      <c r="O23" s="120">
        <f>'12mos BA'!C66</f>
        <v>142216.72</v>
      </c>
      <c r="P23" s="121">
        <f t="shared" si="3"/>
        <v>1.6007218340324543E-2</v>
      </c>
    </row>
    <row r="24" spans="2:17" s="35" customFormat="1" ht="20">
      <c r="B24" s="35" t="s">
        <v>65</v>
      </c>
      <c r="C24" s="123">
        <v>2293390283.1014886</v>
      </c>
      <c r="D24" s="123">
        <v>3851548.8758610585</v>
      </c>
      <c r="E24" s="124">
        <v>1.1786538035569553E-4</v>
      </c>
      <c r="F24" s="52">
        <f t="shared" si="5"/>
        <v>270311</v>
      </c>
      <c r="G24" s="59">
        <f>ROUND(G$9*(F24/F$29),0)</f>
        <v>4620202</v>
      </c>
      <c r="H24" s="59">
        <f t="shared" si="1"/>
        <v>0</v>
      </c>
      <c r="I24" s="54">
        <f>ROUND(IF(D24&gt;0,G24/D24,0),2)</f>
        <v>1.2</v>
      </c>
      <c r="J24" s="52"/>
      <c r="K24" s="55">
        <f>ROUND(IF(D24&gt;0,H24/C24,(G24+H24)/C24),5)</f>
        <v>0</v>
      </c>
      <c r="L24" s="56"/>
      <c r="M24" s="59">
        <f t="shared" si="4"/>
        <v>4621858.6510332702</v>
      </c>
      <c r="N24" s="57">
        <f>M24-H24-G24</f>
        <v>1656.6510332701728</v>
      </c>
      <c r="O24" s="120">
        <f>'12mos BA'!C83</f>
        <v>188289639.19999999</v>
      </c>
      <c r="P24" s="121">
        <f t="shared" si="3"/>
        <v>2.4546537295788023E-2</v>
      </c>
    </row>
    <row r="25" spans="2:17" s="35" customFormat="1" ht="18">
      <c r="B25" s="35" t="s">
        <v>66</v>
      </c>
      <c r="C25" s="123">
        <v>1831693.9999999998</v>
      </c>
      <c r="D25" s="123"/>
      <c r="E25" s="124">
        <v>1.1468406256110247E-4</v>
      </c>
      <c r="F25" s="52">
        <f t="shared" si="5"/>
        <v>210</v>
      </c>
      <c r="G25" s="59">
        <f t="shared" si="0"/>
        <v>3589</v>
      </c>
      <c r="H25" s="59">
        <f t="shared" si="1"/>
        <v>0</v>
      </c>
      <c r="I25" s="54">
        <f t="shared" si="2"/>
        <v>0</v>
      </c>
      <c r="J25" s="52"/>
      <c r="K25" s="55">
        <f t="shared" si="6"/>
        <v>1.9599999999999999E-3</v>
      </c>
      <c r="L25" s="60"/>
      <c r="M25" s="59">
        <f t="shared" si="4"/>
        <v>3590.1202399999993</v>
      </c>
      <c r="N25" s="57">
        <f t="shared" si="7"/>
        <v>1.1202399999992849</v>
      </c>
      <c r="O25" s="120">
        <f>'12mos BA'!C87</f>
        <v>250812.97</v>
      </c>
      <c r="P25" s="121">
        <f t="shared" si="3"/>
        <v>1.4313933765068048E-2</v>
      </c>
    </row>
    <row r="26" spans="2:17" s="35" customFormat="1" ht="18">
      <c r="B26" s="35" t="s">
        <v>67</v>
      </c>
      <c r="C26" s="123">
        <v>30809971.363413889</v>
      </c>
      <c r="D26" s="123"/>
      <c r="E26" s="124">
        <v>3.6138531509521358E-5</v>
      </c>
      <c r="F26" s="52">
        <f t="shared" si="5"/>
        <v>1113</v>
      </c>
      <c r="G26" s="59">
        <f t="shared" si="0"/>
        <v>19024</v>
      </c>
      <c r="H26" s="59">
        <f t="shared" si="1"/>
        <v>0</v>
      </c>
      <c r="I26" s="54">
        <f t="shared" si="2"/>
        <v>0</v>
      </c>
      <c r="J26" s="52"/>
      <c r="K26" s="55">
        <f t="shared" si="6"/>
        <v>6.2E-4</v>
      </c>
      <c r="L26" s="60"/>
      <c r="M26" s="59">
        <f t="shared" si="4"/>
        <v>19102.18224531661</v>
      </c>
      <c r="N26" s="57">
        <f t="shared" si="7"/>
        <v>78.182245316609624</v>
      </c>
      <c r="O26" s="120">
        <f>'12mos BA'!C43</f>
        <v>9617965.8599999975</v>
      </c>
      <c r="P26" s="121">
        <f t="shared" si="3"/>
        <v>1.9860937877478196E-3</v>
      </c>
    </row>
    <row r="27" spans="2:17" s="35" customFormat="1" ht="18">
      <c r="B27" s="35" t="s">
        <v>68</v>
      </c>
      <c r="C27" s="123">
        <v>7836986</v>
      </c>
      <c r="D27" s="123"/>
      <c r="E27" s="124">
        <v>3.5948185418088756E-5</v>
      </c>
      <c r="F27" s="52">
        <f t="shared" si="5"/>
        <v>282</v>
      </c>
      <c r="G27" s="59">
        <f t="shared" si="0"/>
        <v>4820</v>
      </c>
      <c r="H27" s="59">
        <f t="shared" si="1"/>
        <v>0</v>
      </c>
      <c r="I27" s="54">
        <f t="shared" si="2"/>
        <v>0</v>
      </c>
      <c r="J27" s="52"/>
      <c r="K27" s="55">
        <f t="shared" si="6"/>
        <v>6.2E-4</v>
      </c>
      <c r="L27" s="60"/>
      <c r="M27" s="59">
        <f t="shared" si="4"/>
        <v>4858.9313199999997</v>
      </c>
      <c r="N27" s="57">
        <f t="shared" si="7"/>
        <v>38.931319999999687</v>
      </c>
      <c r="O27" s="120">
        <f>'12mos BA'!C85</f>
        <v>1853212.09</v>
      </c>
      <c r="P27" s="121">
        <f t="shared" si="3"/>
        <v>2.6218970544272671E-3</v>
      </c>
    </row>
    <row r="28" spans="2:17" s="35" customFormat="1" ht="18">
      <c r="C28" s="52"/>
      <c r="D28" s="52"/>
      <c r="E28" s="61"/>
      <c r="F28" s="52"/>
      <c r="G28" s="52"/>
      <c r="H28" s="52"/>
      <c r="I28" s="52"/>
      <c r="J28" s="52"/>
      <c r="M28" s="52"/>
      <c r="N28" s="52"/>
    </row>
    <row r="29" spans="2:17" s="35" customFormat="1" ht="18">
      <c r="B29" s="62" t="s">
        <v>35</v>
      </c>
      <c r="C29" s="63">
        <f>SUM(C20:C27)</f>
        <v>5310719340.1458397</v>
      </c>
      <c r="D29" s="63">
        <f>SUM(D20:D27)</f>
        <v>5294563.2004901301</v>
      </c>
      <c r="E29" s="64"/>
      <c r="F29" s="63">
        <f>SUM(F20:F27)</f>
        <v>871806</v>
      </c>
      <c r="G29" s="65">
        <f>SUM(G20:G27)</f>
        <v>14901059</v>
      </c>
      <c r="H29" s="65">
        <f>SUM(H20:H27)</f>
        <v>0</v>
      </c>
      <c r="I29" s="65"/>
      <c r="J29" s="65"/>
      <c r="K29" s="62"/>
      <c r="L29" s="62"/>
      <c r="M29" s="65">
        <f>SUM(M20:M27)</f>
        <v>14900736.461023176</v>
      </c>
      <c r="N29" s="65">
        <f>SUM(N20:N27)</f>
        <v>-322.53897682297838</v>
      </c>
      <c r="O29" s="65">
        <f>SUM(O20:O27)</f>
        <v>690782983.19000006</v>
      </c>
      <c r="P29" s="122">
        <f t="shared" si="3"/>
        <v>2.1570792598584791E-2</v>
      </c>
    </row>
    <row r="30" spans="2:17" s="34" customFormat="1" ht="15.5">
      <c r="C30" s="66"/>
      <c r="D30" s="66"/>
      <c r="M30" s="67"/>
      <c r="N30" s="67"/>
    </row>
    <row r="31" spans="2:17" s="34" customFormat="1" ht="15.5">
      <c r="M31" s="68"/>
    </row>
    <row r="32" spans="2:17" s="69" customFormat="1" ht="13">
      <c r="N32" s="70"/>
    </row>
    <row r="33" spans="1:13" s="69" customFormat="1" ht="15.5">
      <c r="A33" s="71"/>
      <c r="H33" s="72"/>
    </row>
    <row r="34" spans="1:13" s="69" customFormat="1" ht="15.5">
      <c r="A34" s="73"/>
      <c r="B34" s="69" t="s">
        <v>170</v>
      </c>
      <c r="M34" s="74"/>
    </row>
    <row r="35" spans="1:13" s="34" customFormat="1" ht="15.5">
      <c r="B35" s="69" t="s">
        <v>169</v>
      </c>
    </row>
    <row r="36" spans="1:13" s="34" customFormat="1" ht="15.5">
      <c r="B36" s="69"/>
    </row>
    <row r="37" spans="1:13" s="34" customFormat="1" ht="15.5"/>
    <row r="41" spans="1:13">
      <c r="C41" s="75"/>
      <c r="D41" s="75"/>
    </row>
    <row r="43" spans="1:13">
      <c r="C43" s="76"/>
    </row>
  </sheetData>
  <mergeCells count="3">
    <mergeCell ref="B1:N1"/>
    <mergeCell ref="B2:N2"/>
    <mergeCell ref="B3:N3"/>
  </mergeCells>
  <printOptions horizontalCentered="1"/>
  <pageMargins left="0.7" right="0.7" top="0.75" bottom="0.75" header="0.3" footer="0.3"/>
  <pageSetup orientation="landscape" r:id="rId1"/>
  <headerFooter>
    <oddHeader>&amp;RCase No. 2026-00001
KPSC 1-11 Attachment 1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7EB76-4AB5-4382-8F8C-68D00F026863}">
  <dimension ref="A1:M93"/>
  <sheetViews>
    <sheetView zoomScaleNormal="100" workbookViewId="0">
      <selection activeCell="J24" sqref="J24"/>
    </sheetView>
  </sheetViews>
  <sheetFormatPr defaultColWidth="9.1796875" defaultRowHeight="13"/>
  <cols>
    <col min="1" max="1" width="6.1796875" style="78" bestFit="1" customWidth="1"/>
    <col min="2" max="2" width="18.1796875" style="78" bestFit="1" customWidth="1"/>
    <col min="3" max="3" width="15.7265625" style="78" customWidth="1"/>
    <col min="4" max="4" width="16.453125" style="78" bestFit="1" customWidth="1"/>
    <col min="5" max="5" width="12.81640625" style="78" bestFit="1" customWidth="1"/>
    <col min="6" max="6" width="11.26953125" style="78" customWidth="1"/>
    <col min="7" max="7" width="5" style="78" customWidth="1"/>
    <col min="8" max="8" width="10.26953125" style="78" bestFit="1" customWidth="1"/>
    <col min="9" max="9" width="12.453125" style="78" bestFit="1" customWidth="1"/>
    <col min="10" max="10" width="9.1796875" style="78"/>
    <col min="11" max="11" width="12.54296875" style="78" bestFit="1" customWidth="1"/>
    <col min="12" max="16384" width="9.1796875" style="78"/>
  </cols>
  <sheetData>
    <row r="1" spans="1:13" s="77" customFormat="1">
      <c r="A1" s="77" t="s">
        <v>72</v>
      </c>
      <c r="K1" s="78"/>
    </row>
    <row r="2" spans="1:13">
      <c r="C2" s="79"/>
      <c r="D2" s="80"/>
      <c r="E2" s="79"/>
      <c r="F2" s="79"/>
      <c r="G2" s="79"/>
    </row>
    <row r="3" spans="1:13" s="83" customFormat="1" ht="26">
      <c r="A3" s="81" t="s">
        <v>73</v>
      </c>
      <c r="B3" s="81" t="s">
        <v>73</v>
      </c>
      <c r="C3" s="82" t="s">
        <v>46</v>
      </c>
      <c r="D3" s="82" t="s">
        <v>74</v>
      </c>
      <c r="E3" s="82" t="s">
        <v>75</v>
      </c>
      <c r="F3" s="82" t="s">
        <v>76</v>
      </c>
      <c r="H3" s="83" t="s">
        <v>77</v>
      </c>
      <c r="I3" s="83" t="s">
        <v>78</v>
      </c>
      <c r="J3" s="83" t="s">
        <v>79</v>
      </c>
      <c r="L3" s="83" t="s">
        <v>80</v>
      </c>
    </row>
    <row r="4" spans="1:13">
      <c r="A4" s="78">
        <v>11</v>
      </c>
      <c r="B4" s="78" t="s">
        <v>81</v>
      </c>
      <c r="C4" s="84">
        <v>341306.35</v>
      </c>
      <c r="D4" s="85">
        <v>2262189</v>
      </c>
      <c r="E4" s="86">
        <v>0</v>
      </c>
      <c r="F4" s="85">
        <v>136.416666666667</v>
      </c>
      <c r="K4" s="87"/>
      <c r="L4" s="78">
        <v>11</v>
      </c>
      <c r="M4" s="78" t="str">
        <f>IF(L4=A4,"Yes","No")</f>
        <v>Yes</v>
      </c>
    </row>
    <row r="5" spans="1:13">
      <c r="A5" s="78">
        <v>12</v>
      </c>
      <c r="B5" s="78" t="s">
        <v>82</v>
      </c>
      <c r="C5" s="84">
        <v>28891.65</v>
      </c>
      <c r="D5" s="85">
        <v>197428</v>
      </c>
      <c r="E5" s="86">
        <v>0</v>
      </c>
      <c r="F5" s="85">
        <v>10</v>
      </c>
      <c r="K5" s="87"/>
      <c r="L5" s="78">
        <v>12</v>
      </c>
      <c r="M5" s="78" t="str">
        <f t="shared" ref="M5:M68" si="0">IF(L5=A5,"Yes","No")</f>
        <v>Yes</v>
      </c>
    </row>
    <row r="6" spans="1:13">
      <c r="A6" s="78">
        <v>13</v>
      </c>
      <c r="B6" s="78" t="s">
        <v>83</v>
      </c>
      <c r="C6" s="84">
        <v>2856.75</v>
      </c>
      <c r="D6" s="85">
        <v>19607</v>
      </c>
      <c r="E6" s="86">
        <v>0</v>
      </c>
      <c r="F6" s="85">
        <v>1</v>
      </c>
      <c r="K6" s="87"/>
      <c r="L6" s="78">
        <v>13</v>
      </c>
      <c r="M6" s="78" t="str">
        <f t="shared" si="0"/>
        <v>Yes</v>
      </c>
    </row>
    <row r="7" spans="1:13">
      <c r="A7" s="78">
        <v>14</v>
      </c>
      <c r="B7" s="78" t="s">
        <v>84</v>
      </c>
      <c r="C7" s="84">
        <v>32421.37</v>
      </c>
      <c r="D7" s="85">
        <v>222724</v>
      </c>
      <c r="E7" s="86">
        <v>0</v>
      </c>
      <c r="F7" s="85">
        <v>13</v>
      </c>
      <c r="K7" s="87"/>
      <c r="L7" s="78">
        <v>14</v>
      </c>
      <c r="M7" s="78" t="str">
        <f t="shared" si="0"/>
        <v>Yes</v>
      </c>
    </row>
    <row r="8" spans="1:13">
      <c r="A8" s="78">
        <v>15</v>
      </c>
      <c r="B8" s="78" t="s">
        <v>85</v>
      </c>
      <c r="C8" s="84">
        <v>148954129.63999999</v>
      </c>
      <c r="D8" s="85">
        <v>895383171</v>
      </c>
      <c r="E8" s="86">
        <v>10863.5</v>
      </c>
      <c r="F8" s="85">
        <v>65985</v>
      </c>
      <c r="K8" s="87"/>
      <c r="L8" s="78">
        <v>15</v>
      </c>
      <c r="M8" s="78" t="str">
        <f t="shared" si="0"/>
        <v>Yes</v>
      </c>
    </row>
    <row r="9" spans="1:13">
      <c r="A9" s="78">
        <v>17</v>
      </c>
      <c r="B9" s="78" t="s">
        <v>86</v>
      </c>
      <c r="C9" s="84">
        <v>645359.26</v>
      </c>
      <c r="D9" s="85">
        <v>3994320</v>
      </c>
      <c r="E9" s="86">
        <v>0</v>
      </c>
      <c r="F9" s="85">
        <v>225.583333333333</v>
      </c>
      <c r="K9" s="87"/>
      <c r="L9" s="78">
        <v>17</v>
      </c>
      <c r="M9" s="78" t="str">
        <f t="shared" si="0"/>
        <v>Yes</v>
      </c>
    </row>
    <row r="10" spans="1:13">
      <c r="A10" s="78">
        <v>22</v>
      </c>
      <c r="B10" s="78" t="s">
        <v>87</v>
      </c>
      <c r="C10" s="84">
        <v>160397550.36000001</v>
      </c>
      <c r="D10" s="85">
        <v>980223703</v>
      </c>
      <c r="E10" s="86">
        <v>19164.400000000001</v>
      </c>
      <c r="F10" s="85">
        <v>63798.666666666701</v>
      </c>
      <c r="K10" s="87"/>
      <c r="L10" s="78">
        <v>22</v>
      </c>
      <c r="M10" s="78" t="str">
        <f t="shared" si="0"/>
        <v>Yes</v>
      </c>
    </row>
    <row r="11" spans="1:13">
      <c r="A11" s="78">
        <v>28</v>
      </c>
      <c r="B11" s="78" t="s">
        <v>88</v>
      </c>
      <c r="C11" s="84">
        <v>20086.61</v>
      </c>
      <c r="D11" s="85">
        <v>131408</v>
      </c>
      <c r="E11" s="86">
        <v>0</v>
      </c>
      <c r="F11" s="85">
        <v>6</v>
      </c>
      <c r="K11" s="87"/>
      <c r="L11" s="78">
        <v>28</v>
      </c>
      <c r="M11" s="78" t="str">
        <f t="shared" si="0"/>
        <v>Yes</v>
      </c>
    </row>
    <row r="12" spans="1:13">
      <c r="A12" s="78">
        <v>30</v>
      </c>
      <c r="B12" s="78" t="s">
        <v>89</v>
      </c>
      <c r="C12" s="84">
        <v>210011.94</v>
      </c>
      <c r="D12" s="85">
        <v>1335765</v>
      </c>
      <c r="E12" s="86">
        <v>0</v>
      </c>
      <c r="F12" s="85">
        <v>61</v>
      </c>
      <c r="K12" s="87"/>
      <c r="L12" s="78">
        <v>30</v>
      </c>
      <c r="M12" s="78" t="str">
        <f t="shared" si="0"/>
        <v>Yes</v>
      </c>
    </row>
    <row r="13" spans="1:13">
      <c r="A13" s="78">
        <v>32</v>
      </c>
      <c r="B13" s="78" t="s">
        <v>90</v>
      </c>
      <c r="C13" s="84">
        <v>213201.39</v>
      </c>
      <c r="D13" s="85">
        <v>1334753</v>
      </c>
      <c r="E13" s="86">
        <v>0</v>
      </c>
      <c r="F13" s="85">
        <v>69.583333333333002</v>
      </c>
      <c r="K13" s="87"/>
      <c r="L13" s="78">
        <v>32</v>
      </c>
      <c r="M13" s="78" t="str">
        <f t="shared" si="0"/>
        <v>Yes</v>
      </c>
    </row>
    <row r="14" spans="1:13">
      <c r="A14" s="78">
        <v>34</v>
      </c>
      <c r="B14" s="78" t="s">
        <v>91</v>
      </c>
      <c r="C14" s="84">
        <v>2058.69</v>
      </c>
      <c r="D14" s="78">
        <v>13348</v>
      </c>
      <c r="E14" s="86">
        <v>0</v>
      </c>
      <c r="F14" s="85">
        <v>2</v>
      </c>
      <c r="K14" s="87"/>
      <c r="L14" s="78">
        <v>34</v>
      </c>
      <c r="M14" s="78" t="str">
        <f t="shared" si="0"/>
        <v>Yes</v>
      </c>
    </row>
    <row r="15" spans="1:13">
      <c r="A15" s="78">
        <v>36</v>
      </c>
      <c r="B15" s="78" t="s">
        <v>92</v>
      </c>
      <c r="C15" s="84">
        <v>30502.53</v>
      </c>
      <c r="D15" s="85">
        <v>192299</v>
      </c>
      <c r="E15" s="86">
        <v>0</v>
      </c>
      <c r="F15" s="85">
        <v>8</v>
      </c>
      <c r="L15" s="78">
        <v>36</v>
      </c>
      <c r="M15" s="78" t="str">
        <f t="shared" si="0"/>
        <v>Yes</v>
      </c>
    </row>
    <row r="16" spans="1:13">
      <c r="A16" s="88"/>
      <c r="B16" s="88" t="s">
        <v>93</v>
      </c>
      <c r="C16" s="89">
        <f>SUM(C4:C15)</f>
        <v>310878376.53999996</v>
      </c>
      <c r="D16" s="89">
        <f>SUM(D4:D15)</f>
        <v>1885310715</v>
      </c>
      <c r="E16" s="89">
        <f>SUM(E4:E15)</f>
        <v>30027.9</v>
      </c>
      <c r="F16" s="90">
        <f>SUM(F4:F15)</f>
        <v>130316.25000000003</v>
      </c>
      <c r="G16" s="88"/>
      <c r="H16" s="90">
        <f>ROUND((D16/F16)/12,0)</f>
        <v>1206</v>
      </c>
      <c r="I16" s="91">
        <f>(C16/F16)/12</f>
        <v>198.79739770238419</v>
      </c>
      <c r="J16" s="92">
        <f>(E16/F16)/12</f>
        <v>1.9201941430942032E-2</v>
      </c>
      <c r="K16" s="87"/>
    </row>
    <row r="17" spans="1:13">
      <c r="A17" s="78">
        <v>93</v>
      </c>
      <c r="B17" s="78" t="s">
        <v>94</v>
      </c>
      <c r="C17" s="93">
        <v>65996.7</v>
      </c>
      <c r="D17" s="85">
        <v>271508</v>
      </c>
      <c r="E17" s="86">
        <v>0</v>
      </c>
      <c r="F17" s="85">
        <v>305.41666666666703</v>
      </c>
      <c r="L17" s="78">
        <v>93</v>
      </c>
      <c r="M17" s="78" t="str">
        <f t="shared" si="0"/>
        <v>Yes</v>
      </c>
    </row>
    <row r="18" spans="1:13">
      <c r="A18" s="78">
        <v>94</v>
      </c>
      <c r="B18" s="78" t="s">
        <v>95</v>
      </c>
      <c r="C18" s="93">
        <v>1617957.84</v>
      </c>
      <c r="D18" s="85">
        <v>4944834</v>
      </c>
      <c r="E18" s="86">
        <v>0</v>
      </c>
      <c r="F18" s="85">
        <v>9917.9166666666697</v>
      </c>
      <c r="L18" s="78">
        <v>94</v>
      </c>
      <c r="M18" s="78" t="str">
        <f t="shared" si="0"/>
        <v>Yes</v>
      </c>
    </row>
    <row r="19" spans="1:13">
      <c r="A19" s="78">
        <v>95</v>
      </c>
      <c r="B19" s="78" t="s">
        <v>96</v>
      </c>
      <c r="C19" s="93">
        <v>21352.78</v>
      </c>
      <c r="D19" s="85">
        <v>104977</v>
      </c>
      <c r="E19" s="86">
        <v>0</v>
      </c>
      <c r="F19" s="85">
        <v>42.666666666666003</v>
      </c>
      <c r="L19" s="78">
        <v>95</v>
      </c>
      <c r="M19" s="78" t="str">
        <f t="shared" si="0"/>
        <v>Yes</v>
      </c>
    </row>
    <row r="20" spans="1:13">
      <c r="A20" s="78">
        <v>97</v>
      </c>
      <c r="B20" s="78" t="s">
        <v>97</v>
      </c>
      <c r="C20" s="93">
        <v>296043.06</v>
      </c>
      <c r="D20" s="85">
        <v>1247592</v>
      </c>
      <c r="E20" s="86">
        <v>0</v>
      </c>
      <c r="F20" s="85">
        <v>959.66666666666697</v>
      </c>
      <c r="L20" s="78">
        <v>97</v>
      </c>
      <c r="M20" s="78" t="str">
        <f t="shared" si="0"/>
        <v>Yes</v>
      </c>
    </row>
    <row r="21" spans="1:13">
      <c r="A21" s="78">
        <v>98</v>
      </c>
      <c r="B21" s="78" t="s">
        <v>98</v>
      </c>
      <c r="C21" s="93">
        <v>85869.49</v>
      </c>
      <c r="D21" s="85">
        <v>423746</v>
      </c>
      <c r="E21" s="86">
        <v>0</v>
      </c>
      <c r="F21" s="85">
        <v>85</v>
      </c>
      <c r="L21" s="78">
        <v>98</v>
      </c>
      <c r="M21" s="78" t="str">
        <f t="shared" si="0"/>
        <v>Yes</v>
      </c>
    </row>
    <row r="22" spans="1:13">
      <c r="A22" s="78">
        <v>99</v>
      </c>
      <c r="B22" s="78" t="s">
        <v>99</v>
      </c>
      <c r="C22" s="93">
        <v>1184.32</v>
      </c>
      <c r="D22" s="78">
        <v>4283</v>
      </c>
      <c r="E22" s="86">
        <v>0</v>
      </c>
      <c r="F22" s="85">
        <v>3</v>
      </c>
      <c r="L22" s="78">
        <v>99</v>
      </c>
      <c r="M22" s="78" t="str">
        <f t="shared" si="0"/>
        <v>Yes</v>
      </c>
    </row>
    <row r="23" spans="1:13">
      <c r="A23" s="78">
        <v>103</v>
      </c>
      <c r="B23" s="94" t="s">
        <v>100</v>
      </c>
      <c r="C23" s="93">
        <v>963.49</v>
      </c>
      <c r="D23" s="78">
        <v>3661</v>
      </c>
      <c r="E23" s="86">
        <v>0</v>
      </c>
      <c r="F23" s="85">
        <v>2</v>
      </c>
      <c r="L23" s="78">
        <v>103</v>
      </c>
      <c r="M23" s="78" t="str">
        <f t="shared" si="0"/>
        <v>Yes</v>
      </c>
    </row>
    <row r="24" spans="1:13">
      <c r="A24" s="78">
        <v>107</v>
      </c>
      <c r="B24" s="78" t="s">
        <v>101</v>
      </c>
      <c r="C24" s="93">
        <v>354894.85</v>
      </c>
      <c r="D24" s="85">
        <v>1332167</v>
      </c>
      <c r="E24" s="86">
        <v>0</v>
      </c>
      <c r="F24" s="85">
        <v>963.91666666666697</v>
      </c>
      <c r="L24" s="78">
        <v>107</v>
      </c>
      <c r="M24" s="78" t="str">
        <f t="shared" si="0"/>
        <v>Yes</v>
      </c>
    </row>
    <row r="25" spans="1:13">
      <c r="A25" s="78">
        <v>109</v>
      </c>
      <c r="B25" s="78" t="s">
        <v>102</v>
      </c>
      <c r="C25" s="93">
        <v>1260494.18</v>
      </c>
      <c r="D25" s="85">
        <v>6045928</v>
      </c>
      <c r="E25" s="86">
        <v>0</v>
      </c>
      <c r="F25" s="85">
        <v>1354.9166666666699</v>
      </c>
      <c r="L25" s="78">
        <v>109</v>
      </c>
      <c r="M25" s="78" t="str">
        <f t="shared" si="0"/>
        <v>Yes</v>
      </c>
    </row>
    <row r="26" spans="1:13">
      <c r="A26" s="78">
        <v>110</v>
      </c>
      <c r="B26" s="78" t="s">
        <v>103</v>
      </c>
      <c r="C26" s="93">
        <v>30251.42</v>
      </c>
      <c r="D26" s="85">
        <v>107156</v>
      </c>
      <c r="E26" s="86">
        <v>0</v>
      </c>
      <c r="F26" s="85">
        <v>51.666666666666003</v>
      </c>
      <c r="L26" s="78">
        <v>110</v>
      </c>
      <c r="M26" s="78" t="str">
        <f t="shared" si="0"/>
        <v>Yes</v>
      </c>
    </row>
    <row r="27" spans="1:13">
      <c r="A27" s="78">
        <v>111</v>
      </c>
      <c r="B27" s="78" t="s">
        <v>104</v>
      </c>
      <c r="C27" s="93">
        <v>170628.81</v>
      </c>
      <c r="D27" s="85">
        <v>303134</v>
      </c>
      <c r="E27" s="86">
        <v>0</v>
      </c>
      <c r="F27" s="85">
        <v>187.833333333333</v>
      </c>
      <c r="L27" s="78">
        <v>111</v>
      </c>
      <c r="M27" s="78" t="str">
        <f t="shared" si="0"/>
        <v>Yes</v>
      </c>
    </row>
    <row r="28" spans="1:13">
      <c r="A28" s="78">
        <v>113</v>
      </c>
      <c r="B28" s="78" t="s">
        <v>105</v>
      </c>
      <c r="C28" s="93">
        <v>1732980.83</v>
      </c>
      <c r="D28" s="85">
        <v>6301004</v>
      </c>
      <c r="E28" s="86">
        <v>0</v>
      </c>
      <c r="F28" s="85">
        <v>8428.3333333333303</v>
      </c>
      <c r="L28" s="78">
        <v>113</v>
      </c>
      <c r="M28" s="78" t="str">
        <f t="shared" si="0"/>
        <v>Yes</v>
      </c>
    </row>
    <row r="29" spans="1:13">
      <c r="A29" s="78">
        <v>116</v>
      </c>
      <c r="B29" s="78" t="s">
        <v>106</v>
      </c>
      <c r="C29" s="93">
        <v>273434.02</v>
      </c>
      <c r="D29" s="85">
        <v>1207778</v>
      </c>
      <c r="E29" s="86">
        <v>0</v>
      </c>
      <c r="F29" s="85">
        <v>238.25</v>
      </c>
      <c r="L29" s="78">
        <v>116</v>
      </c>
      <c r="M29" s="78" t="str">
        <f t="shared" si="0"/>
        <v>Yes</v>
      </c>
    </row>
    <row r="30" spans="1:13">
      <c r="A30" s="78">
        <v>120</v>
      </c>
      <c r="B30" s="78" t="s">
        <v>107</v>
      </c>
      <c r="C30" s="93">
        <v>500.6</v>
      </c>
      <c r="D30" s="78">
        <v>1205</v>
      </c>
      <c r="E30" s="86">
        <v>0</v>
      </c>
      <c r="F30" s="85">
        <v>1</v>
      </c>
      <c r="L30" s="78">
        <v>120</v>
      </c>
      <c r="M30" s="78" t="str">
        <f t="shared" si="0"/>
        <v>Yes</v>
      </c>
    </row>
    <row r="31" spans="1:13">
      <c r="A31" s="78">
        <v>122</v>
      </c>
      <c r="B31" s="78" t="s">
        <v>108</v>
      </c>
      <c r="C31" s="93">
        <v>26601.3</v>
      </c>
      <c r="D31" s="85">
        <v>43496</v>
      </c>
      <c r="E31" s="86">
        <v>0</v>
      </c>
      <c r="F31" s="85">
        <v>13</v>
      </c>
      <c r="L31" s="78">
        <v>122</v>
      </c>
      <c r="M31" s="78" t="str">
        <f t="shared" si="0"/>
        <v>Yes</v>
      </c>
    </row>
    <row r="32" spans="1:13">
      <c r="A32" s="78">
        <v>126</v>
      </c>
      <c r="B32" s="78" t="s">
        <v>109</v>
      </c>
      <c r="C32" s="93">
        <v>666.9</v>
      </c>
      <c r="D32" s="85">
        <v>1998</v>
      </c>
      <c r="E32" s="86">
        <v>0</v>
      </c>
      <c r="F32" s="85">
        <v>1</v>
      </c>
      <c r="L32" s="78">
        <v>126</v>
      </c>
      <c r="M32" s="78" t="str">
        <f t="shared" si="0"/>
        <v>Yes</v>
      </c>
    </row>
    <row r="33" spans="1:13">
      <c r="A33" s="78">
        <v>130</v>
      </c>
      <c r="B33" s="94" t="s">
        <v>110</v>
      </c>
      <c r="C33" s="93">
        <v>8791.1299999999992</v>
      </c>
      <c r="D33" s="85">
        <v>26666</v>
      </c>
      <c r="E33" s="86">
        <v>0</v>
      </c>
      <c r="F33" s="85">
        <v>22.833333333333002</v>
      </c>
      <c r="L33" s="78">
        <v>130</v>
      </c>
      <c r="M33" s="78" t="str">
        <f t="shared" si="0"/>
        <v>Yes</v>
      </c>
    </row>
    <row r="34" spans="1:13">
      <c r="A34" s="78">
        <v>131</v>
      </c>
      <c r="B34" s="78" t="s">
        <v>111</v>
      </c>
      <c r="C34" s="93">
        <v>40334.269999999997</v>
      </c>
      <c r="D34" s="85">
        <v>225267</v>
      </c>
      <c r="E34" s="86">
        <v>0</v>
      </c>
      <c r="F34" s="85">
        <v>30.666666666666</v>
      </c>
      <c r="L34" s="78">
        <v>131</v>
      </c>
      <c r="M34" s="78" t="str">
        <f t="shared" si="0"/>
        <v>Yes</v>
      </c>
    </row>
    <row r="35" spans="1:13">
      <c r="A35" s="78">
        <v>136</v>
      </c>
      <c r="B35" s="78" t="s">
        <v>112</v>
      </c>
      <c r="C35" s="93">
        <v>1470.34</v>
      </c>
      <c r="D35" s="85">
        <v>5672</v>
      </c>
      <c r="E35" s="86">
        <v>0</v>
      </c>
      <c r="F35" s="85">
        <v>3</v>
      </c>
      <c r="L35" s="78">
        <v>136</v>
      </c>
      <c r="M35" s="78" t="str">
        <f t="shared" si="0"/>
        <v>Yes</v>
      </c>
    </row>
    <row r="36" spans="1:13">
      <c r="A36" s="78">
        <v>150</v>
      </c>
      <c r="B36" s="93" t="s">
        <v>113</v>
      </c>
      <c r="C36" s="93">
        <v>2925347.74</v>
      </c>
      <c r="D36" s="85">
        <v>6855351</v>
      </c>
      <c r="E36" s="86">
        <v>0</v>
      </c>
      <c r="F36" s="85">
        <v>22639.666666666701</v>
      </c>
      <c r="L36" s="78">
        <v>150</v>
      </c>
      <c r="M36" s="78" t="str">
        <f t="shared" si="0"/>
        <v>Yes</v>
      </c>
    </row>
    <row r="37" spans="1:13">
      <c r="A37" s="78">
        <v>151</v>
      </c>
      <c r="B37" s="93" t="s">
        <v>114</v>
      </c>
      <c r="C37" s="93">
        <v>1006.99</v>
      </c>
      <c r="D37" s="85">
        <v>3264</v>
      </c>
      <c r="E37" s="86">
        <v>0</v>
      </c>
      <c r="F37" s="85">
        <v>7.1666666666659999</v>
      </c>
      <c r="L37" s="78">
        <v>151</v>
      </c>
      <c r="M37" s="78" t="str">
        <f t="shared" si="0"/>
        <v>Yes</v>
      </c>
    </row>
    <row r="38" spans="1:13">
      <c r="A38" s="78">
        <v>152</v>
      </c>
      <c r="B38" s="93" t="s">
        <v>115</v>
      </c>
      <c r="C38" s="93">
        <v>3089.66</v>
      </c>
      <c r="D38" s="85">
        <v>13990</v>
      </c>
      <c r="E38" s="86">
        <v>0</v>
      </c>
      <c r="F38" s="85">
        <v>16.416666666666</v>
      </c>
      <c r="L38" s="78">
        <v>152</v>
      </c>
      <c r="M38" s="78" t="str">
        <f t="shared" si="0"/>
        <v>Yes</v>
      </c>
    </row>
    <row r="39" spans="1:13">
      <c r="A39" s="78">
        <v>153</v>
      </c>
      <c r="B39" s="93" t="s">
        <v>116</v>
      </c>
      <c r="C39" s="93">
        <v>3895.64</v>
      </c>
      <c r="D39" s="85">
        <v>19008</v>
      </c>
      <c r="E39" s="86">
        <v>0</v>
      </c>
      <c r="F39" s="85">
        <v>8</v>
      </c>
      <c r="L39" s="78">
        <v>153</v>
      </c>
      <c r="M39" s="78" t="str">
        <f t="shared" si="0"/>
        <v>Yes</v>
      </c>
    </row>
    <row r="40" spans="1:13">
      <c r="A40" s="78">
        <v>160</v>
      </c>
      <c r="B40" s="93" t="s">
        <v>117</v>
      </c>
      <c r="C40" s="93">
        <v>20848.54</v>
      </c>
      <c r="D40" s="85">
        <v>21903</v>
      </c>
      <c r="E40" s="86">
        <v>0</v>
      </c>
      <c r="F40" s="85">
        <v>42.5</v>
      </c>
      <c r="L40" s="78">
        <v>160</v>
      </c>
      <c r="M40" s="78" t="str">
        <f t="shared" si="0"/>
        <v>Yes</v>
      </c>
    </row>
    <row r="41" spans="1:13">
      <c r="A41" s="78">
        <v>165</v>
      </c>
      <c r="B41" s="93" t="s">
        <v>118</v>
      </c>
      <c r="C41" s="93">
        <v>529035.59</v>
      </c>
      <c r="D41" s="85">
        <v>913776</v>
      </c>
      <c r="E41" s="86">
        <v>0</v>
      </c>
      <c r="F41" s="85">
        <v>610.5</v>
      </c>
      <c r="L41" s="78">
        <v>165</v>
      </c>
      <c r="M41" s="78" t="str">
        <f t="shared" si="0"/>
        <v>Yes</v>
      </c>
    </row>
    <row r="42" spans="1:13">
      <c r="A42" s="78">
        <v>166</v>
      </c>
      <c r="B42" s="93" t="s">
        <v>119</v>
      </c>
      <c r="C42" s="93">
        <v>144325.37</v>
      </c>
      <c r="D42" s="85">
        <v>391078</v>
      </c>
      <c r="E42" s="86">
        <v>0</v>
      </c>
      <c r="F42" s="85">
        <v>102.166666666667</v>
      </c>
      <c r="L42" s="78">
        <v>166</v>
      </c>
      <c r="M42" s="78" t="str">
        <f t="shared" si="0"/>
        <v>Yes</v>
      </c>
    </row>
    <row r="43" spans="1:13">
      <c r="A43" s="88"/>
      <c r="B43" s="88" t="s">
        <v>120</v>
      </c>
      <c r="C43" s="89">
        <f>SUM(C17:C42)</f>
        <v>9617965.8599999975</v>
      </c>
      <c r="D43" s="89">
        <f>SUM(D17:D42)</f>
        <v>30820442</v>
      </c>
      <c r="E43" s="89">
        <f>SUM(E17:E42)</f>
        <v>0</v>
      </c>
      <c r="F43" s="90">
        <f>SUM(F17:F42)</f>
        <v>46038.500000000022</v>
      </c>
      <c r="G43" s="88"/>
      <c r="H43" s="90">
        <f>ROUND((D43/F43)/12,0)</f>
        <v>56</v>
      </c>
      <c r="I43" s="91">
        <f>(C43/F43)/12</f>
        <v>17.409280384895236</v>
      </c>
      <c r="J43" s="90">
        <f>(E43/F43)/12</f>
        <v>0</v>
      </c>
      <c r="K43" s="87"/>
    </row>
    <row r="44" spans="1:13">
      <c r="A44" s="78">
        <v>204</v>
      </c>
      <c r="B44" s="78" t="s">
        <v>121</v>
      </c>
      <c r="C44" s="93">
        <v>158022.76999999999</v>
      </c>
      <c r="D44" s="85">
        <v>584194</v>
      </c>
      <c r="E44" s="86">
        <v>0</v>
      </c>
      <c r="F44" s="85">
        <v>332.58333333333297</v>
      </c>
      <c r="L44" s="78">
        <v>204</v>
      </c>
      <c r="M44" s="78" t="str">
        <f t="shared" si="0"/>
        <v>Yes</v>
      </c>
    </row>
    <row r="45" spans="1:13">
      <c r="A45" s="78">
        <v>211</v>
      </c>
      <c r="B45" s="78" t="s">
        <v>122</v>
      </c>
      <c r="C45" s="84">
        <v>86081324.489999995</v>
      </c>
      <c r="D45" s="85">
        <v>463445647</v>
      </c>
      <c r="E45" s="86">
        <v>1487199.7</v>
      </c>
      <c r="F45" s="85">
        <v>27262</v>
      </c>
      <c r="L45" s="78">
        <v>211</v>
      </c>
      <c r="M45" s="78" t="str">
        <f t="shared" si="0"/>
        <v>Yes</v>
      </c>
    </row>
    <row r="46" spans="1:13">
      <c r="A46" s="78">
        <v>213</v>
      </c>
      <c r="B46" s="78" t="s">
        <v>123</v>
      </c>
      <c r="C46" s="84">
        <v>500625.12</v>
      </c>
      <c r="D46" s="85">
        <v>2090378</v>
      </c>
      <c r="E46" s="86">
        <v>0</v>
      </c>
      <c r="F46" s="85">
        <v>577.16666666666697</v>
      </c>
      <c r="L46" s="78">
        <v>213</v>
      </c>
      <c r="M46" s="78" t="str">
        <f t="shared" si="0"/>
        <v>Yes</v>
      </c>
    </row>
    <row r="47" spans="1:13">
      <c r="A47" s="78">
        <v>214</v>
      </c>
      <c r="B47" s="78" t="s">
        <v>124</v>
      </c>
      <c r="C47" s="84">
        <v>250587.81</v>
      </c>
      <c r="D47" s="85">
        <v>1331645</v>
      </c>
      <c r="E47" s="86">
        <v>30757.4</v>
      </c>
      <c r="F47" s="85">
        <v>88.5</v>
      </c>
      <c r="L47" s="78">
        <v>214</v>
      </c>
      <c r="M47" s="78" t="str">
        <f t="shared" si="0"/>
        <v>Yes</v>
      </c>
    </row>
    <row r="48" spans="1:13">
      <c r="A48" s="78">
        <v>215</v>
      </c>
      <c r="B48" s="78" t="s">
        <v>122</v>
      </c>
      <c r="C48" s="84">
        <v>20316214.68</v>
      </c>
      <c r="D48" s="85">
        <v>117689153</v>
      </c>
      <c r="E48" s="86">
        <v>475954.5</v>
      </c>
      <c r="F48" s="85">
        <v>1822.4166666666699</v>
      </c>
      <c r="L48" s="78">
        <v>215</v>
      </c>
      <c r="M48" s="78" t="str">
        <f t="shared" si="0"/>
        <v>Yes</v>
      </c>
    </row>
    <row r="49" spans="1:13">
      <c r="A49" s="78">
        <v>217</v>
      </c>
      <c r="B49" s="78" t="s">
        <v>125</v>
      </c>
      <c r="C49" s="84">
        <v>601009.19999999995</v>
      </c>
      <c r="D49" s="85">
        <v>3494419</v>
      </c>
      <c r="E49" s="86">
        <v>16586.7</v>
      </c>
      <c r="F49" s="85">
        <v>29.833333333333002</v>
      </c>
      <c r="L49" s="78">
        <v>217</v>
      </c>
      <c r="M49" s="78" t="str">
        <f t="shared" si="0"/>
        <v>Yes</v>
      </c>
    </row>
    <row r="50" spans="1:13">
      <c r="A50" s="78">
        <v>218</v>
      </c>
      <c r="B50" s="78" t="s">
        <v>122</v>
      </c>
      <c r="C50" s="84">
        <v>34844.449999999997</v>
      </c>
      <c r="D50" s="85">
        <v>206957</v>
      </c>
      <c r="E50" s="86">
        <v>722.4</v>
      </c>
      <c r="F50" s="85">
        <v>1</v>
      </c>
      <c r="L50" s="78">
        <v>218</v>
      </c>
      <c r="M50" s="78" t="str">
        <f t="shared" si="0"/>
        <v>Yes</v>
      </c>
    </row>
    <row r="51" spans="1:13">
      <c r="A51" s="78">
        <v>220</v>
      </c>
      <c r="B51" s="78" t="s">
        <v>126</v>
      </c>
      <c r="C51" s="84">
        <v>571063.73</v>
      </c>
      <c r="D51" s="85">
        <v>3582870</v>
      </c>
      <c r="E51" s="86">
        <v>9558.5</v>
      </c>
      <c r="F51" s="85">
        <v>40</v>
      </c>
      <c r="L51" s="78">
        <v>220</v>
      </c>
      <c r="M51" s="78" t="str">
        <f t="shared" si="0"/>
        <v>Yes</v>
      </c>
    </row>
    <row r="52" spans="1:13" ht="13.5" thickBot="1">
      <c r="A52" s="78">
        <v>223</v>
      </c>
      <c r="B52" s="78" t="s">
        <v>127</v>
      </c>
      <c r="C52" s="84">
        <v>140590.69</v>
      </c>
      <c r="D52" s="85">
        <v>814833</v>
      </c>
      <c r="E52" s="86">
        <v>0</v>
      </c>
      <c r="F52" s="85">
        <v>36.833333333333002</v>
      </c>
      <c r="L52" s="78">
        <v>223</v>
      </c>
      <c r="M52" s="78" t="str">
        <f t="shared" si="0"/>
        <v>Yes</v>
      </c>
    </row>
    <row r="53" spans="1:13">
      <c r="A53" s="95">
        <v>225</v>
      </c>
      <c r="B53" s="96" t="s">
        <v>128</v>
      </c>
      <c r="C53" s="97">
        <v>117410.53</v>
      </c>
      <c r="D53" s="98">
        <v>675824</v>
      </c>
      <c r="E53" s="99">
        <v>115.7</v>
      </c>
      <c r="F53" s="98">
        <v>24.916666666666</v>
      </c>
      <c r="G53" s="96"/>
      <c r="H53" s="96"/>
      <c r="I53" s="96"/>
      <c r="J53" s="100"/>
      <c r="L53" s="78">
        <v>225</v>
      </c>
      <c r="M53" s="78" t="str">
        <f t="shared" si="0"/>
        <v>Yes</v>
      </c>
    </row>
    <row r="54" spans="1:13">
      <c r="A54" s="101">
        <v>227</v>
      </c>
      <c r="B54" s="78" t="s">
        <v>129</v>
      </c>
      <c r="C54" s="93">
        <v>1366760.37</v>
      </c>
      <c r="D54" s="85">
        <v>7377355</v>
      </c>
      <c r="E54" s="86">
        <v>0</v>
      </c>
      <c r="F54" s="85">
        <v>490.58333333333297</v>
      </c>
      <c r="J54" s="102"/>
      <c r="K54" s="87"/>
      <c r="L54" s="78">
        <v>227</v>
      </c>
      <c r="M54" s="78" t="str">
        <f t="shared" si="0"/>
        <v>Yes</v>
      </c>
    </row>
    <row r="55" spans="1:13">
      <c r="A55" s="103"/>
      <c r="B55" s="104" t="s">
        <v>130</v>
      </c>
      <c r="C55" s="105">
        <f>SUM(C53:C54)</f>
        <v>1484170.9000000001</v>
      </c>
      <c r="D55" s="105">
        <f>SUM(D53:D54)</f>
        <v>8053179</v>
      </c>
      <c r="E55" s="105">
        <f>SUM(E53:E54)</f>
        <v>115.7</v>
      </c>
      <c r="F55" s="105">
        <f>SUM(F53:F54)</f>
        <v>515.49999999999898</v>
      </c>
      <c r="G55" s="104"/>
      <c r="H55" s="106">
        <f>ROUND((D55/F55)/12,0)</f>
        <v>1302</v>
      </c>
      <c r="I55" s="107">
        <f>(C55/F55)/12</f>
        <v>239.92416747494391</v>
      </c>
      <c r="J55" s="108">
        <f>(E55/F55)/12</f>
        <v>1.8703524086647307E-2</v>
      </c>
      <c r="K55" s="87"/>
    </row>
    <row r="56" spans="1:13">
      <c r="A56" s="101">
        <v>229</v>
      </c>
      <c r="B56" s="78" t="s">
        <v>131</v>
      </c>
      <c r="C56" s="93">
        <v>1189040.99</v>
      </c>
      <c r="D56" s="85">
        <v>7379980</v>
      </c>
      <c r="E56" s="86">
        <v>3549.2</v>
      </c>
      <c r="F56" s="85">
        <v>143.166666666667</v>
      </c>
      <c r="J56" s="102"/>
      <c r="L56" s="78">
        <v>229</v>
      </c>
      <c r="M56" s="78" t="str">
        <f t="shared" si="0"/>
        <v>Yes</v>
      </c>
    </row>
    <row r="57" spans="1:13" ht="13.5" thickBot="1">
      <c r="A57" s="109"/>
      <c r="B57" s="110" t="s">
        <v>132</v>
      </c>
      <c r="C57" s="111">
        <f>SUM(C56)</f>
        <v>1189040.99</v>
      </c>
      <c r="D57" s="111">
        <f>SUM(D56)</f>
        <v>7379980</v>
      </c>
      <c r="E57" s="111">
        <f>SUM(E56)</f>
        <v>3549.2</v>
      </c>
      <c r="F57" s="112">
        <f>SUM(F56)</f>
        <v>143.166666666667</v>
      </c>
      <c r="G57" s="110"/>
      <c r="H57" s="112">
        <f>ROUND((D57/F57)/12,0)</f>
        <v>4296</v>
      </c>
      <c r="I57" s="113">
        <f>(C57/F57)/12</f>
        <v>692.10767753201242</v>
      </c>
      <c r="J57" s="114">
        <f>(E57/F57)/12</f>
        <v>2.0658905704307284</v>
      </c>
      <c r="K57" s="87"/>
    </row>
    <row r="58" spans="1:13">
      <c r="A58" s="78">
        <v>236</v>
      </c>
      <c r="B58" s="78" t="s">
        <v>133</v>
      </c>
      <c r="C58" s="84">
        <v>41190.58</v>
      </c>
      <c r="D58" s="85">
        <v>134795</v>
      </c>
      <c r="E58" s="86">
        <v>36.4</v>
      </c>
      <c r="F58" s="85">
        <v>4</v>
      </c>
      <c r="L58" s="78">
        <v>236</v>
      </c>
      <c r="M58" s="78" t="str">
        <f t="shared" si="0"/>
        <v>Yes</v>
      </c>
    </row>
    <row r="59" spans="1:13">
      <c r="A59" s="88"/>
      <c r="B59" s="88" t="s">
        <v>134</v>
      </c>
      <c r="C59" s="89">
        <f>SUM(C44:C52,C58)</f>
        <v>108695473.52000001</v>
      </c>
      <c r="D59" s="89">
        <f>SUM(D44:D52,D58)</f>
        <v>593374891</v>
      </c>
      <c r="E59" s="89">
        <f>SUM(E44:E52,E58)</f>
        <v>2020815.5999999996</v>
      </c>
      <c r="F59" s="90">
        <f>SUM(F44:F52,F58)</f>
        <v>30194.333333333336</v>
      </c>
      <c r="G59" s="88"/>
      <c r="H59" s="90">
        <f>ROUND((D59/F59)/12,0)</f>
        <v>1638</v>
      </c>
      <c r="I59" s="91">
        <f>(C59/F59)/12</f>
        <v>299.98861132883656</v>
      </c>
      <c r="J59" s="90">
        <f>(E59/F59)/12</f>
        <v>5.5772484903348287</v>
      </c>
      <c r="K59" s="87"/>
    </row>
    <row r="60" spans="1:13">
      <c r="A60" s="78">
        <v>240</v>
      </c>
      <c r="B60" s="78" t="s">
        <v>135</v>
      </c>
      <c r="C60" s="84">
        <v>42555918.960000001</v>
      </c>
      <c r="D60" s="85">
        <v>279110459</v>
      </c>
      <c r="E60" s="86">
        <v>795184</v>
      </c>
      <c r="F60" s="115">
        <v>345.83333333333297</v>
      </c>
      <c r="L60" s="78">
        <v>240</v>
      </c>
      <c r="M60" s="78" t="str">
        <f t="shared" si="0"/>
        <v>Yes</v>
      </c>
    </row>
    <row r="61" spans="1:13">
      <c r="A61" s="78">
        <v>242</v>
      </c>
      <c r="B61" s="78" t="s">
        <v>136</v>
      </c>
      <c r="C61" s="84">
        <v>923946.2</v>
      </c>
      <c r="D61" s="85">
        <v>6303191</v>
      </c>
      <c r="E61" s="86">
        <v>15816</v>
      </c>
      <c r="F61" s="115">
        <v>7</v>
      </c>
      <c r="L61" s="78">
        <v>242</v>
      </c>
      <c r="M61" s="78" t="str">
        <f t="shared" si="0"/>
        <v>Yes</v>
      </c>
    </row>
    <row r="62" spans="1:13">
      <c r="A62" s="78">
        <v>244</v>
      </c>
      <c r="B62" s="78" t="s">
        <v>137</v>
      </c>
      <c r="C62" s="84">
        <v>11748881.130000001</v>
      </c>
      <c r="D62" s="85">
        <v>79467688</v>
      </c>
      <c r="E62" s="86">
        <v>272976</v>
      </c>
      <c r="F62" s="115">
        <v>58.833333333333002</v>
      </c>
      <c r="L62" s="78">
        <v>244</v>
      </c>
      <c r="M62" s="78" t="str">
        <f t="shared" si="0"/>
        <v>Yes</v>
      </c>
    </row>
    <row r="63" spans="1:13">
      <c r="A63" s="78">
        <v>246</v>
      </c>
      <c r="B63" s="78" t="s">
        <v>138</v>
      </c>
      <c r="C63" s="93">
        <v>92626.17</v>
      </c>
      <c r="D63" s="85">
        <v>650813</v>
      </c>
      <c r="E63" s="86">
        <v>1982</v>
      </c>
      <c r="F63" s="115">
        <v>1</v>
      </c>
      <c r="L63" s="78">
        <v>246</v>
      </c>
      <c r="M63" s="78" t="str">
        <f t="shared" si="0"/>
        <v>Yes</v>
      </c>
    </row>
    <row r="64" spans="1:13">
      <c r="A64" s="78">
        <v>248</v>
      </c>
      <c r="B64" s="78" t="s">
        <v>139</v>
      </c>
      <c r="C64" s="84">
        <v>777643.15</v>
      </c>
      <c r="D64" s="85">
        <v>6956717</v>
      </c>
      <c r="E64" s="86">
        <v>17689</v>
      </c>
      <c r="F64" s="115">
        <v>7.25</v>
      </c>
      <c r="L64" s="78">
        <v>248</v>
      </c>
      <c r="M64" s="78" t="str">
        <f t="shared" si="0"/>
        <v>Yes</v>
      </c>
    </row>
    <row r="65" spans="1:13">
      <c r="A65" s="78">
        <v>250</v>
      </c>
      <c r="B65" s="78" t="s">
        <v>140</v>
      </c>
      <c r="C65" s="84">
        <v>101433.58</v>
      </c>
      <c r="D65" s="85">
        <v>1129995</v>
      </c>
      <c r="E65" s="86">
        <v>5040</v>
      </c>
      <c r="F65" s="115">
        <v>1</v>
      </c>
      <c r="L65" s="78">
        <v>250</v>
      </c>
      <c r="M65" s="78" t="str">
        <f t="shared" si="0"/>
        <v>Yes</v>
      </c>
    </row>
    <row r="66" spans="1:13">
      <c r="A66" s="78">
        <v>251</v>
      </c>
      <c r="B66" s="78" t="s">
        <v>141</v>
      </c>
      <c r="C66" s="84">
        <v>142216.72</v>
      </c>
      <c r="D66" s="85">
        <v>922402</v>
      </c>
      <c r="E66" s="86">
        <v>0</v>
      </c>
      <c r="F66" s="115">
        <v>5</v>
      </c>
      <c r="L66" s="78">
        <v>251</v>
      </c>
      <c r="M66" s="78" t="str">
        <f t="shared" si="0"/>
        <v>Yes</v>
      </c>
    </row>
    <row r="67" spans="1:13">
      <c r="A67" s="78">
        <v>256</v>
      </c>
      <c r="B67" s="78" t="s">
        <v>142</v>
      </c>
      <c r="C67" s="84">
        <v>763265.79</v>
      </c>
      <c r="D67" s="85">
        <v>5472729</v>
      </c>
      <c r="E67" s="86">
        <v>12543</v>
      </c>
      <c r="F67" s="115">
        <v>5.6666666666659999</v>
      </c>
      <c r="L67" s="78">
        <v>256</v>
      </c>
      <c r="M67" s="78" t="str">
        <f t="shared" si="0"/>
        <v>Yes</v>
      </c>
    </row>
    <row r="68" spans="1:13">
      <c r="A68" s="78">
        <v>257</v>
      </c>
      <c r="B68" s="94" t="s">
        <v>143</v>
      </c>
      <c r="C68" s="84">
        <v>439955.49</v>
      </c>
      <c r="D68" s="85">
        <v>3438606</v>
      </c>
      <c r="E68" s="86">
        <v>6205</v>
      </c>
      <c r="F68" s="115">
        <v>1.9166666666659999</v>
      </c>
      <c r="L68" s="78">
        <v>257</v>
      </c>
      <c r="M68" s="78" t="str">
        <f t="shared" si="0"/>
        <v>Yes</v>
      </c>
    </row>
    <row r="69" spans="1:13">
      <c r="A69" s="78">
        <v>260</v>
      </c>
      <c r="B69" s="78" t="s">
        <v>144</v>
      </c>
      <c r="C69" s="84">
        <v>13366119.52</v>
      </c>
      <c r="D69" s="85">
        <v>79970419</v>
      </c>
      <c r="E69" s="86">
        <v>301778</v>
      </c>
      <c r="F69" s="115">
        <v>126.833333333333</v>
      </c>
      <c r="L69" s="78">
        <v>260</v>
      </c>
      <c r="M69" s="78" t="str">
        <f t="shared" ref="M69:M82" si="1">IF(L69=A69,"Yes","No")</f>
        <v>Yes</v>
      </c>
    </row>
    <row r="70" spans="1:13">
      <c r="A70" s="78">
        <v>264</v>
      </c>
      <c r="B70" s="78" t="s">
        <v>145</v>
      </c>
      <c r="C70" s="84">
        <v>285496.3</v>
      </c>
      <c r="D70" s="85">
        <v>2011738</v>
      </c>
      <c r="E70" s="86">
        <v>6603</v>
      </c>
      <c r="F70" s="115">
        <v>1</v>
      </c>
      <c r="L70" s="78">
        <v>264</v>
      </c>
      <c r="M70" s="78" t="str">
        <f t="shared" si="1"/>
        <v>Yes</v>
      </c>
    </row>
    <row r="71" spans="1:13">
      <c r="A71" s="88"/>
      <c r="B71" s="88" t="s">
        <v>146</v>
      </c>
      <c r="C71" s="89">
        <f>SUM(C60:C70)</f>
        <v>71197503.010000005</v>
      </c>
      <c r="D71" s="89">
        <f>SUM(D60:D70)</f>
        <v>465434757</v>
      </c>
      <c r="E71" s="89">
        <f>SUM(E60:E70)</f>
        <v>1435816</v>
      </c>
      <c r="F71" s="90">
        <f>SUM(F60:F70)</f>
        <v>561.33333333333098</v>
      </c>
      <c r="G71" s="88"/>
      <c r="H71" s="90">
        <f>ROUND((D71/F71)/12,0)</f>
        <v>69097</v>
      </c>
      <c r="I71" s="91">
        <f>(C71/F71)/12</f>
        <v>10569.700565617622</v>
      </c>
      <c r="J71" s="90">
        <f>(E71/F71)/12</f>
        <v>213.15558194774437</v>
      </c>
      <c r="K71" s="87"/>
      <c r="L71" s="116"/>
    </row>
    <row r="72" spans="1:13">
      <c r="A72" s="78">
        <v>330</v>
      </c>
      <c r="B72" s="94" t="s">
        <v>147</v>
      </c>
      <c r="C72" s="84">
        <v>1989173.96</v>
      </c>
      <c r="D72" s="85">
        <v>11814393</v>
      </c>
      <c r="E72" s="86">
        <v>50806</v>
      </c>
      <c r="F72" s="115">
        <v>2</v>
      </c>
      <c r="L72" s="78">
        <v>330</v>
      </c>
      <c r="M72" s="78" t="str">
        <f t="shared" si="1"/>
        <v>Yes</v>
      </c>
    </row>
    <row r="73" spans="1:13">
      <c r="A73" s="78">
        <v>331</v>
      </c>
      <c r="B73" s="78" t="s">
        <v>148</v>
      </c>
      <c r="C73" s="84">
        <v>6192496.2199999997</v>
      </c>
      <c r="D73" s="117">
        <v>115733568</v>
      </c>
      <c r="E73" s="118">
        <v>202425.60000000001</v>
      </c>
      <c r="F73" s="115">
        <v>1</v>
      </c>
      <c r="L73" s="78">
        <v>331</v>
      </c>
      <c r="M73" s="78" t="str">
        <f t="shared" si="1"/>
        <v>Yes</v>
      </c>
    </row>
    <row r="74" spans="1:13">
      <c r="A74" s="78">
        <v>332</v>
      </c>
      <c r="B74" s="78" t="s">
        <v>149</v>
      </c>
      <c r="C74" s="84">
        <v>1555812.43</v>
      </c>
      <c r="D74" s="117">
        <v>14494031</v>
      </c>
      <c r="E74" s="118">
        <v>42047</v>
      </c>
      <c r="F74" s="115">
        <v>1</v>
      </c>
      <c r="L74" s="78">
        <v>332</v>
      </c>
      <c r="M74" s="78" t="str">
        <f t="shared" si="1"/>
        <v>Yes</v>
      </c>
    </row>
    <row r="75" spans="1:13">
      <c r="A75" s="78">
        <v>333</v>
      </c>
      <c r="B75" s="78" t="s">
        <v>150</v>
      </c>
      <c r="C75" s="84">
        <v>3168776.64</v>
      </c>
      <c r="D75" s="117">
        <v>32154207</v>
      </c>
      <c r="E75" s="118">
        <v>101856</v>
      </c>
      <c r="F75" s="115">
        <v>1</v>
      </c>
      <c r="L75" s="78">
        <v>333</v>
      </c>
      <c r="M75" s="78" t="str">
        <f t="shared" si="1"/>
        <v>Yes</v>
      </c>
    </row>
    <row r="76" spans="1:13">
      <c r="A76" s="78">
        <v>356</v>
      </c>
      <c r="B76" s="78" t="s">
        <v>151</v>
      </c>
      <c r="C76" s="84">
        <v>2345350.3199999998</v>
      </c>
      <c r="D76" s="85">
        <v>20322403</v>
      </c>
      <c r="E76" s="86">
        <v>40313</v>
      </c>
      <c r="F76" s="115">
        <v>5.333333333333</v>
      </c>
      <c r="L76" s="78">
        <v>356</v>
      </c>
      <c r="M76" s="78" t="str">
        <f t="shared" si="1"/>
        <v>Yes</v>
      </c>
    </row>
    <row r="77" spans="1:13">
      <c r="A77" s="78">
        <v>358</v>
      </c>
      <c r="B77" s="78" t="s">
        <v>152</v>
      </c>
      <c r="C77" s="84">
        <v>26388152.75</v>
      </c>
      <c r="D77" s="85">
        <v>221934782</v>
      </c>
      <c r="E77" s="86">
        <v>505333</v>
      </c>
      <c r="F77" s="115">
        <v>31.416666666666</v>
      </c>
      <c r="L77" s="78">
        <v>358</v>
      </c>
      <c r="M77" s="78" t="str">
        <f t="shared" si="1"/>
        <v>Yes</v>
      </c>
    </row>
    <row r="78" spans="1:13">
      <c r="A78" s="78">
        <v>359</v>
      </c>
      <c r="B78" s="78" t="s">
        <v>153</v>
      </c>
      <c r="C78" s="84">
        <v>27228274.66</v>
      </c>
      <c r="D78" s="85">
        <v>332578552</v>
      </c>
      <c r="E78" s="86">
        <v>660490</v>
      </c>
      <c r="F78" s="115">
        <v>12.666666666666</v>
      </c>
      <c r="L78" s="78">
        <v>359</v>
      </c>
      <c r="M78" s="78" t="str">
        <f t="shared" si="1"/>
        <v>Yes</v>
      </c>
    </row>
    <row r="79" spans="1:13">
      <c r="A79" s="78">
        <v>360</v>
      </c>
      <c r="B79" s="78" t="s">
        <v>154</v>
      </c>
      <c r="C79" s="84">
        <v>1195311.83</v>
      </c>
      <c r="D79" s="85">
        <v>8689000</v>
      </c>
      <c r="E79" s="86">
        <v>43032</v>
      </c>
      <c r="F79" s="115">
        <v>1</v>
      </c>
      <c r="L79" s="78">
        <v>360</v>
      </c>
      <c r="M79" s="78" t="str">
        <f t="shared" si="1"/>
        <v>Yes</v>
      </c>
    </row>
    <row r="80" spans="1:13">
      <c r="A80" s="78">
        <v>370</v>
      </c>
      <c r="B80" s="78" t="s">
        <v>154</v>
      </c>
      <c r="C80" s="84">
        <v>820001.83</v>
      </c>
      <c r="D80" s="85">
        <v>4956941</v>
      </c>
      <c r="E80" s="86">
        <v>14848</v>
      </c>
      <c r="F80" s="115">
        <v>1</v>
      </c>
      <c r="L80" s="78">
        <v>370</v>
      </c>
      <c r="M80" s="78" t="str">
        <f t="shared" si="1"/>
        <v>Yes</v>
      </c>
    </row>
    <row r="81" spans="1:13">
      <c r="A81" s="78">
        <v>371</v>
      </c>
      <c r="B81" s="78" t="s">
        <v>154</v>
      </c>
      <c r="C81" s="84">
        <v>99356709.019999996</v>
      </c>
      <c r="D81" s="85">
        <v>1288859113</v>
      </c>
      <c r="E81" s="86">
        <v>1857308</v>
      </c>
      <c r="F81" s="115">
        <v>3</v>
      </c>
      <c r="K81" s="87"/>
      <c r="L81" s="78">
        <v>371</v>
      </c>
      <c r="M81" s="78" t="str">
        <f t="shared" si="1"/>
        <v>Yes</v>
      </c>
    </row>
    <row r="82" spans="1:13">
      <c r="A82" s="78">
        <v>372</v>
      </c>
      <c r="B82" s="78" t="s">
        <v>154</v>
      </c>
      <c r="C82" s="84">
        <v>18049579.539999999</v>
      </c>
      <c r="D82" s="85">
        <v>227123038</v>
      </c>
      <c r="E82" s="86">
        <v>364803</v>
      </c>
      <c r="F82" s="115">
        <v>1</v>
      </c>
      <c r="L82" s="78">
        <v>372</v>
      </c>
      <c r="M82" s="78" t="str">
        <f t="shared" si="1"/>
        <v>Yes</v>
      </c>
    </row>
    <row r="83" spans="1:13">
      <c r="A83" s="88"/>
      <c r="B83" s="88" t="s">
        <v>155</v>
      </c>
      <c r="C83" s="89">
        <f>SUM(C72:C82)</f>
        <v>188289639.19999999</v>
      </c>
      <c r="D83" s="89">
        <f>SUM(D72:D82)</f>
        <v>2278660028</v>
      </c>
      <c r="E83" s="89">
        <f>SUM(E72:E82)</f>
        <v>3883261.6</v>
      </c>
      <c r="F83" s="90">
        <f>SUM(F72:F82)</f>
        <v>60.416666666664995</v>
      </c>
      <c r="G83" s="88"/>
      <c r="H83" s="90">
        <f>ROUND((D83/F83)/12,0)</f>
        <v>3142979</v>
      </c>
      <c r="I83" s="91">
        <f>(C83/F83)/12</f>
        <v>259709.84717242097</v>
      </c>
      <c r="J83" s="90">
        <f>(E83/F83)/12</f>
        <v>5356.2228965518725</v>
      </c>
      <c r="K83" s="87"/>
    </row>
    <row r="84" spans="1:13">
      <c r="A84" s="78">
        <v>528</v>
      </c>
      <c r="B84" s="78" t="s">
        <v>156</v>
      </c>
      <c r="C84" s="84">
        <v>1853212.09</v>
      </c>
      <c r="D84" s="85">
        <v>6838808</v>
      </c>
      <c r="E84" s="86">
        <v>0</v>
      </c>
      <c r="F84" s="115">
        <v>48.833333333333002</v>
      </c>
    </row>
    <row r="85" spans="1:13">
      <c r="A85" s="88"/>
      <c r="B85" s="88" t="s">
        <v>157</v>
      </c>
      <c r="C85" s="89">
        <f>SUM(C84)</f>
        <v>1853212.09</v>
      </c>
      <c r="D85" s="89">
        <f>SUM(D84)</f>
        <v>6838808</v>
      </c>
      <c r="E85" s="89">
        <f>SUM(E84)</f>
        <v>0</v>
      </c>
      <c r="F85" s="90">
        <f>SUM(F84)</f>
        <v>48.833333333333002</v>
      </c>
      <c r="G85" s="88"/>
      <c r="H85" s="90">
        <f>ROUND((D85/F85)/12,0)</f>
        <v>11670</v>
      </c>
      <c r="I85" s="91">
        <f>(C85/F85)/12</f>
        <v>3162.4779692832981</v>
      </c>
      <c r="J85" s="90">
        <f>(E85/F85)/12</f>
        <v>0</v>
      </c>
      <c r="K85" s="87"/>
    </row>
    <row r="86" spans="1:13">
      <c r="A86" s="78">
        <v>540</v>
      </c>
      <c r="B86" s="78" t="s">
        <v>158</v>
      </c>
      <c r="C86" s="84">
        <v>250812.97</v>
      </c>
      <c r="D86" s="85">
        <v>1731383</v>
      </c>
      <c r="E86" s="86">
        <v>2733.3</v>
      </c>
      <c r="F86" s="115">
        <v>8</v>
      </c>
    </row>
    <row r="87" spans="1:13">
      <c r="A87" s="88"/>
      <c r="B87" s="88" t="s">
        <v>159</v>
      </c>
      <c r="C87" s="89">
        <f>SUM(C86)</f>
        <v>250812.97</v>
      </c>
      <c r="D87" s="89">
        <f>SUM(D86)</f>
        <v>1731383</v>
      </c>
      <c r="E87" s="89">
        <f>SUM(E86)</f>
        <v>2733.3</v>
      </c>
      <c r="F87" s="90">
        <f>SUM(F86)</f>
        <v>8</v>
      </c>
      <c r="G87" s="88"/>
      <c r="H87" s="90">
        <f>ROUND((D87/F87)/12,0)</f>
        <v>18035</v>
      </c>
      <c r="I87" s="91">
        <f>(C87/F87)/12</f>
        <v>2612.6351041666667</v>
      </c>
      <c r="J87" s="90">
        <f>(E87/F87)/12</f>
        <v>28.471875000000001</v>
      </c>
    </row>
    <row r="90" spans="1:13">
      <c r="C90" s="119">
        <f>SUM(C87,C85,C83,C71,C59,C57,C55,C43,C16)</f>
        <v>693456195.07999992</v>
      </c>
      <c r="D90" s="119">
        <f>SUM(D87,D85,D83,D71,D59,D57,D55,D43,D16)</f>
        <v>5277604183</v>
      </c>
      <c r="E90" s="119">
        <f>SUM(E87,E85,E83,E71,E59,E57,E55,E43,E16)</f>
        <v>7376319.3000000007</v>
      </c>
      <c r="F90" s="119"/>
      <c r="H90" s="116"/>
    </row>
    <row r="91" spans="1:13">
      <c r="C91" s="116"/>
      <c r="D91" s="116"/>
      <c r="E91" s="116"/>
      <c r="F91" s="116"/>
    </row>
    <row r="92" spans="1:13">
      <c r="F92" s="116"/>
    </row>
    <row r="93" spans="1:13">
      <c r="F93" s="116"/>
    </row>
  </sheetData>
  <pageMargins left="0.7" right="0.7" top="0.75" bottom="0.75" header="0.3" footer="0.3"/>
  <pageSetup orientation="portrait" horizontalDpi="1200" verticalDpi="1200" r:id="rId1"/>
  <headerFooter>
    <oddHeader>&amp;RCase No. 2026-00001
KPSC 1-11 Attachment 1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theme="5" tint="0.79998168889431442"/>
    <pageSetUpPr autoPageBreaks="0"/>
  </sheetPr>
  <dimension ref="A1:G30"/>
  <sheetViews>
    <sheetView zoomScaleNormal="100" workbookViewId="0">
      <selection activeCell="G34" sqref="G34"/>
    </sheetView>
  </sheetViews>
  <sheetFormatPr defaultColWidth="8.7265625" defaultRowHeight="12.5"/>
  <cols>
    <col min="1" max="1" width="50.54296875" style="3" customWidth="1"/>
    <col min="2" max="2" width="3.453125" style="3" customWidth="1"/>
    <col min="3" max="3" width="17.26953125" style="3" bestFit="1" customWidth="1"/>
    <col min="4" max="4" width="23" style="3" customWidth="1"/>
    <col min="5" max="5" width="16.54296875" style="3" bestFit="1" customWidth="1"/>
    <col min="6" max="6" width="8.7265625" style="3"/>
    <col min="7" max="7" width="17.7265625" style="3" customWidth="1"/>
    <col min="8" max="8" width="11.7265625" style="3" customWidth="1"/>
    <col min="9" max="16384" width="8.7265625" style="3"/>
  </cols>
  <sheetData>
    <row r="1" spans="1:5" ht="13">
      <c r="C1" s="18" t="s">
        <v>12</v>
      </c>
    </row>
    <row r="2" spans="1:5" ht="13">
      <c r="C2" s="18"/>
    </row>
    <row r="3" spans="1:5" ht="15" customHeight="1">
      <c r="A3" s="5" t="s">
        <v>1</v>
      </c>
      <c r="C3" s="22" t="s">
        <v>22</v>
      </c>
    </row>
    <row r="4" spans="1:5" ht="13">
      <c r="A4" s="5" t="s">
        <v>14</v>
      </c>
    </row>
    <row r="5" spans="1:5">
      <c r="A5" s="7" t="e">
        <f>#REF!</f>
        <v>#REF!</v>
      </c>
    </row>
    <row r="6" spans="1:5" ht="13.15" customHeight="1"/>
    <row r="7" spans="1:5" ht="25.5" customHeight="1">
      <c r="A7" s="8" t="s">
        <v>2</v>
      </c>
    </row>
    <row r="9" spans="1:5" ht="13">
      <c r="A9" s="9" t="s">
        <v>13</v>
      </c>
      <c r="C9" s="6" t="e">
        <f>D9*E9</f>
        <v>#REF!</v>
      </c>
      <c r="D9" s="28">
        <v>-3.63</v>
      </c>
      <c r="E9" s="2" t="e">
        <f>#REF!</f>
        <v>#REF!</v>
      </c>
    </row>
    <row r="10" spans="1:5">
      <c r="C10" s="6"/>
    </row>
    <row r="11" spans="1:5">
      <c r="C11" s="6"/>
    </row>
    <row r="12" spans="1:5">
      <c r="C12" s="6"/>
    </row>
    <row r="13" spans="1:5" ht="13">
      <c r="A13" s="8" t="s">
        <v>5</v>
      </c>
      <c r="C13" s="6"/>
    </row>
    <row r="14" spans="1:5">
      <c r="C14" s="6"/>
    </row>
    <row r="15" spans="1:5" ht="13">
      <c r="A15" s="9" t="s">
        <v>20</v>
      </c>
      <c r="C15" s="6" t="e">
        <f>D15*E15</f>
        <v>#REF!</v>
      </c>
      <c r="D15" s="24">
        <f>D9</f>
        <v>-3.63</v>
      </c>
      <c r="E15" s="2" t="e">
        <f>#REF!</f>
        <v>#REF!</v>
      </c>
    </row>
    <row r="16" spans="1:5">
      <c r="C16" s="6"/>
    </row>
    <row r="18" spans="1:7" ht="13">
      <c r="A18" s="4" t="s">
        <v>6</v>
      </c>
    </row>
    <row r="19" spans="1:7">
      <c r="A19" s="3" t="s">
        <v>23</v>
      </c>
      <c r="C19" s="30">
        <v>443700401</v>
      </c>
      <c r="D19" s="9" t="s">
        <v>15</v>
      </c>
      <c r="E19" s="29">
        <v>52941138</v>
      </c>
      <c r="F19" s="26">
        <v>6.4200000000000004E-3</v>
      </c>
      <c r="G19" s="19">
        <f>E19*F19</f>
        <v>339882.10596000002</v>
      </c>
    </row>
    <row r="20" spans="1:7">
      <c r="A20" s="3" t="s">
        <v>7</v>
      </c>
      <c r="B20" s="3" t="s">
        <v>4</v>
      </c>
      <c r="C20" s="11">
        <f>E19+E20</f>
        <v>150743660</v>
      </c>
      <c r="D20" s="9" t="s">
        <v>16</v>
      </c>
      <c r="E20" s="29">
        <v>97802522</v>
      </c>
      <c r="F20" s="20">
        <f>F19</f>
        <v>6.4200000000000004E-3</v>
      </c>
      <c r="G20" s="19">
        <f>E20*F20</f>
        <v>627892.19124000007</v>
      </c>
    </row>
    <row r="21" spans="1:7" ht="13">
      <c r="A21" s="10" t="s">
        <v>8</v>
      </c>
      <c r="B21" s="4"/>
      <c r="C21" s="12">
        <f>C19-C20</f>
        <v>292956741</v>
      </c>
      <c r="D21" s="9" t="s">
        <v>19</v>
      </c>
      <c r="E21" s="12">
        <f>C21</f>
        <v>292956741</v>
      </c>
      <c r="F21" s="21">
        <f>F19</f>
        <v>6.4200000000000004E-3</v>
      </c>
      <c r="G21" s="19">
        <f>E21*F21</f>
        <v>1880782.27722</v>
      </c>
    </row>
    <row r="23" spans="1:7">
      <c r="A23" s="3" t="s">
        <v>9</v>
      </c>
      <c r="C23" s="23">
        <v>2.725E-2</v>
      </c>
    </row>
    <row r="25" spans="1:7">
      <c r="A25" s="3" t="s">
        <v>21</v>
      </c>
      <c r="C25" s="15">
        <f>ROUND(C21*C23,0)</f>
        <v>7983071</v>
      </c>
    </row>
    <row r="26" spans="1:7">
      <c r="A26" s="3" t="s">
        <v>10</v>
      </c>
      <c r="B26" s="3" t="s">
        <v>3</v>
      </c>
      <c r="C26" s="19">
        <f>G21</f>
        <v>1880782.27722</v>
      </c>
    </row>
    <row r="27" spans="1:7">
      <c r="A27" s="3" t="s">
        <v>11</v>
      </c>
      <c r="C27" s="13">
        <f>SUM(C25+C26)</f>
        <v>9863853.2772199996</v>
      </c>
      <c r="G27" s="27" t="s">
        <v>0</v>
      </c>
    </row>
    <row r="29" spans="1:7">
      <c r="E29" s="25"/>
    </row>
    <row r="30" spans="1:7">
      <c r="A30" s="3" t="s"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2">
    <pageSetUpPr autoPageBreaks="0"/>
  </sheetPr>
  <dimension ref="A2:B6"/>
  <sheetViews>
    <sheetView workbookViewId="0">
      <selection activeCell="C20" sqref="C20"/>
    </sheetView>
  </sheetViews>
  <sheetFormatPr defaultColWidth="8.7265625" defaultRowHeight="14.5"/>
  <cols>
    <col min="1" max="1" width="43.54296875" style="14" bestFit="1" customWidth="1"/>
    <col min="2" max="16384" width="8.7265625" style="14"/>
  </cols>
  <sheetData>
    <row r="2" spans="1:2">
      <c r="A2" s="14" t="s">
        <v>32</v>
      </c>
      <c r="B2" s="16">
        <v>2.0336E-2</v>
      </c>
    </row>
    <row r="4" spans="1:2">
      <c r="A4" s="14" t="s">
        <v>17</v>
      </c>
      <c r="B4" s="17">
        <v>0.6</v>
      </c>
    </row>
    <row r="6" spans="1:2">
      <c r="A6" s="14" t="s">
        <v>18</v>
      </c>
      <c r="B6" s="17">
        <v>0.05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1">
    <pageSetUpPr autoPageBreaks="0" fitToPage="1"/>
  </sheetPr>
  <dimension ref="A1"/>
  <sheetViews>
    <sheetView workbookViewId="0">
      <selection activeCell="K49" sqref="K49"/>
    </sheetView>
  </sheetViews>
  <sheetFormatPr defaultRowHeight="12.5"/>
  <sheetData/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6">
    <pageSetUpPr autoPageBreaks="0"/>
  </sheetPr>
  <dimension ref="A1"/>
  <sheetViews>
    <sheetView workbookViewId="0">
      <selection activeCell="R22" sqref="R22"/>
    </sheetView>
  </sheetViews>
  <sheetFormatPr defaultRowHeight="12.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wNzkyPC9Vc2VyTmFtZT48RGF0ZVRpbWU+NS8xMi8yMDIyIDM6NTU6MjMgUE08L0RhdGVUaW1lPjxMYWJlbFN0cmluZz5BRVAgSW50ZXJuYWw8L0xhYmVsU3RyaW5nPjwvaXRlbT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kwNzkyPC9Vc2VyTmFtZT48RGF0ZVRpbWU+NS8xMi8yMDIyIDQ6NTU6NTMgUE08L0RhdGVUaW1lPjxMYWJlbFN0cmluZz5BRVAgSW50ZXJuYWw8L0xhYmVsU3RyaW5nPjwvaXRlbT48L2xhYmVsSGlzdG9yeT4=</Value>
</WrappedLabelHistor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6E28A9DD-BA27-4975-8F70-F7F3528619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1E747D-B87A-4D94-BFF0-2E3568E2C436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0B6391A5-030B-4FBF-B411-5BF986FED00E}">
  <ds:schemaRefs>
    <ds:schemaRef ds:uri="http://schemas.microsoft.com/office/2006/metadata/properties"/>
    <ds:schemaRef ds:uri="http://schemas.microsoft.com/office/infopath/2007/PartnerControls"/>
    <ds:schemaRef ds:uri="f88ffb1c-9230-4705-a789-27bae69f5829"/>
    <ds:schemaRef ds:uri="b6888f76-1100-40b0-929b-1efe9044426d"/>
  </ds:schemaRefs>
</ds:datastoreItem>
</file>

<file path=customXml/itemProps4.xml><?xml version="1.0" encoding="utf-8"?>
<ds:datastoreItem xmlns:ds="http://schemas.openxmlformats.org/officeDocument/2006/customXml" ds:itemID="{4518C723-7E6D-41A0-907E-1A6DC186B986}"/>
</file>

<file path=customXml/itemProps5.xml><?xml version="1.0" encoding="utf-8"?>
<ds:datastoreItem xmlns:ds="http://schemas.openxmlformats.org/officeDocument/2006/customXml" ds:itemID="{5CE15AD3-0319-432A-AEC0-E21DAF3AF9D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2026</vt:lpstr>
      <vt:lpstr>2027</vt:lpstr>
      <vt:lpstr>2028</vt:lpstr>
      <vt:lpstr>2029</vt:lpstr>
      <vt:lpstr>12mos BA</vt:lpstr>
      <vt:lpstr>3.32</vt:lpstr>
      <vt:lpstr>Property Tax</vt:lpstr>
      <vt:lpstr>IN Tax Rates</vt:lpstr>
      <vt:lpstr>IN TAX Lookup</vt:lpstr>
      <vt:lpstr>Changes from Rate Case</vt:lpstr>
      <vt:lpstr>'Property Tax'!Marshall_Rate</vt:lpstr>
      <vt:lpstr>'Property Tax'!PC_Percent</vt:lpstr>
      <vt:lpstr>'2026'!Print_Area</vt:lpstr>
      <vt:lpstr>'2027'!Print_Area</vt:lpstr>
      <vt:lpstr>'2028'!Print_Area</vt:lpstr>
      <vt:lpstr>'2029'!Print_Area</vt:lpstr>
      <vt:lpstr>'Property Tax'!WV_List</vt:lpstr>
    </vt:vector>
  </TitlesOfParts>
  <Company>AEP-Word-Excel-PowerPoint-Access-6-2-00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s767267</dc:creator>
  <cp:keywords/>
  <cp:lastModifiedBy>Nicole M Coon</cp:lastModifiedBy>
  <cp:lastPrinted>2026-02-06T16:19:59Z</cp:lastPrinted>
  <dcterms:created xsi:type="dcterms:W3CDTF">2002-05-13T18:35:45Z</dcterms:created>
  <dcterms:modified xsi:type="dcterms:W3CDTF">2026-03-23T17:04:19Z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b9cb07f0-af7b-45e2-b96e-cff2f6fa65f3</vt:lpwstr>
  </property>
  <property fmtid="{D5CDD505-2E9C-101B-9397-08002B2CF9AE}" pid="3" name="bjSaver">
    <vt:lpwstr>Yzo6iu4RCOp5VcJWjy40zzIEO7NbA0wx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ClsUserRVM">
    <vt:lpwstr>[]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1" name="bjDocumentLabelXML-0">
    <vt:lpwstr>ames.com/2008/01/sie/internal/label"&gt;&lt;element uid="50c31824-0780-4910-87d1-eaaffd182d42" value="" /&gt;&lt;/sisl&gt;</vt:lpwstr>
  </property>
  <property fmtid="{D5CDD505-2E9C-101B-9397-08002B2CF9AE}" pid="12" name="bjLabelHistoryID">
    <vt:lpwstr>{3C1E747D-B87A-4D94-BFF0-2E3568E2C436}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  <property fmtid="{D5CDD505-2E9C-101B-9397-08002B2CF9AE}" pid="15" name="bjpmDocIH">
    <vt:lpwstr>tMee0lY+QQaNhjKQa7tM5H9HydNafo19</vt:lpwstr>
  </property>
</Properties>
</file>